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3_bpp_gov_co/Documents/Trabajo/2026/PROCESOS/5. MINIMA CUANTÍA/HUERTAS/"/>
    </mc:Choice>
  </mc:AlternateContent>
  <xr:revisionPtr revIDLastSave="713" documentId="13_ncr:1_{74D8C960-A360-4863-971C-8C1AC5606618}" xr6:coauthVersionLast="47" xr6:coauthVersionMax="47" xr10:uidLastSave="{2973400E-7997-4FE6-852D-7EE388DE07A7}"/>
  <bookViews>
    <workbookView xWindow="-108" yWindow="-108" windowWidth="23256" windowHeight="13896" xr2:uid="{F111628B-40E6-4C87-A466-AD30DE0C3000}"/>
  </bookViews>
  <sheets>
    <sheet name="ESTUDIO DE MERCADO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5" l="1"/>
  <c r="I2" i="5"/>
  <c r="I65" i="5"/>
  <c r="I64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2" i="5"/>
  <c r="I62" i="5" l="1"/>
  <c r="I61" i="5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3" i="5"/>
</calcChain>
</file>

<file path=xl/sharedStrings.xml><?xml version="1.0" encoding="utf-8"?>
<sst xmlns="http://schemas.openxmlformats.org/spreadsheetml/2006/main" count="139" uniqueCount="86">
  <si>
    <t xml:space="preserve">SUMINISTRO/INSUMOS/ELEMENTOS </t>
  </si>
  <si>
    <t>UNIDAD DE MEDIDA</t>
  </si>
  <si>
    <t>Imagen de referencia</t>
  </si>
  <si>
    <t>OFERTA FINAL - CONTRATO 1121 DE 2024
SIENSAS</t>
  </si>
  <si>
    <t>OFERTA FINAL CONTRATO 1831 DE 2025
BIDFOR SAS</t>
  </si>
  <si>
    <t>VALOR PROMEDIO</t>
  </si>
  <si>
    <t>Canastilla plastica liviana toda lineal (fruver) de 60x40x25 cm. Capacidad  interior min-25 Kg. Verde</t>
  </si>
  <si>
    <t>Unidad</t>
  </si>
  <si>
    <t>Abono Organico x2Kl para jardinería: Cenizas 6%, Carbono orgánico 48,9%, Nitrogeno total 18,6%, Fósforo asimilable (P2O5) 1,56%, Potacio soluble en agua (K2O) 3,20%, Ph 1%, Densidad 0,46 g(cm3)</t>
  </si>
  <si>
    <t>Kl</t>
  </si>
  <si>
    <t>Sustrato de tierra negra rica en materia orgánica enriquecida con humus de lombriz y mejorada con cascarilla de arroz para darle mayor aireación. 100% orgánico x5Kl</t>
  </si>
  <si>
    <t>Azadón con mango pequeño: Aza en Acero Carbono Mango en Madera, Alto 19,4 cm, Ancho 18,7 cm, Peso 1,43 kg, Largo 103,5 cm.</t>
  </si>
  <si>
    <t>Tijera de poda a 1 mano Tipo Ranger 8" B. Hojas en acero, la superior recubierta.</t>
  </si>
  <si>
    <t>Paladraga: Cavador ALTO: 35,5 cm y  ANCHO: 13,9 cm, 0,8 Kl Mango Madera. Hoja acero.</t>
  </si>
  <si>
    <t>Pala jardinera cuadrada cabo plastico.  Ancho 22,6 cm Alto 52,2 cm Longitud del cabo 55 cm, Espesor 1,6 mm</t>
  </si>
  <si>
    <t>Machete barrigón 20" pulgadas pulido, Espesor: 1,8 mm. Mango ergonómico tipo sándwich. Con remaches que aseguren la lámina.</t>
  </si>
  <si>
    <t>Lima Triangular 6'' Pulgadas Para Afilado</t>
  </si>
  <si>
    <t>Pala punta con cabo, Ancho 232 mm Alto 513 mm, Longitud de cabo 950mm Espesor 1,6 mm</t>
  </si>
  <si>
    <t>Polisombra 80%- Ancho 4 mts x 1 metro</t>
  </si>
  <si>
    <t>Fumigadora Pulverizadora Manual para Jardín 2 Lt, Boquilla de latón regulable resistente a la corrosión. Plástico de policarbonato.</t>
  </si>
  <si>
    <t xml:space="preserve">Tijera Podadora 2 Manos Mango Metálico (aluminio), Agarre en caucho, 1.6 kg, largo 80 cm, ancho 28 cm.
</t>
  </si>
  <si>
    <t>Bandeja germinadora de 32 cavidades. Material: Plastico. Medidas: Base mayor 5.8 x 5.8 cm, Base menor 4.4 x4.4 cm, Profundidad 5.6 cm volumen 144 cc(cm3)</t>
  </si>
  <si>
    <t>Bandeja</t>
  </si>
  <si>
    <t>Pala pequeña de jardinería de plástico,  Aprox 8 cm de Ancho, Aprox 28 cm largo, negra.</t>
  </si>
  <si>
    <t>Escoba rastrillo polipropileno 22 dientes,  peso Aprox. 253 g. Ancho de barrido 548mm, Largo 420mm, Alto uña 71mm. Forma frontal de los dientes Curva. Amarillo.</t>
  </si>
  <si>
    <t>Guante multiflex talla M poliéster elástico. Palma recubierta con espuma de nitrilo negro. Resistente a hidrocarburos y derivados.</t>
  </si>
  <si>
    <t>Par</t>
  </si>
  <si>
    <t>Guante multiflex talla L poliéster elástico. Palma recubierta con espuma de nitrilo negro. Resistente a hidrocarburos y derivados.</t>
  </si>
  <si>
    <t>Juego Jardín, aluminio mango erconómico: Incluye  Pala pequeña, rastrillo (cultivador) y sembrador (pala cultivadora).</t>
  </si>
  <si>
    <t>Paquete x 3</t>
  </si>
  <si>
    <t>Esmalte sintético (pintura base aceite) amarillo para exteriores, acabado brillante, 40m2 rendimiento por capa. Secado final 8 horas. Tiempo de espera segunda mano 2 horas. Base solvente. Para ablicación sobre madera y metal.</t>
  </si>
  <si>
    <t>Galon</t>
  </si>
  <si>
    <t>Pie de cría de lombrices rojas californianas</t>
  </si>
  <si>
    <t>Kilo</t>
  </si>
  <si>
    <t>Maceta vivero 14cm (negra o terracota) Diámetro 14 cm, profundidad 11,5 cm, ancho base 10,5 cm. Vol 1,2L</t>
  </si>
  <si>
    <t>Paletas de Señalización para Plantas Banda de Amarre: Etiquetas de plástico blanco, impermeables de 2 cm de ancho x 18 cm de largo x 10 unidades</t>
  </si>
  <si>
    <t>Paquete x 10</t>
  </si>
  <si>
    <t>Plántula albhaca blanca  Alto min 15 cm con primeras hojas emergentes x 10 unidades</t>
  </si>
  <si>
    <t>Plántula albhaca morada  Alto desde raiz  min 20 cm con primeras hojas emergentes x 10 unidades</t>
  </si>
  <si>
    <t>Plántula romero Alto desde raiz  min 20 cm con primeras hojas emergentes x 10 unidades</t>
  </si>
  <si>
    <t>Plántula ruda Alto desde raiz  min 20 cm con primeras hojas emergentes x 10 unidades</t>
  </si>
  <si>
    <t>Plántula menta Alto desde raiz  min 20 cm con primeras hojas emergentes x 10 unidades</t>
  </si>
  <si>
    <t>Plántula rábano Alto desde raiz  min 15 cm con primeras hojas emergentes x 10 unidades</t>
  </si>
  <si>
    <t>Plántula Stevia Alto desde raiz  min 20 cm con primeras hojas emergentes x 10 unidades</t>
  </si>
  <si>
    <t>Plántula Salvia Alto desde raiz  min 20 cm con primeras hojas emergentes x 10 unidades</t>
  </si>
  <si>
    <t>Plántula Repollo Alto desde raiz  min 20 cm con primeras hojas emergentes x 10 unidades</t>
  </si>
  <si>
    <t>PlántulaTomillo Alto desde raiz  min 20 cm con primeras hojas emergentes x 10 unidades</t>
  </si>
  <si>
    <t>Plántula Hinojo Alto desde raiz  min 20 cm con primeras hojas emergentes x 10 unidades</t>
  </si>
  <si>
    <t>Plántula Lavanda Alto desde raiz  min 20 cm con primeras hojas emergentes x 10 unidades</t>
  </si>
  <si>
    <t>Plántula Espinaca Alto desde raiz  min 20 cm con primeras hojas emergentes x 10 unidades</t>
  </si>
  <si>
    <t>Plántula Cilantro Alto desde raiz  min 20 cm con primeras hojas emergentes x 10 unidades</t>
  </si>
  <si>
    <t>Plántula Orégano Alto desde raiz  min 20 cm con primeras hojas emergentes x 10 unidades</t>
  </si>
  <si>
    <t>Plántula Mejorana Alto desde raiz  min 20 cm con primeras hojas emergentes x 10 unidades</t>
  </si>
  <si>
    <t>Plántula Berenjena  Alto desde raiz  min 20 cm con primeras hojas emergentes x 10 unidades</t>
  </si>
  <si>
    <t>Plántula Aji dulce  Alto desde raiz  min 20 cm con primeras hojas emergentes x 10 unidades</t>
  </si>
  <si>
    <t>Plántula Caléndula Alto desde raiz  min 20 cm con primeras hojas emergentes x 10 unidades</t>
  </si>
  <si>
    <t>Plántula Manzanilla Alto desde raiz  min 20 cm con primeras hojas emergentes x 10 unidades</t>
  </si>
  <si>
    <t>Plántula Perejil Alto desde raiz  min 20 cm con primeras hojas emergentes x 10 unidades</t>
  </si>
  <si>
    <t>Plántula Hierbabuena Alto desde raiz  min 20 cm con primeras hojas emergentes x 10 unidades</t>
  </si>
  <si>
    <t>Plántula Tomate Chonto. Alto desde raiz  min 20 cm con primeras hojas emergentes x 10 unidades</t>
  </si>
  <si>
    <t>Plántula Pepino Alto desde raiz  min 20 cm con primeras hojas emergentes x 10 unidades</t>
  </si>
  <si>
    <t>Plántula Lechuga crespa Alto desde raiz  min 20 cm con primeras hojas emergentes x 10 unidades</t>
  </si>
  <si>
    <t>Plántula Cebolla puerro Alto desde raiz  min 20 cm con primeras hojas emergentes x 10 unidades</t>
  </si>
  <si>
    <t>Semillas de girasol rojo flor gigante Sobre x 0,5 g,  17 semillas aprox</t>
  </si>
  <si>
    <t>sobre</t>
  </si>
  <si>
    <t>Semillas de girasol flor gigante Sobre x 4 g, 56 semillas aprox</t>
  </si>
  <si>
    <t>Semillas de perejil liso Sobre x 3g, 600 semillas aprox</t>
  </si>
  <si>
    <t>Semillas de ahuyama coneticut Sobre x 25g, 200 semillas aprox</t>
  </si>
  <si>
    <t>Semillas de Aji Cayenne slim Sobre x 2g, 220 semillas aprox</t>
  </si>
  <si>
    <t>Semillas de Arverja alderman Sobre x 5g, 50 semillas aprox</t>
  </si>
  <si>
    <t>SemillasCalabacín grey zuccini Sobre x 5g, 100 semillas aprox</t>
  </si>
  <si>
    <t>Semillas de Margarita crisantemo blanco Sobre x 0,5g, 287 semillas aprox</t>
  </si>
  <si>
    <t>Semillas de Lavanda Sobre x 0,3g, 324 semillas aprox</t>
  </si>
  <si>
    <t>Semillas de Pimentón x 2g, 240semillas aprox</t>
  </si>
  <si>
    <t xml:space="preserve">Herramienta de corte de frutas y verduras de gran altura en forma de media luna, con cabo de 1,5 metros.
</t>
  </si>
  <si>
    <t>https://agrolex.com.co/producto/deshojadora/</t>
  </si>
  <si>
    <t>Estacas de madera 5cm x 5cm x 50cm de Pino patula inmunizado</t>
  </si>
  <si>
    <t>https://www.mercadolibre.com.ar/estaca-madera--semi-dura-gruesas-eucalipto-5x5-x100cm-x5-un/up/MLAU3012508186</t>
  </si>
  <si>
    <t>Malla plástica para anjeos ancho 1.20  Huecos 3x3-pulg rollo 50 mt</t>
  </si>
  <si>
    <t>Rollo</t>
  </si>
  <si>
    <t>https://www.homecenter.com.co/homecenter-co/product/291758/malla-cedazo-120x3mt-huecos-3x3-pulg/291758/</t>
  </si>
  <si>
    <t>Alambre tipo dulce calibre 20mm x 10 metros</t>
  </si>
  <si>
    <t>https://compreloadomicilio.com/co/producto/articulos-de-construccion/alambre-dulce-x-kilo-24916</t>
  </si>
  <si>
    <t>VALOR SUMATORIA DE ITEMS</t>
  </si>
  <si>
    <t>ENLACE COTIZACIÓN</t>
  </si>
  <si>
    <t>COTIZACIÓN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</si>
</sst>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0" fontId="6" fillId="0" borderId="1" xfId="0" applyFont="1" applyBorder="1" applyAlignment="1">
      <alignment vertical="top" wrapText="1"/>
    </xf>
    <xf numFmtId="164" fontId="1" fillId="3" borderId="1" xfId="2" applyNumberFormat="1" applyFont="1" applyFill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/>
    </xf>
    <xf numFmtId="164" fontId="2" fillId="2" borderId="1" xfId="2" applyNumberFormat="1" applyFont="1" applyFill="1" applyBorder="1" applyAlignment="1">
      <alignment horizontal="center" vertical="center" wrapText="1"/>
    </xf>
    <xf numFmtId="164" fontId="0" fillId="0" borderId="0" xfId="2" applyNumberFormat="1" applyFont="1"/>
    <xf numFmtId="164" fontId="0" fillId="0" borderId="0" xfId="2" applyNumberFormat="1" applyFont="1" applyAlignment="1">
      <alignment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wrapText="1"/>
    </xf>
    <xf numFmtId="164" fontId="8" fillId="0" borderId="0" xfId="0" applyNumberFormat="1" applyFont="1" applyAlignment="1">
      <alignment wrapText="1"/>
    </xf>
    <xf numFmtId="164" fontId="9" fillId="0" borderId="1" xfId="2" applyNumberFormat="1" applyFont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horizontal="center" vertical="center" wrapText="1"/>
    </xf>
    <xf numFmtId="164" fontId="5" fillId="0" borderId="1" xfId="3" applyNumberFormat="1" applyFill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horizontal="center" vertical="center"/>
    </xf>
    <xf numFmtId="164" fontId="6" fillId="0" borderId="1" xfId="2" applyNumberFormat="1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right" vertical="center" wrapText="1"/>
    </xf>
    <xf numFmtId="165" fontId="0" fillId="0" borderId="1" xfId="4" applyNumberFormat="1" applyFont="1" applyBorder="1" applyAlignment="1">
      <alignment horizontal="center" vertical="center"/>
    </xf>
    <xf numFmtId="165" fontId="0" fillId="0" borderId="1" xfId="4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5" fillId="0" borderId="1" xfId="1" applyNumberFormat="1" applyBorder="1" applyAlignment="1">
      <alignment horizontal="center" vertical="center"/>
    </xf>
    <xf numFmtId="164" fontId="5" fillId="0" borderId="0" xfId="1" applyNumberFormat="1" applyFill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right" vertical="center" wrapText="1"/>
    </xf>
    <xf numFmtId="0" fontId="1" fillId="3" borderId="3" xfId="0" applyFont="1" applyFill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center" wrapText="1"/>
    </xf>
    <xf numFmtId="164" fontId="6" fillId="0" borderId="1" xfId="2" applyNumberFormat="1" applyFont="1" applyBorder="1" applyAlignment="1">
      <alignment horizontal="center" vertical="center" wrapText="1"/>
    </xf>
  </cellXfs>
  <cellStyles count="5">
    <cellStyle name="Hipervínculo" xfId="3" builtinId="8"/>
    <cellStyle name="Hyperlink" xfId="1" xr:uid="{00000000-000B-0000-0000-000008000000}"/>
    <cellStyle name="Millares" xfId="2" builtinId="3"/>
    <cellStyle name="Moneda" xfId="4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85726</xdr:colOff>
      <xdr:row>2</xdr:row>
      <xdr:rowOff>57150</xdr:rowOff>
    </xdr:from>
    <xdr:to>
      <xdr:col>3</xdr:col>
      <xdr:colOff>873094</xdr:colOff>
      <xdr:row>2</xdr:row>
      <xdr:rowOff>1209675</xdr:rowOff>
    </xdr:to>
    <xdr:pic>
      <xdr:nvPicPr>
        <xdr:cNvPr id="5" name="Imagen 4" descr="Texto&#10;&#10;Descripción generada automáticamente">
          <a:extLst>
            <a:ext uri="{FF2B5EF4-FFF2-40B4-BE49-F238E27FC236}">
              <a16:creationId xmlns:a16="http://schemas.microsoft.com/office/drawing/2014/main" id="{FDA21A22-3129-48CF-BCB4-3CAA1346A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6" y="1200150"/>
          <a:ext cx="787368" cy="1152525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4</xdr:row>
      <xdr:rowOff>19050</xdr:rowOff>
    </xdr:from>
    <xdr:to>
      <xdr:col>3</xdr:col>
      <xdr:colOff>1858005</xdr:colOff>
      <xdr:row>4</xdr:row>
      <xdr:rowOff>563106</xdr:rowOff>
    </xdr:to>
    <xdr:pic>
      <xdr:nvPicPr>
        <xdr:cNvPr id="6" name="Imagen 5" descr="Imagen que contiene herramienta&#10;&#10;Descripción generada automáticamente">
          <a:extLst>
            <a:ext uri="{FF2B5EF4-FFF2-40B4-BE49-F238E27FC236}">
              <a16:creationId xmlns:a16="http://schemas.microsoft.com/office/drawing/2014/main" id="{447A95F5-1662-4213-A7AC-347985462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77350" y="2819400"/>
          <a:ext cx="1819905" cy="544056"/>
        </a:xfrm>
        <a:prstGeom prst="rect">
          <a:avLst/>
        </a:prstGeom>
      </xdr:spPr>
    </xdr:pic>
    <xdr:clientData/>
  </xdr:twoCellAnchor>
  <xdr:twoCellAnchor editAs="oneCell">
    <xdr:from>
      <xdr:col>3</xdr:col>
      <xdr:colOff>143743</xdr:colOff>
      <xdr:row>5</xdr:row>
      <xdr:rowOff>88109</xdr:rowOff>
    </xdr:from>
    <xdr:to>
      <xdr:col>3</xdr:col>
      <xdr:colOff>1156558</xdr:colOff>
      <xdr:row>5</xdr:row>
      <xdr:rowOff>709302</xdr:rowOff>
    </xdr:to>
    <xdr:pic>
      <xdr:nvPicPr>
        <xdr:cNvPr id="8" name="Imagen 7" descr="Imagen que contiene herramienta&#10;&#10;Descripción generada automáticamente">
          <a:extLst>
            <a:ext uri="{FF2B5EF4-FFF2-40B4-BE49-F238E27FC236}">
              <a16:creationId xmlns:a16="http://schemas.microsoft.com/office/drawing/2014/main" id="{9BBB6561-E92B-4427-83FF-8C500084D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400000">
          <a:off x="6376023" y="4119017"/>
          <a:ext cx="621193" cy="1012815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</xdr:colOff>
      <xdr:row>6</xdr:row>
      <xdr:rowOff>57150</xdr:rowOff>
    </xdr:from>
    <xdr:to>
      <xdr:col>3</xdr:col>
      <xdr:colOff>1153207</xdr:colOff>
      <xdr:row>6</xdr:row>
      <xdr:rowOff>972279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94EA734-AB11-40D4-BD26-A7B12B5E3E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16777"/>
        <a:stretch/>
      </xdr:blipFill>
      <xdr:spPr>
        <a:xfrm>
          <a:off x="9363075" y="5867400"/>
          <a:ext cx="1029382" cy="915129"/>
        </a:xfrm>
        <a:prstGeom prst="rect">
          <a:avLst/>
        </a:prstGeom>
      </xdr:spPr>
    </xdr:pic>
    <xdr:clientData/>
  </xdr:twoCellAnchor>
  <xdr:twoCellAnchor editAs="oneCell">
    <xdr:from>
      <xdr:col>3</xdr:col>
      <xdr:colOff>127640</xdr:colOff>
      <xdr:row>8</xdr:row>
      <xdr:rowOff>70900</xdr:rowOff>
    </xdr:from>
    <xdr:to>
      <xdr:col>3</xdr:col>
      <xdr:colOff>1861719</xdr:colOff>
      <xdr:row>8</xdr:row>
      <xdr:rowOff>463029</xdr:rowOff>
    </xdr:to>
    <xdr:pic>
      <xdr:nvPicPr>
        <xdr:cNvPr id="11" name="Imagen 10" descr="Imagen que contiene competencia de atletismo&#10;&#10;Descripción generada automáticamente">
          <a:extLst>
            <a:ext uri="{FF2B5EF4-FFF2-40B4-BE49-F238E27FC236}">
              <a16:creationId xmlns:a16="http://schemas.microsoft.com/office/drawing/2014/main" id="{57009B57-A486-40A3-83C9-357DE4E87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16200000">
          <a:off x="7885215" y="3971925"/>
          <a:ext cx="392129" cy="1734079"/>
        </a:xfrm>
        <a:prstGeom prst="rect">
          <a:avLst/>
        </a:prstGeom>
      </xdr:spPr>
    </xdr:pic>
    <xdr:clientData/>
  </xdr:twoCellAnchor>
  <xdr:twoCellAnchor editAs="oneCell">
    <xdr:from>
      <xdr:col>3</xdr:col>
      <xdr:colOff>559664</xdr:colOff>
      <xdr:row>9</xdr:row>
      <xdr:rowOff>95250</xdr:rowOff>
    </xdr:from>
    <xdr:to>
      <xdr:col>3</xdr:col>
      <xdr:colOff>1149717</xdr:colOff>
      <xdr:row>9</xdr:row>
      <xdr:rowOff>743453</xdr:rowOff>
    </xdr:to>
    <xdr:pic>
      <xdr:nvPicPr>
        <xdr:cNvPr id="12" name="Imagen 11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C17DDF81-47F8-47EF-A858-FC69FC984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646264" y="5429250"/>
          <a:ext cx="590053" cy="648203"/>
        </a:xfrm>
        <a:prstGeom prst="rect">
          <a:avLst/>
        </a:prstGeom>
      </xdr:spPr>
    </xdr:pic>
    <xdr:clientData/>
  </xdr:twoCellAnchor>
  <xdr:twoCellAnchor editAs="oneCell">
    <xdr:from>
      <xdr:col>3</xdr:col>
      <xdr:colOff>334004</xdr:colOff>
      <xdr:row>11</xdr:row>
      <xdr:rowOff>66675</xdr:rowOff>
    </xdr:from>
    <xdr:to>
      <xdr:col>3</xdr:col>
      <xdr:colOff>1401352</xdr:colOff>
      <xdr:row>11</xdr:row>
      <xdr:rowOff>876776</xdr:rowOff>
    </xdr:to>
    <xdr:pic>
      <xdr:nvPicPr>
        <xdr:cNvPr id="14" name="Imagen 13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94B1B9E5-F09F-45E2-A908-DA5F76A7D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flipH="1">
          <a:off x="7420604" y="7143750"/>
          <a:ext cx="1067348" cy="810101"/>
        </a:xfrm>
        <a:prstGeom prst="rect">
          <a:avLst/>
        </a:prstGeom>
      </xdr:spPr>
    </xdr:pic>
    <xdr:clientData/>
  </xdr:twoCellAnchor>
  <xdr:twoCellAnchor editAs="oneCell">
    <xdr:from>
      <xdr:col>3</xdr:col>
      <xdr:colOff>745286</xdr:colOff>
      <xdr:row>12</xdr:row>
      <xdr:rowOff>28574</xdr:rowOff>
    </xdr:from>
    <xdr:to>
      <xdr:col>3</xdr:col>
      <xdr:colOff>1362426</xdr:colOff>
      <xdr:row>12</xdr:row>
      <xdr:rowOff>1143633</xdr:rowOff>
    </xdr:to>
    <xdr:pic>
      <xdr:nvPicPr>
        <xdr:cNvPr id="15" name="Imagen 14" descr="Imagen que contiene cerca, tabla, botella&#10;&#10;Descripción generada automáticamente">
          <a:extLst>
            <a:ext uri="{FF2B5EF4-FFF2-40B4-BE49-F238E27FC236}">
              <a16:creationId xmlns:a16="http://schemas.microsoft.com/office/drawing/2014/main" id="{B11019F0-BDAB-4EDE-988E-4FF2E85734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831886" y="8058149"/>
          <a:ext cx="617140" cy="1115059"/>
        </a:xfrm>
        <a:prstGeom prst="rect">
          <a:avLst/>
        </a:prstGeom>
      </xdr:spPr>
    </xdr:pic>
    <xdr:clientData/>
  </xdr:twoCellAnchor>
  <xdr:twoCellAnchor editAs="oneCell">
    <xdr:from>
      <xdr:col>3</xdr:col>
      <xdr:colOff>234790</xdr:colOff>
      <xdr:row>13</xdr:row>
      <xdr:rowOff>12272</xdr:rowOff>
    </xdr:from>
    <xdr:to>
      <xdr:col>3</xdr:col>
      <xdr:colOff>1654604</xdr:colOff>
      <xdr:row>13</xdr:row>
      <xdr:rowOff>892013</xdr:rowOff>
    </xdr:to>
    <xdr:pic>
      <xdr:nvPicPr>
        <xdr:cNvPr id="16" name="Imagen 15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41EA8BA9-28C6-4F93-9098-0E2D2C2CE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16200000">
          <a:off x="9744076" y="12439061"/>
          <a:ext cx="879741" cy="1419814"/>
        </a:xfrm>
        <a:prstGeom prst="rect">
          <a:avLst/>
        </a:prstGeom>
      </xdr:spPr>
    </xdr:pic>
    <xdr:clientData/>
  </xdr:twoCellAnchor>
  <xdr:twoCellAnchor editAs="oneCell">
    <xdr:from>
      <xdr:col>3</xdr:col>
      <xdr:colOff>43297</xdr:colOff>
      <xdr:row>14</xdr:row>
      <xdr:rowOff>64847</xdr:rowOff>
    </xdr:from>
    <xdr:to>
      <xdr:col>3</xdr:col>
      <xdr:colOff>1814947</xdr:colOff>
      <xdr:row>14</xdr:row>
      <xdr:rowOff>1144025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69BA235B-AE29-4965-978E-3549C4EFF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017820" y="15599256"/>
          <a:ext cx="1771650" cy="1079178"/>
        </a:xfrm>
        <a:prstGeom prst="rect">
          <a:avLst/>
        </a:prstGeom>
      </xdr:spPr>
    </xdr:pic>
    <xdr:clientData/>
  </xdr:twoCellAnchor>
  <xdr:twoCellAnchor editAs="oneCell">
    <xdr:from>
      <xdr:col>3</xdr:col>
      <xdr:colOff>38099</xdr:colOff>
      <xdr:row>1</xdr:row>
      <xdr:rowOff>34934</xdr:rowOff>
    </xdr:from>
    <xdr:to>
      <xdr:col>3</xdr:col>
      <xdr:colOff>1181100</xdr:colOff>
      <xdr:row>1</xdr:row>
      <xdr:rowOff>902997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CFC353-8BF8-4D07-95B4-F521CE706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277349" y="225434"/>
          <a:ext cx="1143001" cy="868063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3</xdr:row>
      <xdr:rowOff>47626</xdr:rowOff>
    </xdr:from>
    <xdr:to>
      <xdr:col>3</xdr:col>
      <xdr:colOff>1047750</xdr:colOff>
      <xdr:row>3</xdr:row>
      <xdr:rowOff>1106295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C534ABBB-225F-44C4-B09B-A08FD3887E9B}"/>
            </a:ext>
            <a:ext uri="{147F2762-F138-4A5C-976F-8EAC2B608ADB}">
              <a16:predDERef xmlns:a16="http://schemas.microsoft.com/office/drawing/2014/main" pred="{72CFC353-8BF8-4D07-95B4-F521CE706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200775" y="3581401"/>
          <a:ext cx="885825" cy="1058669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7</xdr:row>
      <xdr:rowOff>190500</xdr:rowOff>
    </xdr:from>
    <xdr:to>
      <xdr:col>3</xdr:col>
      <xdr:colOff>1066800</xdr:colOff>
      <xdr:row>7</xdr:row>
      <xdr:rowOff>742950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13B178F-12B2-42AA-864A-DAF18557E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258300" y="6848475"/>
          <a:ext cx="1047750" cy="55245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104776</xdr:colOff>
      <xdr:row>15</xdr:row>
      <xdr:rowOff>76201</xdr:rowOff>
    </xdr:from>
    <xdr:to>
      <xdr:col>3</xdr:col>
      <xdr:colOff>1781176</xdr:colOff>
      <xdr:row>15</xdr:row>
      <xdr:rowOff>771651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2D50640C-5F5D-4907-8858-836135469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344026" y="18107026"/>
          <a:ext cx="1676400" cy="695450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</xdr:colOff>
      <xdr:row>10</xdr:row>
      <xdr:rowOff>133200</xdr:rowOff>
    </xdr:from>
    <xdr:to>
      <xdr:col>3</xdr:col>
      <xdr:colOff>1020537</xdr:colOff>
      <xdr:row>10</xdr:row>
      <xdr:rowOff>1000556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70F53A2A-88BA-4020-8C86-F1C5F9811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363075" y="9399664"/>
          <a:ext cx="896712" cy="867356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16</xdr:row>
      <xdr:rowOff>133350</xdr:rowOff>
    </xdr:from>
    <xdr:to>
      <xdr:col>3</xdr:col>
      <xdr:colOff>1076326</xdr:colOff>
      <xdr:row>16</xdr:row>
      <xdr:rowOff>1030152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321748CF-10EF-4CB3-92DA-7DA6073DC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248776" y="19211925"/>
          <a:ext cx="1066800" cy="896802"/>
        </a:xfrm>
        <a:prstGeom prst="rect">
          <a:avLst/>
        </a:prstGeom>
      </xdr:spPr>
    </xdr:pic>
    <xdr:clientData/>
  </xdr:twoCellAnchor>
  <xdr:twoCellAnchor editAs="oneCell">
    <xdr:from>
      <xdr:col>3</xdr:col>
      <xdr:colOff>47626</xdr:colOff>
      <xdr:row>19</xdr:row>
      <xdr:rowOff>76201</xdr:rowOff>
    </xdr:from>
    <xdr:to>
      <xdr:col>3</xdr:col>
      <xdr:colOff>1095376</xdr:colOff>
      <xdr:row>19</xdr:row>
      <xdr:rowOff>1123951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9D59087A-D9BA-4CCD-AA4B-D8C1A12F2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286876" y="21726526"/>
          <a:ext cx="1047750" cy="104775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104776</xdr:colOff>
      <xdr:row>20</xdr:row>
      <xdr:rowOff>57150</xdr:rowOff>
    </xdr:from>
    <xdr:to>
      <xdr:col>3</xdr:col>
      <xdr:colOff>1009650</xdr:colOff>
      <xdr:row>21</xdr:row>
      <xdr:rowOff>1976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5AF838F3-43F2-40CD-BC03-162D3A1A1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344026" y="28632150"/>
          <a:ext cx="904874" cy="10687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304800</xdr:colOff>
      <xdr:row>22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3B7F1453-9F59-43E2-AA4C-03D4F920A300}"/>
            </a:ext>
          </a:extLst>
        </xdr:cNvPr>
        <xdr:cNvSpPr>
          <a:spLocks noChangeAspect="1" noChangeArrowheads="1"/>
        </xdr:cNvSpPr>
      </xdr:nvSpPr>
      <xdr:spPr bwMode="auto">
        <a:xfrm>
          <a:off x="9239250" y="31937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304800</xdr:colOff>
      <xdr:row>22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FA8E91A0-D78C-4D11-ACFE-7232AB5C2996}"/>
            </a:ext>
          </a:extLst>
        </xdr:cNvPr>
        <xdr:cNvSpPr>
          <a:spLocks noChangeAspect="1" noChangeArrowheads="1"/>
        </xdr:cNvSpPr>
      </xdr:nvSpPr>
      <xdr:spPr bwMode="auto">
        <a:xfrm>
          <a:off x="9239250" y="31937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304800</xdr:colOff>
      <xdr:row>28</xdr:row>
      <xdr:rowOff>304800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1B8A8022-190B-4304-A97F-3C56969F23DB}"/>
            </a:ext>
          </a:extLst>
        </xdr:cNvPr>
        <xdr:cNvSpPr>
          <a:spLocks noChangeAspect="1" noChangeArrowheads="1"/>
        </xdr:cNvSpPr>
      </xdr:nvSpPr>
      <xdr:spPr bwMode="auto">
        <a:xfrm>
          <a:off x="9239250" y="3331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104775</xdr:colOff>
      <xdr:row>22</xdr:row>
      <xdr:rowOff>38100</xdr:rowOff>
    </xdr:from>
    <xdr:to>
      <xdr:col>3</xdr:col>
      <xdr:colOff>848264</xdr:colOff>
      <xdr:row>22</xdr:row>
      <xdr:rowOff>742950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B1B5C507-E598-4B5F-AD8D-4915A406AB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t="11905"/>
        <a:stretch/>
      </xdr:blipFill>
      <xdr:spPr>
        <a:xfrm>
          <a:off x="9344025" y="31975425"/>
          <a:ext cx="743489" cy="704850"/>
        </a:xfrm>
        <a:prstGeom prst="rect">
          <a:avLst/>
        </a:prstGeom>
      </xdr:spPr>
    </xdr:pic>
    <xdr:clientData/>
  </xdr:twoCellAnchor>
  <xdr:twoCellAnchor editAs="oneCell">
    <xdr:from>
      <xdr:col>3</xdr:col>
      <xdr:colOff>130968</xdr:colOff>
      <xdr:row>23</xdr:row>
      <xdr:rowOff>58572</xdr:rowOff>
    </xdr:from>
    <xdr:to>
      <xdr:col>3</xdr:col>
      <xdr:colOff>952499</xdr:colOff>
      <xdr:row>23</xdr:row>
      <xdr:rowOff>730376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6F8A0C43-7D8C-427C-AB22-D916FD1C4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167437" y="26669041"/>
          <a:ext cx="821531" cy="671804"/>
        </a:xfrm>
        <a:prstGeom prst="rect">
          <a:avLst/>
        </a:prstGeom>
      </xdr:spPr>
    </xdr:pic>
    <xdr:clientData/>
  </xdr:twoCellAnchor>
  <xdr:twoCellAnchor editAs="oneCell">
    <xdr:from>
      <xdr:col>3</xdr:col>
      <xdr:colOff>75860</xdr:colOff>
      <xdr:row>24</xdr:row>
      <xdr:rowOff>57150</xdr:rowOff>
    </xdr:from>
    <xdr:to>
      <xdr:col>3</xdr:col>
      <xdr:colOff>709246</xdr:colOff>
      <xdr:row>24</xdr:row>
      <xdr:rowOff>1343716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A70E8789-8D0F-4C5C-8BB3-19936F897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flipH="1">
          <a:off x="9315110" y="33699450"/>
          <a:ext cx="633386" cy="1286566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25</xdr:row>
      <xdr:rowOff>77004</xdr:rowOff>
    </xdr:from>
    <xdr:to>
      <xdr:col>3</xdr:col>
      <xdr:colOff>676275</xdr:colOff>
      <xdr:row>25</xdr:row>
      <xdr:rowOff>1362759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A0655F5E-76BA-4279-9A6A-2D9D3D1C2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324975" y="35119479"/>
          <a:ext cx="590550" cy="128575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95251</xdr:colOff>
      <xdr:row>26</xdr:row>
      <xdr:rowOff>47625</xdr:rowOff>
    </xdr:from>
    <xdr:to>
      <xdr:col>3</xdr:col>
      <xdr:colOff>850135</xdr:colOff>
      <xdr:row>26</xdr:row>
      <xdr:rowOff>1361123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629D8A12-D1D9-4C28-8EBB-611E63C2C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334501" y="36490275"/>
          <a:ext cx="754884" cy="1313498"/>
        </a:xfrm>
        <a:prstGeom prst="rect">
          <a:avLst/>
        </a:prstGeom>
      </xdr:spPr>
    </xdr:pic>
    <xdr:clientData/>
  </xdr:twoCellAnchor>
  <xdr:twoCellAnchor editAs="oneCell">
    <xdr:from>
      <xdr:col>3</xdr:col>
      <xdr:colOff>76201</xdr:colOff>
      <xdr:row>27</xdr:row>
      <xdr:rowOff>16544</xdr:rowOff>
    </xdr:from>
    <xdr:to>
      <xdr:col>3</xdr:col>
      <xdr:colOff>876301</xdr:colOff>
      <xdr:row>27</xdr:row>
      <xdr:rowOff>1279860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A941AED5-7F7E-457D-8FA8-EB0BD729C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9315451" y="37859369"/>
          <a:ext cx="800100" cy="1263316"/>
        </a:xfrm>
        <a:prstGeom prst="rect">
          <a:avLst/>
        </a:prstGeom>
      </xdr:spPr>
    </xdr:pic>
    <xdr:clientData/>
  </xdr:twoCellAnchor>
  <xdr:twoCellAnchor editAs="oneCell">
    <xdr:from>
      <xdr:col>3</xdr:col>
      <xdr:colOff>214312</xdr:colOff>
      <xdr:row>28</xdr:row>
      <xdr:rowOff>154587</xdr:rowOff>
    </xdr:from>
    <xdr:to>
      <xdr:col>3</xdr:col>
      <xdr:colOff>821872</xdr:colOff>
      <xdr:row>28</xdr:row>
      <xdr:rowOff>1355008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6615DBC7-D1F9-42FE-8C95-1CBEE4417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250781" y="41778837"/>
          <a:ext cx="607560" cy="1200421"/>
        </a:xfrm>
        <a:prstGeom prst="rect">
          <a:avLst/>
        </a:prstGeom>
      </xdr:spPr>
    </xdr:pic>
    <xdr:clientData/>
  </xdr:twoCellAnchor>
  <xdr:twoCellAnchor editAs="oneCell">
    <xdr:from>
      <xdr:col>3</xdr:col>
      <xdr:colOff>273843</xdr:colOff>
      <xdr:row>29</xdr:row>
      <xdr:rowOff>223027</xdr:rowOff>
    </xdr:from>
    <xdr:to>
      <xdr:col>3</xdr:col>
      <xdr:colOff>800101</xdr:colOff>
      <xdr:row>29</xdr:row>
      <xdr:rowOff>1323641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F0B728E6-4DB5-4EE8-B9D8-1EDC0DDA8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310312" y="43240308"/>
          <a:ext cx="526258" cy="1100614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30</xdr:row>
      <xdr:rowOff>28575</xdr:rowOff>
    </xdr:from>
    <xdr:to>
      <xdr:col>3</xdr:col>
      <xdr:colOff>809625</xdr:colOff>
      <xdr:row>30</xdr:row>
      <xdr:rowOff>1358004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A19E7E10-C400-4AF3-BC35-069E3ECC7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9372600" y="42052875"/>
          <a:ext cx="676275" cy="1329429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257176</xdr:colOff>
      <xdr:row>31</xdr:row>
      <xdr:rowOff>26297</xdr:rowOff>
    </xdr:from>
    <xdr:to>
      <xdr:col>3</xdr:col>
      <xdr:colOff>752476</xdr:colOff>
      <xdr:row>32</xdr:row>
      <xdr:rowOff>3107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114154DE-6EE3-4B06-8E4E-25CC2C9BF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9496426" y="43441247"/>
          <a:ext cx="495300" cy="136746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104776</xdr:colOff>
      <xdr:row>32</xdr:row>
      <xdr:rowOff>38100</xdr:rowOff>
    </xdr:from>
    <xdr:to>
      <xdr:col>3</xdr:col>
      <xdr:colOff>866776</xdr:colOff>
      <xdr:row>32</xdr:row>
      <xdr:rowOff>1351085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A2AF117-24EA-4E39-901D-A301415D6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9344026" y="44843700"/>
          <a:ext cx="762000" cy="1312985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142875</xdr:colOff>
      <xdr:row>33</xdr:row>
      <xdr:rowOff>19050</xdr:rowOff>
    </xdr:from>
    <xdr:to>
      <xdr:col>3</xdr:col>
      <xdr:colOff>921938</xdr:colOff>
      <xdr:row>33</xdr:row>
      <xdr:rowOff>1365186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52E9B9A0-D57A-4FA8-A369-CCEFA9107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9382125" y="46215300"/>
          <a:ext cx="779063" cy="1346136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34</xdr:row>
      <xdr:rowOff>123825</xdr:rowOff>
    </xdr:from>
    <xdr:to>
      <xdr:col>3</xdr:col>
      <xdr:colOff>1381311</xdr:colOff>
      <xdr:row>34</xdr:row>
      <xdr:rowOff>1333669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D42CE690-99E2-4BA2-B38F-19F789CB4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9286875" y="47710725"/>
          <a:ext cx="1333686" cy="1209844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35</xdr:row>
      <xdr:rowOff>28575</xdr:rowOff>
    </xdr:from>
    <xdr:to>
      <xdr:col>3</xdr:col>
      <xdr:colOff>1076463</xdr:colOff>
      <xdr:row>36</xdr:row>
      <xdr:rowOff>189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32C171CC-006F-4EA6-BB0B-8547E1AD0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9324975" y="49006125"/>
          <a:ext cx="990738" cy="1352739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36</xdr:row>
      <xdr:rowOff>104775</xdr:rowOff>
    </xdr:from>
    <xdr:to>
      <xdr:col>3</xdr:col>
      <xdr:colOff>1019304</xdr:colOff>
      <xdr:row>36</xdr:row>
      <xdr:rowOff>1324145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CD896F95-92DF-43D7-9DBC-7BFFB5CDB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9334500" y="50472975"/>
          <a:ext cx="924054" cy="121937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37</xdr:row>
      <xdr:rowOff>85725</xdr:rowOff>
    </xdr:from>
    <xdr:to>
      <xdr:col>3</xdr:col>
      <xdr:colOff>952620</xdr:colOff>
      <xdr:row>37</xdr:row>
      <xdr:rowOff>1305095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A4E56F26-B009-44A6-A0DB-3804730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9334500" y="51844575"/>
          <a:ext cx="857370" cy="121937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38</xdr:row>
      <xdr:rowOff>38100</xdr:rowOff>
    </xdr:from>
    <xdr:to>
      <xdr:col>3</xdr:col>
      <xdr:colOff>1085994</xdr:colOff>
      <xdr:row>38</xdr:row>
      <xdr:rowOff>1362260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1894786F-1B77-4131-9AAA-B1005BC24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9296400" y="53187600"/>
          <a:ext cx="1028844" cy="1324160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39</xdr:row>
      <xdr:rowOff>105209</xdr:rowOff>
    </xdr:from>
    <xdr:to>
      <xdr:col>3</xdr:col>
      <xdr:colOff>762000</xdr:colOff>
      <xdr:row>39</xdr:row>
      <xdr:rowOff>1267018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438EF799-F3CC-4481-9937-A8737A751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9372600" y="54645359"/>
          <a:ext cx="628650" cy="1161809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40</xdr:row>
      <xdr:rowOff>76200</xdr:rowOff>
    </xdr:from>
    <xdr:to>
      <xdr:col>3</xdr:col>
      <xdr:colOff>1000251</xdr:colOff>
      <xdr:row>41</xdr:row>
      <xdr:rowOff>183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085193D1-B977-44AF-B207-E16584724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9334500" y="56007000"/>
          <a:ext cx="905001" cy="1314633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41</xdr:row>
      <xdr:rowOff>76200</xdr:rowOff>
    </xdr:from>
    <xdr:to>
      <xdr:col>3</xdr:col>
      <xdr:colOff>904996</xdr:colOff>
      <xdr:row>41</xdr:row>
      <xdr:rowOff>1314623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3889C603-D94C-455F-8710-1C7C9FD9E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9277350" y="57397650"/>
          <a:ext cx="866896" cy="1238423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42</xdr:row>
      <xdr:rowOff>114300</xdr:rowOff>
    </xdr:from>
    <xdr:to>
      <xdr:col>3</xdr:col>
      <xdr:colOff>866888</xdr:colOff>
      <xdr:row>43</xdr:row>
      <xdr:rowOff>177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31C51682-6238-4EFB-B9FD-0F63DECF1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9296400" y="58826400"/>
          <a:ext cx="809738" cy="1267002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43</xdr:row>
      <xdr:rowOff>85725</xdr:rowOff>
    </xdr:from>
    <xdr:to>
      <xdr:col>3</xdr:col>
      <xdr:colOff>962145</xdr:colOff>
      <xdr:row>43</xdr:row>
      <xdr:rowOff>1305095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5F58EEB1-4864-4DF5-9942-9C7C4A574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9344025" y="60188475"/>
          <a:ext cx="857370" cy="1219370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44</xdr:row>
      <xdr:rowOff>104775</xdr:rowOff>
    </xdr:from>
    <xdr:to>
      <xdr:col>3</xdr:col>
      <xdr:colOff>1009768</xdr:colOff>
      <xdr:row>44</xdr:row>
      <xdr:rowOff>1333671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549E4E64-5BBF-452C-8D3C-166CEC87D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9401175" y="61598175"/>
          <a:ext cx="847843" cy="1228896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45</xdr:row>
      <xdr:rowOff>57150</xdr:rowOff>
    </xdr:from>
    <xdr:to>
      <xdr:col>3</xdr:col>
      <xdr:colOff>1085968</xdr:colOff>
      <xdr:row>45</xdr:row>
      <xdr:rowOff>1333678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CCC6C9BE-51D7-4C22-BACD-ADB56B990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9477375" y="62941200"/>
          <a:ext cx="847843" cy="1276528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46</xdr:row>
      <xdr:rowOff>123825</xdr:rowOff>
    </xdr:from>
    <xdr:to>
      <xdr:col>3</xdr:col>
      <xdr:colOff>1238414</xdr:colOff>
      <xdr:row>46</xdr:row>
      <xdr:rowOff>1295564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681856B6-B1A7-4E6C-BA0B-6042EF94A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9305925" y="64398525"/>
          <a:ext cx="1171739" cy="1171739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47</xdr:row>
      <xdr:rowOff>238125</xdr:rowOff>
    </xdr:from>
    <xdr:to>
      <xdr:col>3</xdr:col>
      <xdr:colOff>1114566</xdr:colOff>
      <xdr:row>47</xdr:row>
      <xdr:rowOff>1276495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296DA7C0-B6AE-4E84-8FB1-67CF514DF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9344025" y="65903475"/>
          <a:ext cx="1009791" cy="103837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48</xdr:row>
      <xdr:rowOff>66675</xdr:rowOff>
    </xdr:from>
    <xdr:to>
      <xdr:col>3</xdr:col>
      <xdr:colOff>1195153</xdr:colOff>
      <xdr:row>48</xdr:row>
      <xdr:rowOff>1143000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661F9A27-059D-4377-B3F2-BBB80F275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9315450" y="67122675"/>
          <a:ext cx="1118953" cy="1076325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49</xdr:row>
      <xdr:rowOff>114300</xdr:rowOff>
    </xdr:from>
    <xdr:to>
      <xdr:col>3</xdr:col>
      <xdr:colOff>828768</xdr:colOff>
      <xdr:row>49</xdr:row>
      <xdr:rowOff>1295565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BCA45639-D4E5-41CF-BAD5-CF887128D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9401175" y="68560950"/>
          <a:ext cx="666843" cy="1181265"/>
        </a:xfrm>
        <a:prstGeom prst="rect">
          <a:avLst/>
        </a:prstGeom>
      </xdr:spPr>
    </xdr:pic>
    <xdr:clientData/>
  </xdr:twoCellAnchor>
  <xdr:twoCellAnchor editAs="oneCell">
    <xdr:from>
      <xdr:col>3</xdr:col>
      <xdr:colOff>364332</xdr:colOff>
      <xdr:row>60</xdr:row>
      <xdr:rowOff>102393</xdr:rowOff>
    </xdr:from>
    <xdr:to>
      <xdr:col>3</xdr:col>
      <xdr:colOff>1440656</xdr:colOff>
      <xdr:row>60</xdr:row>
      <xdr:rowOff>1150143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F392F5-DF67-9D06-518C-C27A0E88425F}"/>
            </a:ext>
            <a:ext uri="{147F2762-F138-4A5C-976F-8EAC2B608ADB}">
              <a16:predDERef xmlns:a16="http://schemas.microsoft.com/office/drawing/2014/main" pred="{BCA45639-D4E5-41CF-BAD5-CF887128D2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"/>
        <a:srcRect r="45146"/>
        <a:stretch/>
      </xdr:blipFill>
      <xdr:spPr>
        <a:xfrm>
          <a:off x="6400801" y="74540268"/>
          <a:ext cx="1076324" cy="1047750"/>
        </a:xfrm>
        <a:prstGeom prst="rect">
          <a:avLst/>
        </a:prstGeom>
      </xdr:spPr>
    </xdr:pic>
    <xdr:clientData/>
  </xdr:twoCellAnchor>
  <xdr:twoCellAnchor editAs="oneCell">
    <xdr:from>
      <xdr:col>3</xdr:col>
      <xdr:colOff>450055</xdr:colOff>
      <xdr:row>17</xdr:row>
      <xdr:rowOff>73636</xdr:rowOff>
    </xdr:from>
    <xdr:to>
      <xdr:col>3</xdr:col>
      <xdr:colOff>1297564</xdr:colOff>
      <xdr:row>17</xdr:row>
      <xdr:rowOff>797265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5C2A506-7D7C-4838-B070-EB4A16843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486524" y="22195449"/>
          <a:ext cx="847509" cy="723629"/>
        </a:xfrm>
        <a:prstGeom prst="rect">
          <a:avLst/>
        </a:prstGeom>
      </xdr:spPr>
    </xdr:pic>
    <xdr:clientData/>
  </xdr:twoCellAnchor>
  <xdr:twoCellAnchor editAs="oneCell">
    <xdr:from>
      <xdr:col>3</xdr:col>
      <xdr:colOff>511969</xdr:colOff>
      <xdr:row>18</xdr:row>
      <xdr:rowOff>71438</xdr:rowOff>
    </xdr:from>
    <xdr:to>
      <xdr:col>3</xdr:col>
      <xdr:colOff>1359478</xdr:colOff>
      <xdr:row>18</xdr:row>
      <xdr:rowOff>795067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5FFBB502-0E87-4760-BA80-1F49AB944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548438" y="23074313"/>
          <a:ext cx="847509" cy="723629"/>
        </a:xfrm>
        <a:prstGeom prst="rect">
          <a:avLst/>
        </a:prstGeom>
      </xdr:spPr>
    </xdr:pic>
    <xdr:clientData/>
  </xdr:twoCellAnchor>
  <xdr:twoCellAnchor editAs="oneCell">
    <xdr:from>
      <xdr:col>3</xdr:col>
      <xdr:colOff>249781</xdr:colOff>
      <xdr:row>21</xdr:row>
      <xdr:rowOff>35718</xdr:rowOff>
    </xdr:from>
    <xdr:to>
      <xdr:col>3</xdr:col>
      <xdr:colOff>1173954</xdr:colOff>
      <xdr:row>21</xdr:row>
      <xdr:rowOff>961509</xdr:rowOff>
    </xdr:to>
    <xdr:pic>
      <xdr:nvPicPr>
        <xdr:cNvPr id="28" name="Imagen 27" descr="Pie de cría Lombriz californiana -">
          <a:extLst>
            <a:ext uri="{FF2B5EF4-FFF2-40B4-BE49-F238E27FC236}">
              <a16:creationId xmlns:a16="http://schemas.microsoft.com/office/drawing/2014/main" id="{1309FA06-00B9-7870-C3A3-357419575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250" y="33313687"/>
          <a:ext cx="924173" cy="925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304800</xdr:colOff>
      <xdr:row>61</xdr:row>
      <xdr:rowOff>304800</xdr:rowOff>
    </xdr:to>
    <xdr:sp macro="" textlink="">
      <xdr:nvSpPr>
        <xdr:cNvPr id="1029" name="AutoShape 5" descr="TABLA CHAPA ORDINARIO 30 CMS X 2,5 CMS GRUESO X 3 METROS – Grupobell">
          <a:extLst>
            <a:ext uri="{FF2B5EF4-FFF2-40B4-BE49-F238E27FC236}">
              <a16:creationId xmlns:a16="http://schemas.microsoft.com/office/drawing/2014/main" id="{53D6A9C2-C777-A3C8-92D1-1FD2557A0AC8}"/>
            </a:ext>
          </a:extLst>
        </xdr:cNvPr>
        <xdr:cNvSpPr>
          <a:spLocks noChangeAspect="1" noChangeArrowheads="1"/>
        </xdr:cNvSpPr>
      </xdr:nvSpPr>
      <xdr:spPr bwMode="auto">
        <a:xfrm>
          <a:off x="6038850" y="7570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304800</xdr:colOff>
      <xdr:row>61</xdr:row>
      <xdr:rowOff>304800</xdr:rowOff>
    </xdr:to>
    <xdr:sp macro="" textlink="">
      <xdr:nvSpPr>
        <xdr:cNvPr id="1030" name="AutoShape 6" descr="TABLA CHAPA ORDINARIO 30 CMS X 2,5 CMS GRUESO X 3 METROS – Grupobell">
          <a:extLst>
            <a:ext uri="{FF2B5EF4-FFF2-40B4-BE49-F238E27FC236}">
              <a16:creationId xmlns:a16="http://schemas.microsoft.com/office/drawing/2014/main" id="{2CB3749D-ACE1-7913-D1CE-67BB935C873B}"/>
            </a:ext>
          </a:extLst>
        </xdr:cNvPr>
        <xdr:cNvSpPr>
          <a:spLocks noChangeAspect="1" noChangeArrowheads="1"/>
        </xdr:cNvSpPr>
      </xdr:nvSpPr>
      <xdr:spPr bwMode="auto">
        <a:xfrm>
          <a:off x="6038850" y="7570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272143</xdr:colOff>
      <xdr:row>61</xdr:row>
      <xdr:rowOff>86268</xdr:rowOff>
    </xdr:from>
    <xdr:to>
      <xdr:col>3</xdr:col>
      <xdr:colOff>1443717</xdr:colOff>
      <xdr:row>61</xdr:row>
      <xdr:rowOff>1264444</xdr:rowOff>
    </xdr:to>
    <xdr:pic>
      <xdr:nvPicPr>
        <xdr:cNvPr id="65" name="Imagen 64" descr="Estacas de Madera 50cm. Paquete 50 Unidades. - Amasuin">
          <a:extLst>
            <a:ext uri="{FF2B5EF4-FFF2-40B4-BE49-F238E27FC236}">
              <a16:creationId xmlns:a16="http://schemas.microsoft.com/office/drawing/2014/main" id="{5BE3F601-FB40-1AF0-83E3-EFA239E0F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6286" y="62828804"/>
          <a:ext cx="1171574" cy="1178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-47625</xdr:colOff>
      <xdr:row>10</xdr:row>
      <xdr:rowOff>638175</xdr:rowOff>
    </xdr:from>
    <xdr:to>
      <xdr:col>0</xdr:col>
      <xdr:colOff>-47625</xdr:colOff>
      <xdr:row>10</xdr:row>
      <xdr:rowOff>638175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20FE4139-FD59-402D-9635-AB6978E1F5D1}"/>
            </a:ext>
            <a:ext uri="{147F2762-F138-4A5C-976F-8EAC2B608ADB}">
              <a16:predDERef xmlns:a16="http://schemas.microsoft.com/office/drawing/2014/main" pred="{5BE3F601-FB40-1AF0-83E3-EFA239E0F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rcRect l="18500" t="32300" r="49220" b="24663"/>
        <a:stretch>
          <a:fillRect/>
        </a:stretch>
      </xdr:blipFill>
      <xdr:spPr>
        <a:xfrm>
          <a:off x="-47625" y="1012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3</xdr:col>
      <xdr:colOff>267199</xdr:colOff>
      <xdr:row>63</xdr:row>
      <xdr:rowOff>166698</xdr:rowOff>
    </xdr:from>
    <xdr:to>
      <xdr:col>3</xdr:col>
      <xdr:colOff>1757361</xdr:colOff>
      <xdr:row>63</xdr:row>
      <xdr:rowOff>1012032</xdr:rowOff>
    </xdr:to>
    <xdr:pic>
      <xdr:nvPicPr>
        <xdr:cNvPr id="69" name="Imagen 68" descr="Alambre Dulce 5mts">
          <a:extLst>
            <a:ext uri="{FF2B5EF4-FFF2-40B4-BE49-F238E27FC236}">
              <a16:creationId xmlns:a16="http://schemas.microsoft.com/office/drawing/2014/main" id="{6EC1B4F7-DF1B-88C2-52BB-CCD2B07B565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27" t="25998" b="25749"/>
        <a:stretch/>
      </xdr:blipFill>
      <xdr:spPr bwMode="auto">
        <a:xfrm>
          <a:off x="6303668" y="79795698"/>
          <a:ext cx="1490162" cy="845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269659</xdr:colOff>
      <xdr:row>51</xdr:row>
      <xdr:rowOff>83342</xdr:rowOff>
    </xdr:from>
    <xdr:to>
      <xdr:col>3</xdr:col>
      <xdr:colOff>1519236</xdr:colOff>
      <xdr:row>57</xdr:row>
      <xdr:rowOff>190498</xdr:rowOff>
    </xdr:to>
    <xdr:pic>
      <xdr:nvPicPr>
        <xdr:cNvPr id="71" name="Imagen 70" descr="SEMILLAS HORTALIZAS X 5 SOBRES">
          <a:extLst>
            <a:ext uri="{FF2B5EF4-FFF2-40B4-BE49-F238E27FC236}">
              <a16:creationId xmlns:a16="http://schemas.microsoft.com/office/drawing/2014/main" id="{CE660877-3951-C8E4-95B9-94D649AEF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6128" y="59162155"/>
          <a:ext cx="1249577" cy="1250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grolex.com.co/producto/deshojadora/" TargetMode="External"/><Relationship Id="rId2" Type="http://schemas.openxmlformats.org/officeDocument/2006/relationships/hyperlink" Target="https://www.mercadolibre.com.ar/estaca-madera--semi-dura-gruesas-eucalipto-5x5-x100cm-x5-un/up/MLAU3012508186" TargetMode="External"/><Relationship Id="rId1" Type="http://schemas.openxmlformats.org/officeDocument/2006/relationships/hyperlink" Target="https://www.homecenter.com.co/homecenter-co/product/291758/malla-cedazo-120x3mt-huecos-3x3-pulg/291758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compreloadomicilio.com/co/producto/articulos-de-construccion/alambre-dulce-x-kilo-249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FABC7-51CB-423F-BA77-0D449B18285E}">
  <dimension ref="A1:K71"/>
  <sheetViews>
    <sheetView tabSelected="1" topLeftCell="B1" zoomScale="70" zoomScaleNormal="70" workbookViewId="0">
      <pane ySplit="1" topLeftCell="A41" activePane="bottomLeft" state="frozen"/>
      <selection activeCell="B1" sqref="B1"/>
      <selection pane="bottomLeft" activeCell="F36" sqref="F36"/>
    </sheetView>
  </sheetViews>
  <sheetFormatPr baseColWidth="10" defaultColWidth="11.44140625" defaultRowHeight="14.4" x14ac:dyDescent="0.3"/>
  <cols>
    <col min="1" max="1" width="8.6640625" style="1" customWidth="1"/>
    <col min="2" max="2" width="39.5546875" style="1" customWidth="1"/>
    <col min="3" max="3" width="24.33203125" style="1" customWidth="1"/>
    <col min="4" max="4" width="28.5546875" style="1" customWidth="1"/>
    <col min="5" max="5" width="23.109375" style="31" customWidth="1"/>
    <col min="6" max="6" width="24.88671875" style="31" customWidth="1"/>
    <col min="7" max="7" width="25.44140625" style="19" customWidth="1"/>
    <col min="8" max="8" width="23.109375" style="19" customWidth="1"/>
    <col min="9" max="9" width="28.5546875" style="1" customWidth="1"/>
  </cols>
  <sheetData>
    <row r="1" spans="1:11" ht="95.25" customHeight="1" x14ac:dyDescent="0.3">
      <c r="B1" s="2" t="s">
        <v>0</v>
      </c>
      <c r="C1" s="34" t="s">
        <v>1</v>
      </c>
      <c r="D1" s="2" t="s">
        <v>2</v>
      </c>
      <c r="E1" s="14" t="s">
        <v>3</v>
      </c>
      <c r="F1" s="14" t="s">
        <v>4</v>
      </c>
      <c r="G1" s="14" t="s">
        <v>85</v>
      </c>
      <c r="H1" s="14" t="s">
        <v>84</v>
      </c>
      <c r="I1" s="2" t="s">
        <v>5</v>
      </c>
    </row>
    <row r="2" spans="1:11" ht="75" customHeight="1" x14ac:dyDescent="0.3">
      <c r="A2" s="2">
        <v>1</v>
      </c>
      <c r="B2" s="3" t="s">
        <v>6</v>
      </c>
      <c r="C2" s="3" t="s">
        <v>7</v>
      </c>
      <c r="D2" s="8"/>
      <c r="E2" s="29">
        <f>25300*1.0516</f>
        <v>26605.480000000003</v>
      </c>
      <c r="F2" s="15">
        <f>26775*1.0516</f>
        <v>28156.590000000004</v>
      </c>
      <c r="G2" s="15"/>
      <c r="H2" s="15"/>
      <c r="I2" s="20">
        <f>AVERAGE(E2:H2)</f>
        <v>27381.035000000003</v>
      </c>
      <c r="K2">
        <f>+E2*1.19</f>
        <v>31660.521200000003</v>
      </c>
    </row>
    <row r="3" spans="1:11" ht="102.75" customHeight="1" x14ac:dyDescent="0.3">
      <c r="A3" s="2">
        <v>2</v>
      </c>
      <c r="B3" s="3" t="s">
        <v>8</v>
      </c>
      <c r="C3" s="3" t="s">
        <v>9</v>
      </c>
      <c r="D3" s="8"/>
      <c r="E3" s="29">
        <f>12000*1.0516</f>
        <v>12619.2</v>
      </c>
      <c r="F3" s="15">
        <f>14280*1.0516</f>
        <v>15016.848000000002</v>
      </c>
      <c r="G3" s="15"/>
      <c r="H3" s="15"/>
      <c r="I3" s="20">
        <f t="shared" ref="I3:I63" si="0">AVERAGE(E3:H3)</f>
        <v>13818.024000000001</v>
      </c>
    </row>
    <row r="4" spans="1:11" ht="93" customHeight="1" x14ac:dyDescent="0.3">
      <c r="A4" s="2">
        <v>3</v>
      </c>
      <c r="B4" s="3" t="s">
        <v>10</v>
      </c>
      <c r="C4" s="3" t="s">
        <v>9</v>
      </c>
      <c r="D4" s="8"/>
      <c r="E4" s="29">
        <f>7500*1.0516</f>
        <v>7887.0000000000009</v>
      </c>
      <c r="F4" s="15">
        <f>9520*1.0516</f>
        <v>10011.232</v>
      </c>
      <c r="G4" s="15"/>
      <c r="H4" s="15"/>
      <c r="I4" s="20">
        <f t="shared" si="0"/>
        <v>8949.116</v>
      </c>
    </row>
    <row r="5" spans="1:11" ht="47.25" customHeight="1" x14ac:dyDescent="0.3">
      <c r="A5" s="2">
        <v>4</v>
      </c>
      <c r="B5" s="4" t="s">
        <v>11</v>
      </c>
      <c r="C5" s="3" t="s">
        <v>7</v>
      </c>
      <c r="D5" s="8"/>
      <c r="E5" s="29">
        <f>85000*1.0516</f>
        <v>89386.000000000015</v>
      </c>
      <c r="F5" s="15">
        <f>71400*1.0516</f>
        <v>75084.240000000005</v>
      </c>
      <c r="G5" s="15"/>
      <c r="H5" s="15"/>
      <c r="I5" s="20">
        <f t="shared" si="0"/>
        <v>82235.12000000001</v>
      </c>
    </row>
    <row r="6" spans="1:11" ht="62.25" customHeight="1" x14ac:dyDescent="0.3">
      <c r="A6" s="2">
        <v>5</v>
      </c>
      <c r="B6" s="5" t="s">
        <v>12</v>
      </c>
      <c r="C6" s="3" t="s">
        <v>7</v>
      </c>
      <c r="D6" s="9"/>
      <c r="E6" s="16">
        <f>45000*1.0516</f>
        <v>47322.000000000007</v>
      </c>
      <c r="F6" s="16">
        <f>33600*1.0516</f>
        <v>35333.760000000002</v>
      </c>
      <c r="G6" s="16"/>
      <c r="H6" s="16"/>
      <c r="I6" s="20">
        <f t="shared" si="0"/>
        <v>41327.880000000005</v>
      </c>
    </row>
    <row r="7" spans="1:11" ht="79.5" customHeight="1" x14ac:dyDescent="0.3">
      <c r="A7" s="2">
        <v>6</v>
      </c>
      <c r="B7" s="5" t="s">
        <v>13</v>
      </c>
      <c r="C7" s="3" t="s">
        <v>7</v>
      </c>
      <c r="D7" s="9"/>
      <c r="E7" s="16">
        <f>115000*1.0516</f>
        <v>120934.00000000001</v>
      </c>
      <c r="F7" s="16">
        <f>81900*1.0516</f>
        <v>86126.040000000008</v>
      </c>
      <c r="G7" s="16"/>
      <c r="H7" s="16"/>
      <c r="I7" s="20">
        <f t="shared" si="0"/>
        <v>103530.02000000002</v>
      </c>
    </row>
    <row r="8" spans="1:11" ht="60.75" customHeight="1" x14ac:dyDescent="0.3">
      <c r="A8" s="2">
        <v>7</v>
      </c>
      <c r="B8" s="5" t="s">
        <v>14</v>
      </c>
      <c r="C8" s="3" t="s">
        <v>7</v>
      </c>
      <c r="D8" s="9"/>
      <c r="E8" s="16">
        <f>52000*1.0516</f>
        <v>54683.200000000004</v>
      </c>
      <c r="F8" s="16">
        <f>48300*1.0516</f>
        <v>50792.280000000006</v>
      </c>
      <c r="G8" s="16"/>
      <c r="H8" s="16"/>
      <c r="I8" s="20">
        <f t="shared" si="0"/>
        <v>52737.740000000005</v>
      </c>
    </row>
    <row r="9" spans="1:11" ht="67.5" customHeight="1" x14ac:dyDescent="0.3">
      <c r="A9" s="2">
        <v>8</v>
      </c>
      <c r="B9" s="5" t="s">
        <v>15</v>
      </c>
      <c r="C9" s="3" t="s">
        <v>7</v>
      </c>
      <c r="D9" s="9"/>
      <c r="E9" s="16">
        <f>20700*1.0516</f>
        <v>21768.120000000003</v>
      </c>
      <c r="F9" s="16">
        <f>23625*1.0516</f>
        <v>24844.050000000003</v>
      </c>
      <c r="G9" s="16"/>
      <c r="H9" s="16"/>
      <c r="I9" s="20">
        <f t="shared" si="0"/>
        <v>23306.085000000003</v>
      </c>
    </row>
    <row r="10" spans="1:11" ht="63.75" customHeight="1" x14ac:dyDescent="0.3">
      <c r="A10" s="2">
        <v>9</v>
      </c>
      <c r="B10" s="5" t="s">
        <v>16</v>
      </c>
      <c r="C10" s="3" t="s">
        <v>7</v>
      </c>
      <c r="D10" s="9"/>
      <c r="E10" s="16">
        <f>5000*1.0516</f>
        <v>5258</v>
      </c>
      <c r="F10" s="16">
        <f>6000*1.0516</f>
        <v>6309.6</v>
      </c>
      <c r="G10" s="16"/>
      <c r="H10" s="16"/>
      <c r="I10" s="20">
        <f t="shared" si="0"/>
        <v>5783.8</v>
      </c>
    </row>
    <row r="11" spans="1:11" ht="84.75" customHeight="1" x14ac:dyDescent="0.3">
      <c r="A11" s="2">
        <v>10</v>
      </c>
      <c r="B11" s="3" t="s">
        <v>17</v>
      </c>
      <c r="C11" s="3" t="s">
        <v>7</v>
      </c>
      <c r="D11" s="8"/>
      <c r="E11" s="15">
        <f>45000*1.0516</f>
        <v>47322.000000000007</v>
      </c>
      <c r="F11" s="15">
        <f>40425*1.0516</f>
        <v>42510.93</v>
      </c>
      <c r="G11" s="15"/>
      <c r="H11" s="15"/>
      <c r="I11" s="20">
        <f t="shared" si="0"/>
        <v>44916.465000000004</v>
      </c>
    </row>
    <row r="12" spans="1:11" ht="75.75" customHeight="1" x14ac:dyDescent="0.3">
      <c r="A12" s="2">
        <v>11</v>
      </c>
      <c r="B12" s="5" t="s">
        <v>18</v>
      </c>
      <c r="C12" s="3" t="s">
        <v>7</v>
      </c>
      <c r="D12" s="9"/>
      <c r="E12" s="16">
        <f>9400*1.0516</f>
        <v>9885.0400000000009</v>
      </c>
      <c r="F12" s="26">
        <f>10710*1.0516</f>
        <v>11262.636</v>
      </c>
      <c r="G12" s="26"/>
      <c r="H12" s="26"/>
      <c r="I12" s="20">
        <f t="shared" si="0"/>
        <v>10573.838</v>
      </c>
    </row>
    <row r="13" spans="1:11" ht="96" customHeight="1" x14ac:dyDescent="0.3">
      <c r="A13" s="2">
        <v>12</v>
      </c>
      <c r="B13" s="5" t="s">
        <v>19</v>
      </c>
      <c r="C13" s="3" t="s">
        <v>7</v>
      </c>
      <c r="D13" s="9"/>
      <c r="E13" s="16">
        <f>25000*1.0516</f>
        <v>26290.000000000004</v>
      </c>
      <c r="F13" s="16">
        <f>29400*1.0516</f>
        <v>30917.040000000001</v>
      </c>
      <c r="G13" s="16"/>
      <c r="H13" s="16"/>
      <c r="I13" s="20">
        <f t="shared" si="0"/>
        <v>28603.520000000004</v>
      </c>
    </row>
    <row r="14" spans="1:11" ht="72" customHeight="1" x14ac:dyDescent="0.3">
      <c r="A14" s="2">
        <v>13</v>
      </c>
      <c r="B14" s="5" t="s">
        <v>20</v>
      </c>
      <c r="C14" s="3" t="s">
        <v>7</v>
      </c>
      <c r="D14" s="9"/>
      <c r="E14" s="27">
        <f>110000*1.0516</f>
        <v>115676.00000000001</v>
      </c>
      <c r="F14" s="16">
        <f>126000*1.0516</f>
        <v>132501.6</v>
      </c>
      <c r="G14" s="16"/>
      <c r="H14" s="16"/>
      <c r="I14" s="20">
        <f t="shared" si="0"/>
        <v>124088.80000000002</v>
      </c>
    </row>
    <row r="15" spans="1:11" ht="96.75" customHeight="1" x14ac:dyDescent="0.3">
      <c r="A15" s="2">
        <v>14</v>
      </c>
      <c r="B15" s="3" t="s">
        <v>21</v>
      </c>
      <c r="C15" s="3" t="s">
        <v>22</v>
      </c>
      <c r="D15" s="8"/>
      <c r="E15" s="15">
        <f>10000*1.0516</f>
        <v>10516</v>
      </c>
      <c r="F15" s="15">
        <f>12000*1.0516</f>
        <v>12619.2</v>
      </c>
      <c r="G15" s="15"/>
      <c r="H15" s="15"/>
      <c r="I15" s="20">
        <f t="shared" si="0"/>
        <v>11567.6</v>
      </c>
    </row>
    <row r="16" spans="1:11" ht="69.75" customHeight="1" x14ac:dyDescent="0.3">
      <c r="A16" s="2">
        <v>15</v>
      </c>
      <c r="B16" s="3" t="s">
        <v>23</v>
      </c>
      <c r="C16" s="3" t="s">
        <v>7</v>
      </c>
      <c r="D16" s="8"/>
      <c r="E16" s="15">
        <f>20000*1.0516</f>
        <v>21032</v>
      </c>
      <c r="F16" s="15">
        <f>18900*1.0516</f>
        <v>19875.240000000002</v>
      </c>
      <c r="G16" s="15"/>
      <c r="H16" s="15"/>
      <c r="I16" s="20">
        <f t="shared" si="0"/>
        <v>20453.620000000003</v>
      </c>
    </row>
    <row r="17" spans="1:9" ht="82.5" customHeight="1" x14ac:dyDescent="0.3">
      <c r="A17" s="2">
        <v>16</v>
      </c>
      <c r="B17" s="3" t="s">
        <v>24</v>
      </c>
      <c r="C17" s="3" t="s">
        <v>7</v>
      </c>
      <c r="D17" s="8"/>
      <c r="E17" s="15">
        <f>36000*1.0516</f>
        <v>37857.600000000006</v>
      </c>
      <c r="F17" s="43">
        <f>26180*1.0516</f>
        <v>27530.888000000003</v>
      </c>
      <c r="G17" s="23"/>
      <c r="H17" s="23"/>
      <c r="I17" s="20">
        <f t="shared" si="0"/>
        <v>32694.244000000006</v>
      </c>
    </row>
    <row r="18" spans="1:9" ht="69.75" customHeight="1" x14ac:dyDescent="0.3">
      <c r="A18" s="2">
        <v>17</v>
      </c>
      <c r="B18" s="6" t="s">
        <v>25</v>
      </c>
      <c r="C18" s="3" t="s">
        <v>26</v>
      </c>
      <c r="D18" s="8"/>
      <c r="E18" s="15">
        <f>11000*1.0516</f>
        <v>11567.6</v>
      </c>
      <c r="F18" s="15">
        <f>10000*1.0516</f>
        <v>10516</v>
      </c>
      <c r="G18" s="15"/>
      <c r="H18" s="15"/>
      <c r="I18" s="20">
        <f t="shared" si="0"/>
        <v>11041.8</v>
      </c>
    </row>
    <row r="19" spans="1:9" ht="70.5" customHeight="1" x14ac:dyDescent="0.3">
      <c r="A19" s="2">
        <v>18</v>
      </c>
      <c r="B19" s="6" t="s">
        <v>27</v>
      </c>
      <c r="C19" s="3" t="s">
        <v>26</v>
      </c>
      <c r="D19" s="8"/>
      <c r="E19" s="15">
        <f>11500*1.0516</f>
        <v>12093.400000000001</v>
      </c>
      <c r="F19" s="15">
        <f>13800*1.0516</f>
        <v>14512.080000000002</v>
      </c>
      <c r="G19" s="15"/>
      <c r="H19" s="15"/>
      <c r="I19" s="20">
        <f t="shared" si="0"/>
        <v>13302.740000000002</v>
      </c>
    </row>
    <row r="20" spans="1:9" ht="95.25" customHeight="1" x14ac:dyDescent="0.3">
      <c r="A20" s="2">
        <v>19</v>
      </c>
      <c r="B20" s="3" t="s">
        <v>28</v>
      </c>
      <c r="C20" s="7" t="s">
        <v>29</v>
      </c>
      <c r="D20" s="10"/>
      <c r="E20" s="24">
        <f>32000*1.0516</f>
        <v>33651.200000000004</v>
      </c>
      <c r="F20" s="17">
        <f>28560*1.0516</f>
        <v>30033.696000000004</v>
      </c>
      <c r="G20" s="17"/>
      <c r="H20" s="17"/>
      <c r="I20" s="20">
        <f t="shared" si="0"/>
        <v>31842.448000000004</v>
      </c>
    </row>
    <row r="21" spans="1:9" ht="88.5" customHeight="1" x14ac:dyDescent="0.3">
      <c r="A21" s="2">
        <v>20</v>
      </c>
      <c r="B21" s="3" t="s">
        <v>30</v>
      </c>
      <c r="C21" s="3" t="s">
        <v>31</v>
      </c>
      <c r="D21" s="8"/>
      <c r="E21" s="15">
        <f>110000*1.0516</f>
        <v>115676.00000000001</v>
      </c>
      <c r="F21" s="15">
        <f>119000*1.0516</f>
        <v>125140.40000000001</v>
      </c>
      <c r="G21" s="15"/>
      <c r="H21" s="15"/>
      <c r="I21" s="20">
        <f t="shared" si="0"/>
        <v>120408.20000000001</v>
      </c>
    </row>
    <row r="22" spans="1:9" ht="81" customHeight="1" x14ac:dyDescent="0.3">
      <c r="A22" s="2">
        <v>21</v>
      </c>
      <c r="B22" s="3" t="s">
        <v>32</v>
      </c>
      <c r="C22" s="3" t="s">
        <v>33</v>
      </c>
      <c r="D22"/>
      <c r="E22" s="24">
        <f>26000*1.0516</f>
        <v>27341.600000000002</v>
      </c>
      <c r="F22" s="24">
        <f>29155*1.0516</f>
        <v>30659.398000000001</v>
      </c>
      <c r="G22" s="24"/>
      <c r="H22" s="25"/>
      <c r="I22" s="20">
        <f t="shared" si="0"/>
        <v>29000.499000000003</v>
      </c>
    </row>
    <row r="23" spans="1:9" ht="71.25" customHeight="1" x14ac:dyDescent="0.3">
      <c r="A23" s="2">
        <v>22</v>
      </c>
      <c r="B23" s="3" t="s">
        <v>34</v>
      </c>
      <c r="C23" s="3" t="s">
        <v>7</v>
      </c>
      <c r="D23" s="9"/>
      <c r="E23" s="16">
        <f>5100*1.0516</f>
        <v>5363.1600000000008</v>
      </c>
      <c r="F23" s="16">
        <f>5000*1.0516</f>
        <v>5258</v>
      </c>
      <c r="G23" s="16"/>
      <c r="H23" s="16"/>
      <c r="I23" s="20">
        <f t="shared" si="0"/>
        <v>5310.58</v>
      </c>
    </row>
    <row r="24" spans="1:9" ht="63" customHeight="1" x14ac:dyDescent="0.3">
      <c r="A24" s="2">
        <v>23</v>
      </c>
      <c r="B24" s="3" t="s">
        <v>35</v>
      </c>
      <c r="C24" s="3" t="s">
        <v>36</v>
      </c>
      <c r="D24" s="8"/>
      <c r="E24" s="15">
        <f>10000*1.0516</f>
        <v>10516</v>
      </c>
      <c r="F24" s="15">
        <f>2000*1.0516</f>
        <v>2103.2000000000003</v>
      </c>
      <c r="G24" s="15"/>
      <c r="H24" s="15"/>
      <c r="I24" s="20">
        <f t="shared" si="0"/>
        <v>6309.6</v>
      </c>
    </row>
    <row r="25" spans="1:9" ht="110.25" customHeight="1" x14ac:dyDescent="0.3">
      <c r="A25" s="2">
        <v>24</v>
      </c>
      <c r="B25" s="3" t="s">
        <v>37</v>
      </c>
      <c r="C25" s="3" t="s">
        <v>7</v>
      </c>
      <c r="D25" s="8"/>
      <c r="E25" s="15">
        <f>7500*1.0516</f>
        <v>7887.0000000000009</v>
      </c>
      <c r="F25" s="15">
        <f>8900*1.0516</f>
        <v>9359.2400000000016</v>
      </c>
      <c r="G25" s="15"/>
      <c r="H25" s="15"/>
      <c r="I25" s="20">
        <f t="shared" si="0"/>
        <v>8623.1200000000008</v>
      </c>
    </row>
    <row r="26" spans="1:9" ht="110.25" customHeight="1" x14ac:dyDescent="0.3">
      <c r="A26" s="2">
        <v>25</v>
      </c>
      <c r="B26" s="3" t="s">
        <v>38</v>
      </c>
      <c r="C26" s="3" t="s">
        <v>7</v>
      </c>
      <c r="D26" s="8"/>
      <c r="E26" s="15">
        <f>7500*1.0516</f>
        <v>7887.0000000000009</v>
      </c>
      <c r="F26" s="15">
        <f>8900*1.0516</f>
        <v>9359.2400000000016</v>
      </c>
      <c r="G26" s="15"/>
      <c r="H26" s="15"/>
      <c r="I26" s="20">
        <f t="shared" si="0"/>
        <v>8623.1200000000008</v>
      </c>
    </row>
    <row r="27" spans="1:9" ht="110.25" customHeight="1" x14ac:dyDescent="0.3">
      <c r="A27" s="2">
        <v>26</v>
      </c>
      <c r="B27" s="3" t="s">
        <v>39</v>
      </c>
      <c r="C27" s="3" t="s">
        <v>7</v>
      </c>
      <c r="D27" s="8"/>
      <c r="E27" s="15">
        <f>10000*1.0516</f>
        <v>10516</v>
      </c>
      <c r="F27" s="15">
        <f>7000*1.0516</f>
        <v>7361.2000000000007</v>
      </c>
      <c r="G27" s="15"/>
      <c r="H27" s="15"/>
      <c r="I27" s="20">
        <f t="shared" si="0"/>
        <v>8938.6</v>
      </c>
    </row>
    <row r="28" spans="1:9" ht="110.25" customHeight="1" x14ac:dyDescent="0.3">
      <c r="A28" s="2">
        <v>27</v>
      </c>
      <c r="B28" s="3" t="s">
        <v>40</v>
      </c>
      <c r="C28" s="3" t="s">
        <v>7</v>
      </c>
      <c r="D28" s="8"/>
      <c r="E28" s="15">
        <f>9000*1.0516</f>
        <v>9464.4000000000015</v>
      </c>
      <c r="F28" s="15">
        <f>3000*1.0516</f>
        <v>3154.8</v>
      </c>
      <c r="G28" s="15"/>
      <c r="H28" s="15"/>
      <c r="I28" s="20">
        <f t="shared" si="0"/>
        <v>6309.6</v>
      </c>
    </row>
    <row r="29" spans="1:9" ht="110.1" customHeight="1" x14ac:dyDescent="0.3">
      <c r="A29" s="2">
        <v>28</v>
      </c>
      <c r="B29" s="3" t="s">
        <v>41</v>
      </c>
      <c r="C29" s="3" t="s">
        <v>7</v>
      </c>
      <c r="D29" s="8"/>
      <c r="E29" s="15">
        <f>9000*1.0516</f>
        <v>9464.4000000000015</v>
      </c>
      <c r="F29" s="15">
        <f>3000*1.0516</f>
        <v>3154.8</v>
      </c>
      <c r="G29" s="15"/>
      <c r="H29" s="15"/>
      <c r="I29" s="20">
        <f t="shared" si="0"/>
        <v>6309.6</v>
      </c>
    </row>
    <row r="30" spans="1:9" ht="110.1" customHeight="1" x14ac:dyDescent="0.3">
      <c r="A30" s="2">
        <v>29</v>
      </c>
      <c r="B30" s="3" t="s">
        <v>42</v>
      </c>
      <c r="C30" s="3" t="s">
        <v>7</v>
      </c>
      <c r="D30" s="8"/>
      <c r="E30" s="15">
        <f>11000*1.0516</f>
        <v>11567.6</v>
      </c>
      <c r="F30" s="15">
        <f>10000*1.0516</f>
        <v>10516</v>
      </c>
      <c r="G30" s="15"/>
      <c r="H30" s="15"/>
      <c r="I30" s="20">
        <f t="shared" si="0"/>
        <v>11041.8</v>
      </c>
    </row>
    <row r="31" spans="1:9" ht="110.1" customHeight="1" x14ac:dyDescent="0.3">
      <c r="A31" s="2">
        <v>30</v>
      </c>
      <c r="B31" s="3" t="s">
        <v>43</v>
      </c>
      <c r="C31" s="3" t="s">
        <v>7</v>
      </c>
      <c r="D31" s="9"/>
      <c r="E31" s="16">
        <f>15000*1.0516</f>
        <v>15774.000000000002</v>
      </c>
      <c r="F31" s="16">
        <f>10000*1.0516</f>
        <v>10516</v>
      </c>
      <c r="G31" s="16"/>
      <c r="H31" s="16"/>
      <c r="I31" s="20">
        <f t="shared" si="0"/>
        <v>13145</v>
      </c>
    </row>
    <row r="32" spans="1:9" ht="110.1" customHeight="1" x14ac:dyDescent="0.3">
      <c r="A32" s="2">
        <v>31</v>
      </c>
      <c r="B32" s="3" t="s">
        <v>44</v>
      </c>
      <c r="C32" s="3" t="s">
        <v>7</v>
      </c>
      <c r="D32" s="8"/>
      <c r="E32" s="15">
        <f>9500*1.0516</f>
        <v>9990.2000000000007</v>
      </c>
      <c r="F32" s="15">
        <f>3000*1.0516</f>
        <v>3154.8</v>
      </c>
      <c r="G32" s="15"/>
      <c r="H32" s="15"/>
      <c r="I32" s="20">
        <f t="shared" si="0"/>
        <v>6572.5</v>
      </c>
    </row>
    <row r="33" spans="1:9" ht="110.1" customHeight="1" x14ac:dyDescent="0.3">
      <c r="A33" s="2">
        <v>32</v>
      </c>
      <c r="B33" s="3" t="s">
        <v>45</v>
      </c>
      <c r="C33" s="3" t="s">
        <v>7</v>
      </c>
      <c r="D33" s="8"/>
      <c r="E33" s="15">
        <f>7900*1.0516</f>
        <v>8307.6400000000012</v>
      </c>
      <c r="F33" s="15">
        <f>3000*1.0516</f>
        <v>3154.8</v>
      </c>
      <c r="G33" s="15"/>
      <c r="H33" s="15"/>
      <c r="I33" s="20">
        <f t="shared" si="0"/>
        <v>5731.2200000000012</v>
      </c>
    </row>
    <row r="34" spans="1:9" ht="110.1" customHeight="1" x14ac:dyDescent="0.3">
      <c r="A34" s="2">
        <v>33</v>
      </c>
      <c r="B34" s="3" t="s">
        <v>46</v>
      </c>
      <c r="C34" s="3" t="s">
        <v>7</v>
      </c>
      <c r="D34" s="8"/>
      <c r="E34" s="15">
        <f>8000*1.0516</f>
        <v>8412.8000000000011</v>
      </c>
      <c r="F34" s="15">
        <f>3000*1.0516</f>
        <v>3154.8</v>
      </c>
      <c r="G34" s="15"/>
      <c r="H34" s="15"/>
      <c r="I34" s="20">
        <f t="shared" si="0"/>
        <v>5783.8000000000011</v>
      </c>
    </row>
    <row r="35" spans="1:9" ht="110.1" customHeight="1" x14ac:dyDescent="0.3">
      <c r="A35" s="2">
        <v>34</v>
      </c>
      <c r="B35" s="3" t="s">
        <v>47</v>
      </c>
      <c r="C35" s="3" t="s">
        <v>7</v>
      </c>
      <c r="D35" s="8"/>
      <c r="E35" s="15">
        <f>10000*1.0516</f>
        <v>10516</v>
      </c>
      <c r="F35" s="15">
        <f>3000*1.0516</f>
        <v>3154.8</v>
      </c>
      <c r="G35" s="15"/>
      <c r="H35" s="15"/>
      <c r="I35" s="20">
        <f t="shared" si="0"/>
        <v>6835.4</v>
      </c>
    </row>
    <row r="36" spans="1:9" ht="110.1" customHeight="1" x14ac:dyDescent="0.3">
      <c r="A36" s="2">
        <v>35</v>
      </c>
      <c r="B36" s="3" t="s">
        <v>48</v>
      </c>
      <c r="C36" s="3" t="s">
        <v>7</v>
      </c>
      <c r="D36" s="8"/>
      <c r="E36" s="15">
        <f>8700*1.0516</f>
        <v>9148.92</v>
      </c>
      <c r="F36" s="43">
        <f>2500*1.0516</f>
        <v>2629</v>
      </c>
      <c r="G36" s="15"/>
      <c r="H36" s="15"/>
      <c r="I36" s="20">
        <f t="shared" si="0"/>
        <v>5888.96</v>
      </c>
    </row>
    <row r="37" spans="1:9" ht="110.1" customHeight="1" x14ac:dyDescent="0.3">
      <c r="A37" s="2">
        <v>36</v>
      </c>
      <c r="B37" s="3" t="s">
        <v>49</v>
      </c>
      <c r="C37" s="3" t="s">
        <v>7</v>
      </c>
      <c r="D37" s="8"/>
      <c r="E37" s="15">
        <f>8000*1.0516</f>
        <v>8412.8000000000011</v>
      </c>
      <c r="F37" s="15">
        <f>1500*1.0516</f>
        <v>1577.4</v>
      </c>
      <c r="G37" s="15"/>
      <c r="H37" s="15"/>
      <c r="I37" s="20">
        <f t="shared" si="0"/>
        <v>4995.1000000000004</v>
      </c>
    </row>
    <row r="38" spans="1:9" ht="110.1" customHeight="1" x14ac:dyDescent="0.3">
      <c r="A38" s="2">
        <v>37</v>
      </c>
      <c r="B38" s="3" t="s">
        <v>50</v>
      </c>
      <c r="C38" s="3" t="s">
        <v>7</v>
      </c>
      <c r="D38" s="8"/>
      <c r="E38" s="15">
        <f>8000*1.0516</f>
        <v>8412.8000000000011</v>
      </c>
      <c r="F38" s="15">
        <f>1500*1.0516</f>
        <v>1577.4</v>
      </c>
      <c r="G38" s="15"/>
      <c r="H38" s="15"/>
      <c r="I38" s="20">
        <f t="shared" si="0"/>
        <v>4995.1000000000004</v>
      </c>
    </row>
    <row r="39" spans="1:9" ht="110.1" customHeight="1" x14ac:dyDescent="0.3">
      <c r="A39" s="2">
        <v>38</v>
      </c>
      <c r="B39" s="3" t="s">
        <v>51</v>
      </c>
      <c r="C39" s="3" t="s">
        <v>7</v>
      </c>
      <c r="D39" s="8"/>
      <c r="E39" s="15">
        <f>9500*1.0516</f>
        <v>9990.2000000000007</v>
      </c>
      <c r="F39" s="15">
        <f>2500*1.0516</f>
        <v>2629</v>
      </c>
      <c r="G39" s="15"/>
      <c r="H39" s="15"/>
      <c r="I39" s="20">
        <f t="shared" si="0"/>
        <v>6309.6</v>
      </c>
    </row>
    <row r="40" spans="1:9" ht="110.1" customHeight="1" x14ac:dyDescent="0.3">
      <c r="A40" s="2">
        <v>39</v>
      </c>
      <c r="B40" s="3" t="s">
        <v>52</v>
      </c>
      <c r="C40" s="3" t="s">
        <v>7</v>
      </c>
      <c r="D40" s="8"/>
      <c r="E40" s="15">
        <f>8000*1.0516</f>
        <v>8412.8000000000011</v>
      </c>
      <c r="F40" s="15">
        <f>1500*1.0516</f>
        <v>1577.4</v>
      </c>
      <c r="G40" s="15"/>
      <c r="H40" s="15"/>
      <c r="I40" s="20">
        <f t="shared" si="0"/>
        <v>4995.1000000000004</v>
      </c>
    </row>
    <row r="41" spans="1:9" ht="110.1" customHeight="1" x14ac:dyDescent="0.3">
      <c r="A41" s="2">
        <v>40</v>
      </c>
      <c r="B41" s="3" t="s">
        <v>53</v>
      </c>
      <c r="C41" s="3" t="s">
        <v>7</v>
      </c>
      <c r="D41" s="8"/>
      <c r="E41" s="15">
        <f>12000*1.0516</f>
        <v>12619.2</v>
      </c>
      <c r="F41" s="15">
        <f>1500*1.0516</f>
        <v>1577.4</v>
      </c>
      <c r="G41" s="15"/>
      <c r="H41" s="15"/>
      <c r="I41" s="20">
        <f t="shared" si="0"/>
        <v>7098.3</v>
      </c>
    </row>
    <row r="42" spans="1:9" ht="110.1" customHeight="1" x14ac:dyDescent="0.3">
      <c r="A42" s="2">
        <v>41</v>
      </c>
      <c r="B42" s="3" t="s">
        <v>54</v>
      </c>
      <c r="C42" s="3" t="s">
        <v>7</v>
      </c>
      <c r="D42" s="8"/>
      <c r="E42" s="15">
        <f>9000*1.0516</f>
        <v>9464.4000000000015</v>
      </c>
      <c r="F42" s="15">
        <f>8500*1.0516</f>
        <v>8938.6</v>
      </c>
      <c r="G42" s="15"/>
      <c r="H42" s="15"/>
      <c r="I42" s="20">
        <f t="shared" si="0"/>
        <v>9201.5</v>
      </c>
    </row>
    <row r="43" spans="1:9" ht="110.1" customHeight="1" x14ac:dyDescent="0.3">
      <c r="A43" s="2">
        <v>42</v>
      </c>
      <c r="B43" s="3" t="s">
        <v>55</v>
      </c>
      <c r="C43" s="3" t="s">
        <v>7</v>
      </c>
      <c r="D43" s="8"/>
      <c r="E43" s="15">
        <f>9600*1.0516</f>
        <v>10095.36</v>
      </c>
      <c r="F43" s="15">
        <f>8500*1.0516</f>
        <v>8938.6</v>
      </c>
      <c r="G43" s="15"/>
      <c r="H43" s="15"/>
      <c r="I43" s="20">
        <f t="shared" si="0"/>
        <v>9516.98</v>
      </c>
    </row>
    <row r="44" spans="1:9" ht="110.1" customHeight="1" x14ac:dyDescent="0.3">
      <c r="A44" s="2">
        <v>43</v>
      </c>
      <c r="B44" s="3" t="s">
        <v>56</v>
      </c>
      <c r="C44" s="3" t="s">
        <v>7</v>
      </c>
      <c r="D44" s="8"/>
      <c r="E44" s="15">
        <f>9600*1.0516</f>
        <v>10095.36</v>
      </c>
      <c r="F44" s="15">
        <f>8500*1.0516</f>
        <v>8938.6</v>
      </c>
      <c r="G44" s="15"/>
      <c r="H44" s="15"/>
      <c r="I44" s="20">
        <f t="shared" si="0"/>
        <v>9516.98</v>
      </c>
    </row>
    <row r="45" spans="1:9" ht="110.1" customHeight="1" x14ac:dyDescent="0.3">
      <c r="A45" s="2">
        <v>44</v>
      </c>
      <c r="B45" s="3" t="s">
        <v>57</v>
      </c>
      <c r="C45" s="3" t="s">
        <v>7</v>
      </c>
      <c r="D45" s="8"/>
      <c r="E45" s="30">
        <f>6000*1.0516</f>
        <v>6309.6</v>
      </c>
      <c r="F45" s="15">
        <f>9000*1.0516</f>
        <v>9464.4000000000015</v>
      </c>
      <c r="G45" s="15"/>
      <c r="H45" s="15"/>
      <c r="I45" s="20">
        <f t="shared" si="0"/>
        <v>7887.0000000000009</v>
      </c>
    </row>
    <row r="46" spans="1:9" ht="110.1" customHeight="1" x14ac:dyDescent="0.3">
      <c r="A46" s="2">
        <v>45</v>
      </c>
      <c r="B46" s="3" t="s">
        <v>58</v>
      </c>
      <c r="C46" s="3" t="s">
        <v>7</v>
      </c>
      <c r="D46" s="8"/>
      <c r="E46" s="30">
        <f>8000*1.0516</f>
        <v>8412.8000000000011</v>
      </c>
      <c r="F46" s="15">
        <f>8500*1.0516</f>
        <v>8938.6</v>
      </c>
      <c r="G46" s="15"/>
      <c r="H46" s="15"/>
      <c r="I46" s="20">
        <f t="shared" si="0"/>
        <v>8675.7000000000007</v>
      </c>
    </row>
    <row r="47" spans="1:9" ht="110.1" customHeight="1" x14ac:dyDescent="0.3">
      <c r="A47" s="2">
        <v>46</v>
      </c>
      <c r="B47" s="3" t="s">
        <v>59</v>
      </c>
      <c r="C47" s="3" t="s">
        <v>7</v>
      </c>
      <c r="D47" s="8"/>
      <c r="E47" s="30">
        <f>9300*1.0516</f>
        <v>9779.880000000001</v>
      </c>
      <c r="F47" s="15">
        <f>5000*1.0516</f>
        <v>5258</v>
      </c>
      <c r="G47" s="15"/>
      <c r="H47" s="15"/>
      <c r="I47" s="20">
        <f t="shared" si="0"/>
        <v>7518.9400000000005</v>
      </c>
    </row>
    <row r="48" spans="1:9" ht="110.1" customHeight="1" x14ac:dyDescent="0.3">
      <c r="A48" s="2">
        <v>47</v>
      </c>
      <c r="B48" s="3" t="s">
        <v>60</v>
      </c>
      <c r="C48" s="3" t="s">
        <v>7</v>
      </c>
      <c r="D48" s="8"/>
      <c r="E48" s="30">
        <f>10000*1.0516</f>
        <v>10516</v>
      </c>
      <c r="F48" s="15">
        <f>8500*1.0516</f>
        <v>8938.6</v>
      </c>
      <c r="G48" s="15"/>
      <c r="H48" s="15"/>
      <c r="I48" s="20">
        <f t="shared" si="0"/>
        <v>9727.2999999999993</v>
      </c>
    </row>
    <row r="49" spans="1:9" ht="110.1" customHeight="1" x14ac:dyDescent="0.3">
      <c r="A49" s="2">
        <v>48</v>
      </c>
      <c r="B49" s="3" t="s">
        <v>61</v>
      </c>
      <c r="C49" s="3" t="s">
        <v>7</v>
      </c>
      <c r="D49" s="8"/>
      <c r="E49" s="30">
        <f>8000*1.0516</f>
        <v>8412.8000000000011</v>
      </c>
      <c r="F49" s="15">
        <f>8500*1.0516</f>
        <v>8938.6</v>
      </c>
      <c r="G49" s="15"/>
      <c r="H49" s="15"/>
      <c r="I49" s="20">
        <f t="shared" si="0"/>
        <v>8675.7000000000007</v>
      </c>
    </row>
    <row r="50" spans="1:9" ht="110.1" customHeight="1" x14ac:dyDescent="0.3">
      <c r="A50" s="2">
        <v>49</v>
      </c>
      <c r="B50" s="3" t="s">
        <v>62</v>
      </c>
      <c r="C50" s="3" t="s">
        <v>7</v>
      </c>
      <c r="D50" s="8"/>
      <c r="E50" s="29">
        <f>8000*1.0516</f>
        <v>8412.8000000000011</v>
      </c>
      <c r="F50" s="15">
        <f>8500*1.0516</f>
        <v>8938.6</v>
      </c>
      <c r="G50" s="15"/>
      <c r="H50" s="15"/>
      <c r="I50" s="20">
        <f t="shared" si="0"/>
        <v>8675.7000000000007</v>
      </c>
    </row>
    <row r="51" spans="1:9" ht="30" customHeight="1" x14ac:dyDescent="0.3">
      <c r="A51" s="2">
        <v>50</v>
      </c>
      <c r="B51" s="11" t="s">
        <v>63</v>
      </c>
      <c r="C51" s="3" t="s">
        <v>64</v>
      </c>
      <c r="D51" s="37"/>
      <c r="E51" s="29">
        <f>6700*1.0516</f>
        <v>7045.72</v>
      </c>
      <c r="F51" s="15">
        <f>3500*1.0516</f>
        <v>3680.6000000000004</v>
      </c>
      <c r="G51" s="15"/>
      <c r="H51" s="15"/>
      <c r="I51" s="20">
        <f t="shared" si="0"/>
        <v>5363.16</v>
      </c>
    </row>
    <row r="52" spans="1:9" ht="15" customHeight="1" x14ac:dyDescent="0.3">
      <c r="A52" s="2">
        <v>51</v>
      </c>
      <c r="B52" s="11" t="s">
        <v>65</v>
      </c>
      <c r="C52" s="3" t="s">
        <v>64</v>
      </c>
      <c r="D52" s="38"/>
      <c r="E52" s="29">
        <f>7000*1.0516</f>
        <v>7361.2000000000007</v>
      </c>
      <c r="F52" s="15">
        <f>8500*1.0516</f>
        <v>8938.6</v>
      </c>
      <c r="G52" s="15"/>
      <c r="H52" s="15"/>
      <c r="I52" s="20">
        <f t="shared" si="0"/>
        <v>8149.9000000000005</v>
      </c>
    </row>
    <row r="53" spans="1:9" ht="15" customHeight="1" x14ac:dyDescent="0.3">
      <c r="A53" s="2">
        <v>52</v>
      </c>
      <c r="B53" s="13" t="s">
        <v>66</v>
      </c>
      <c r="C53" s="3" t="s">
        <v>64</v>
      </c>
      <c r="D53" s="38"/>
      <c r="E53" s="29">
        <f>2000*1.0516</f>
        <v>2103.2000000000003</v>
      </c>
      <c r="F53" s="15">
        <f>3000*1.0516</f>
        <v>3154.8</v>
      </c>
      <c r="G53" s="15"/>
      <c r="H53" s="15"/>
      <c r="I53" s="20">
        <f t="shared" si="0"/>
        <v>2629</v>
      </c>
    </row>
    <row r="54" spans="1:9" ht="15" customHeight="1" x14ac:dyDescent="0.3">
      <c r="A54" s="2">
        <v>53</v>
      </c>
      <c r="B54" s="13" t="s">
        <v>67</v>
      </c>
      <c r="C54" s="3" t="s">
        <v>64</v>
      </c>
      <c r="D54" s="38"/>
      <c r="E54" s="29">
        <f>7600*1.0516</f>
        <v>7992.1600000000008</v>
      </c>
      <c r="F54" s="15">
        <f>10000*1.0516</f>
        <v>10516</v>
      </c>
      <c r="G54" s="15"/>
      <c r="H54" s="15"/>
      <c r="I54" s="20">
        <f t="shared" si="0"/>
        <v>9254.08</v>
      </c>
    </row>
    <row r="55" spans="1:9" ht="15" customHeight="1" x14ac:dyDescent="0.3">
      <c r="A55" s="2">
        <v>54</v>
      </c>
      <c r="B55" s="13" t="s">
        <v>68</v>
      </c>
      <c r="C55" s="3" t="s">
        <v>64</v>
      </c>
      <c r="D55" s="38"/>
      <c r="E55" s="29">
        <f>6100*1.0516</f>
        <v>6414.76</v>
      </c>
      <c r="F55" s="15">
        <f>8400*1.0516</f>
        <v>8833.44</v>
      </c>
      <c r="G55" s="15"/>
      <c r="H55" s="15"/>
      <c r="I55" s="20">
        <f t="shared" si="0"/>
        <v>7624.1</v>
      </c>
    </row>
    <row r="56" spans="1:9" ht="15" customHeight="1" x14ac:dyDescent="0.3">
      <c r="A56" s="2">
        <v>55</v>
      </c>
      <c r="B56" s="13" t="s">
        <v>69</v>
      </c>
      <c r="C56" s="3" t="s">
        <v>64</v>
      </c>
      <c r="D56" s="38"/>
      <c r="E56" s="29">
        <f>6100*1.0516</f>
        <v>6414.76</v>
      </c>
      <c r="F56" s="15">
        <f>5500*1.0516</f>
        <v>5783.8</v>
      </c>
      <c r="G56" s="15"/>
      <c r="H56" s="15"/>
      <c r="I56" s="20">
        <f t="shared" si="0"/>
        <v>6099.2800000000007</v>
      </c>
    </row>
    <row r="57" spans="1:9" ht="15" customHeight="1" x14ac:dyDescent="0.3">
      <c r="A57" s="2">
        <v>56</v>
      </c>
      <c r="B57" s="13" t="s">
        <v>70</v>
      </c>
      <c r="C57" s="3" t="s">
        <v>64</v>
      </c>
      <c r="D57" s="38"/>
      <c r="E57" s="29">
        <f>4000*1.0516</f>
        <v>4206.4000000000005</v>
      </c>
      <c r="F57" s="15">
        <f>5000*1.0516</f>
        <v>5258</v>
      </c>
      <c r="G57" s="15"/>
      <c r="H57" s="15"/>
      <c r="I57" s="20">
        <f t="shared" si="0"/>
        <v>4732.2000000000007</v>
      </c>
    </row>
    <row r="58" spans="1:9" ht="30.75" customHeight="1" x14ac:dyDescent="0.3">
      <c r="A58" s="2">
        <v>57</v>
      </c>
      <c r="B58" s="13" t="s">
        <v>71</v>
      </c>
      <c r="C58" s="3" t="s">
        <v>64</v>
      </c>
      <c r="D58" s="38"/>
      <c r="E58" s="29">
        <f>8900*1.0516</f>
        <v>9359.2400000000016</v>
      </c>
      <c r="F58" s="15">
        <f>3200*1.0516</f>
        <v>3365.1200000000003</v>
      </c>
      <c r="G58" s="15"/>
      <c r="H58" s="15"/>
      <c r="I58" s="20">
        <f t="shared" si="0"/>
        <v>6362.1800000000012</v>
      </c>
    </row>
    <row r="59" spans="1:9" ht="15" customHeight="1" x14ac:dyDescent="0.3">
      <c r="A59" s="2">
        <v>58</v>
      </c>
      <c r="B59" s="11" t="s">
        <v>72</v>
      </c>
      <c r="C59" s="3" t="s">
        <v>64</v>
      </c>
      <c r="D59" s="38"/>
      <c r="E59" s="29">
        <f>3100*1.0516</f>
        <v>3259.9600000000005</v>
      </c>
      <c r="F59" s="15">
        <f>5000*1.0516</f>
        <v>5258</v>
      </c>
      <c r="G59" s="15"/>
      <c r="H59" s="15"/>
      <c r="I59" s="20">
        <f t="shared" si="0"/>
        <v>4258.9800000000005</v>
      </c>
    </row>
    <row r="60" spans="1:9" ht="19.5" customHeight="1" x14ac:dyDescent="0.3">
      <c r="A60" s="2">
        <v>59</v>
      </c>
      <c r="B60" s="11" t="s">
        <v>73</v>
      </c>
      <c r="C60" s="3" t="s">
        <v>64</v>
      </c>
      <c r="D60" s="39"/>
      <c r="E60" s="29">
        <f>2500*1.0516</f>
        <v>2629</v>
      </c>
      <c r="F60" s="15">
        <f>2400*1.0516</f>
        <v>2523.84</v>
      </c>
      <c r="G60" s="15"/>
      <c r="H60" s="15"/>
      <c r="I60" s="20">
        <f t="shared" si="0"/>
        <v>2576.42</v>
      </c>
    </row>
    <row r="61" spans="1:9" ht="102" customHeight="1" x14ac:dyDescent="0.3">
      <c r="A61" s="2">
        <v>60</v>
      </c>
      <c r="B61" s="3" t="s">
        <v>74</v>
      </c>
      <c r="C61" s="3" t="s">
        <v>7</v>
      </c>
      <c r="D61" s="3"/>
      <c r="E61" s="15"/>
      <c r="F61" s="15">
        <f>53550*1.0516</f>
        <v>56313.180000000008</v>
      </c>
      <c r="G61" s="15">
        <v>35000</v>
      </c>
      <c r="H61" s="35" t="s">
        <v>75</v>
      </c>
      <c r="I61" s="20">
        <f>AVERAGE(E61:H61)</f>
        <v>45656.590000000004</v>
      </c>
    </row>
    <row r="62" spans="1:9" ht="102" customHeight="1" x14ac:dyDescent="0.3">
      <c r="A62" s="2">
        <v>61</v>
      </c>
      <c r="B62" s="3" t="s">
        <v>76</v>
      </c>
      <c r="C62" s="3" t="s">
        <v>7</v>
      </c>
      <c r="D62" s="12"/>
      <c r="E62" s="26"/>
      <c r="F62" s="26">
        <f>17255*1.0516</f>
        <v>18145.358</v>
      </c>
      <c r="G62" s="26">
        <v>17550</v>
      </c>
      <c r="H62" s="36" t="s">
        <v>77</v>
      </c>
      <c r="I62" s="20">
        <f>AVERAGE(E62:H62)</f>
        <v>17847.679</v>
      </c>
    </row>
    <row r="63" spans="1:9" ht="102" customHeight="1" x14ac:dyDescent="0.3">
      <c r="A63" s="2">
        <v>62</v>
      </c>
      <c r="B63" s="3" t="s">
        <v>78</v>
      </c>
      <c r="C63" s="3" t="s">
        <v>79</v>
      </c>
      <c r="D63" s="12"/>
      <c r="E63" s="16"/>
      <c r="F63" s="16">
        <f>819910*1.0516</f>
        <v>862217.35600000003</v>
      </c>
      <c r="G63" s="16">
        <v>669445</v>
      </c>
      <c r="H63" s="35" t="s">
        <v>80</v>
      </c>
      <c r="I63" s="20">
        <f t="shared" si="0"/>
        <v>765831.17800000007</v>
      </c>
    </row>
    <row r="64" spans="1:9" ht="102" customHeight="1" x14ac:dyDescent="0.3">
      <c r="A64" s="2">
        <v>63</v>
      </c>
      <c r="B64" s="3" t="s">
        <v>81</v>
      </c>
      <c r="C64" s="3" t="s">
        <v>79</v>
      </c>
      <c r="D64" s="12"/>
      <c r="E64" s="16"/>
      <c r="F64" s="16">
        <f>28560*1.0516</f>
        <v>30033.696000000004</v>
      </c>
      <c r="G64" s="16">
        <v>12000</v>
      </c>
      <c r="H64" s="35" t="s">
        <v>82</v>
      </c>
      <c r="I64" s="20">
        <f>AVERAGE(E64:H64)</f>
        <v>21016.848000000002</v>
      </c>
    </row>
    <row r="65" spans="1:9" ht="15" customHeight="1" x14ac:dyDescent="0.3">
      <c r="A65" s="40" t="s">
        <v>83</v>
      </c>
      <c r="B65" s="41"/>
      <c r="C65" s="41"/>
      <c r="D65" s="41"/>
      <c r="E65" s="41"/>
      <c r="F65" s="41"/>
      <c r="G65" s="41"/>
      <c r="H65" s="42"/>
      <c r="I65" s="28">
        <f>SUM(I2:I64)</f>
        <v>1958176.0889999999</v>
      </c>
    </row>
    <row r="66" spans="1:9" x14ac:dyDescent="0.3">
      <c r="I66" s="19"/>
    </row>
    <row r="67" spans="1:9" x14ac:dyDescent="0.3">
      <c r="E67" s="32"/>
      <c r="F67" s="32"/>
      <c r="G67" s="1"/>
      <c r="H67" s="1"/>
      <c r="I67" s="21"/>
    </row>
    <row r="68" spans="1:9" x14ac:dyDescent="0.3">
      <c r="I68" s="22"/>
    </row>
    <row r="71" spans="1:9" x14ac:dyDescent="0.3">
      <c r="D71"/>
      <c r="E71" s="33"/>
      <c r="F71" s="33"/>
      <c r="G71" s="18"/>
      <c r="H71" s="18"/>
      <c r="I71"/>
    </row>
  </sheetData>
  <mergeCells count="2">
    <mergeCell ref="D51:D60"/>
    <mergeCell ref="A65:H65"/>
  </mergeCells>
  <hyperlinks>
    <hyperlink ref="H63" r:id="rId1" xr:uid="{38D3CC48-C380-4B5D-9DAE-80B033A77FED}"/>
    <hyperlink ref="H62" r:id="rId2" xr:uid="{72672928-3A1A-4FAA-B864-962261DB7412}"/>
    <hyperlink ref="H61" r:id="rId3" xr:uid="{BD6C0E3A-D488-4A75-9ED8-D05F10750E88}"/>
    <hyperlink ref="H64" r:id="rId4" xr:uid="{29C7A3C4-9ACF-438F-B6D2-720F01E39E8C}"/>
  </hyperlinks>
  <pageMargins left="0.7" right="0.7" top="0.75" bottom="0.75" header="0.3" footer="0.3"/>
  <pageSetup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Marisol Echeverri Diaz</cp:lastModifiedBy>
  <cp:revision/>
  <dcterms:created xsi:type="dcterms:W3CDTF">2022-06-14T20:38:53Z</dcterms:created>
  <dcterms:modified xsi:type="dcterms:W3CDTF">2026-08-18T16:30:54Z</dcterms:modified>
  <cp:category/>
  <cp:contentStatus/>
</cp:coreProperties>
</file>