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arlos Cardenas\Desktop\DABEIBA-URAMITA\DABEIBA 2024-2027\DABEIBA 2026\CONTRATACION\MÍNIMA CUANTÍA\SMC 090 DE 2026 - MATERIALES PLANEACIÓN\"/>
    </mc:Choice>
  </mc:AlternateContent>
  <xr:revisionPtr revIDLastSave="0" documentId="13_ncr:1_{68185DD2-203E-4D57-831B-202C13897F71}" xr6:coauthVersionLast="47" xr6:coauthVersionMax="47" xr10:uidLastSave="{00000000-0000-0000-0000-000000000000}"/>
  <bookViews>
    <workbookView xWindow="-108" yWindow="-108" windowWidth="23256" windowHeight="12456" tabRatio="762" activeTab="8" xr2:uid="{00000000-000D-0000-FFFF-FFFF00000000}"/>
  </bookViews>
  <sheets>
    <sheet name="DATOS INICIALES" sheetId="1" r:id="rId1"/>
    <sheet name="PAGA" sheetId="13" state="hidden" r:id="rId2"/>
    <sheet name="PMT" sheetId="24" state="hidden" r:id="rId3"/>
    <sheet name="PAPSO " sheetId="21" state="hidden" r:id="rId4"/>
    <sheet name="INTERVENTORIA" sheetId="14" state="hidden" r:id="rId5"/>
    <sheet name="FM INTERVENTORIA" sheetId="15" state="hidden" r:id="rId6"/>
    <sheet name="POLIZAS INTERVENTORIA" sheetId="17" state="hidden" r:id="rId7"/>
    <sheet name="PAPSO INTERVENTORIA" sheetId="16" state="hidden" r:id="rId8"/>
    <sheet name="SUMINISTRO DE MATERIALES " sheetId="25" r:id="rId9"/>
  </sheets>
  <externalReferences>
    <externalReference r:id="rId10"/>
    <externalReference r:id="rId11"/>
    <externalReference r:id="rId12"/>
    <externalReference r:id="rId13"/>
    <externalReference r:id="rId14"/>
    <externalReference r:id="rId15"/>
    <externalReference r:id="rId16"/>
  </externalReferences>
  <definedNames>
    <definedName name="_________key2" hidden="1">[1]INST!#REF!</definedName>
    <definedName name="________key2" hidden="1">[2]INST!#REF!</definedName>
    <definedName name="________key3" hidden="1">#REF!</definedName>
    <definedName name="____R" localSheetId="3"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key2" hidden="1">[2]INST!#REF!</definedName>
    <definedName name="___key3" hidden="1">#REF!</definedName>
    <definedName name="___key31" hidden="1">#REF!</definedName>
    <definedName name="___R" localSheetId="3"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hidden="1">#REF!</definedName>
    <definedName name="__123Graph_B" hidden="1">#REF!</definedName>
    <definedName name="__key2" hidden="1">[3]INST!#REF!</definedName>
    <definedName name="__key21" hidden="1">[2]INST!#REF!</definedName>
    <definedName name="__key3" hidden="1">#REF!</definedName>
    <definedName name="__key31" hidden="1">#REF!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localSheetId="3"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hidden="1">{#N/A,#N/A,TRUE,"1842CWN0"}</definedName>
    <definedName name="_abc2" localSheetId="3" hidden="1">{#N/A,#N/A,TRUE,"1842CWN0"}</definedName>
    <definedName name="_abc2" hidden="1">{#N/A,#N/A,TRUE,"1842CWN0"}</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Dist_Bin" hidden="1">[4]MPC3I4!$A$2040:$DD$3161</definedName>
    <definedName name="_Dist_Values" hidden="1">[4]MPC3I4!$2552:$3906</definedName>
    <definedName name="_Fill" hidden="1">#REF!</definedName>
    <definedName name="_Fill1" hidden="1">#REF!</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localSheetId="3" hidden="1">{#N/A,#N/A,TRUE,"1842CWN0"}</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[5]INST!#REF!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rse_Out" hidden="1">'[6]7422CW00'!#REF!</definedName>
    <definedName name="_r" hidden="1">#REF!</definedName>
    <definedName name="_r4r" localSheetId="3" hidden="1">{"via1",#N/A,TRUE,"general";"via2",#N/A,TRUE,"general";"via3",#N/A,TRUE,"general"}</definedName>
    <definedName name="_r4r" hidden="1">{"via1",#N/A,TRUE,"general";"via2",#N/A,TRUE,"general";"via3",#N/A,TRUE,"general"}</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ort" hidden="1">#REF!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fv4" localSheetId="3" hidden="1">{"via1",#N/A,TRUE,"general";"via2",#N/A,TRUE,"general";"via3",#N/A,TRUE,"general"}</definedName>
    <definedName name="_vfv4" hidden="1">{"via1",#N/A,TRUE,"general";"via2",#N/A,TRUE,"general";"via3",#N/A,TRUE,"general"}</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a" localSheetId="3" hidden="1">{#N/A,#N/A,FALSE,"Aging Summary";#N/A,#N/A,FALSE,"Ratio Analysis";#N/A,#N/A,FALSE,"Test 120 Day Accts";#N/A,#N/A,FALSE,"Tickmarks"}</definedName>
    <definedName name="aaa" hidden="1">{#N/A,#N/A,FALSE,"Aging Summary";#N/A,#N/A,FALSE,"Ratio Analysis";#N/A,#N/A,FALSE,"Test 120 Day Accts";#N/A,#N/A,FALSE,"Tickmarks"}</definedName>
    <definedName name="aaaa" localSheetId="3"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CD" hidden="1">#REF!</definedName>
    <definedName name="ABCDE" hidden="1">#REF!</definedName>
    <definedName name="AccessDatabase" hidden="1">"C:\C-314\VOLUMENES\volfin4.mdb"</definedName>
    <definedName name="ADFGSDB" localSheetId="3" hidden="1">{"via1",#N/A,TRUE,"general";"via2",#N/A,TRUE,"general";"via3",#N/A,TRUE,"general"}</definedName>
    <definedName name="ADFGSDB" hidden="1">{"via1",#N/A,TRUE,"general";"via2",#N/A,TRUE,"general";"via3",#N/A,TRUE,"general"}</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PU">#REF!</definedName>
    <definedName name="APUAUXILIARES">#REF!</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_xlnm.Print_Area" localSheetId="0">'DATOS INICIALES'!$A$1:$B$37</definedName>
    <definedName name="_xlnm.Print_Area" localSheetId="5">'FM INTERVENTORIA'!$A$1:$H$50</definedName>
    <definedName name="_xlnm.Print_Area" localSheetId="1">PAGA!$A$1:$F$50</definedName>
    <definedName name="_xlnm.Print_Area" localSheetId="3">'PAPSO '!$A$1:$I$25</definedName>
    <definedName name="_xlnm.Print_Area" localSheetId="7">'PAPSO INTERVENTORIA'!$A$1:$H$28</definedName>
    <definedName name="_xlnm.Print_Area" localSheetId="6">'POLIZAS INTERVENTORIA'!$A$1:$G$31</definedName>
    <definedName name="_xlnm.Print_Area" localSheetId="8">'SUMINISTRO DE MATERIALES '!$A$1:$H$26</definedName>
    <definedName name="ARRENDAM1" localSheetId="3"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hidden="1">{#N/A,#N/A,FALSE,"Aging Summary";#N/A,#N/A,FALSE,"Ratio Analysis";#N/A,#N/A,FALSE,"Test 120 Day Accts";#N/A,#N/A,FALSE,"Tickmarks"}</definedName>
    <definedName name="AS2DocOpenMode" hidden="1">"AS2DocumentEdit"</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localSheetId="3" hidden="1">{#N/A,#N/A,TRUE,"INGENIERIA";#N/A,#N/A,TRUE,"COMPRAS";#N/A,#N/A,TRUE,"DIRECCION";#N/A,#N/A,TRUE,"RESUMEN"}</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vfcdx" localSheetId="3" hidden="1">{"via1",#N/A,TRUE,"general";"via2",#N/A,TRUE,"general";"via3",#N/A,TRUE,"general"}</definedName>
    <definedName name="bgvfcdx" hidden="1">{"via1",#N/A,TRUE,"general";"via2",#N/A,TRUE,"general";"via3",#N/A,TRUE,"general"}</definedName>
    <definedName name="BLPH1" hidden="1">#REF!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BWorkbookPriority" hidden="1">-1602700874</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dcdc" localSheetId="3" hidden="1">{"via1",#N/A,TRUE,"general";"via2",#N/A,TRUE,"general";"via3",#N/A,TRUE,"general"}</definedName>
    <definedName name="cdcdc" hidden="1">{"via1",#N/A,TRUE,"general";"via2",#N/A,TRUE,"general";"via3",#N/A,TRUE,"general"}</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ntro" localSheetId="3"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jsa" hidden="1">#REF!</definedName>
    <definedName name="CODIGOEQUIPOS">#REF!</definedName>
    <definedName name="CODIGOMATERIALES">#REF!</definedName>
    <definedName name="CÓDIGOS_EQUIPOS">'[7]INSUMOS EQUIPOS'!$A$8:$A$105</definedName>
    <definedName name="CÓDIGOS_MANO_DE_OBRA">'[7]INSUMOS MANO DE OBRA'!$A$8:$A$63</definedName>
    <definedName name="CODIGOSMANODEOBRA">#REF!</definedName>
    <definedName name="CODIGOSSERVICIOS">#REF!</definedName>
    <definedName name="CODIGOTRANSPORTES">#REF!</definedName>
    <definedName name="_xlnm.Criteria" localSheetId="3"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t" localSheetId="3"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UNET" localSheetId="3" hidden="1">{"via1",#N/A,TRUE,"general";"via2",#N/A,TRUE,"general";"via3",#N/A,TRUE,"general"}</definedName>
    <definedName name="CUNET" hidden="1">{"via1",#N/A,TRUE,"general";"via2",#N/A,TRUE,"general";"via3",#N/A,TRUE,"general"}</definedName>
    <definedName name="cvbcvbf" localSheetId="3" hidden="1">{#N/A,#N/A,TRUE,"INGENIERIA";#N/A,#N/A,TRUE,"COMPRAS";#N/A,#N/A,TRUE,"DIRECCION";#N/A,#N/A,TRUE,"RESUMEN"}</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{"PYGT",#N/A,FALSE,"PYG";"ACTIT",#N/A,FALSE,"BCE_GRAL-ACTIVO";"PASIT",#N/A,FALSE,"BCE_GRAL-PASIVO-PATRIM";"CAJAT",#N/A,FALSE,"CAJA"}</definedName>
    <definedName name="D" hidden="1">{"PYGT",#N/A,FALSE,"PYG";"ACTIT",#N/A,FALSE,"BCE_GRAL-ACTIVO";"PASIT",#N/A,FALSE,"BCE_GRAL-PASIVO-PATRIM";"CAJAT",#N/A,FALSE,"CAJA"}</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CSDCTV" localSheetId="3" hidden="1">{"via1",#N/A,TRUE,"general";"via2",#N/A,TRUE,"general";"via3",#N/A,TRUE,"general"}</definedName>
    <definedName name="DCSDCTV" hidden="1">{"via1",#N/A,TRUE,"general";"via2",#N/A,TRUE,"general";"via3",#N/A,TRUE,"general"}</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SFRE" localSheetId="3"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STRIBUCION" localSheetId="3"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ry" localSheetId="3" hidden="1">{"via1",#N/A,TRUE,"general";"via2",#N/A,TRUE,"general";"via3",#N/A,TRUE,"general"}</definedName>
    <definedName name="dry" hidden="1">{"via1",#N/A,TRUE,"general";"via2",#N/A,TRUE,"general";"via3",#N/A,TRUE,"general"}</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3e33" localSheetId="3" hidden="1">{"via1",#N/A,TRUE,"general";"via2",#N/A,TRUE,"general";"via3",#N/A,TRUE,"general"}</definedName>
    <definedName name="e3e33" hidden="1">{"via1",#N/A,TRUE,"general";"via2",#N/A,TRUE,"general";"via3",#N/A,TRUE,"general"}</definedName>
    <definedName name="Ebitda" localSheetId="3"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hidden="1">#REF!</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qw" localSheetId="3" hidden="1">{"via1",#N/A,TRUE,"general";"via2",#N/A,TRUE,"general";"via3",#N/A,TRUE,"general"}</definedName>
    <definedName name="eqw" hidden="1">{"via1",#N/A,TRUE,"general";"via2",#N/A,TRUE,"general";"via3",#N/A,TRUE,"general"}</definedName>
    <definedName name="erfg" localSheetId="3" hidden="1">{#N/A,#N/A,FALSE,"Hoja1";#N/A,#N/A,FALSE,"Hoja2"}</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CENARIO" localSheetId="3"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te" localSheetId="3" hidden="1">{"PYGT",#N/A,FALSE,"PYG";"ACTIT",#N/A,FALSE,"BCE_GRAL-ACTIVO";"PASIT",#N/A,FALSE,"BCE_GRAL-PASIVO-PATRIM";"CAJAT",#N/A,FALSE,"CAJA"}</definedName>
    <definedName name="este" hidden="1">{"PYGT",#N/A,FALSE,"PYG";"ACTIT",#N/A,FALSE,"BCE_GRAL-ACTIVO";"PASIT",#N/A,FALSE,"BCE_GRAL-PASIVO-PATRIM";"CAJAT",#N/A,FALSE,"CAJA"}</definedName>
    <definedName name="ESTEWW" localSheetId="3"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3"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URA" localSheetId="3" hidden="1">{#N/A,#N/A,TRUE,"INGENIERIA";#N/A,#N/A,TRUE,"COMPRAS";#N/A,#N/A,TRUE,"DIRECCION";#N/A,#N/A,TRUE,"RESUMEN"}</definedName>
    <definedName name="ESTRUCTURA" hidden="1">{#N/A,#N/A,TRUE,"INGENIERIA";#N/A,#N/A,TRUE,"COMPRAS";#N/A,#N/A,TRUE,"DIRECCION";#N/A,#N/A,TRUE,"RESUMEN"}</definedName>
    <definedName name="etertgg" localSheetId="3" hidden="1">{"via1",#N/A,TRUE,"general";"via2",#N/A,TRUE,"general";"via3",#N/A,TRUE,"general"}</definedName>
    <definedName name="etertgg" hidden="1">{"via1",#N/A,TRUE,"general";"via2",#N/A,TRUE,"general";"via3",#N/A,TRUE,"general"}</definedName>
    <definedName name="etertt" localSheetId="3" hidden="1">{#N/A,#N/A,TRUE,"1842CWN0"}</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FACTORPRESTACIONAL">#REF!</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erfer" localSheetId="3" hidden="1">{"via1",#N/A,TRUE,"general";"via2",#N/A,TRUE,"general";"via3",#N/A,TRUE,"general"}</definedName>
    <definedName name="ferfer" hidden="1">{"via1",#N/A,TRUE,"general";"via2",#N/A,TRUE,"general";"via3",#N/A,TRUE,"general"}</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localSheetId="3" hidden="1">{#N/A,#N/A,TRUE,"1842CWN0"}</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DUCIASOCTUBRE" localSheetId="3" hidden="1">{#N/A,#N/A,FALSE,"Aging Summary";#N/A,#N/A,FALSE,"Ratio Analysis";#N/A,#N/A,FALSE,"Test 120 Day Accts";#N/A,#N/A,FALSE,"Tickmarks"}</definedName>
    <definedName name="FIDUCIASOCTUBRE" hidden="1">{#N/A,#N/A,FALSE,"Aging Summary";#N/A,#N/A,FALSE,"Ratio Analysis";#N/A,#N/A,FALSE,"Test 120 Day Accts";#N/A,#N/A,FALSE,"Tickmarks"}</definedName>
    <definedName name="fill1" hidden="1">#REF!</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EV" localSheetId="3" hidden="1">{"PYGT",#N/A,FALSE,"PYG";"ACTIT",#N/A,FALSE,"BCE_GRAL-ACTIVO";"PASIT",#N/A,FALSE,"BCE_GRAL-PASIVO-PATRIM";"CAJAT",#N/A,FALSE,"CAJA"}</definedName>
    <definedName name="FREV" hidden="1">{"PYGT",#N/A,FALSE,"PYG";"ACTIT",#N/A,FALSE,"BCE_GRAL-ACTIVO";"PASIT",#N/A,FALSE,"BCE_GRAL-PASIVO-PATRIM";"CAJAT",#N/A,FALSE,"CAJA"}</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astos" localSheetId="3"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g" localSheetId="3" hidden="1">{"via1",#N/A,TRUE,"general";"via2",#N/A,TRUE,"general";"via3",#N/A,TRUE,"general"}</definedName>
    <definedName name="geg" hidden="1">{"via1",#N/A,TRUE,"general";"via2",#N/A,TRUE,"general";"via3",#N/A,TRUE,"general"}</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localSheetId="3" hidden="1">{#N/A,#N/A,TRUE,"INGENIERIA";#N/A,#N/A,TRUE,"COMPRAS";#N/A,#N/A,TRUE,"DIRECCION";#N/A,#N/A,TRUE,"RESUMEN"}</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utyj6" localSheetId="3" hidden="1">{"via1",#N/A,TRUE,"general";"via2",#N/A,TRUE,"general";"via3",#N/A,TRUE,"general"}</definedName>
    <definedName name="gfutyj6" hidden="1">{"via1",#N/A,TRUE,"general";"via2",#N/A,TRUE,"general";"via3",#N/A,TRUE,"general"}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localSheetId="3" hidden="1">{#N/A,#N/A,TRUE,"1842CWN0"}</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g" localSheetId="3" hidden="1">{"via1",#N/A,TRUE,"general";"via2",#N/A,TRUE,"general";"via3",#N/A,TRUE,"general"}</definedName>
    <definedName name="ghfg" hidden="1">{"via1",#N/A,TRUE,"general";"via2",#N/A,TRUE,"general";"via3",#N/A,TRUE,"general"}</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localSheetId="3" hidden="1">{#N/A,#N/A,TRUE,"1842CWN0"}</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h9h" localSheetId="3" hidden="1">{"via1",#N/A,TRUE,"general";"via2",#N/A,TRUE,"general";"via3",#N/A,TRUE,"general"}</definedName>
    <definedName name="h9h" hidden="1">{"via1",#N/A,TRUE,"general";"via2",#N/A,TRUE,"general";"via3",#N/A,TRUE,"general"}</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g" localSheetId="3" hidden="1">{#N/A,#N/A,TRUE,"1842CWN0"}</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ha" localSheetId="3" hidden="1">{"PYGT",#N/A,FALSE,"PYG";"ACTIT",#N/A,FALSE,"BCE_GRAL-ACTIVO";"PASIT",#N/A,FALSE,"BCE_GRAL-PASIVO-PATRIM";"CAJAT",#N/A,FALSE,"CAJA"}</definedName>
    <definedName name="hoha" hidden="1">{"PYGT",#N/A,FALSE,"PYG";"ACTIT",#N/A,FALSE,"BCE_GRAL-ACTIVO";"PASIT",#N/A,FALSE,"BCE_GRAL-PASIVO-PATRIM";"CAJAT",#N/A,FALSE,"CAJA"}</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fg" localSheetId="3" hidden="1">{"via1",#N/A,TRUE,"general";"via2",#N/A,TRUE,"general";"via3",#N/A,TRUE,"general"}</definedName>
    <definedName name="hsfg" hidden="1">{"via1",#N/A,TRUE,"general";"via2",#N/A,TRUE,"general";"via3",#N/A,TRUE,"general"}</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3"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3" hidden="1">{"via1",#N/A,TRUE,"general";"via2",#N/A,TRUE,"general";"via3",#N/A,TRUE,"general"}</definedName>
    <definedName name="htryrt7" hidden="1">{"via1",#N/A,TRUE,"general";"via2",#N/A,TRUE,"general";"via3",#N/A,TRUE,"general"}</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 hidden="1">{"PYGT",#N/A,FALSE,"PYG";"ACTIT",#N/A,FALSE,"BCE_GRAL-ACTIVO";"PASIT",#N/A,FALSE,"BCE_GRAL-PASIVO-PATRIM";"CAJAT",#N/A,FALSE,"CAJA"}</definedName>
    <definedName name="I" hidden="1">{"PYGT",#N/A,FALSE,"PYG";"ACTIT",#N/A,FALSE,"BCE_GRAL-ACTIVO";"PASIT",#N/A,FALSE,"BCE_GRAL-PASIVO-PATRIM";"CAJAT",#N/A,FALSE,"CAJA"}</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NGENIERIA1" hidden="1">#REF!</definedName>
    <definedName name="INGENIERIA11" hidden="1">#REF!</definedName>
    <definedName name="INSUMOS_EQUIPOS">'[7]INSUMOS EQUIPOS'!$A$1:$D$105</definedName>
    <definedName name="INSUMOS_MANO_DE_OBRA">'[7]INSUMOS MANO DE OBRA'!$A$1:$H$63</definedName>
    <definedName name="INSUMOSEQUIPOS">#REF!</definedName>
    <definedName name="INSUMOSMANODEOBRA">#REF!</definedName>
    <definedName name="INSUMOSMATERIALES">#REF!</definedName>
    <definedName name="INSUMOSSERVICIOS">#REF!</definedName>
    <definedName name="INSUMOSTRANSPORTES">#REF!</definedName>
    <definedName name="irng" hidden="1">#REF!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fq" localSheetId="3" hidden="1">{"via1",#N/A,TRUE,"general";"via2",#N/A,TRUE,"general";"via3",#N/A,TRUE,"general"}</definedName>
    <definedName name="jjfq" hidden="1">{"via1",#N/A,TRUE,"general";"via2",#N/A,TRUE,"general";"via3",#N/A,TRUE,"general"}</definedName>
    <definedName name="JJJ" localSheetId="3" hidden="1">{#N/A,#N/A,FALSE,"Hoja1";#N/A,#N/A,FALSE,"Hoja2"}</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 localSheetId="3" hidden="1">{"PYGT",#N/A,FALSE,"PYG";"ACTIT",#N/A,FALSE,"BCE_GRAL-ACTIVO";"PASIT",#N/A,FALSE,"BCE_GRAL-PASIVO-PATRIM";"CAJAT",#N/A,FALSE,"CAJA"}</definedName>
    <definedName name="K" hidden="1">{"PYGT",#N/A,FALSE,"PYG";"ACTIT",#N/A,FALSE,"BCE_GRAL-ACTIVO";"PASIT",#N/A,FALSE,"BCE_GRAL-PASIVO-PATRIM";"CAJAT",#N/A,FALSE,"CAJA"}</definedName>
    <definedName name="kdmfm" hidden="1">#REF!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hkd" localSheetId="3" hidden="1">{"via1",#N/A,TRUE,"general";"via2",#N/A,TRUE,"general";"via3",#N/A,TRUE,"general"}</definedName>
    <definedName name="kjhkd" hidden="1">{"via1",#N/A,TRUE,"general";"via2",#N/A,TRUE,"general";"via3",#N/A,TRUE,"general"}</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O" hidden="1">#REF!</definedName>
    <definedName name="krtrk" localSheetId="3" hidden="1">{"via1",#N/A,TRUE,"general";"via2",#N/A,TRUE,"general";"via3",#N/A,TRUE,"general"}</definedName>
    <definedName name="krtrk" hidden="1">{"via1",#N/A,TRUE,"general";"via2",#N/A,TRUE,"general";"via3",#N/A,TRUE,"general"}</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ame" hidden="1">#REF!</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localSheetId="3"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 localSheetId="3"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plpl" localSheetId="3" hidden="1">{"via1",#N/A,TRUE,"general";"via2",#N/A,TRUE,"general";"via3",#N/A,TRUE,"general"}</definedName>
    <definedName name="lplpl" hidden="1">{"via1",#N/A,TRUE,"general";"via2",#N/A,TRUE,"general";"via3",#N/A,TRUE,"general"}</definedName>
    <definedName name="mafdsf" localSheetId="3" hidden="1">{"via1",#N/A,TRUE,"general";"via2",#N/A,TRUE,"general";"via3",#N/A,TRUE,"general"}</definedName>
    <definedName name="mafdsf" hidden="1">{"via1",#N/A,TRUE,"general";"via2",#N/A,TRUE,"general";"via3",#N/A,TRUE,"general"}</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rkP" localSheetId="3"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3" hidden="1">{"via1",#N/A,TRUE,"general";"via2",#N/A,TRUE,"general";"via3",#N/A,TRUE,"general"}</definedName>
    <definedName name="masor" hidden="1">{"via1",#N/A,TRUE,"general";"via2",#N/A,TRUE,"general";"via3",#N/A,TRUE,"general"}</definedName>
    <definedName name="mdd" localSheetId="3" hidden="1">{"via1",#N/A,TRUE,"general";"via2",#N/A,TRUE,"general";"via3",#N/A,TRUE,"general"}</definedName>
    <definedName name="mdd" hidden="1">{"via1",#N/A,TRUE,"general";"via2",#N/A,TRUE,"general";"via3",#N/A,TRUE,"general"}</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m" hidden="1">#REF!</definedName>
    <definedName name="memm" hidden="1">#REF!</definedName>
    <definedName name="memmm" hidden="1">#REF!</definedName>
    <definedName name="MEMORIAS">#REF!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localSheetId="3" hidden="1">{#N/A,#N/A,FALSE,"Hoja1";#N/A,#N/A,FALSE,"Hoja2"}</definedName>
    <definedName name="MOA" hidden="1">{#N/A,#N/A,FALSE,"Hoja1";#N/A,#N/A,FALSE,"Hoja2"}</definedName>
    <definedName name="MODIVejec" localSheetId="3" hidden="1">{#N/A,#N/A,FALSE,"Hoja1";#N/A,#N/A,FALSE,"Hoja2"}</definedName>
    <definedName name="MODIVejec" hidden="1">{#N/A,#N/A,FALSE,"Hoja1";#N/A,#N/A,FALSE,"Hoja2"}</definedName>
    <definedName name="MOE" localSheetId="3" hidden="1">{#N/A,#N/A,FALSE,"Hoja1";#N/A,#N/A,FALSE,"Hoja2"}</definedName>
    <definedName name="MOE" hidden="1">{#N/A,#N/A,FALSE,"Hoja1";#N/A,#N/A,FALSE,"Hoja2"}</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 hidden="1">{"PYGT",#N/A,FALSE,"PYG";"ACTIT",#N/A,FALSE,"BCE_GRAL-ACTIVO";"PASIT",#N/A,FALSE,"BCE_GRAL-PASIVO-PATRIM";"CAJAT",#N/A,FALSE,"CAJA"}</definedName>
    <definedName name="NO" hidden="1">{"PYGT",#N/A,FALSE,"PYG";"ACTIT",#N/A,FALSE,"BCE_GRAL-ACTIVO";"PASIT",#N/A,FALSE,"BCE_GRAL-PASIVO-PATRIM";"CAJAT",#N/A,FALSE,"CAJA"}</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o9o9" localSheetId="3" hidden="1">{"via1",#N/A,TRUE,"general";"via2",#N/A,TRUE,"general";"via3",#N/A,TRUE,"general"}</definedName>
    <definedName name="o9o9" hidden="1">{"via1",#N/A,TRUE,"general";"via2",#N/A,TRUE,"general";"via3",#N/A,TRUE,"general"}</definedName>
    <definedName name="obras" hidden="1">#REF!</definedName>
    <definedName name="obras11" hidden="1">#REF!</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3" hidden="1">{#N/A,#N/A,FALSE,"Aging Summary";#N/A,#N/A,FALSE,"Ratio Analysis";#N/A,#N/A,FALSE,"Test 120 Day Accts";#N/A,#N/A,FALSE,"Tickmarks"}</definedName>
    <definedName name="oera" hidden="1">{#N/A,#N/A,FALSE,"Aging Summary";#N/A,#N/A,FALSE,"Ratio Analysis";#N/A,#N/A,FALSE,"Test 120 Day Accts";#N/A,#N/A,FALSE,"Tickmarks"}</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p0p0" localSheetId="3" hidden="1">{"via1",#N/A,TRUE,"general";"via2",#N/A,TRUE,"general";"via3",#N/A,TRUE,"general"}</definedName>
    <definedName name="p0p0" hidden="1">{"via1",#N/A,TRUE,"general";"via2",#N/A,TRUE,"general";"via3",#N/A,TRUE,"general"}</definedName>
    <definedName name="particulares1" localSheetId="3" hidden="1">{#N/A,#N/A,FALSE,"Aging Summary";#N/A,#N/A,FALSE,"Ratio Analysis";#N/A,#N/A,FALSE,"Test 120 Day Accts";#N/A,#N/A,FALSE,"Tickmarks"}</definedName>
    <definedName name="particulares1" hidden="1">{#N/A,#N/A,FALSE,"Aging Summary";#N/A,#N/A,FALSE,"Ratio Analysis";#N/A,#N/A,FALSE,"Test 120 Day Accts";#N/A,#N/A,FALSE,"Tickmarks"}</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uig" localSheetId="3" hidden="1">{"via1",#N/A,TRUE,"general";"via2",#N/A,TRUE,"general";"via3",#N/A,TRUE,"general"}</definedName>
    <definedName name="pouig" hidden="1">{"via1",#N/A,TRUE,"general";"via2",#N/A,TRUE,"general";"via3",#N/A,TRUE,"general"}</definedName>
    <definedName name="PPPP" localSheetId="3"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qroj" localSheetId="3" hidden="1">{"via1",#N/A,TRUE,"general";"via2",#N/A,TRUE,"general";"via3",#N/A,TRUE,"general"}</definedName>
    <definedName name="pqroj" hidden="1">{"via1",#N/A,TRUE,"general";"via2",#N/A,TRUE,"general";"via3",#N/A,TRUE,"general"}</definedName>
    <definedName name="PRESUPUESTO" localSheetId="8">'SUMINISTRO DE MATERIALES '!$A$7:$H$22</definedName>
    <definedName name="PRESUPUESTO">#REF!</definedName>
    <definedName name="PRIMER" localSheetId="3" hidden="1">{"via1",#N/A,TRUE,"general";"via2",#N/A,TRUE,"general";"via3",#N/A,TRUE,"general"}</definedName>
    <definedName name="PRIMER" hidden="1">{"via1",#N/A,TRUE,"general";"via2",#N/A,TRUE,"general";"via3",#N/A,TRUE,"general"}</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qqqqqqqqqqq" hidden="1">#REF!</definedName>
    <definedName name="qqqqqw" localSheetId="3" hidden="1">{"via1",#N/A,TRUE,"general";"via2",#N/A,TRUE,"general";"via3",#N/A,TRUE,"general"}</definedName>
    <definedName name="qqqqqw" hidden="1">{"via1",#N/A,TRUE,"general";"via2",#N/A,TRUE,"general";"via3",#N/A,TRUE,"general"}</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wertet" localSheetId="3" hidden="1">{#N/A,#N/A,TRUE,"1842CWN0"}</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JHE" localSheetId="3" hidden="1">{"via1",#N/A,TRUE,"general";"via2",#N/A,TRUE,"general";"via3",#N/A,TRUE,"general"}</definedName>
    <definedName name="REJHE" hidden="1">{"via1",#N/A,TRUE,"general";"via2",#N/A,TRUE,"general";"via3",#N/A,TRUE,"general"}</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 localSheetId="3"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rr" localSheetId="3" hidden="1">{"via1",#N/A,TRUE,"general";"via2",#N/A,TRUE,"general";"via3",#N/A,TRUE,"general"}</definedName>
    <definedName name="rrr" hidden="1">{"via1",#N/A,TRUE,"general";"via2",#N/A,TRUE,"general";"via3",#N/A,TRUE,"general"}</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bgfbgdr" localSheetId="3" hidden="1">{"via1",#N/A,TRUE,"general";"via2",#N/A,TRUE,"general";"via3",#N/A,TRUE,"general"}</definedName>
    <definedName name="sbgfbgdr" hidden="1">{"via1",#N/A,TRUE,"general";"via2",#N/A,TRUE,"general";"via3",#N/A,TRUE,"general"}</definedName>
    <definedName name="SCQ" hidden="1">SUMIF(#REF!,#REF!,#REF!)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localSheetId="3" hidden="1">{#N/A,#N/A,TRUE,"1842CWN0"}</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localSheetId="3" hidden="1">{#N/A,#N/A,TRUE,"1842CWN0"}</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localSheetId="3"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localSheetId="3" hidden="1">{#N/A,#N/A,TRUE,"1842CWN0"}</definedName>
    <definedName name="sdsdfsdff" hidden="1">{#N/A,#N/A,TRUE,"1842CWN0"}</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ssssssssss" hidden="1">#REF!</definedName>
    <definedName name="sssssy" localSheetId="3" hidden="1">{"via1",#N/A,TRUE,"general";"via2",#N/A,TRUE,"general";"via3",#N/A,TRUE,"general"}</definedName>
    <definedName name="sssssy" hidden="1">{"via1",#N/A,TRUE,"general";"via2",#N/A,TRUE,"general";"via3",#N/A,TRUE,"general"}</definedName>
    <definedName name="stt" localSheetId="3" hidden="1">{"via1",#N/A,TRUE,"general";"via2",#N/A,TRUE,"general";"via3",#N/A,TRUE,"general"}</definedName>
    <definedName name="stt" hidden="1">{"via1",#N/A,TRUE,"general";"via2",#N/A,TRUE,"general";"via3",#N/A,TRUE,"general"}</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C" localSheetId="3"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tj" localSheetId="3" hidden="1">{"via1",#N/A,TRUE,"general";"via2",#N/A,TRUE,"general";"via3",#N/A,TRUE,"general"}</definedName>
    <definedName name="thtj" hidden="1">{"via1",#N/A,TRUE,"general";"via2",#N/A,TRUE,"general";"via3",#N/A,TRUE,"general"}</definedName>
    <definedName name="TK_1" hidden="1">[5]INST!#REF!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jfgjh" localSheetId="3" hidden="1">{"via1",#N/A,TRUE,"general";"via2",#N/A,TRUE,"general";"via3",#N/A,TRUE,"general"}</definedName>
    <definedName name="trjfgjh" hidden="1">{"via1",#N/A,TRUE,"general";"via2",#N/A,TRUE,"general";"via3",#N/A,TRUE,"general"}</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I" localSheetId="3" hidden="1">{"via1",#N/A,TRUE,"general";"via2",#N/A,TRUE,"general";"via3",#N/A,TRUE,"general"}</definedName>
    <definedName name="UI" hidden="1">{"via1",#N/A,TRUE,"general";"via2",#N/A,TRUE,"general";"via3",#N/A,TRUE,"general"}</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nj" hidden="1">[3]INST!#REF!</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fbgnhyt" localSheetId="3" hidden="1">{"via1",#N/A,TRUE,"general";"via2",#N/A,TRUE,"general";"via3",#N/A,TRUE,"general"}</definedName>
    <definedName name="vfbgnhyt" hidden="1">{"via1",#N/A,TRUE,"general";"via2",#N/A,TRUE,"general";"via3",#N/A,TRUE,"general"}</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sdfj" localSheetId="3" hidden="1">{"via1",#N/A,TRUE,"general";"via2",#N/A,TRUE,"general";"via3",#N/A,TRUE,"general"}</definedName>
    <definedName name="vsdfj" hidden="1">{"via1",#N/A,TRUE,"general";"via2",#N/A,TRUE,"general";"via3",#N/A,TRUE,"general"}</definedName>
    <definedName name="vt" localSheetId="3" hidden="1">{"via1",#N/A,TRUE,"general";"via2",#N/A,TRUE,"general";"via3",#N/A,TRUE,"general"}</definedName>
    <definedName name="vt" hidden="1">{"via1",#N/A,TRUE,"general";"via2",#N/A,TRUE,"general";"via3",#N/A,TRUE,"general"}</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3" hidden="1">{#N/A,#N/A,TRUE,"1842CWN0"}</definedName>
    <definedName name="wrn.civil._.works." hidden="1">{#N/A,#N/A,TRUE,"1842CWN0"}</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localSheetId="3" hidden="1">{#N/A,#N/A,TRUE,"INGENIERIA";#N/A,#N/A,TRUE,"COMPRAS";#N/A,#N/A,TRUE,"DIRECCION";#N/A,#N/A,TRUE,"RESUMEN"}</definedName>
    <definedName name="wrn.GERENCIA." hidden="1">{#N/A,#N/A,TRUE,"INGENIERIA";#N/A,#N/A,TRUE,"COMPRAS";#N/A,#N/A,TRUE,"DIRECCION";#N/A,#N/A,TRUE,"RESUMEN"}</definedName>
    <definedName name="wrn.items." localSheetId="3" hidden="1">{#N/A,#N/A,FALSE,"Items"}</definedName>
    <definedName name="wrn.items." hidden="1">{#N/A,#N/A,FALSE,"Items"}</definedName>
    <definedName name="wrn.OPERADORES." localSheetId="3" hidden="1">{#N/A,#N/A,TRUE,"T1"}</definedName>
    <definedName name="wrn.OPERADORES." hidden="1">{#N/A,#N/A,TRUE,"T1"}</definedName>
    <definedName name="wrn.PROYEC." localSheetId="3"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3" hidden="1">{#N/A,#N/A,FALSE,"Hoja1";#N/A,#N/A,FALSE,"Hoja2"}</definedName>
    <definedName name="wrn.res7" hidden="1">{#N/A,#N/A,FALSE,"Hoja1";#N/A,#N/A,FALSE,"Hoja2"}</definedName>
    <definedName name="wrn.Resumen." localSheetId="3" hidden="1">{#N/A,#N/A,FALSE,"Hoja1";#N/A,#N/A,FALSE,"Hoja2"}</definedName>
    <definedName name="wrn.Resumen." hidden="1">{#N/A,#N/A,FALSE,"Hoja1";#N/A,#N/A,FALSE,"Hoja2"}</definedName>
    <definedName name="wrn.SENCILLO." localSheetId="3"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3"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rn1.items" localSheetId="3" hidden="1">{#N/A,#N/A,FALSE,"Items"}</definedName>
    <definedName name="wrn1.items" hidden="1">{#N/A,#N/A,FALSE,"Items"}</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SW" localSheetId="3" hidden="1">{#N/A,#N/A,TRUE,"1842CWN0"}</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fg" localSheetId="3" hidden="1">{"via1",#N/A,TRUE,"general";"via2",#N/A,TRUE,"general";"via3",#N/A,TRUE,"general"}</definedName>
    <definedName name="xxfg" hidden="1">{"via1",#N/A,TRUE,"general";"via2",#N/A,TRUE,"general";"via3",#N/A,TRUE,"general"}</definedName>
    <definedName name="xxxxxds" localSheetId="3" hidden="1">{"via1",#N/A,TRUE,"general";"via2",#N/A,TRUE,"general";"via3",#N/A,TRUE,"general"}</definedName>
    <definedName name="xxxxxds" hidden="1">{"via1",#N/A,TRUE,"general";"via2",#N/A,TRUE,"general";"via3",#N/A,TRUE,"general"}</definedName>
    <definedName name="XXXXXX" localSheetId="3"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3" hidden="1">{"via1",#N/A,TRUE,"general";"via2",#N/A,TRUE,"general";"via3",#N/A,TRUE,"general"}</definedName>
    <definedName name="xxxxxxxxxx29" hidden="1">{"via1",#N/A,TRUE,"general";"via2",#N/A,TRUE,"general";"via3",#N/A,TRUE,"general"}</definedName>
    <definedName name="XZS" hidden="1">#REF!</definedName>
    <definedName name="XZXZV" localSheetId="3" hidden="1">{"via1",#N/A,TRUE,"general";"via2",#N/A,TRUE,"general";"via3",#N/A,TRUE,"general"}</definedName>
    <definedName name="XZXZV" hidden="1">{"via1",#N/A,TRUE,"general";"via2",#N/A,TRUE,"general";"via3",#N/A,TRUE,"general"}</definedName>
    <definedName name="y6y6" localSheetId="3" hidden="1">{"via1",#N/A,TRUE,"general";"via2",#N/A,TRUE,"general";"via3",#N/A,TRUE,"general"}</definedName>
    <definedName name="y6y6" hidden="1">{"via1",#N/A,TRUE,"general";"via2",#N/A,TRUE,"general";"via3",#N/A,TRUE,"general"}</definedName>
    <definedName name="yery" localSheetId="3" hidden="1">{"via1",#N/A,TRUE,"general";"via2",#N/A,TRUE,"general";"via3",#N/A,TRUE,"general"}</definedName>
    <definedName name="yery" hidden="1">{"via1",#N/A,TRUE,"general";"via2",#N/A,TRUE,"general";"via3",#N/A,TRUE,"general"}</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 localSheetId="3"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localSheetId="3" hidden="1">{#N/A,#N/A,TRUE,"INGENIERIA";#N/A,#N/A,TRUE,"COMPRAS";#N/A,#N/A,TRUE,"DIRECCION";#N/A,#N/A,TRUE,"RESUMEN"}</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 hidden="1">SUMIF(#REF!,#REF!,#REF!)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2" i="25" l="1"/>
  <c r="H21" i="24" l="1"/>
  <c r="H20" i="24"/>
  <c r="H19" i="24"/>
  <c r="H18" i="24"/>
  <c r="H17" i="24"/>
  <c r="H15" i="24"/>
  <c r="H14" i="24"/>
  <c r="A3" i="24"/>
  <c r="G12" i="24"/>
  <c r="H12" i="24" s="1"/>
  <c r="H11" i="24"/>
  <c r="H10" i="24"/>
  <c r="H9" i="24"/>
  <c r="E14" i="21" l="1"/>
  <c r="E13" i="21"/>
  <c r="E12" i="21"/>
  <c r="E11" i="21"/>
  <c r="E10" i="21"/>
  <c r="E9" i="21"/>
  <c r="A4" i="21"/>
  <c r="G14" i="21" l="1"/>
  <c r="G13" i="21"/>
  <c r="G12" i="21"/>
  <c r="G11" i="21"/>
  <c r="G10" i="21"/>
  <c r="G9" i="21"/>
  <c r="G15" i="21"/>
  <c r="G16" i="21"/>
  <c r="B17" i="17" l="1"/>
  <c r="B7" i="17"/>
  <c r="E17" i="17" s="1"/>
  <c r="A2" i="17"/>
  <c r="A2" i="16"/>
  <c r="E15" i="16"/>
  <c r="H15" i="16" s="1"/>
  <c r="E14" i="16"/>
  <c r="H14" i="16" s="1"/>
  <c r="E13" i="16"/>
  <c r="H13" i="16" s="1"/>
  <c r="E12" i="16"/>
  <c r="H12" i="16" s="1"/>
  <c r="E11" i="16"/>
  <c r="H11" i="16" s="1"/>
  <c r="E10" i="16"/>
  <c r="H10" i="16" s="1"/>
  <c r="B34" i="14"/>
  <c r="E34" i="14" s="1"/>
  <c r="I34" i="14" s="1"/>
  <c r="B33" i="14"/>
  <c r="E33" i="14" s="1"/>
  <c r="I33" i="14" s="1"/>
  <c r="B32" i="14"/>
  <c r="E32" i="14" s="1"/>
  <c r="I32" i="14" s="1"/>
  <c r="B31" i="14"/>
  <c r="E31" i="14" s="1"/>
  <c r="I31" i="14" s="1"/>
  <c r="G28" i="15"/>
  <c r="G27" i="15"/>
  <c r="G26" i="15"/>
  <c r="G25" i="15"/>
  <c r="G24" i="15"/>
  <c r="H9" i="15"/>
  <c r="H7" i="15"/>
  <c r="A2" i="15"/>
  <c r="A2" i="14"/>
  <c r="D19" i="13"/>
  <c r="D13" i="13"/>
  <c r="F13" i="13" s="1"/>
  <c r="F40" i="13"/>
  <c r="F39" i="13"/>
  <c r="F38" i="13"/>
  <c r="F34" i="13"/>
  <c r="F33" i="13"/>
  <c r="F31" i="13"/>
  <c r="F30" i="13"/>
  <c r="F29" i="13"/>
  <c r="F28" i="13"/>
  <c r="F24" i="13"/>
  <c r="F22" i="13"/>
  <c r="F21" i="13"/>
  <c r="F20" i="13"/>
  <c r="F19" i="13"/>
  <c r="F17" i="13"/>
  <c r="F16" i="13"/>
  <c r="F14" i="13"/>
  <c r="F12" i="13"/>
  <c r="A2" i="13"/>
  <c r="B3" i="1"/>
  <c r="A3" i="25" s="1"/>
  <c r="B17" i="1"/>
  <c r="A3" i="13" l="1"/>
  <c r="F25" i="13"/>
  <c r="B29" i="14"/>
  <c r="E29" i="14" s="1"/>
  <c r="I29" i="14" s="1"/>
  <c r="F35" i="13"/>
  <c r="F41" i="13"/>
  <c r="B11" i="14"/>
  <c r="B14" i="14"/>
  <c r="A3" i="16"/>
  <c r="A3" i="15"/>
  <c r="A3" i="17"/>
  <c r="A3" i="14"/>
  <c r="B30" i="14"/>
  <c r="E30" i="14" s="1"/>
  <c r="I30" i="14" s="1"/>
  <c r="B28" i="14"/>
  <c r="E28" i="14" s="1"/>
  <c r="I28" i="14" s="1"/>
  <c r="B12" i="14"/>
  <c r="E12" i="14" s="1"/>
  <c r="I12" i="14" s="1"/>
  <c r="B10" i="14"/>
  <c r="C7" i="17"/>
  <c r="F42" i="13" l="1"/>
  <c r="E10" i="14"/>
  <c r="I10" i="14" s="1"/>
  <c r="E11" i="14"/>
  <c r="I11" i="14" s="1"/>
  <c r="E14" i="14"/>
  <c r="I14" i="14" s="1"/>
  <c r="I13" i="14" s="1"/>
  <c r="E13" i="17"/>
  <c r="E14" i="17"/>
  <c r="E12" i="17"/>
  <c r="I9" i="14" l="1"/>
  <c r="I20" i="14"/>
  <c r="I16" i="14"/>
  <c r="G23" i="24" l="1"/>
  <c r="H23" i="24" s="1"/>
  <c r="H24" i="24" s="1"/>
  <c r="I23" i="14"/>
  <c r="H25" i="15"/>
  <c r="H28" i="15"/>
  <c r="I22" i="14"/>
  <c r="H27" i="15"/>
  <c r="H24" i="15"/>
  <c r="I21" i="14"/>
  <c r="H26" i="15"/>
  <c r="G17" i="21"/>
  <c r="G9" i="16" l="1"/>
  <c r="H9" i="16" s="1"/>
  <c r="I24" i="14"/>
  <c r="H23" i="15"/>
  <c r="H18" i="16" l="1"/>
  <c r="E35" i="14" s="1"/>
  <c r="I35" i="14" s="1"/>
  <c r="I36" i="14" s="1"/>
  <c r="G18" i="21" l="1"/>
  <c r="G19" i="21" s="1"/>
  <c r="I40" i="14" l="1"/>
  <c r="H29" i="15"/>
  <c r="G30" i="15"/>
  <c r="H30" i="15"/>
  <c r="G31" i="15"/>
  <c r="H31" i="15"/>
  <c r="D32" i="15"/>
  <c r="G32" i="15"/>
  <c r="H32" i="15"/>
  <c r="D33" i="15"/>
  <c r="G33" i="15"/>
  <c r="H33" i="15"/>
  <c r="D34" i="15"/>
  <c r="G34" i="15"/>
  <c r="H34" i="15"/>
  <c r="D35" i="15"/>
  <c r="G35" i="15"/>
  <c r="H35" i="15"/>
  <c r="H36" i="15"/>
  <c r="H37" i="15"/>
  <c r="H38" i="15"/>
  <c r="H39" i="15"/>
  <c r="I17" i="14"/>
  <c r="I18" i="14"/>
  <c r="I25" i="14"/>
  <c r="I27" i="14"/>
  <c r="I37" i="14"/>
  <c r="I38" i="14"/>
  <c r="I39" i="14"/>
  <c r="I41" i="14"/>
  <c r="B6" i="17"/>
  <c r="C6" i="17"/>
  <c r="C8" i="17"/>
  <c r="C12" i="17"/>
  <c r="D12" i="17"/>
  <c r="G12" i="17"/>
  <c r="C13" i="17"/>
  <c r="D13" i="17"/>
  <c r="G13" i="17"/>
  <c r="C14" i="17"/>
  <c r="D14" i="17"/>
  <c r="G14" i="17"/>
  <c r="C15" i="17"/>
  <c r="D15" i="17"/>
  <c r="E15" i="17"/>
  <c r="G15" i="17"/>
  <c r="A17" i="17"/>
  <c r="C17" i="17"/>
  <c r="G17" i="17"/>
  <c r="G18" i="17"/>
  <c r="G19" i="17"/>
  <c r="G20" i="17"/>
  <c r="G21" i="17"/>
  <c r="G22" i="17"/>
</calcChain>
</file>

<file path=xl/sharedStrings.xml><?xml version="1.0" encoding="utf-8"?>
<sst xmlns="http://schemas.openxmlformats.org/spreadsheetml/2006/main" count="474" uniqueCount="341">
  <si>
    <t>DEPARTAMENTO DE ANTIOQUIA</t>
  </si>
  <si>
    <t>DATOS INICIALES</t>
  </si>
  <si>
    <t>ENTIDAD:</t>
  </si>
  <si>
    <t>NOMBRE DEL PROYECTO:</t>
  </si>
  <si>
    <t>RESPONSABLE:</t>
  </si>
  <si>
    <t>CARGO DE RESPONSABLE:</t>
  </si>
  <si>
    <t>DEPENDENCIA DE RESPONSABLE:</t>
  </si>
  <si>
    <t>MATRÍCULA PROFESIONAL RESPONSABLE:</t>
  </si>
  <si>
    <t>SALARIO MÍNIMO MENSUAL VIGENTE:</t>
  </si>
  <si>
    <t>AUXILIO DE TRANSPORTE VIGENTE:</t>
  </si>
  <si>
    <t>EXONERADO ART 114-1 ET PARA LA OBRA:</t>
  </si>
  <si>
    <t>EXONERADO ART 114-1 ET PARA LA INTERVENTORÍA</t>
  </si>
  <si>
    <t>NIVEL DE RIESGO ARL APLICABLE</t>
  </si>
  <si>
    <t>% ARL</t>
  </si>
  <si>
    <t>DURACIÓN ESTIMADA DE OBRA (MESES)</t>
  </si>
  <si>
    <t>DISTANCIA A SITIO DE BOTADA DE TIERRA (KM)</t>
  </si>
  <si>
    <t>DISTANCIA A SITIO DE BOTADA DE ESCOMBROS (KM)</t>
  </si>
  <si>
    <t>DISTANCIA A SITIO DE PROVISIÓN  DE MATERIAL GRANULAR (KM)</t>
  </si>
  <si>
    <t>DISTANCIA A SITIO DE PROVISIÓN  DE INSUMOS GENERALES (KM)</t>
  </si>
  <si>
    <t>DISTANCIA A SITIO DE PROVISIÓN  DE ASFALTOS (KM)</t>
  </si>
  <si>
    <t>PÓLIZA DE RCE EXIGIBLE A LA INTERVENTORÍA</t>
  </si>
  <si>
    <t>SI</t>
  </si>
  <si>
    <t>V</t>
  </si>
  <si>
    <t>MARLON ASDRUBAL PEREZ HERRERA</t>
  </si>
  <si>
    <t>INGENIERO BANCO DE PROYECTOS</t>
  </si>
  <si>
    <t>BANCO DE PROYECTOS - SECRETARÍA DE PLANEACIÓN</t>
  </si>
  <si>
    <t>Elija el municipio de la lista desplegable</t>
  </si>
  <si>
    <t>Digite el nombre del proyecto. Recuerde que debe coincidir con el objeto del contrato resultante de este proceso.</t>
  </si>
  <si>
    <t>Digite el nombre del profesional responsable del presupuesto.</t>
  </si>
  <si>
    <t>Digite el cargo del profesional responsable del presupuesto.</t>
  </si>
  <si>
    <t>Digite el nombre de la dependencia del profesional responsable del presupuesto.</t>
  </si>
  <si>
    <t>Digite la matrícula profesional del profesional responsable del presupuesto.</t>
  </si>
  <si>
    <r>
      <t>Elegir de las listas desplegables</t>
    </r>
    <r>
      <rPr>
        <b/>
        <i/>
        <u/>
        <sz val="11"/>
        <color rgb="FFFF0000"/>
        <rFont val="Calibri"/>
        <family val="2"/>
        <scheme val="minor"/>
      </rPr>
      <t xml:space="preserve"> (Ver artículo 114-1 del Estatuto Tributario.</t>
    </r>
    <r>
      <rPr>
        <b/>
        <i/>
        <sz val="11"/>
        <color rgb="FFFF0000"/>
        <rFont val="Calibri"/>
        <family val="2"/>
        <scheme val="minor"/>
      </rPr>
      <t xml:space="preserve">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t>
    </r>
  </si>
  <si>
    <r>
      <rPr>
        <b/>
        <i/>
        <sz val="11"/>
        <color rgb="FFFF0000"/>
        <rFont val="Calibri"/>
        <family val="2"/>
        <scheme val="minor"/>
      </rPr>
      <t>Elegir de la lista desplegable (</t>
    </r>
    <r>
      <rPr>
        <b/>
        <i/>
        <u/>
        <sz val="11"/>
        <color rgb="FFFF0000"/>
        <rFont val="Calibri"/>
        <family val="2"/>
        <scheme val="minor"/>
      </rPr>
      <t xml:space="preserve">Ver Decreto 1607 de 2002 </t>
    </r>
    <r>
      <rPr>
        <b/>
        <i/>
        <sz val="11"/>
        <color rgb="FFFF0000"/>
        <rFont val="Calibri"/>
        <family val="2"/>
        <scheme val="minor"/>
      </rPr>
      <t>para asignación de Riesgo ARL Aplicable).</t>
    </r>
  </si>
  <si>
    <t>Digite la duración de la obra de acuerdo al cronograma</t>
  </si>
  <si>
    <t>Digite la distancia al sitio de botada de tierra de acuerdo al certificado expedido por la entidad.</t>
  </si>
  <si>
    <t>Digite la distancia al sitio de botada de escombros de acuerdo al certificado expedido por la entidad.</t>
  </si>
  <si>
    <t>Digite la distancia al sitio de provisión de material de playa de acuerdo al certificado expedido por la entidad.</t>
  </si>
  <si>
    <t>Digite la distancia al sitio de provisión de material granular de acuerdo al certificado expedido por la entidad.</t>
  </si>
  <si>
    <t>Digite la distancia al sitio de provisión de insumos generales de acuerdo al certificado expedido por la entidad.</t>
  </si>
  <si>
    <t>Digite la distancia al sitio de provisión de asfaltos de acuerdo al certificado expedido por la entidad.</t>
  </si>
  <si>
    <t>Elegir de la lista desplegable si se solicitará a la interventoría la póliza de responsabilidad civil extracontractual</t>
  </si>
  <si>
    <t>Nota 1: El archivo contiene referencias circulares, por lo tanto se debe tener activo el calculo iterativo de las fórmulas</t>
  </si>
  <si>
    <t>Fecha de actualización: 22 de FEBRERO de 2021</t>
  </si>
  <si>
    <t>PRESUPUESTO GENERAL</t>
  </si>
  <si>
    <t>ITEM</t>
  </si>
  <si>
    <t>DESCRIPCIÓN</t>
  </si>
  <si>
    <t>UNIDAD</t>
  </si>
  <si>
    <t>CANTIDAD</t>
  </si>
  <si>
    <t>VR.UNITARIO</t>
  </si>
  <si>
    <t>VALOR TOTAL</t>
  </si>
  <si>
    <t>1.1</t>
  </si>
  <si>
    <t/>
  </si>
  <si>
    <t>CÓDIGO</t>
  </si>
  <si>
    <t>SUBTOTAL</t>
  </si>
  <si>
    <t>MAT No. 05202-354756ANT</t>
  </si>
  <si>
    <t>VALOR UNITARIO</t>
  </si>
  <si>
    <t>%</t>
  </si>
  <si>
    <t>DÍA</t>
  </si>
  <si>
    <t>MES</t>
  </si>
  <si>
    <t>TARIFA PUESTO DE TRABAJO DEL PERSONAL DE OFICINA DE CAMPO, INCLUYE: ALQUILER DE UN (1) EQUIPO DE COMPUTO COMPLETO, ESCRITORIO, SILLA Y OTROS ENSERES DE OFICINA POR PUESTO DE TRABAJO</t>
  </si>
  <si>
    <t>IMPRESORA EN OBRA (ALQUILER)</t>
  </si>
  <si>
    <t>COMUNICACIONES (TELÉFONO, FAX, CELULAR, INTERNET, ETC.) MENSUAL EN CAMPO</t>
  </si>
  <si>
    <t>EQ010</t>
  </si>
  <si>
    <t>RADIOTELÉFONOS PARE-SIGA</t>
  </si>
  <si>
    <t>MATERIALES</t>
  </si>
  <si>
    <t>KG</t>
  </si>
  <si>
    <t>UN</t>
  </si>
  <si>
    <t>MO038</t>
  </si>
  <si>
    <t>DIRECTOR DE INTERVENTORÍA</t>
  </si>
  <si>
    <t>RESIDENTE DE INTERVENTORÍA</t>
  </si>
  <si>
    <t>RESIDENTE SOCIAL</t>
  </si>
  <si>
    <t>SECRETARIA</t>
  </si>
  <si>
    <t>AUXILIAR PARE-SIGA</t>
  </si>
  <si>
    <t>Par</t>
  </si>
  <si>
    <t>Unidad</t>
  </si>
  <si>
    <t>CHALECOS REFLECTIVOS</t>
  </si>
  <si>
    <t>COMISIÓN TOPOGRÁFICA (1 TOP. + 1 CAD. 1)</t>
  </si>
  <si>
    <t>Diseños de mezcla para una resistencia determinada (Incluye ensayos a agregados y verificación de resistencia)</t>
  </si>
  <si>
    <t>Relaciones de humedad - masa unitaria seca en los suelos (ensayo modificado de compactación - Proctor Modificado) con corrección del peso unitario y contenido de agua</t>
  </si>
  <si>
    <t>Resistencia a la compresión de cilindros de concreto (método normal)</t>
  </si>
  <si>
    <t>CANT</t>
  </si>
  <si>
    <t>VALOR MENSUAL</t>
  </si>
  <si>
    <t xml:space="preserve">PREST. SOC. </t>
  </si>
  <si>
    <t>DEDIC. %</t>
  </si>
  <si>
    <t>PLAZO</t>
  </si>
  <si>
    <t>VALOR PARCIAL</t>
  </si>
  <si>
    <t>1.2</t>
  </si>
  <si>
    <t>2.1</t>
  </si>
  <si>
    <t>2.4</t>
  </si>
  <si>
    <t>3.1</t>
  </si>
  <si>
    <t>3.4</t>
  </si>
  <si>
    <t>3.5</t>
  </si>
  <si>
    <t>4.1</t>
  </si>
  <si>
    <t>4.2</t>
  </si>
  <si>
    <t>5.1</t>
  </si>
  <si>
    <t>5.2</t>
  </si>
  <si>
    <t>5.3</t>
  </si>
  <si>
    <t>PÓLIZAS</t>
  </si>
  <si>
    <t>ESTAMPILLAS</t>
  </si>
  <si>
    <t>Pro Hospital</t>
  </si>
  <si>
    <t>Pro cultura</t>
  </si>
  <si>
    <t>Pro Anciano</t>
  </si>
  <si>
    <t>Pro Deporte y Recreación</t>
  </si>
  <si>
    <t>SUBTOTAL COSTOS DIRECTOS</t>
  </si>
  <si>
    <t>CÁLCULO DE PÓLIZAS DE OBRA</t>
  </si>
  <si>
    <t>VALOR DEL CONTRATO ( $ )</t>
  </si>
  <si>
    <t>PLAZO DEL CONTRATO</t>
  </si>
  <si>
    <t>ANTICIPO</t>
  </si>
  <si>
    <t>TIPO DE GARANTÍA</t>
  </si>
  <si>
    <t>VALOR ASEGURADO</t>
  </si>
  <si>
    <t>COBERTURA 
( DÍAS )</t>
  </si>
  <si>
    <t>TASA 
ANUAL</t>
  </si>
  <si>
    <t>PRIMA</t>
  </si>
  <si>
    <t>BASE</t>
  </si>
  <si>
    <t>VALOR</t>
  </si>
  <si>
    <t>CUMPLIMIENTO</t>
  </si>
  <si>
    <t>BUEN MANEJO Y CORRECTA INVERSIÓN DEL ANTICIPO</t>
  </si>
  <si>
    <t>SALARIOS Y PRESTACIONES SOCIALES</t>
  </si>
  <si>
    <t>CALIDAD DEL SERVICIO</t>
  </si>
  <si>
    <t>DECRETO 1082 SMMLV RESPONSABILIDAD CIVIL</t>
  </si>
  <si>
    <t>SMMLV</t>
  </si>
  <si>
    <t>MONTO ASEGURABLE</t>
  </si>
  <si>
    <t>PLAZO MESES</t>
  </si>
  <si>
    <t>TASA ANUAL</t>
  </si>
  <si>
    <t>SUBTOTAL PRIMA</t>
  </si>
  <si>
    <t>GASTOS DE EXPEDICIÓN</t>
  </si>
  <si>
    <t>IVA</t>
  </si>
  <si>
    <t>TOTAL POLIZAS</t>
  </si>
  <si>
    <t>3.2</t>
  </si>
  <si>
    <t>2.2</t>
  </si>
  <si>
    <t>PROGRAMA / PROYECTO GESTIÓN AMBIENTAL</t>
  </si>
  <si>
    <t>CUMPLIMIENTO DE REQUISITOS LEGALES</t>
  </si>
  <si>
    <t xml:space="preserve">TRAMITE DE PERMISO DE OCUPACIÓN DE CAUCE </t>
  </si>
  <si>
    <t xml:space="preserve">MANEJO Y DISPOSICION FINAL DE RESIDUOS SOLIDOS CONVENCIONALES Y ESPECIALES  </t>
  </si>
  <si>
    <t>BOLSAS POLIETILENO ALTA DENSIDAD (PAQUETE 100 UNIDADES DE  100 X 100). INCLUYE IVA</t>
  </si>
  <si>
    <t xml:space="preserve">DISPOSICIÓN DE RESIDUOS PELIGROSOS Y ESPECIALES CON EMPRESAS CERTIFICADAS </t>
  </si>
  <si>
    <t>M</t>
  </si>
  <si>
    <t>CINTA SEÑALIZACIÓN CALIBRE 4, 12 CM DE ALTO, COLOR NARANJA - BLANCO O AMARILLO- NEGRO, DE 500 M. (INCLUYE IVA)</t>
  </si>
  <si>
    <t>ROLLO</t>
  </si>
  <si>
    <t xml:space="preserve">PROYECTO DE MANEJO INTEGRAL DE MATERIALES DE CONSTRUCCION Y MANEJO DE FUENTES DE EMISIONES ATMOSFÉRICAS </t>
  </si>
  <si>
    <t>HUMECTACIÓN DE VÍA/ÁREAS DE TRABAJO PARA CONTROL DE MATERIAL PARTICULADO (INCLUYE IVA)</t>
  </si>
  <si>
    <t xml:space="preserve">TELERAS 1,35M X 0,90 M </t>
  </si>
  <si>
    <t>LAVADERO DE LLANTAS</t>
  </si>
  <si>
    <t xml:space="preserve">PLÁSTICO NEGRO POLIETILENO DE GRUESO CALIBRE,  (150 M, CALIBRE 3.5 ANCHO DE 3 M). </t>
  </si>
  <si>
    <t>MANEJO DE RESIDUOS LÍQUIDOS DOMÉSTICOS E INDUSTRIALES</t>
  </si>
  <si>
    <t xml:space="preserve">KIT DE EMERGENCIA PARA DERRAMES </t>
  </si>
  <si>
    <t>SUBTOTAL GESTIÓN AMBIENTAL</t>
  </si>
  <si>
    <t xml:space="preserve">PROGRAMA DE SEGURIDAD Y SALUD EN EL TRABAJO </t>
  </si>
  <si>
    <t>DOTACIÓN DE CAMPAMENTOS  /INSTALACIONES PROVISIONALES</t>
  </si>
  <si>
    <t>SEÑALES DE CAMPAMENTO - AVISOS EN POLIETILENO DE 30 X 50 CM    (INCLUYE IVA)</t>
  </si>
  <si>
    <t>CAMILLA EMERGENCIA POLIETILENO 185X45CM (INCLUYE IVA)</t>
  </si>
  <si>
    <t>EXTINTOR ABC 20 LB (INCLUYE IVA)</t>
  </si>
  <si>
    <t xml:space="preserve">BOTIQUÍN CRUZ ROJA DE PRIMEROS AUXILIOS REF. 115 EN LONA </t>
  </si>
  <si>
    <t>IMAGEN INSTITUCIONAL</t>
  </si>
  <si>
    <t>LONA PARA VEHÍCULO (VOLQUETA O CAMIÓN) DE 1,50 X 0,80 M, IMPRESIÓN INJEKT RESISTENTE A LA INTEMPERIE</t>
  </si>
  <si>
    <t xml:space="preserve">CARNÉ PERSONAL. </t>
  </si>
  <si>
    <t>SUBTOTAL GESTIÓN SEGURIDAD Y SALUD EN EL TRABAJO</t>
  </si>
  <si>
    <t>GESTIÓN SOCIAL</t>
  </si>
  <si>
    <t xml:space="preserve">INFORMACIÓN Y DIVULGACIÓN </t>
  </si>
  <si>
    <t xml:space="preserve">PRODUCTOS DE LITOGRAFIA: AFICHES, VOLANTES, PLEGABLES, FORMATOS.   </t>
  </si>
  <si>
    <t>BUZÓN PQRS EN ACRÍLICO SEGÚN DISEÑO SUMINISTRADO POR LA ENTIDAD (0,35M*0,45M)</t>
  </si>
  <si>
    <t xml:space="preserve">REUNIONES, TALLERES INFORMATIVOS Y DE SOCIALIZACIÓN CON LA COMUNIDAD AFECTADA POR EL PROYECTO. INICIO, AVANCE Y FIN DE OBRA. INCLUYE LOGÍSTICA Y REFRIGERIOS. </t>
  </si>
  <si>
    <t>SUBTOTAL GESTIÓN SOCIAL</t>
  </si>
  <si>
    <t>TOTAL PLAN DE MANEJO AMBIENTAL - PMA</t>
  </si>
  <si>
    <t>N/A</t>
  </si>
  <si>
    <t xml:space="preserve">SEÑALIZACIÓN FRENTES DE OBRAS Y SITIOS TEMPORALES (DEMARCACIÓN DE ÁREAS DE TRABAJO Y CENTROS DE ACOPIO) </t>
  </si>
  <si>
    <t>ML</t>
  </si>
  <si>
    <t>JUEGO DE TRES RECIPIENTES O CANECAS DE 55 GALONES, PUNTO ECOLOGICO CON SEÑALIZACIÓN INCLUYE IVA</t>
  </si>
  <si>
    <t>3.3</t>
  </si>
  <si>
    <t>4.3</t>
  </si>
  <si>
    <t>DISTANCIA A SITIO DE PROVISIÓN  DE MATERIAL DE PLAYA (ARENILLON, PIEDRA RODADA DE RIO) (KM)</t>
  </si>
  <si>
    <t>DISTANCIA A SITIO DE PROVISIÓN DE MATERIAL DE PLAYA (TRITURADO) (KM)</t>
  </si>
  <si>
    <t>PRESUPUESTO INTERVENTORÍA</t>
  </si>
  <si>
    <t>A</t>
  </si>
  <si>
    <t>COSTOS DIRECTOS DE PERSONAL</t>
  </si>
  <si>
    <t>SALARIO BÁSICO</t>
  </si>
  <si>
    <t>FACTOR MULTIPLICADOR INTERVENTORÍA</t>
  </si>
  <si>
    <t>PRESTACIONES SOCIALES</t>
  </si>
  <si>
    <t>PRIMA ANUAL</t>
  </si>
  <si>
    <t xml:space="preserve">CESANTÍA ANUAL </t>
  </si>
  <si>
    <t>INTERÉS A LAS CESANTÍAS</t>
  </si>
  <si>
    <t>VACACIONES ANUALES</t>
  </si>
  <si>
    <t>EPS</t>
  </si>
  <si>
    <t>PENSIONES (AFP)</t>
  </si>
  <si>
    <t>SENA</t>
  </si>
  <si>
    <t>ICBF</t>
  </si>
  <si>
    <t>SUBSIDIO FAMILIAR (CAJA DE COMPENSACIÓN)</t>
  </si>
  <si>
    <t xml:space="preserve"> ARP 6,96 % NORMAL</t>
  </si>
  <si>
    <t>DOTACIÓN</t>
  </si>
  <si>
    <t>EPP</t>
  </si>
  <si>
    <t>EXÁMENES DE INGRESO - EGRESO</t>
  </si>
  <si>
    <t>ENTRE 0.5% Y 1.5%</t>
  </si>
  <si>
    <t>ENTRE 1% Y 2%</t>
  </si>
  <si>
    <t>ENTRE 0.35% Y 0.65%</t>
  </si>
  <si>
    <t>COSTOS INDIRECTOS</t>
  </si>
  <si>
    <t>COSTOS OFICINA (ARRENDAMIENTO,ADMINISTRACIÓN Y SERVICIOS PÚLBICOS, MANTENIMIENTO DE OFICINAS, ASEO, VIGILANCIA, SEGUROS DE ROBO E INCENDIO, ALQUILER (O DEPRECIACIÓN)  Y MANTENIMIENTO DE VEHÍCULOS DE ADMINISTRACIÓN Y GERENCIA,   ASOCIACIONES PROFESIONALES, DOCUMENTACIÓN TÉCNICA, REVISTAS, REPRESENTACIÓN Y PROMOCIÓN, PREPARACIÓN Y EDICIÓN DE PROPUESTAS, GASTOS DE VIAJE, GASTOS DE REPRESENTACIÓN)</t>
  </si>
  <si>
    <t>PAPELERÍA DE LA OFICINA DEL CONSULTOR PARA USO DEL PROYECTO (CAFETERÍA Y OTROS GASTOS FUNCIONAMIENTO</t>
  </si>
  <si>
    <t>MUEBLES Y EQUIPOS DE OFICINA, PAGO PROGRAMAS, SISTEMATIZACIÓN  Y ACTUALIZACIÓN TECNOLÓGICA, RACK.</t>
  </si>
  <si>
    <t>PERSONAL ADMINISTRATIVO, TÉCNICO Y NO TÉCNICO, NO FACTURABLE, ENTRENAMIENTO DE PERSONAL, CAPACITACIÓN Y ACTUALIZACIÓN TÉCNICA (CURSOS, SEMINARIOS, CONGRESOS).</t>
  </si>
  <si>
    <t>ASESORÍA CONTABLE, TRIBUTARIA (REVISORÍA FISCAL) Y MÉDICA</t>
  </si>
  <si>
    <t xml:space="preserve">Calculo del costo a reconocer por concepto de prestaciones sociales en caso de que el interventor este obligado a realizar aportes a salud, ICBF y SENA </t>
  </si>
  <si>
    <t>GASTOS DE LEGALIZACIÓN DE CONTRATO</t>
  </si>
  <si>
    <t>2.3</t>
  </si>
  <si>
    <t>2.5</t>
  </si>
  <si>
    <t>2.6</t>
  </si>
  <si>
    <t>2.7</t>
  </si>
  <si>
    <t>2.8</t>
  </si>
  <si>
    <t>2.9</t>
  </si>
  <si>
    <t>2.10</t>
  </si>
  <si>
    <t>2.11</t>
  </si>
  <si>
    <t>2.12</t>
  </si>
  <si>
    <t>2.13</t>
  </si>
  <si>
    <t>4.2.1</t>
  </si>
  <si>
    <t>4.2.2</t>
  </si>
  <si>
    <t>4.2.3</t>
  </si>
  <si>
    <t>4.2.4</t>
  </si>
  <si>
    <t>HONORARIOS</t>
  </si>
  <si>
    <t>FACTOR MULTIPLICADOR AJUSTADO A 2 CIFRAS DECIMALES</t>
  </si>
  <si>
    <t>COLOCAR LAS ESTAMPILLAS APLICABLES AL MUNICIPIO</t>
  </si>
  <si>
    <t>ENTRE 8% Y 12%</t>
  </si>
  <si>
    <t xml:space="preserve">EQUIPO PROFESIONAL </t>
  </si>
  <si>
    <t>APLICACIÓN FACTOR MULTIPLICADOR</t>
  </si>
  <si>
    <t>SUBTOTAL COSTOS DE PERSONAL</t>
  </si>
  <si>
    <t>FACTOR MULTIPLICADOR</t>
  </si>
  <si>
    <t xml:space="preserve">VALOR TOTAL </t>
  </si>
  <si>
    <t>VALOR TOTAL COSTOS DE PERSONAL</t>
  </si>
  <si>
    <t>TOTAL COSTOS DIRECTOS DE PERSONAL</t>
  </si>
  <si>
    <t>B</t>
  </si>
  <si>
    <t>OTROS COSTOS DIRECTOS</t>
  </si>
  <si>
    <t>GASTOS DE TRANSPORTE, ALQUILER DE EQUIPO Y OTROS (SE PAGAN CONTRA FACTURA Y RESULTADOS SI APLICA):</t>
  </si>
  <si>
    <t>5.4</t>
  </si>
  <si>
    <t>5.5</t>
  </si>
  <si>
    <t>5.6</t>
  </si>
  <si>
    <t>5.7</t>
  </si>
  <si>
    <t>PAPSO</t>
  </si>
  <si>
    <t>PAPSO INTERVENTORIA</t>
  </si>
  <si>
    <t>5.8</t>
  </si>
  <si>
    <t>Unidad de medida</t>
  </si>
  <si>
    <t>Ocasión</t>
  </si>
  <si>
    <t>Cant. Mensual</t>
  </si>
  <si>
    <t>Cant.max y Especificación</t>
  </si>
  <si>
    <t>Valor Unitario</t>
  </si>
  <si>
    <t>Valor total</t>
  </si>
  <si>
    <t>Und/mes</t>
  </si>
  <si>
    <t>Alcohol antiseptico  al 70%</t>
  </si>
  <si>
    <t>Litro</t>
  </si>
  <si>
    <t>0,006 Litro por día por persona - Antiséptico 70%. Ingrediente activo alcohol etílico potabilizado al 96%. Debe contar con registro INVIMA</t>
  </si>
  <si>
    <t>Gel antibacterial</t>
  </si>
  <si>
    <t>0,003 litros por día por persona - No requiere enjuague. Antiséptico para manos. Anticorrosivo. PH entre 6 y 7,5. Gel en base Glicerina + Alcohol antiséptico al 70%. Contenido de agua máximo 30%. Adicionado con emulientes y humectantes. Debe contar con registro INVIMA</t>
  </si>
  <si>
    <t>Jabón líquido antibacterial</t>
  </si>
  <si>
    <t>0,005 litros por día por persona - Agente limpiador 6%. Agente humectante 3%, PH 5,5 a 7,0.</t>
  </si>
  <si>
    <t>Hipoclorito de uso doméstico</t>
  </si>
  <si>
    <t>0,05 litros por cada litro de solución a 2500 ppm, para lavado rutinario. Hipoclorito de sodio al 5%(NaOCl), solución acuosa, libre de partículas, de control bacteriológico y microbiológico.</t>
  </si>
  <si>
    <t>Tapabocas reutilizable en tela</t>
  </si>
  <si>
    <t>4 unidades por mes por persona - Se deben seguir las especificaciones de la Resolución 666 del 24 de abril de 2020 y el documento soporte GIPS18 expedidos por el Ministerio de Salud</t>
  </si>
  <si>
    <t>Guantes de nitrilo</t>
  </si>
  <si>
    <t xml:space="preserve">2 pares por semana por persona - NTC 2190; UNE EN 374, UNE EN 388, UNE EN 420, UNE EN 455. No esteril. Reutilizables o lavables de calibre de 0.05 mm o 2 mils.
</t>
  </si>
  <si>
    <t>Termómetro digital infrarrojo</t>
  </si>
  <si>
    <t>1 por la obra, Sensibilidad a 0.1 °C. Debe ser específicamente diseñado para leer temperatura corporal y no para cualquier superficie.</t>
  </si>
  <si>
    <t>Bomba de espalda</t>
  </si>
  <si>
    <t>1 por la obra, Aspersor tipo agrícola, portátil, 20 lts de capacidad con sistema, con bomba de acción manual, válvula de descompresión, boquillas plásticas y válvula de diafragma para regular el flujo</t>
  </si>
  <si>
    <t>SUBTOTAL PAPSO</t>
  </si>
  <si>
    <t>SISO (10% de dedicación)</t>
  </si>
  <si>
    <t>PAPSO INTERVENTORIA (Incluye SISO 10% de dedicación)</t>
  </si>
  <si>
    <t>TOTAL OTROS COSTOS DIRECTOS</t>
  </si>
  <si>
    <t>VALOR BÁSICO TOTAL</t>
  </si>
  <si>
    <t>TOTAL INTERVENTORÍA</t>
  </si>
  <si>
    <t xml:space="preserve">% </t>
  </si>
  <si>
    <t>COSTO TOTAL DE LA OBRA</t>
  </si>
  <si>
    <t>DETALLE</t>
  </si>
  <si>
    <t>TOTAL</t>
  </si>
  <si>
    <t>1.3</t>
  </si>
  <si>
    <t>OCASIÓN</t>
  </si>
  <si>
    <t>% TOTAL IMPLEMENTACIÓN PROTOCOLO DE BIOSEGURIDAD</t>
  </si>
  <si>
    <t>VALOR COSTO DIRECTO DE OBRA</t>
  </si>
  <si>
    <t>COSTO TOTAL IMPLEMENTACIÓN PROTOCOLO DE BIOSEGURIDAD COVID 19</t>
  </si>
  <si>
    <t>Aspersor tipo agrícola, portátil, 20 lts de capacidad con sistema, con bomba de acción manual, válvula de descompresión, boquillas plásticas y válvula de diafragma para regular el flujo</t>
  </si>
  <si>
    <t>1 por la obra</t>
  </si>
  <si>
    <t>Sensibilidad a 0.1 °C. Debe ser específicamente diseñado para leer temperatura corporal y no para cualquier superficie.</t>
  </si>
  <si>
    <t xml:space="preserve">NTC 2190; UNE EN 374, UNE EN 388, UNE EN 420, UNE EN 455. No esteril. Reutilizables o lavables de calibre de 0.05 mm o 2 mils.
</t>
  </si>
  <si>
    <t>2 pares por semana por persona</t>
  </si>
  <si>
    <t>Se deben seguir las especificaciones de la Resolución 666 del 24 de abril de 2020 y el documento soporte GIPS18 expedidos por el Ministerio de Salud</t>
  </si>
  <si>
    <t>4 unidades por mes por persona</t>
  </si>
  <si>
    <t>Hipoclorito de sodio al 5%(NaOCl), solución acuosa, libre de partículas, de control bacteriológico y microbiológico.</t>
  </si>
  <si>
    <t>0,05 litros por cada litro de solución a 2500 ppm, para lavado rutinario.</t>
  </si>
  <si>
    <t>Agente limpiador 6%. Agente humectante 3%, PH 5,5 a 7,0.</t>
  </si>
  <si>
    <t>0,005 litros por día por persona</t>
  </si>
  <si>
    <t>No requiere enjuague. Antiséptico para manos. Anticorrosivo. PH entre 6 y 7,5. Gel en base Glicerina + Alcohol antiséptico al 70%. Contenido de agua máximo 30%. Adicionado con emulientes y humectantes. Debe contar con registro INVIMA</t>
  </si>
  <si>
    <t>0,003 litros por día por persona.</t>
  </si>
  <si>
    <t>Antiséptico 70%. Ingrediente activo alcohol etílico potabilizado al 96%. Debe contar con registro INVIMA</t>
  </si>
  <si>
    <t>0,006 Litro por día por persona</t>
  </si>
  <si>
    <t>Alcohol antiséptico al 70%</t>
  </si>
  <si>
    <t>ESPECIFICACIÓN</t>
  </si>
  <si>
    <t>CANTIDADES MAXIMAS</t>
  </si>
  <si>
    <t>CANTIDAD MENSUAL</t>
  </si>
  <si>
    <t>UNIDAD DE MEDIDA</t>
  </si>
  <si>
    <t xml:space="preserve">Presupuesto de Implementación Protocolo de Bioseguridad </t>
  </si>
  <si>
    <t>Plazo</t>
  </si>
  <si>
    <t>PROTOCOLO DE BIOSEGURIDAD COVID 19</t>
  </si>
  <si>
    <t>PRESUPUESTO OFICIAL</t>
  </si>
  <si>
    <t>EQUIPOS</t>
  </si>
  <si>
    <t>TRANSPORTES</t>
  </si>
  <si>
    <t>MANO DE OBRA</t>
  </si>
  <si>
    <t>SERVICIOS</t>
  </si>
  <si>
    <t>SECRETARIA DE PLANEACIÓN E INFRAESTRUCTURA</t>
  </si>
  <si>
    <t>(6) seis meses</t>
  </si>
  <si>
    <t xml:space="preserve">Nota 1: de conformidad con las cantidades máximas para insumos y elementos requeridos para el protocolo de bioseguridad covid 19 establecidas en la circular externa 003 del 07 de mayo de 2020 del Ministerio de Transporte, en el presente proyecto se determina en obra 27 personas, que corresponden a (16) obreros, (4) oficiales, (1) topografo, (1) cadenero, (1) residente de obra contratista, (1) director de obra contratista, (1) Tecnologo SST, (1) Residente ambiental. </t>
  </si>
  <si>
    <t xml:space="preserve">TELA VERDE ZARÁN DE H=2,50 Y ESTACONES REDONDOS CADA 1,50M </t>
  </si>
  <si>
    <t xml:space="preserve">PROGRAMA DE ADAPTACION DE LA GUIA AMBIENTAL DE INVIAS – PAGA.
</t>
  </si>
  <si>
    <t>PLAN DE MANEJO DE TRÁNSITO - PMT</t>
  </si>
  <si>
    <t>1. DISPOSITIVOS DE CONTROL</t>
  </si>
  <si>
    <t>BARRICADAS</t>
  </si>
  <si>
    <t>PALETAS DE PARE Y SIGA</t>
  </si>
  <si>
    <t>DELINEADORES TUBULARES (COLOMBINAS)</t>
  </si>
  <si>
    <t>CINTA PLASTICA PELIGRO NO PASE</t>
  </si>
  <si>
    <t>2. SEÑALIZACION</t>
  </si>
  <si>
    <t>SEÑALIZACION PRIMER NIVEL (PASAVIAS EN TELA)</t>
  </si>
  <si>
    <t>SEÑALES MOVILES DE APROXIMACION</t>
  </si>
  <si>
    <t xml:space="preserve">3. EQUIPOS VARIOS </t>
  </si>
  <si>
    <t>VOLANTES INFORMATIVOS</t>
  </si>
  <si>
    <t>PITOS PARA AUXILIARES DE TRANSITO</t>
  </si>
  <si>
    <t>PAPELERIA E INFORMES</t>
  </si>
  <si>
    <t>4. PERSONAL</t>
  </si>
  <si>
    <t>TOTAL PLAN DE MANEJO DE TRÁNSITO - PMT</t>
  </si>
  <si>
    <t>MUNICIPIO DE DABEIBA</t>
  </si>
  <si>
    <t xml:space="preserve">UND </t>
  </si>
  <si>
    <t>M3</t>
  </si>
  <si>
    <t>SUMINISTRO Y TRANSPORTE DE SACO DE CEMENTO POR 50 KG</t>
  </si>
  <si>
    <t>SUMINISTRO Y TRANSPORTE ADOBE  10X20X40CM</t>
  </si>
  <si>
    <t>VALOR TOTAL DE SUMINISTRO</t>
  </si>
  <si>
    <t>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t>
  </si>
  <si>
    <t>SUMINISTRO Y TRANSPORTE DE TUBO CUADRADO</t>
  </si>
  <si>
    <t>SUMINISTRO Y TRANSPORTE DE TUBO RECTANGULAR</t>
  </si>
  <si>
    <t>SUMINISTRO Y TRANSPORTE TEJA ETERNIT N8</t>
  </si>
  <si>
    <t>SUMINISTRO Y TRANSPORTE TEJA ETERNIT N10</t>
  </si>
  <si>
    <t>SUMINISTRO Y TRANSPORTE DE ANTICORROSIVO CON</t>
  </si>
  <si>
    <t>SUMINISTRO Y TRANSPORTE DE SOLDADURA 6011 / 6013</t>
  </si>
  <si>
    <t>SUMINISTRO Y TRANSPORTE DE DISCO DE CORTE</t>
  </si>
  <si>
    <t>SUMINISTRO Y TRANSPORTE DE THINNER GARRAFA</t>
  </si>
  <si>
    <t>SUMINISTRO Y TRANSPORTE DE VARILLA CORRUGADA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</si>
</sst>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5" formatCode="&quot;$&quot;\ #,##0;\-&quot;$&quot;\ #,##0"/>
    <numFmt numFmtId="42" formatCode="_-&quot;$&quot;\ * #,##0_-;\-&quot;$&quot;\ * #,##0_-;_-&quot;$&quot;\ * &quot;-&quot;_-;_-@_-"/>
    <numFmt numFmtId="41" formatCode="_-* #,##0_-;\-* #,##0_-;_-* &quot;-&quot;_-;_-@_-"/>
    <numFmt numFmtId="44" formatCode="_-&quot;$&quot;\ * #,##0.00_-;\-&quot;$&quot;\ * #,##0.00_-;_-&quot;$&quot;\ * &quot;-&quot;??_-;_-@_-"/>
    <numFmt numFmtId="164" formatCode="0.000%"/>
    <numFmt numFmtId="165" formatCode="#,##0.0&quot; MESES&quot;"/>
    <numFmt numFmtId="166" formatCode="#,##0.00&quot; KM&quot;"/>
    <numFmt numFmtId="167" formatCode="&quot;$&quot;\ #,##0"/>
    <numFmt numFmtId="168" formatCode="#,##0.00&quot; SMMLV&quot;"/>
    <numFmt numFmtId="169" formatCode="#,##0&quot; DÍAS&quot;"/>
    <numFmt numFmtId="170" formatCode="_-&quot;$&quot;\ * #,##0_-;\-&quot;$&quot;\ * #,##0_-;_-&quot;$&quot;\ * &quot;-&quot;??_-;_-@_-"/>
    <numFmt numFmtId="171" formatCode="_-&quot;$&quot;* #,##0.00_-;\-&quot;$&quot;* #,##0.00_-;_-&quot;$&quot;* &quot;-&quot;??_-;_-@_-"/>
    <numFmt numFmtId="172" formatCode="&quot;$&quot;#,##0.00;[Red]\-&quot;$&quot;#,##0.00"/>
    <numFmt numFmtId="173" formatCode="#,##0.00_ ;\-#,##0.00\ "/>
    <numFmt numFmtId="174" formatCode="_(&quot;$&quot;\ * #,##0_);_(&quot;$&quot;\ * \(#,##0\);_(&quot;$&quot;\ * &quot;-&quot;??_);_(@_)"/>
    <numFmt numFmtId="175" formatCode="_(&quot;$&quot;\ * #,##0.00_);_(&quot;$&quot;\ * \(#,##0.00\);_(&quot;$&quot;\ * &quot;-&quot;??_);_(@_)"/>
    <numFmt numFmtId="176" formatCode="_ &quot;$&quot;\ * #,##0_ ;_ &quot;$&quot;\ * \-#,##0_ ;_ &quot;$&quot;\ * &quot;-&quot;_ ;_ @_ "/>
    <numFmt numFmtId="177" formatCode="_-&quot;$&quot;* #,##0_-;\-&quot;$&quot;* #,##0_-;_-&quot;$&quot;* &quot;-&quot;??_-;_-@_-"/>
  </numFmts>
  <fonts count="40">
    <font>
      <sz val="11"/>
      <color theme="1"/>
      <name val="Calibri"/>
      <family val="2"/>
      <scheme val="minor"/>
    </font>
    <font>
      <sz val="11"/>
      <color theme="1"/>
      <name val="Calibri"/>
      <family val="2"/>
      <scheme val="minor"/>
    </font>
    <font>
      <b/>
      <sz val="11"/>
      <color theme="1"/>
      <name val="Calibri"/>
      <family val="2"/>
      <scheme val="minor"/>
    </font>
    <font>
      <b/>
      <sz val="20"/>
      <color indexed="8"/>
      <name val="Calibri"/>
      <family val="2"/>
    </font>
    <font>
      <b/>
      <sz val="16"/>
      <color indexed="8"/>
      <name val="Calibri"/>
      <family val="2"/>
    </font>
    <font>
      <b/>
      <sz val="12"/>
      <color indexed="8"/>
      <name val="Calibri"/>
      <family val="2"/>
    </font>
    <font>
      <sz val="10"/>
      <color indexed="8"/>
      <name val="Calibri"/>
      <family val="2"/>
    </font>
    <font>
      <b/>
      <sz val="10"/>
      <color indexed="8"/>
      <name val="Calibri"/>
      <family val="2"/>
    </font>
    <font>
      <b/>
      <sz val="11"/>
      <color theme="1"/>
      <name val="Calibri"/>
      <family val="2"/>
    </font>
    <font>
      <sz val="11"/>
      <color theme="1"/>
      <name val="Calibri"/>
      <family val="2"/>
    </font>
    <font>
      <u/>
      <sz val="11"/>
      <color theme="10"/>
      <name val="Calibri"/>
      <family val="2"/>
      <scheme val="minor"/>
    </font>
    <font>
      <b/>
      <i/>
      <sz val="11"/>
      <color rgb="FFFF0000"/>
      <name val="Calibri"/>
      <family val="2"/>
    </font>
    <font>
      <b/>
      <i/>
      <sz val="11"/>
      <color rgb="FFFF0000"/>
      <name val="Calibri"/>
      <family val="2"/>
      <scheme val="minor"/>
    </font>
    <font>
      <b/>
      <i/>
      <u/>
      <sz val="11"/>
      <color rgb="FFFF0000"/>
      <name val="Calibri"/>
      <family val="2"/>
      <scheme val="minor"/>
    </font>
    <font>
      <sz val="11"/>
      <color indexed="8"/>
      <name val="Calibri"/>
      <family val="2"/>
    </font>
    <font>
      <b/>
      <sz val="11"/>
      <color theme="3"/>
      <name val="Arial Narrow"/>
      <family val="2"/>
    </font>
    <font>
      <b/>
      <u/>
      <sz val="11"/>
      <color rgb="FFC00000"/>
      <name val="Arial Narrow"/>
      <family val="2"/>
    </font>
    <font>
      <b/>
      <sz val="11"/>
      <color indexed="8"/>
      <name val="Calibri"/>
      <family val="2"/>
    </font>
    <font>
      <b/>
      <sz val="9"/>
      <color indexed="8"/>
      <name val="Calibri"/>
      <family val="2"/>
    </font>
    <font>
      <b/>
      <sz val="14"/>
      <color indexed="8"/>
      <name val="Calibri"/>
      <family val="2"/>
    </font>
    <font>
      <b/>
      <sz val="8"/>
      <color indexed="8"/>
      <name val="Calibri"/>
      <family val="2"/>
    </font>
    <font>
      <sz val="9"/>
      <color indexed="8"/>
      <name val="Calibri"/>
      <family val="2"/>
    </font>
    <font>
      <sz val="9"/>
      <name val="Calibri"/>
      <family val="2"/>
    </font>
    <font>
      <b/>
      <sz val="9"/>
      <name val="Calibri"/>
      <family val="2"/>
    </font>
    <font>
      <sz val="9"/>
      <color theme="1"/>
      <name val="Calibri"/>
      <family val="2"/>
      <scheme val="minor"/>
    </font>
    <font>
      <b/>
      <sz val="18"/>
      <color indexed="8"/>
      <name val="Calibri"/>
      <family val="2"/>
    </font>
    <font>
      <b/>
      <sz val="9"/>
      <color theme="1"/>
      <name val="Calibri"/>
      <family val="2"/>
    </font>
    <font>
      <b/>
      <sz val="9"/>
      <color theme="1"/>
      <name val="Calibri"/>
      <family val="2"/>
      <scheme val="minor"/>
    </font>
    <font>
      <sz val="8"/>
      <name val="Calibri"/>
      <family val="2"/>
      <scheme val="minor"/>
    </font>
    <font>
      <sz val="11"/>
      <color rgb="FFFF0000"/>
      <name val="Calibri"/>
      <family val="2"/>
      <scheme val="minor"/>
    </font>
    <font>
      <sz val="10"/>
      <color theme="1"/>
      <name val="Calibri"/>
      <family val="2"/>
      <scheme val="minor"/>
    </font>
    <font>
      <b/>
      <sz val="10"/>
      <color theme="1"/>
      <name val="Calibri"/>
      <family val="2"/>
      <scheme val="minor"/>
    </font>
    <font>
      <sz val="9"/>
      <color rgb="FFFF0000"/>
      <name val="Calibri"/>
      <family val="2"/>
    </font>
    <font>
      <b/>
      <i/>
      <sz val="10"/>
      <color rgb="FFFF0000"/>
      <name val="Calibri"/>
      <family val="2"/>
    </font>
    <font>
      <sz val="10"/>
      <name val="Arial"/>
      <family val="2"/>
    </font>
    <font>
      <b/>
      <sz val="9"/>
      <name val="Calibri  "/>
    </font>
    <font>
      <sz val="9"/>
      <name val="Calibri  "/>
    </font>
    <font>
      <sz val="12"/>
      <color theme="1"/>
      <name val="Verdana"/>
      <family val="2"/>
    </font>
    <font>
      <b/>
      <sz val="12"/>
      <color theme="1"/>
      <name val="Verdana"/>
      <family val="2"/>
    </font>
    <font>
      <b/>
      <sz val="14"/>
      <color theme="1"/>
      <name val="Calibri"/>
      <family val="2"/>
      <scheme val="minor"/>
    </font>
  </fonts>
  <fills count="17">
    <fill>
      <patternFill patternType="none"/>
    </fill>
    <fill>
      <patternFill patternType="gray125"/>
    </fill>
    <fill>
      <patternFill patternType="solid">
        <fgColor theme="9" tint="-0.249977111117893"/>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2" tint="-0.249977111117893"/>
        <bgColor indexed="64"/>
      </patternFill>
    </fill>
    <fill>
      <patternFill patternType="solid">
        <fgColor theme="2" tint="-9.9978637043366805E-2"/>
        <bgColor indexed="64"/>
      </patternFill>
    </fill>
    <fill>
      <patternFill patternType="gray125">
        <fgColor auto="1"/>
      </patternFill>
    </fill>
    <fill>
      <patternFill patternType="solid">
        <fgColor theme="3" tint="0.39997558519241921"/>
        <bgColor indexed="64"/>
      </patternFill>
    </fill>
    <fill>
      <patternFill patternType="solid">
        <fgColor theme="5" tint="0.59999389629810485"/>
        <bgColor indexed="64"/>
      </patternFill>
    </fill>
    <fill>
      <patternFill patternType="solid">
        <fgColor theme="4" tint="0.399975585192419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medium">
        <color indexed="64"/>
      </right>
      <top/>
      <bottom/>
      <diagonal/>
    </border>
    <border>
      <left style="medium">
        <color indexed="64"/>
      </left>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5">
    <xf numFmtId="0" fontId="0" fillId="0" borderId="0"/>
    <xf numFmtId="42" fontId="1" fillId="0" borderId="0" applyFont="0" applyFill="0" applyBorder="0" applyAlignment="0" applyProtection="0"/>
    <xf numFmtId="9" fontId="1" fillId="0" borderId="0" applyFont="0" applyFill="0" applyBorder="0" applyAlignment="0" applyProtection="0"/>
    <xf numFmtId="0" fontId="1" fillId="0" borderId="0"/>
    <xf numFmtId="0" fontId="10" fillId="0" borderId="0" applyNumberFormat="0" applyFill="0" applyBorder="0" applyAlignment="0" applyProtection="0"/>
    <xf numFmtId="0" fontId="14" fillId="0" borderId="0"/>
    <xf numFmtId="44" fontId="1" fillId="0" borderId="0" applyFont="0" applyFill="0" applyBorder="0" applyAlignment="0" applyProtection="0"/>
    <xf numFmtId="41" fontId="1" fillId="0" borderId="0" applyFont="0" applyFill="0" applyBorder="0" applyAlignment="0" applyProtection="0"/>
    <xf numFmtId="0" fontId="34" fillId="0" borderId="0"/>
    <xf numFmtId="171" fontId="1" fillId="0" borderId="0" applyFont="0" applyFill="0" applyBorder="0" applyAlignment="0" applyProtection="0"/>
    <xf numFmtId="172" fontId="34" fillId="0" borderId="0" applyFont="0" applyFill="0" applyBorder="0" applyAlignment="0" applyProtection="0"/>
    <xf numFmtId="0" fontId="1" fillId="0" borderId="0"/>
    <xf numFmtId="176" fontId="34" fillId="0" borderId="0" applyFont="0" applyFill="0" applyBorder="0" applyAlignment="0" applyProtection="0"/>
    <xf numFmtId="0" fontId="34" fillId="0" borderId="0"/>
    <xf numFmtId="175" fontId="1" fillId="0" borderId="0" applyFont="0" applyFill="0" applyBorder="0" applyAlignment="0" applyProtection="0"/>
  </cellStyleXfs>
  <cellXfs count="351">
    <xf numFmtId="0" fontId="0" fillId="0" borderId="0" xfId="0"/>
    <xf numFmtId="0" fontId="3" fillId="2" borderId="1" xfId="3" applyFont="1" applyFill="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6" fillId="0" borderId="0" xfId="3" applyFont="1" applyAlignment="1">
      <alignment vertical="center"/>
    </xf>
    <xf numFmtId="0" fontId="7" fillId="5" borderId="1" xfId="3" applyFont="1" applyFill="1" applyBorder="1" applyAlignment="1">
      <alignment horizontal="center" vertical="center"/>
    </xf>
    <xf numFmtId="0" fontId="8" fillId="0" borderId="1" xfId="0" applyFont="1" applyBorder="1" applyAlignment="1">
      <alignment vertical="center" wrapText="1"/>
    </xf>
    <xf numFmtId="0" fontId="9" fillId="6" borderId="1" xfId="0" applyFont="1" applyFill="1" applyBorder="1" applyAlignment="1">
      <alignment vertical="center"/>
    </xf>
    <xf numFmtId="5" fontId="9" fillId="0" borderId="1" xfId="1" applyNumberFormat="1" applyFont="1" applyFill="1" applyBorder="1" applyAlignment="1">
      <alignment horizontal="left" vertical="center"/>
    </xf>
    <xf numFmtId="164" fontId="9" fillId="0" borderId="1" xfId="2" applyNumberFormat="1" applyFont="1" applyBorder="1" applyAlignment="1">
      <alignment horizontal="left" vertical="center"/>
    </xf>
    <xf numFmtId="165" fontId="9" fillId="6" borderId="1" xfId="2" applyNumberFormat="1" applyFont="1" applyFill="1" applyBorder="1" applyAlignment="1">
      <alignment horizontal="left" vertical="center"/>
    </xf>
    <xf numFmtId="166" fontId="9" fillId="6" borderId="1" xfId="2" applyNumberFormat="1" applyFont="1" applyFill="1" applyBorder="1" applyAlignment="1">
      <alignment horizontal="left" vertical="center"/>
    </xf>
    <xf numFmtId="0" fontId="9" fillId="6" borderId="1" xfId="0" applyFont="1" applyFill="1" applyBorder="1" applyAlignment="1">
      <alignment horizontal="left" vertical="center" wrapText="1"/>
    </xf>
    <xf numFmtId="0" fontId="11" fillId="0" borderId="0" xfId="0" applyFont="1" applyAlignment="1">
      <alignment horizontal="justify" vertical="center"/>
    </xf>
    <xf numFmtId="0" fontId="13" fillId="0" borderId="0" xfId="4" applyFont="1" applyAlignment="1">
      <alignment horizontal="justify" vertical="center" wrapText="1"/>
    </xf>
    <xf numFmtId="0" fontId="15" fillId="0" borderId="0" xfId="5" applyFont="1"/>
    <xf numFmtId="0" fontId="16" fillId="0" borderId="0" xfId="5" applyFont="1"/>
    <xf numFmtId="0" fontId="6" fillId="0" borderId="0" xfId="3" applyFont="1" applyAlignment="1">
      <alignment horizontal="center" vertical="center"/>
    </xf>
    <xf numFmtId="0" fontId="18" fillId="8" borderId="1" xfId="3" applyFont="1" applyFill="1" applyBorder="1" applyAlignment="1">
      <alignment horizontal="center" vertical="center"/>
    </xf>
    <xf numFmtId="0" fontId="6" fillId="0" borderId="0" xfId="3" applyFont="1" applyAlignment="1">
      <alignment vertical="center" wrapText="1"/>
    </xf>
    <xf numFmtId="0" fontId="18" fillId="10" borderId="1" xfId="3" applyFont="1" applyFill="1" applyBorder="1" applyAlignment="1">
      <alignment horizontal="center" vertical="center" wrapText="1"/>
    </xf>
    <xf numFmtId="4" fontId="22" fillId="0" borderId="1" xfId="3" applyNumberFormat="1" applyFont="1" applyBorder="1" applyAlignment="1">
      <alignment horizontal="left" vertical="center" wrapText="1"/>
    </xf>
    <xf numFmtId="9" fontId="22" fillId="6" borderId="1" xfId="2" applyFont="1" applyFill="1" applyBorder="1" applyAlignment="1">
      <alignment horizontal="center" vertical="center"/>
    </xf>
    <xf numFmtId="167" fontId="22" fillId="6" borderId="1" xfId="3"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xf numFmtId="0" fontId="18" fillId="7" borderId="1" xfId="3" applyFont="1" applyFill="1" applyBorder="1" applyAlignment="1">
      <alignment horizontal="center" vertical="center"/>
    </xf>
    <xf numFmtId="4" fontId="22" fillId="0" borderId="1" xfId="3" applyNumberFormat="1" applyFont="1" applyBorder="1" applyAlignment="1">
      <alignment horizontal="center" vertical="center"/>
    </xf>
    <xf numFmtId="167" fontId="22" fillId="0" borderId="1" xfId="3" applyNumberFormat="1" applyFont="1" applyBorder="1" applyAlignment="1">
      <alignment horizontal="center" vertical="center"/>
    </xf>
    <xf numFmtId="4" fontId="22" fillId="6" borderId="1" xfId="3" applyNumberFormat="1" applyFont="1" applyFill="1" applyBorder="1" applyAlignment="1">
      <alignment horizontal="center" vertical="center"/>
    </xf>
    <xf numFmtId="4" fontId="22" fillId="0" borderId="1" xfId="3" applyNumberFormat="1" applyFont="1" applyBorder="1" applyAlignment="1">
      <alignment horizontal="left" vertical="center"/>
    </xf>
    <xf numFmtId="44" fontId="0" fillId="0" borderId="0" xfId="6" applyFont="1"/>
    <xf numFmtId="0" fontId="24" fillId="0" borderId="1" xfId="0" applyFont="1" applyBorder="1" applyAlignment="1">
      <alignment horizontal="center"/>
    </xf>
    <xf numFmtId="44" fontId="24" fillId="0" borderId="1" xfId="0" applyNumberFormat="1" applyFont="1" applyBorder="1"/>
    <xf numFmtId="44" fontId="24" fillId="0" borderId="1" xfId="6" applyFont="1" applyBorder="1"/>
    <xf numFmtId="4" fontId="23" fillId="9" borderId="1" xfId="3" applyNumberFormat="1" applyFont="1" applyFill="1" applyBorder="1" applyAlignment="1">
      <alignment horizontal="center" vertical="center"/>
    </xf>
    <xf numFmtId="0" fontId="18" fillId="9" borderId="1" xfId="3" applyFont="1" applyFill="1" applyBorder="1" applyAlignment="1">
      <alignment horizontal="center" vertical="center"/>
    </xf>
    <xf numFmtId="167" fontId="18" fillId="8" borderId="1" xfId="3" applyNumberFormat="1" applyFont="1" applyFill="1" applyBorder="1" applyAlignment="1">
      <alignment horizontal="right" vertical="center"/>
    </xf>
    <xf numFmtId="0" fontId="24" fillId="0" borderId="1" xfId="0" applyFont="1" applyBorder="1"/>
    <xf numFmtId="0" fontId="24" fillId="6" borderId="1" xfId="0" applyFont="1" applyFill="1" applyBorder="1"/>
    <xf numFmtId="9" fontId="24" fillId="6" borderId="1" xfId="2" applyFont="1" applyFill="1" applyBorder="1" applyAlignment="1">
      <alignment horizontal="center"/>
    </xf>
    <xf numFmtId="0" fontId="24" fillId="6" borderId="1" xfId="0" applyFont="1" applyFill="1" applyBorder="1" applyAlignment="1">
      <alignment horizontal="center"/>
    </xf>
    <xf numFmtId="0" fontId="24" fillId="6" borderId="1" xfId="0" applyFont="1" applyFill="1" applyBorder="1" applyAlignment="1">
      <alignment wrapText="1"/>
    </xf>
    <xf numFmtId="0" fontId="0" fillId="0" borderId="0" xfId="0" applyAlignment="1">
      <alignment horizontal="center" vertical="center"/>
    </xf>
    <xf numFmtId="44" fontId="0" fillId="0" borderId="0" xfId="6" applyFont="1" applyAlignment="1">
      <alignment horizontal="center" vertical="center"/>
    </xf>
    <xf numFmtId="0" fontId="20" fillId="0" borderId="0" xfId="3" applyFont="1" applyAlignment="1">
      <alignment horizontal="center" vertical="center"/>
    </xf>
    <xf numFmtId="0" fontId="7" fillId="0" borderId="1" xfId="3" applyFont="1" applyBorder="1" applyAlignment="1">
      <alignment horizontal="left" vertical="center" wrapText="1"/>
    </xf>
    <xf numFmtId="167" fontId="6" fillId="0" borderId="1" xfId="3" applyNumberFormat="1" applyFont="1" applyBorder="1" applyAlignment="1">
      <alignment horizontal="center" vertical="center" wrapText="1"/>
    </xf>
    <xf numFmtId="165" fontId="9" fillId="0" borderId="1" xfId="2" applyNumberFormat="1" applyFont="1" applyFill="1" applyBorder="1" applyAlignment="1">
      <alignment horizontal="center" vertical="center"/>
    </xf>
    <xf numFmtId="10" fontId="6" fillId="6" borderId="1" xfId="2" applyNumberFormat="1" applyFont="1" applyFill="1" applyBorder="1" applyAlignment="1">
      <alignment horizontal="center" vertical="center" wrapText="1"/>
    </xf>
    <xf numFmtId="167" fontId="18" fillId="7" borderId="5" xfId="3" applyNumberFormat="1" applyFont="1" applyFill="1" applyBorder="1" applyAlignment="1">
      <alignment horizontal="center" vertical="center"/>
    </xf>
    <xf numFmtId="0" fontId="18" fillId="7" borderId="5" xfId="3" applyFont="1" applyFill="1" applyBorder="1" applyAlignment="1">
      <alignment horizontal="center" vertical="center"/>
    </xf>
    <xf numFmtId="4" fontId="23" fillId="8" borderId="1" xfId="3" applyNumberFormat="1" applyFont="1" applyFill="1" applyBorder="1" applyAlignment="1">
      <alignment horizontal="left" vertical="center" wrapText="1"/>
    </xf>
    <xf numFmtId="4" fontId="23" fillId="8" borderId="1" xfId="3" applyNumberFormat="1" applyFont="1" applyFill="1" applyBorder="1" applyAlignment="1">
      <alignment horizontal="center" vertical="center"/>
    </xf>
    <xf numFmtId="167" fontId="23" fillId="8" borderId="1" xfId="3" applyNumberFormat="1" applyFont="1" applyFill="1" applyBorder="1" applyAlignment="1">
      <alignment horizontal="center" vertical="center"/>
    </xf>
    <xf numFmtId="167" fontId="23" fillId="8" borderId="1" xfId="2" applyNumberFormat="1" applyFont="1" applyFill="1" applyBorder="1" applyAlignment="1">
      <alignment horizontal="center" vertical="center"/>
    </xf>
    <xf numFmtId="4" fontId="23" fillId="9" borderId="1" xfId="3" applyNumberFormat="1" applyFont="1" applyFill="1" applyBorder="1" applyAlignment="1">
      <alignment horizontal="left" vertical="center" wrapText="1"/>
    </xf>
    <xf numFmtId="167" fontId="23" fillId="9" borderId="1" xfId="3" applyNumberFormat="1" applyFont="1" applyFill="1" applyBorder="1" applyAlignment="1">
      <alignment horizontal="center" vertical="center"/>
    </xf>
    <xf numFmtId="167" fontId="23" fillId="9" borderId="1" xfId="2" applyNumberFormat="1" applyFont="1" applyFill="1" applyBorder="1" applyAlignment="1">
      <alignment horizontal="center" vertical="center"/>
    </xf>
    <xf numFmtId="0" fontId="21" fillId="0" borderId="1" xfId="3" applyFont="1" applyBorder="1" applyAlignment="1">
      <alignment horizontal="center" vertical="center"/>
    </xf>
    <xf numFmtId="167" fontId="22" fillId="0" borderId="1" xfId="2" applyNumberFormat="1" applyFont="1" applyFill="1" applyBorder="1" applyAlignment="1">
      <alignment horizontal="center" vertical="center"/>
    </xf>
    <xf numFmtId="0" fontId="23" fillId="9" borderId="1" xfId="3" applyFont="1" applyFill="1" applyBorder="1" applyAlignment="1">
      <alignment horizontal="center" vertical="center"/>
    </xf>
    <xf numFmtId="0" fontId="18" fillId="0" borderId="1" xfId="3" applyFont="1" applyBorder="1" applyAlignment="1">
      <alignment horizontal="center" vertical="center"/>
    </xf>
    <xf numFmtId="4" fontId="23" fillId="0" borderId="1" xfId="3" applyNumberFormat="1" applyFont="1" applyBorder="1" applyAlignment="1">
      <alignment horizontal="left" vertical="center" wrapText="1"/>
    </xf>
    <xf numFmtId="4" fontId="23" fillId="0" borderId="1" xfId="3" applyNumberFormat="1" applyFont="1" applyBorder="1" applyAlignment="1">
      <alignment horizontal="center" vertical="center"/>
    </xf>
    <xf numFmtId="167" fontId="23" fillId="0" borderId="1" xfId="3" applyNumberFormat="1" applyFont="1" applyBorder="1" applyAlignment="1">
      <alignment horizontal="center" vertical="center"/>
    </xf>
    <xf numFmtId="167" fontId="23" fillId="0" borderId="1" xfId="2" applyNumberFormat="1" applyFont="1" applyFill="1" applyBorder="1" applyAlignment="1">
      <alignment horizontal="center" vertical="center"/>
    </xf>
    <xf numFmtId="167" fontId="0" fillId="0" borderId="0" xfId="0" applyNumberFormat="1"/>
    <xf numFmtId="44" fontId="0" fillId="0" borderId="0" xfId="0" applyNumberFormat="1"/>
    <xf numFmtId="0" fontId="29" fillId="0" borderId="0" xfId="0" applyFont="1"/>
    <xf numFmtId="0" fontId="30" fillId="0" borderId="0" xfId="0" applyFont="1"/>
    <xf numFmtId="0" fontId="7" fillId="7" borderId="5" xfId="3" applyFont="1" applyFill="1" applyBorder="1" applyAlignment="1">
      <alignment horizontal="center" vertical="center"/>
    </xf>
    <xf numFmtId="167" fontId="7" fillId="7" borderId="5" xfId="3" applyNumberFormat="1" applyFont="1" applyFill="1" applyBorder="1" applyAlignment="1">
      <alignment horizontal="right" vertical="center"/>
    </xf>
    <xf numFmtId="0" fontId="31" fillId="11" borderId="1" xfId="0" applyFont="1" applyFill="1" applyBorder="1" applyAlignment="1">
      <alignment horizontal="center"/>
    </xf>
    <xf numFmtId="0" fontId="31" fillId="12" borderId="1" xfId="0" applyFont="1" applyFill="1" applyBorder="1" applyAlignment="1">
      <alignment horizontal="center"/>
    </xf>
    <xf numFmtId="0" fontId="31" fillId="12" borderId="1" xfId="0" applyFont="1" applyFill="1" applyBorder="1"/>
    <xf numFmtId="0" fontId="18" fillId="9" borderId="1" xfId="3" applyFont="1" applyFill="1" applyBorder="1" applyAlignment="1">
      <alignment vertical="center"/>
    </xf>
    <xf numFmtId="10" fontId="18" fillId="9" borderId="1" xfId="2" applyNumberFormat="1" applyFont="1" applyFill="1" applyBorder="1" applyAlignment="1">
      <alignment horizontal="right" vertical="center"/>
    </xf>
    <xf numFmtId="10" fontId="22" fillId="0" borderId="1" xfId="2" applyNumberFormat="1" applyFont="1" applyFill="1" applyBorder="1" applyAlignment="1">
      <alignment horizontal="right" vertical="center"/>
    </xf>
    <xf numFmtId="10" fontId="22" fillId="6" borderId="1" xfId="2" applyNumberFormat="1" applyFont="1" applyFill="1" applyBorder="1" applyAlignment="1">
      <alignment horizontal="right" vertical="center"/>
    </xf>
    <xf numFmtId="4" fontId="32" fillId="0" borderId="1" xfId="3" applyNumberFormat="1" applyFont="1" applyBorder="1" applyAlignment="1">
      <alignment horizontal="left" vertical="center"/>
    </xf>
    <xf numFmtId="0" fontId="33" fillId="0" borderId="0" xfId="3" applyFont="1" applyAlignment="1">
      <alignment vertical="center"/>
    </xf>
    <xf numFmtId="0" fontId="26" fillId="9" borderId="1" xfId="0" applyFont="1" applyFill="1" applyBorder="1" applyAlignment="1">
      <alignment vertical="center"/>
    </xf>
    <xf numFmtId="2" fontId="22" fillId="0" borderId="1" xfId="7" applyNumberFormat="1" applyFont="1" applyFill="1" applyBorder="1" applyAlignment="1">
      <alignment horizontal="center" vertical="center"/>
    </xf>
    <xf numFmtId="9" fontId="22" fillId="0" borderId="1" xfId="2" applyFont="1" applyFill="1" applyBorder="1" applyAlignment="1">
      <alignment horizontal="center" vertical="center"/>
    </xf>
    <xf numFmtId="0" fontId="31" fillId="12" borderId="1" xfId="0" applyFont="1" applyFill="1" applyBorder="1" applyAlignment="1">
      <alignment horizontal="center" vertical="center"/>
    </xf>
    <xf numFmtId="167" fontId="22" fillId="0" borderId="1" xfId="3" applyNumberFormat="1" applyFont="1" applyBorder="1" applyAlignment="1">
      <alignment horizontal="right" vertical="center"/>
    </xf>
    <xf numFmtId="10" fontId="21" fillId="0" borderId="1" xfId="3" applyNumberFormat="1" applyFont="1" applyBorder="1" applyAlignment="1">
      <alignment vertical="center"/>
    </xf>
    <xf numFmtId="10" fontId="21" fillId="0" borderId="1" xfId="2" applyNumberFormat="1" applyFont="1" applyBorder="1" applyAlignment="1">
      <alignment vertical="center"/>
    </xf>
    <xf numFmtId="10" fontId="18" fillId="9" borderId="1" xfId="2" applyNumberFormat="1" applyFont="1" applyFill="1" applyBorder="1" applyAlignment="1">
      <alignment vertical="center"/>
    </xf>
    <xf numFmtId="10" fontId="23" fillId="0" borderId="1" xfId="2" applyNumberFormat="1" applyFont="1" applyFill="1" applyBorder="1" applyAlignment="1">
      <alignment horizontal="right" vertical="center"/>
    </xf>
    <xf numFmtId="4" fontId="23" fillId="0" borderId="1" xfId="3" applyNumberFormat="1" applyFont="1" applyBorder="1" applyAlignment="1">
      <alignment horizontal="right" vertical="center"/>
    </xf>
    <xf numFmtId="0" fontId="33" fillId="0" borderId="10" xfId="3" applyFont="1" applyBorder="1" applyAlignment="1">
      <alignment vertical="center" wrapText="1"/>
    </xf>
    <xf numFmtId="0" fontId="32" fillId="0" borderId="1" xfId="3" applyFont="1" applyBorder="1" applyAlignment="1">
      <alignment horizontal="center" vertical="center"/>
    </xf>
    <xf numFmtId="4" fontId="32" fillId="0" borderId="1" xfId="3" applyNumberFormat="1" applyFont="1" applyBorder="1" applyAlignment="1">
      <alignment horizontal="center" vertical="center"/>
    </xf>
    <xf numFmtId="167" fontId="32" fillId="0" borderId="1" xfId="3" applyNumberFormat="1" applyFont="1" applyBorder="1" applyAlignment="1">
      <alignment horizontal="center" vertical="center"/>
    </xf>
    <xf numFmtId="10" fontId="32" fillId="0" borderId="1" xfId="2" applyNumberFormat="1" applyFont="1" applyFill="1" applyBorder="1" applyAlignment="1">
      <alignment horizontal="right" vertical="center"/>
    </xf>
    <xf numFmtId="167" fontId="22" fillId="13" borderId="1" xfId="3" applyNumberFormat="1" applyFont="1" applyFill="1" applyBorder="1" applyAlignment="1">
      <alignment horizontal="center" vertical="center"/>
    </xf>
    <xf numFmtId="9" fontId="22" fillId="13" borderId="1" xfId="3" applyNumberFormat="1" applyFont="1" applyFill="1" applyBorder="1" applyAlignment="1">
      <alignment horizontal="center" vertical="center"/>
    </xf>
    <xf numFmtId="167" fontId="23" fillId="0" borderId="1" xfId="2" applyNumberFormat="1" applyFont="1" applyFill="1" applyBorder="1" applyAlignment="1">
      <alignment horizontal="right" vertical="center"/>
    </xf>
    <xf numFmtId="0" fontId="30" fillId="0" borderId="1" xfId="0" applyFont="1" applyBorder="1"/>
    <xf numFmtId="10" fontId="22" fillId="0" borderId="1" xfId="2" applyNumberFormat="1" applyFont="1" applyFill="1" applyBorder="1" applyAlignment="1">
      <alignment horizontal="center" vertical="center"/>
    </xf>
    <xf numFmtId="167" fontId="22" fillId="0" borderId="1" xfId="2" applyNumberFormat="1" applyFont="1" applyFill="1" applyBorder="1" applyAlignment="1">
      <alignment horizontal="right" vertical="center"/>
    </xf>
    <xf numFmtId="0" fontId="18" fillId="14" borderId="1" xfId="3" applyFont="1" applyFill="1" applyBorder="1" applyAlignment="1">
      <alignment horizontal="center" vertical="center"/>
    </xf>
    <xf numFmtId="167" fontId="18" fillId="14" borderId="1" xfId="3" applyNumberFormat="1" applyFont="1" applyFill="1" applyBorder="1" applyAlignment="1">
      <alignment horizontal="right" vertical="center"/>
    </xf>
    <xf numFmtId="0" fontId="24" fillId="0" borderId="0" xfId="0" applyFont="1" applyAlignment="1">
      <alignment horizontal="center"/>
    </xf>
    <xf numFmtId="0" fontId="7" fillId="0" borderId="8" xfId="3" applyFont="1" applyBorder="1" applyAlignment="1">
      <alignment vertical="center"/>
    </xf>
    <xf numFmtId="0" fontId="7" fillId="0" borderId="9" xfId="3" applyFont="1" applyBorder="1" applyAlignment="1">
      <alignment vertical="center"/>
    </xf>
    <xf numFmtId="0" fontId="7" fillId="0" borderId="0" xfId="3" applyFont="1" applyAlignment="1">
      <alignment vertical="center"/>
    </xf>
    <xf numFmtId="0" fontId="7" fillId="0" borderId="11" xfId="3" applyFont="1" applyBorder="1" applyAlignment="1">
      <alignment vertical="center"/>
    </xf>
    <xf numFmtId="0" fontId="7" fillId="0" borderId="13" xfId="3" applyFont="1" applyBorder="1" applyAlignment="1">
      <alignment vertical="center"/>
    </xf>
    <xf numFmtId="0" fontId="7" fillId="0" borderId="14" xfId="3" applyFont="1" applyBorder="1" applyAlignment="1">
      <alignment vertical="center"/>
    </xf>
    <xf numFmtId="0" fontId="35" fillId="0" borderId="15" xfId="8" applyFont="1" applyBorder="1" applyAlignment="1">
      <alignment horizontal="center" vertical="center"/>
    </xf>
    <xf numFmtId="0" fontId="35" fillId="0" borderId="16" xfId="8" applyFont="1" applyBorder="1" applyAlignment="1">
      <alignment horizontal="left" vertical="center" wrapText="1"/>
    </xf>
    <xf numFmtId="0" fontId="35" fillId="0" borderId="17" xfId="8" applyFont="1" applyBorder="1" applyAlignment="1">
      <alignment horizontal="center" vertical="center" wrapText="1"/>
    </xf>
    <xf numFmtId="171" fontId="35" fillId="0" borderId="17" xfId="9" applyFont="1" applyBorder="1" applyAlignment="1">
      <alignment horizontal="center" vertical="center"/>
    </xf>
    <xf numFmtId="0" fontId="35" fillId="0" borderId="17" xfId="8" applyFont="1" applyBorder="1" applyAlignment="1">
      <alignment horizontal="center" vertical="center"/>
    </xf>
    <xf numFmtId="0" fontId="35" fillId="0" borderId="17" xfId="8" applyFont="1" applyBorder="1" applyAlignment="1">
      <alignment horizontal="left" vertical="center"/>
    </xf>
    <xf numFmtId="0" fontId="35" fillId="0" borderId="18" xfId="8" applyFont="1" applyBorder="1" applyAlignment="1">
      <alignment horizontal="center" vertical="center"/>
    </xf>
    <xf numFmtId="0" fontId="36" fillId="0" borderId="19" xfId="8" applyFont="1" applyBorder="1" applyAlignment="1">
      <alignment horizontal="center" vertical="center"/>
    </xf>
    <xf numFmtId="0" fontId="36" fillId="0" borderId="14" xfId="8" applyFont="1" applyBorder="1" applyAlignment="1">
      <alignment horizontal="left" vertical="center" wrapText="1"/>
    </xf>
    <xf numFmtId="0" fontId="36" fillId="0" borderId="6" xfId="8" applyFont="1" applyBorder="1" applyAlignment="1">
      <alignment horizontal="center" vertical="center"/>
    </xf>
    <xf numFmtId="0" fontId="36" fillId="0" borderId="6" xfId="9" applyNumberFormat="1" applyFont="1" applyBorder="1" applyAlignment="1">
      <alignment horizontal="center" vertical="center"/>
    </xf>
    <xf numFmtId="9" fontId="36" fillId="0" borderId="6" xfId="8" applyNumberFormat="1" applyFont="1" applyBorder="1" applyAlignment="1">
      <alignment horizontal="center" vertical="center"/>
    </xf>
    <xf numFmtId="171" fontId="36" fillId="0" borderId="6" xfId="9" applyFont="1" applyBorder="1" applyAlignment="1">
      <alignment horizontal="center" vertical="center"/>
    </xf>
    <xf numFmtId="173" fontId="36" fillId="0" borderId="20" xfId="10" applyNumberFormat="1" applyFont="1" applyBorder="1" applyAlignment="1" applyProtection="1">
      <alignment vertical="center"/>
      <protection locked="0"/>
    </xf>
    <xf numFmtId="0" fontId="36" fillId="0" borderId="21" xfId="8" applyFont="1" applyBorder="1" applyAlignment="1">
      <alignment horizontal="center" vertical="center"/>
    </xf>
    <xf numFmtId="9" fontId="36" fillId="0" borderId="6" xfId="8" applyNumberFormat="1" applyFont="1" applyBorder="1" applyAlignment="1">
      <alignment horizontal="center" vertical="center" wrapText="1"/>
    </xf>
    <xf numFmtId="171" fontId="36" fillId="0" borderId="22" xfId="9" applyFont="1" applyBorder="1" applyAlignment="1" applyProtection="1">
      <alignment vertical="center"/>
      <protection locked="0"/>
    </xf>
    <xf numFmtId="0" fontId="36" fillId="0" borderId="23" xfId="8" applyFont="1" applyBorder="1" applyAlignment="1">
      <alignment vertical="center"/>
    </xf>
    <xf numFmtId="44" fontId="35" fillId="15" borderId="22" xfId="6" applyFont="1" applyFill="1" applyBorder="1" applyAlignment="1" applyProtection="1">
      <alignment vertical="center"/>
      <protection locked="0"/>
    </xf>
    <xf numFmtId="167" fontId="23" fillId="8" borderId="1" xfId="3" applyNumberFormat="1" applyFont="1" applyFill="1" applyBorder="1" applyAlignment="1">
      <alignment horizontal="right" vertical="center"/>
    </xf>
    <xf numFmtId="167" fontId="18" fillId="11" borderId="1" xfId="3" applyNumberFormat="1" applyFont="1" applyFill="1" applyBorder="1" applyAlignment="1">
      <alignment horizontal="right" vertical="center"/>
    </xf>
    <xf numFmtId="9" fontId="18" fillId="8" borderId="1" xfId="3" applyNumberFormat="1" applyFont="1" applyFill="1" applyBorder="1" applyAlignment="1">
      <alignment horizontal="center" vertical="center"/>
    </xf>
    <xf numFmtId="0" fontId="26" fillId="9" borderId="1" xfId="0" applyFont="1" applyFill="1" applyBorder="1" applyAlignment="1">
      <alignment horizontal="center" vertical="center"/>
    </xf>
    <xf numFmtId="0" fontId="18" fillId="0" borderId="1" xfId="3" applyFont="1" applyBorder="1" applyAlignment="1">
      <alignment horizontal="justify" vertical="center" wrapText="1"/>
    </xf>
    <xf numFmtId="9" fontId="21" fillId="6" borderId="1" xfId="3" applyNumberFormat="1" applyFont="1" applyFill="1" applyBorder="1" applyAlignment="1">
      <alignment horizontal="center" vertical="center" wrapText="1"/>
    </xf>
    <xf numFmtId="167" fontId="24" fillId="0" borderId="1" xfId="0" applyNumberFormat="1" applyFont="1" applyBorder="1"/>
    <xf numFmtId="10" fontId="21" fillId="0" borderId="1" xfId="2" applyNumberFormat="1" applyFont="1" applyBorder="1" applyAlignment="1">
      <alignment horizontal="center" vertical="center"/>
    </xf>
    <xf numFmtId="0" fontId="18" fillId="9" borderId="1" xfId="3" applyFont="1" applyFill="1" applyBorder="1" applyAlignment="1">
      <alignment horizontal="justify" vertical="center" wrapText="1"/>
    </xf>
    <xf numFmtId="0" fontId="18" fillId="9" borderId="1" xfId="3" applyFont="1" applyFill="1" applyBorder="1" applyAlignment="1">
      <alignment horizontal="center" vertical="center" wrapText="1"/>
    </xf>
    <xf numFmtId="167" fontId="18" fillId="9" borderId="1" xfId="3" applyNumberFormat="1" applyFont="1" applyFill="1" applyBorder="1" applyAlignment="1">
      <alignment horizontal="center" vertical="center"/>
    </xf>
    <xf numFmtId="0" fontId="18" fillId="0" borderId="1" xfId="3" applyFont="1" applyBorder="1" applyAlignment="1">
      <alignment horizontal="center" vertical="center" wrapText="1"/>
    </xf>
    <xf numFmtId="5" fontId="24" fillId="0" borderId="1" xfId="0" applyNumberFormat="1" applyFont="1" applyBorder="1"/>
    <xf numFmtId="165" fontId="24" fillId="0" borderId="1" xfId="0" applyNumberFormat="1" applyFont="1" applyBorder="1"/>
    <xf numFmtId="10" fontId="21" fillId="0" borderId="1" xfId="2" applyNumberFormat="1" applyFont="1" applyFill="1" applyBorder="1" applyAlignment="1">
      <alignment horizontal="center" vertical="center"/>
    </xf>
    <xf numFmtId="44" fontId="24" fillId="0" borderId="1" xfId="6" applyFont="1" applyFill="1" applyBorder="1"/>
    <xf numFmtId="10" fontId="24" fillId="0" borderId="1" xfId="2" applyNumberFormat="1" applyFont="1" applyBorder="1"/>
    <xf numFmtId="4" fontId="27" fillId="0" borderId="1" xfId="0" applyNumberFormat="1" applyFont="1" applyBorder="1"/>
    <xf numFmtId="10" fontId="23" fillId="8" borderId="1" xfId="2" applyNumberFormat="1" applyFont="1" applyFill="1" applyBorder="1" applyAlignment="1">
      <alignment horizontal="right" vertical="center"/>
    </xf>
    <xf numFmtId="2" fontId="22" fillId="0" borderId="1" xfId="6" applyNumberFormat="1" applyFont="1" applyBorder="1" applyAlignment="1">
      <alignment horizontal="center" vertical="center"/>
    </xf>
    <xf numFmtId="42" fontId="0" fillId="0" borderId="0" xfId="1" applyFont="1"/>
    <xf numFmtId="0" fontId="37" fillId="0" borderId="0" xfId="0" applyFont="1"/>
    <xf numFmtId="0" fontId="37" fillId="0" borderId="0" xfId="0" applyFont="1" applyAlignment="1">
      <alignment wrapText="1"/>
    </xf>
    <xf numFmtId="177" fontId="37" fillId="0" borderId="0" xfId="0" applyNumberFormat="1" applyFont="1" applyAlignment="1">
      <alignment wrapText="1"/>
    </xf>
    <xf numFmtId="0" fontId="37" fillId="0" borderId="0" xfId="0" applyFont="1" applyAlignment="1">
      <alignment horizontal="left"/>
    </xf>
    <xf numFmtId="171" fontId="37" fillId="0" borderId="0" xfId="0" applyNumberFormat="1" applyFont="1" applyAlignment="1">
      <alignment horizontal="left"/>
    </xf>
    <xf numFmtId="175" fontId="37" fillId="0" borderId="0" xfId="14" applyFont="1" applyAlignment="1">
      <alignment horizontal="left"/>
    </xf>
    <xf numFmtId="0" fontId="37" fillId="0" borderId="0" xfId="0" applyFont="1" applyAlignment="1">
      <alignment horizontal="center"/>
    </xf>
    <xf numFmtId="10" fontId="38" fillId="0" borderId="29" xfId="2" applyNumberFormat="1" applyFont="1" applyBorder="1" applyAlignment="1">
      <alignment horizontal="center"/>
    </xf>
    <xf numFmtId="177" fontId="38" fillId="0" borderId="1" xfId="0" applyNumberFormat="1" applyFont="1" applyBorder="1" applyAlignment="1">
      <alignment horizontal="left"/>
    </xf>
    <xf numFmtId="0" fontId="37" fillId="0" borderId="22" xfId="0" applyFont="1" applyBorder="1" applyAlignment="1">
      <alignment horizontal="center" vertical="center" wrapText="1"/>
    </xf>
    <xf numFmtId="0" fontId="37" fillId="0" borderId="1" xfId="0" applyFont="1" applyBorder="1" applyAlignment="1">
      <alignment horizontal="center" vertical="center" wrapText="1"/>
    </xf>
    <xf numFmtId="177" fontId="37" fillId="0" borderId="1" xfId="0" applyNumberFormat="1" applyFont="1" applyBorder="1" applyAlignment="1">
      <alignment horizontal="left" vertical="center"/>
    </xf>
    <xf numFmtId="174" fontId="37" fillId="0" borderId="1" xfId="9" applyNumberFormat="1" applyFont="1" applyBorder="1" applyAlignment="1">
      <alignment horizontal="center" vertical="center"/>
    </xf>
    <xf numFmtId="0" fontId="37" fillId="0" borderId="1" xfId="0" applyFont="1" applyBorder="1" applyAlignment="1">
      <alignment horizontal="center" vertical="center"/>
    </xf>
    <xf numFmtId="0" fontId="37" fillId="0" borderId="21" xfId="0" applyFont="1" applyBorder="1" applyAlignment="1">
      <alignment horizontal="center" vertical="center"/>
    </xf>
    <xf numFmtId="0" fontId="37" fillId="0" borderId="21" xfId="0" applyFont="1" applyBorder="1" applyAlignment="1">
      <alignment horizontal="center"/>
    </xf>
    <xf numFmtId="174" fontId="37" fillId="0" borderId="1" xfId="9" applyNumberFormat="1" applyFont="1" applyBorder="1" applyAlignment="1">
      <alignment horizontal="center" vertical="center" wrapText="1"/>
    </xf>
    <xf numFmtId="174" fontId="37" fillId="0" borderId="1" xfId="14" applyNumberFormat="1" applyFont="1" applyBorder="1" applyAlignment="1">
      <alignment horizontal="left" vertical="center"/>
    </xf>
    <xf numFmtId="0" fontId="38" fillId="0" borderId="22"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1" xfId="0" applyFont="1" applyBorder="1" applyAlignment="1">
      <alignment horizontal="center" vertical="center"/>
    </xf>
    <xf numFmtId="0" fontId="38" fillId="0" borderId="21" xfId="0" applyFont="1" applyBorder="1" applyAlignment="1">
      <alignment horizontal="center" vertical="center"/>
    </xf>
    <xf numFmtId="0" fontId="38" fillId="0" borderId="1" xfId="0" applyFont="1" applyBorder="1" applyAlignment="1">
      <alignment horizontal="center"/>
    </xf>
    <xf numFmtId="0" fontId="38" fillId="0" borderId="21" xfId="0" applyFont="1" applyBorder="1"/>
    <xf numFmtId="42" fontId="0" fillId="0" borderId="0" xfId="1" applyFont="1" applyAlignment="1">
      <alignment vertical="center"/>
    </xf>
    <xf numFmtId="170" fontId="0" fillId="0" borderId="0" xfId="0" applyNumberFormat="1"/>
    <xf numFmtId="170" fontId="0" fillId="0" borderId="0" xfId="1" applyNumberFormat="1" applyFont="1"/>
    <xf numFmtId="0" fontId="9" fillId="6" borderId="1" xfId="0" applyFont="1" applyFill="1" applyBorder="1" applyAlignment="1">
      <alignment horizontal="center" vertical="center"/>
    </xf>
    <xf numFmtId="0" fontId="9" fillId="6" borderId="1" xfId="0" applyFont="1" applyFill="1" applyBorder="1" applyAlignment="1">
      <alignment vertical="center" wrapText="1"/>
    </xf>
    <xf numFmtId="0" fontId="2" fillId="0" borderId="0" xfId="0" applyFont="1"/>
    <xf numFmtId="5" fontId="0" fillId="0" borderId="0" xfId="0" applyNumberFormat="1"/>
    <xf numFmtId="167" fontId="18" fillId="7" borderId="1" xfId="3" applyNumberFormat="1" applyFont="1" applyFill="1" applyBorder="1" applyAlignment="1">
      <alignment vertical="center"/>
    </xf>
    <xf numFmtId="42" fontId="0" fillId="0" borderId="0" xfId="1" applyFont="1" applyAlignment="1">
      <alignment horizontal="center" vertical="center"/>
    </xf>
    <xf numFmtId="0" fontId="0" fillId="0" borderId="0" xfId="1" applyNumberFormat="1" applyFont="1" applyAlignment="1">
      <alignment horizontal="center" vertical="center"/>
    </xf>
    <xf numFmtId="44" fontId="18" fillId="16" borderId="6" xfId="6" applyFont="1" applyFill="1" applyBorder="1" applyAlignment="1">
      <alignment horizontal="center" vertical="center"/>
    </xf>
    <xf numFmtId="167" fontId="5" fillId="16" borderId="0" xfId="3" applyNumberFormat="1" applyFont="1" applyFill="1" applyAlignment="1">
      <alignment horizontal="center" vertical="center"/>
    </xf>
    <xf numFmtId="0" fontId="6" fillId="0" borderId="34" xfId="3" applyFont="1" applyBorder="1" applyAlignment="1">
      <alignment horizontal="center" vertical="center"/>
    </xf>
    <xf numFmtId="0" fontId="0" fillId="0" borderId="34" xfId="0" applyBorder="1" applyAlignment="1">
      <alignment horizontal="center" vertical="center"/>
    </xf>
    <xf numFmtId="44" fontId="0" fillId="0" borderId="0" xfId="6" applyFont="1" applyBorder="1" applyAlignment="1">
      <alignment horizontal="center" vertical="center"/>
    </xf>
    <xf numFmtId="0" fontId="0" fillId="0" borderId="33" xfId="0" applyBorder="1" applyAlignment="1">
      <alignment horizontal="center" vertical="center"/>
    </xf>
    <xf numFmtId="0" fontId="39" fillId="0" borderId="21" xfId="0" applyFont="1" applyBorder="1" applyAlignment="1">
      <alignment horizontal="center" vertical="center"/>
    </xf>
    <xf numFmtId="0" fontId="0" fillId="0" borderId="21" xfId="0" applyBorder="1" applyAlignment="1">
      <alignment horizontal="center" vertical="center"/>
    </xf>
    <xf numFmtId="44" fontId="0" fillId="0" borderId="22" xfId="0" applyNumberFormat="1" applyBorder="1" applyAlignment="1">
      <alignment horizontal="center" vertical="center"/>
    </xf>
    <xf numFmtId="170" fontId="2" fillId="0" borderId="22" xfId="0" applyNumberFormat="1" applyFont="1" applyBorder="1" applyAlignment="1">
      <alignment horizontal="center" vertical="center"/>
    </xf>
    <xf numFmtId="0" fontId="0" fillId="0" borderId="39" xfId="0" applyBorder="1"/>
    <xf numFmtId="0" fontId="0" fillId="0" borderId="39" xfId="0" applyBorder="1" applyAlignment="1">
      <alignment horizontal="center" vertical="center"/>
    </xf>
    <xf numFmtId="44" fontId="0" fillId="0" borderId="39" xfId="6" applyFont="1" applyBorder="1" applyAlignment="1">
      <alignment horizontal="center" vertical="center"/>
    </xf>
    <xf numFmtId="0" fontId="0" fillId="0" borderId="40" xfId="0" applyBorder="1" applyAlignment="1">
      <alignment horizontal="center" vertical="center"/>
    </xf>
    <xf numFmtId="44" fontId="39" fillId="16" borderId="33" xfId="0" applyNumberFormat="1" applyFont="1" applyFill="1" applyBorder="1" applyAlignment="1">
      <alignment horizontal="center" vertical="center"/>
    </xf>
    <xf numFmtId="0" fontId="2" fillId="0" borderId="34" xfId="0" applyFont="1" applyBorder="1" applyAlignment="1">
      <alignment horizontal="center"/>
    </xf>
    <xf numFmtId="0" fontId="0" fillId="0" borderId="38" xfId="0" applyBorder="1" applyAlignment="1">
      <alignment horizontal="center"/>
    </xf>
    <xf numFmtId="0" fontId="5" fillId="16" borderId="3" xfId="3" applyFont="1" applyFill="1" applyBorder="1" applyAlignment="1">
      <alignment vertical="center"/>
    </xf>
    <xf numFmtId="0" fontId="5" fillId="16" borderId="4" xfId="3" applyFont="1" applyFill="1" applyBorder="1" applyAlignment="1">
      <alignment vertical="center"/>
    </xf>
    <xf numFmtId="0" fontId="18" fillId="7" borderId="9" xfId="3" applyFont="1" applyFill="1" applyBorder="1" applyAlignment="1">
      <alignment horizontal="center" vertical="center"/>
    </xf>
    <xf numFmtId="0" fontId="18" fillId="7" borderId="14" xfId="3" applyFont="1" applyFill="1" applyBorder="1" applyAlignment="1">
      <alignment horizontal="center" vertical="center"/>
    </xf>
    <xf numFmtId="0" fontId="39" fillId="0" borderId="3" xfId="0" applyFont="1" applyBorder="1" applyAlignment="1">
      <alignment horizontal="center" vertical="center"/>
    </xf>
    <xf numFmtId="0" fontId="0" fillId="0" borderId="4" xfId="0" applyBorder="1" applyAlignment="1">
      <alignment horizontal="center" vertical="center"/>
    </xf>
    <xf numFmtId="0" fontId="2" fillId="0" borderId="0" xfId="0" applyFont="1" applyAlignment="1">
      <alignment horizontal="center"/>
    </xf>
    <xf numFmtId="0" fontId="0" fillId="0" borderId="39" xfId="0" applyBorder="1" applyAlignment="1">
      <alignment horizontal="center"/>
    </xf>
    <xf numFmtId="170" fontId="0" fillId="0" borderId="1" xfId="6" applyNumberFormat="1" applyFont="1" applyBorder="1" applyAlignment="1">
      <alignment horizontal="center" vertical="center"/>
    </xf>
    <xf numFmtId="2" fontId="0" fillId="0" borderId="21" xfId="0" applyNumberFormat="1" applyBorder="1" applyAlignment="1">
      <alignment horizontal="center" vertical="center"/>
    </xf>
    <xf numFmtId="3" fontId="0" fillId="0" borderId="1" xfId="0" applyNumberFormat="1" applyBorder="1" applyAlignment="1">
      <alignment horizontal="center" vertical="center"/>
    </xf>
    <xf numFmtId="0" fontId="0" fillId="0" borderId="0" xfId="1" applyNumberFormat="1" applyFont="1" applyAlignment="1">
      <alignment vertical="center"/>
    </xf>
    <xf numFmtId="0" fontId="0" fillId="0" borderId="3" xfId="0" applyBorder="1" applyAlignment="1">
      <alignment horizontal="center" vertical="center"/>
    </xf>
    <xf numFmtId="42" fontId="0" fillId="0" borderId="1" xfId="1" applyFont="1" applyBorder="1" applyAlignment="1">
      <alignment horizontal="left" vertical="center"/>
    </xf>
    <xf numFmtId="0" fontId="12" fillId="0" borderId="0" xfId="4" applyFont="1" applyFill="1" applyAlignment="1">
      <alignment horizontal="justify" wrapText="1"/>
    </xf>
    <xf numFmtId="0" fontId="0" fillId="0" borderId="0" xfId="0" applyAlignment="1">
      <alignment horizontal="center"/>
    </xf>
    <xf numFmtId="0" fontId="18" fillId="0" borderId="2" xfId="3" applyFont="1" applyBorder="1" applyAlignment="1">
      <alignment horizontal="right" vertical="center"/>
    </xf>
    <xf numFmtId="0" fontId="18" fillId="0" borderId="3" xfId="3" applyFont="1" applyBorder="1" applyAlignment="1">
      <alignment horizontal="right" vertical="center"/>
    </xf>
    <xf numFmtId="0" fontId="18" fillId="0" borderId="4" xfId="3" applyFont="1" applyBorder="1" applyAlignment="1">
      <alignment horizontal="right" vertical="center"/>
    </xf>
    <xf numFmtId="0" fontId="3" fillId="2" borderId="2" xfId="3" applyFont="1" applyFill="1" applyBorder="1" applyAlignment="1">
      <alignment horizontal="center" vertical="center"/>
    </xf>
    <xf numFmtId="0" fontId="3" fillId="2" borderId="4" xfId="3" applyFont="1" applyFill="1" applyBorder="1" applyAlignment="1">
      <alignment horizontal="center" vertical="center"/>
    </xf>
    <xf numFmtId="0" fontId="4" fillId="0" borderId="8" xfId="3" applyFont="1" applyBorder="1" applyAlignment="1">
      <alignment horizontal="center" vertical="center"/>
    </xf>
    <xf numFmtId="0" fontId="4" fillId="0" borderId="9" xfId="3" applyFont="1" applyBorder="1" applyAlignment="1">
      <alignment horizontal="center" vertical="center"/>
    </xf>
    <xf numFmtId="0" fontId="4" fillId="0" borderId="0" xfId="3" applyFont="1" applyAlignment="1">
      <alignment horizontal="center" vertical="center"/>
    </xf>
    <xf numFmtId="0" fontId="4" fillId="0" borderId="11" xfId="3" applyFont="1" applyBorder="1" applyAlignment="1">
      <alignment horizontal="center" vertical="center"/>
    </xf>
    <xf numFmtId="0" fontId="4" fillId="0" borderId="13" xfId="3" applyFont="1" applyBorder="1" applyAlignment="1">
      <alignment horizontal="center" vertical="center"/>
    </xf>
    <xf numFmtId="0" fontId="4" fillId="0" borderId="14" xfId="3" applyFont="1" applyBorder="1" applyAlignment="1">
      <alignment horizontal="center" vertical="center"/>
    </xf>
    <xf numFmtId="0" fontId="4" fillId="3" borderId="2" xfId="3" applyFont="1" applyFill="1" applyBorder="1" applyAlignment="1">
      <alignment horizontal="center" vertical="center" wrapText="1"/>
    </xf>
    <xf numFmtId="0" fontId="4" fillId="3" borderId="4" xfId="3" applyFont="1" applyFill="1" applyBorder="1" applyAlignment="1">
      <alignment horizontal="center" vertical="center" wrapText="1"/>
    </xf>
    <xf numFmtId="0" fontId="5" fillId="4" borderId="2"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17" fillId="5" borderId="2" xfId="3" applyFont="1" applyFill="1" applyBorder="1" applyAlignment="1">
      <alignment horizontal="center" vertical="top" wrapText="1"/>
    </xf>
    <xf numFmtId="0" fontId="17" fillId="5" borderId="4" xfId="3" applyFont="1" applyFill="1" applyBorder="1" applyAlignment="1">
      <alignment horizontal="center" vertical="top" wrapText="1"/>
    </xf>
    <xf numFmtId="42" fontId="0" fillId="0" borderId="0" xfId="1" applyFont="1" applyAlignment="1">
      <alignment horizontal="center" vertical="center"/>
    </xf>
    <xf numFmtId="0" fontId="3" fillId="2" borderId="3" xfId="3" applyFont="1" applyFill="1" applyBorder="1" applyAlignment="1">
      <alignment horizontal="center" vertical="center"/>
    </xf>
    <xf numFmtId="0" fontId="4" fillId="3" borderId="3" xfId="3" applyFont="1" applyFill="1" applyBorder="1" applyAlignment="1">
      <alignment horizontal="center" vertical="center" wrapText="1"/>
    </xf>
    <xf numFmtId="0" fontId="17" fillId="4" borderId="2" xfId="3" applyFont="1" applyFill="1" applyBorder="1" applyAlignment="1">
      <alignment horizontal="center" vertical="center" wrapText="1"/>
    </xf>
    <xf numFmtId="0" fontId="17" fillId="4" borderId="3" xfId="3" applyFont="1" applyFill="1" applyBorder="1" applyAlignment="1">
      <alignment horizontal="center" vertical="center" wrapText="1"/>
    </xf>
    <xf numFmtId="0" fontId="17" fillId="5" borderId="2" xfId="3" applyFont="1" applyFill="1" applyBorder="1" applyAlignment="1">
      <alignment horizontal="center" vertical="center"/>
    </xf>
    <xf numFmtId="0" fontId="17" fillId="5" borderId="3" xfId="3" applyFont="1" applyFill="1" applyBorder="1" applyAlignment="1">
      <alignment horizontal="center" vertic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6" fillId="0" borderId="3" xfId="3" applyFont="1" applyBorder="1" applyAlignment="1">
      <alignment horizontal="center" vertical="center"/>
    </xf>
    <xf numFmtId="0" fontId="6" fillId="0" borderId="4" xfId="3" applyFont="1" applyBorder="1" applyAlignment="1">
      <alignment horizontal="center" vertical="center"/>
    </xf>
    <xf numFmtId="0" fontId="18" fillId="9" borderId="2" xfId="3" applyFont="1" applyFill="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20" fillId="0" borderId="0" xfId="3" applyFont="1" applyAlignment="1">
      <alignment horizontal="center" vertical="center"/>
    </xf>
    <xf numFmtId="0" fontId="37" fillId="0" borderId="0" xfId="0" applyFont="1" applyAlignment="1">
      <alignment horizontal="center"/>
    </xf>
    <xf numFmtId="0" fontId="37" fillId="0" borderId="28" xfId="0" applyFont="1" applyBorder="1" applyAlignment="1">
      <alignment horizontal="center"/>
    </xf>
    <xf numFmtId="0" fontId="37" fillId="0" borderId="25" xfId="0" applyFont="1" applyBorder="1" applyAlignment="1">
      <alignment horizontal="center"/>
    </xf>
    <xf numFmtId="0" fontId="37" fillId="0" borderId="24" xfId="0" applyFont="1" applyBorder="1" applyAlignment="1">
      <alignment horizontal="center"/>
    </xf>
    <xf numFmtId="0" fontId="38" fillId="0" borderId="21" xfId="0" applyFont="1" applyBorder="1" applyAlignment="1">
      <alignment horizontal="center" vertical="center" wrapText="1"/>
    </xf>
    <xf numFmtId="0" fontId="38" fillId="0" borderId="1" xfId="0" applyFont="1" applyBorder="1" applyAlignment="1">
      <alignment horizontal="center" vertical="center" wrapText="1"/>
    </xf>
    <xf numFmtId="0" fontId="38" fillId="0" borderId="22" xfId="0" applyFont="1" applyBorder="1" applyAlignment="1">
      <alignment horizontal="center" vertical="center" wrapText="1"/>
    </xf>
    <xf numFmtId="0" fontId="38" fillId="0" borderId="1" xfId="0" applyFont="1" applyBorder="1" applyAlignment="1">
      <alignment horizontal="center"/>
    </xf>
    <xf numFmtId="0" fontId="38" fillId="0" borderId="22" xfId="0" applyFont="1" applyBorder="1" applyAlignment="1">
      <alignment horizontal="center"/>
    </xf>
    <xf numFmtId="0" fontId="38" fillId="0" borderId="21" xfId="0" applyFont="1" applyBorder="1" applyAlignment="1">
      <alignment horizontal="left"/>
    </xf>
    <xf numFmtId="0" fontId="38" fillId="0" borderId="1" xfId="0" applyFont="1" applyBorder="1" applyAlignment="1">
      <alignment horizontal="left"/>
    </xf>
    <xf numFmtId="0" fontId="38" fillId="0" borderId="22" xfId="0" applyFont="1" applyBorder="1" applyAlignment="1">
      <alignment horizontal="left"/>
    </xf>
    <xf numFmtId="0" fontId="38" fillId="0" borderId="21" xfId="0" applyFont="1" applyBorder="1" applyAlignment="1">
      <alignment horizontal="right"/>
    </xf>
    <xf numFmtId="0" fontId="38" fillId="0" borderId="1" xfId="0" applyFont="1" applyBorder="1" applyAlignment="1">
      <alignment horizontal="right"/>
    </xf>
    <xf numFmtId="0" fontId="37" fillId="0" borderId="1" xfId="0" applyFont="1" applyBorder="1" applyAlignment="1">
      <alignment horizontal="center"/>
    </xf>
    <xf numFmtId="0" fontId="37" fillId="0" borderId="22" xfId="0" applyFont="1" applyBorder="1" applyAlignment="1">
      <alignment horizontal="center"/>
    </xf>
    <xf numFmtId="0" fontId="37" fillId="0" borderId="29" xfId="0" applyFont="1" applyBorder="1" applyAlignment="1">
      <alignment horizontal="center"/>
    </xf>
    <xf numFmtId="0" fontId="37" fillId="0" borderId="26" xfId="0" applyFont="1" applyBorder="1" applyAlignment="1">
      <alignment horizontal="center"/>
    </xf>
    <xf numFmtId="0" fontId="38" fillId="0" borderId="27" xfId="0" applyFont="1" applyBorder="1" applyAlignment="1">
      <alignment horizontal="right"/>
    </xf>
    <xf numFmtId="0" fontId="38" fillId="0" borderId="29" xfId="0" applyFont="1" applyBorder="1" applyAlignment="1">
      <alignment horizontal="right"/>
    </xf>
    <xf numFmtId="0" fontId="38" fillId="0" borderId="0" xfId="0" applyFont="1" applyAlignment="1">
      <alignment horizontal="left" vertical="top" wrapText="1"/>
    </xf>
    <xf numFmtId="0" fontId="18" fillId="8" borderId="2" xfId="3" applyFont="1" applyFill="1" applyBorder="1" applyAlignment="1">
      <alignment horizontal="left" vertical="center"/>
    </xf>
    <xf numFmtId="0" fontId="18" fillId="8" borderId="3" xfId="3" applyFont="1" applyFill="1" applyBorder="1" applyAlignment="1">
      <alignment horizontal="left" vertical="center"/>
    </xf>
    <xf numFmtId="0" fontId="18" fillId="8" borderId="4" xfId="3" applyFont="1" applyFill="1" applyBorder="1" applyAlignment="1">
      <alignment horizontal="left" vertical="center"/>
    </xf>
    <xf numFmtId="0" fontId="18" fillId="8" borderId="1" xfId="3" applyFont="1" applyFill="1" applyBorder="1" applyAlignment="1">
      <alignment horizontal="left" vertical="center"/>
    </xf>
    <xf numFmtId="0" fontId="26" fillId="8" borderId="1" xfId="0" applyFont="1" applyFill="1" applyBorder="1" applyAlignment="1">
      <alignment horizontal="left" vertical="center"/>
    </xf>
    <xf numFmtId="0" fontId="26" fillId="0" borderId="1" xfId="0" applyFont="1" applyBorder="1" applyAlignment="1">
      <alignment horizontal="left" vertical="center"/>
    </xf>
    <xf numFmtId="0" fontId="18" fillId="14" borderId="1" xfId="3" applyFont="1" applyFill="1" applyBorder="1" applyAlignment="1">
      <alignment horizontal="left" vertical="center"/>
    </xf>
    <xf numFmtId="0" fontId="26" fillId="14" borderId="1" xfId="0" applyFont="1" applyFill="1" applyBorder="1" applyAlignment="1">
      <alignment horizontal="left" vertical="center"/>
    </xf>
    <xf numFmtId="0" fontId="31" fillId="12" borderId="1" xfId="0" applyFont="1" applyFill="1" applyBorder="1" applyAlignment="1">
      <alignment horizontal="left"/>
    </xf>
    <xf numFmtId="0" fontId="31" fillId="12" borderId="1" xfId="0" applyFont="1" applyFill="1" applyBorder="1" applyAlignment="1">
      <alignment horizontal="left" vertical="top" wrapText="1"/>
    </xf>
    <xf numFmtId="0" fontId="3" fillId="2" borderId="1" xfId="3" applyFont="1" applyFill="1" applyBorder="1" applyAlignment="1">
      <alignment horizontal="center" vertical="center"/>
    </xf>
    <xf numFmtId="0" fontId="7" fillId="0" borderId="8" xfId="3" applyFont="1" applyBorder="1" applyAlignment="1">
      <alignment horizontal="center" vertical="center"/>
    </xf>
    <xf numFmtId="0" fontId="7" fillId="0" borderId="9" xfId="3" applyFont="1" applyBorder="1" applyAlignment="1">
      <alignment horizontal="center" vertical="center"/>
    </xf>
    <xf numFmtId="0" fontId="7" fillId="0" borderId="0" xfId="3" applyFont="1" applyAlignment="1">
      <alignment horizontal="center" vertical="center"/>
    </xf>
    <xf numFmtId="0" fontId="7" fillId="0" borderId="11" xfId="3" applyFont="1" applyBorder="1" applyAlignment="1">
      <alignment horizontal="center" vertical="center"/>
    </xf>
    <xf numFmtId="0" fontId="7" fillId="0" borderId="13" xfId="3" applyFont="1" applyBorder="1" applyAlignment="1">
      <alignment horizontal="center" vertical="center"/>
    </xf>
    <xf numFmtId="0" fontId="7" fillId="0" borderId="14" xfId="3" applyFont="1" applyBorder="1" applyAlignment="1">
      <alignment horizontal="center" vertical="center"/>
    </xf>
    <xf numFmtId="0" fontId="4" fillId="3" borderId="1" xfId="3" applyFont="1" applyFill="1" applyBorder="1" applyAlignment="1">
      <alignment horizontal="center" vertical="center" wrapText="1"/>
    </xf>
    <xf numFmtId="0" fontId="5" fillId="4" borderId="1" xfId="3" applyFont="1" applyFill="1" applyBorder="1" applyAlignment="1">
      <alignment horizontal="center" vertical="center" wrapText="1"/>
    </xf>
    <xf numFmtId="0" fontId="7" fillId="5" borderId="1" xfId="3" applyFont="1" applyFill="1" applyBorder="1" applyAlignment="1">
      <alignment horizontal="center" vertical="center"/>
    </xf>
    <xf numFmtId="0" fontId="31" fillId="11" borderId="1" xfId="0" applyFont="1" applyFill="1" applyBorder="1" applyAlignment="1">
      <alignment horizontal="left"/>
    </xf>
    <xf numFmtId="0" fontId="18" fillId="0" borderId="2" xfId="3" applyFont="1" applyBorder="1" applyAlignment="1">
      <alignment horizontal="left" vertical="center"/>
    </xf>
    <xf numFmtId="0" fontId="18" fillId="0" borderId="3" xfId="3" applyFont="1" applyBorder="1" applyAlignment="1">
      <alignment horizontal="left" vertical="center"/>
    </xf>
    <xf numFmtId="0" fontId="33" fillId="0" borderId="10" xfId="3" applyFont="1" applyBorder="1" applyAlignment="1">
      <alignment horizontal="center" vertical="center" wrapText="1"/>
    </xf>
    <xf numFmtId="0" fontId="27" fillId="0" borderId="1" xfId="0" applyFont="1" applyBorder="1" applyAlignment="1">
      <alignment horizontal="right"/>
    </xf>
    <xf numFmtId="0" fontId="18" fillId="0" borderId="1" xfId="3" applyFont="1" applyBorder="1" applyAlignment="1">
      <alignment horizontal="right" vertical="center" wrapText="1"/>
    </xf>
    <xf numFmtId="167" fontId="18" fillId="10" borderId="1" xfId="3" applyNumberFormat="1" applyFont="1" applyFill="1" applyBorder="1" applyAlignment="1">
      <alignment horizontal="center" vertical="center"/>
    </xf>
    <xf numFmtId="0" fontId="18" fillId="9" borderId="1" xfId="3" applyFont="1" applyFill="1" applyBorder="1" applyAlignment="1">
      <alignment horizontal="center" vertical="center" wrapText="1"/>
    </xf>
    <xf numFmtId="44" fontId="24" fillId="0" borderId="1" xfId="6" applyFont="1" applyBorder="1" applyAlignment="1">
      <alignment wrapText="1"/>
    </xf>
    <xf numFmtId="0" fontId="18" fillId="10" borderId="1" xfId="3" applyFont="1" applyFill="1" applyBorder="1" applyAlignment="1">
      <alignment horizontal="center" vertical="center" wrapText="1"/>
    </xf>
    <xf numFmtId="169" fontId="9" fillId="0" borderId="1" xfId="2" applyNumberFormat="1" applyFont="1" applyFill="1" applyBorder="1" applyAlignment="1">
      <alignment horizontal="center" vertical="center"/>
    </xf>
    <xf numFmtId="167" fontId="6" fillId="0" borderId="1" xfId="3" applyNumberFormat="1" applyFont="1" applyBorder="1" applyAlignment="1">
      <alignment horizontal="center" vertical="center" wrapText="1"/>
    </xf>
    <xf numFmtId="0" fontId="18" fillId="10" borderId="1" xfId="3" applyFont="1" applyFill="1" applyBorder="1" applyAlignment="1">
      <alignment horizontal="center" vertical="center"/>
    </xf>
    <xf numFmtId="168" fontId="6" fillId="0" borderId="2" xfId="3" applyNumberFormat="1" applyFont="1" applyBorder="1" applyAlignment="1">
      <alignment horizontal="center" vertical="center" wrapText="1"/>
    </xf>
    <xf numFmtId="168" fontId="6" fillId="0" borderId="4" xfId="3" applyNumberFormat="1" applyFont="1" applyBorder="1" applyAlignment="1">
      <alignment horizontal="center" vertical="center" wrapText="1"/>
    </xf>
    <xf numFmtId="0" fontId="25" fillId="2" borderId="1" xfId="3" applyFont="1" applyFill="1" applyBorder="1" applyAlignment="1">
      <alignment horizontal="center" vertical="center"/>
    </xf>
    <xf numFmtId="0" fontId="25" fillId="2" borderId="2" xfId="3" applyFont="1" applyFill="1" applyBorder="1" applyAlignment="1">
      <alignment horizontal="center" vertical="center"/>
    </xf>
    <xf numFmtId="0" fontId="4" fillId="0" borderId="1" xfId="3" applyFont="1" applyBorder="1" applyAlignment="1">
      <alignment horizontal="center" vertical="center"/>
    </xf>
    <xf numFmtId="0" fontId="5" fillId="3" borderId="1" xfId="3" applyFont="1" applyFill="1" applyBorder="1" applyAlignment="1">
      <alignment horizontal="center" vertical="center" wrapText="1"/>
    </xf>
    <xf numFmtId="0" fontId="5" fillId="3" borderId="2" xfId="3" applyFont="1" applyFill="1" applyBorder="1" applyAlignment="1">
      <alignment horizontal="center" vertical="center" wrapText="1"/>
    </xf>
    <xf numFmtId="0" fontId="7" fillId="4" borderId="1" xfId="3" applyFont="1" applyFill="1" applyBorder="1" applyAlignment="1">
      <alignment horizontal="center" vertical="center" wrapText="1"/>
    </xf>
    <xf numFmtId="0" fontId="7" fillId="4" borderId="2" xfId="3" applyFont="1" applyFill="1" applyBorder="1" applyAlignment="1">
      <alignment horizontal="center" vertical="center" wrapText="1"/>
    </xf>
    <xf numFmtId="0" fontId="7" fillId="5" borderId="2" xfId="3" applyFont="1" applyFill="1" applyBorder="1" applyAlignment="1">
      <alignment horizontal="center" vertical="center"/>
    </xf>
    <xf numFmtId="0" fontId="35" fillId="0" borderId="3" xfId="8" applyFont="1" applyBorder="1" applyAlignment="1">
      <alignment horizontal="center" vertical="center"/>
    </xf>
    <xf numFmtId="0" fontId="35" fillId="0" borderId="4" xfId="8" applyFont="1" applyBorder="1" applyAlignment="1">
      <alignment horizontal="center" vertical="center"/>
    </xf>
    <xf numFmtId="0" fontId="3" fillId="2" borderId="30" xfId="3" applyFont="1" applyFill="1" applyBorder="1" applyAlignment="1">
      <alignment horizontal="center" vertical="center"/>
    </xf>
    <xf numFmtId="0" fontId="3" fillId="2" borderId="31" xfId="3" applyFont="1" applyFill="1" applyBorder="1" applyAlignment="1">
      <alignment horizontal="center" vertical="center"/>
    </xf>
    <xf numFmtId="0" fontId="0" fillId="0" borderId="32" xfId="0" applyBorder="1" applyAlignment="1">
      <alignment horizontal="center" vertical="center"/>
    </xf>
    <xf numFmtId="0" fontId="0" fillId="0" borderId="25" xfId="0" applyBorder="1" applyAlignment="1">
      <alignment horizontal="center" vertical="center"/>
    </xf>
    <xf numFmtId="0" fontId="0" fillId="0" borderId="24" xfId="0" applyBorder="1" applyAlignment="1">
      <alignment horizontal="center" vertical="center"/>
    </xf>
    <xf numFmtId="0" fontId="0" fillId="0" borderId="10" xfId="0" applyBorder="1" applyAlignment="1">
      <alignment horizontal="center" vertical="center"/>
    </xf>
    <xf numFmtId="0" fontId="0" fillId="0" borderId="0" xfId="0" applyAlignment="1">
      <alignment horizontal="center" vertical="center"/>
    </xf>
    <xf numFmtId="0" fontId="0" fillId="0" borderId="33"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5" xfId="0" applyBorder="1" applyAlignment="1">
      <alignment horizontal="center" vertical="center"/>
    </xf>
    <xf numFmtId="0" fontId="4" fillId="3" borderId="23" xfId="3" applyFont="1" applyFill="1" applyBorder="1" applyAlignment="1">
      <alignment horizontal="center" vertical="center" wrapText="1"/>
    </xf>
    <xf numFmtId="0" fontId="19" fillId="4" borderId="23" xfId="3" applyFont="1" applyFill="1" applyBorder="1" applyAlignment="1">
      <alignment horizontal="center" vertical="center" wrapText="1"/>
    </xf>
    <xf numFmtId="0" fontId="19" fillId="4" borderId="3" xfId="3" applyFont="1" applyFill="1" applyBorder="1" applyAlignment="1">
      <alignment horizontal="center" vertical="center" wrapText="1"/>
    </xf>
    <xf numFmtId="0" fontId="17" fillId="5" borderId="23" xfId="3" applyFont="1" applyFill="1" applyBorder="1" applyAlignment="1">
      <alignment horizontal="center" vertical="center"/>
    </xf>
    <xf numFmtId="0" fontId="2" fillId="0" borderId="21" xfId="0" applyFont="1" applyBorder="1" applyAlignment="1">
      <alignment horizontal="right" vertical="center" wrapText="1"/>
    </xf>
    <xf numFmtId="0" fontId="2" fillId="0" borderId="4" xfId="0" applyFont="1" applyBorder="1" applyAlignment="1">
      <alignment horizontal="right" vertical="center" wrapText="1"/>
    </xf>
    <xf numFmtId="0" fontId="2" fillId="0" borderId="1" xfId="0" applyFont="1" applyBorder="1" applyAlignment="1">
      <alignment horizontal="right" vertical="center" wrapText="1"/>
    </xf>
    <xf numFmtId="0" fontId="0" fillId="0" borderId="34" xfId="0" applyBorder="1" applyAlignment="1">
      <alignment horizontal="center" vertical="center"/>
    </xf>
    <xf numFmtId="167" fontId="18" fillId="7" borderId="37" xfId="3" applyNumberFormat="1" applyFont="1" applyFill="1" applyBorder="1" applyAlignment="1">
      <alignment horizontal="center" vertical="center"/>
    </xf>
    <xf numFmtId="167" fontId="18" fillId="7" borderId="20" xfId="3" applyNumberFormat="1" applyFont="1" applyFill="1" applyBorder="1" applyAlignment="1">
      <alignment horizontal="center" vertical="center"/>
    </xf>
    <xf numFmtId="170" fontId="0" fillId="0" borderId="0" xfId="0" applyNumberFormat="1" applyAlignment="1">
      <alignment horizontal="center" vertical="center"/>
    </xf>
    <xf numFmtId="0" fontId="18" fillId="7" borderId="36" xfId="3" applyFont="1" applyFill="1" applyBorder="1" applyAlignment="1">
      <alignment horizontal="center" vertical="center"/>
    </xf>
    <xf numFmtId="0" fontId="18" fillId="7" borderId="19" xfId="3" applyFont="1" applyFill="1" applyBorder="1" applyAlignment="1">
      <alignment horizontal="center" vertical="center"/>
    </xf>
    <xf numFmtId="0" fontId="18" fillId="7" borderId="5" xfId="3" applyFont="1" applyFill="1" applyBorder="1" applyAlignment="1">
      <alignment horizontal="center" vertical="center"/>
    </xf>
    <xf numFmtId="0" fontId="18" fillId="7" borderId="6" xfId="3" applyFont="1" applyFill="1" applyBorder="1" applyAlignment="1">
      <alignment horizontal="center" vertical="center"/>
    </xf>
    <xf numFmtId="44" fontId="18" fillId="7" borderId="5" xfId="6" applyFont="1" applyFill="1" applyBorder="1" applyAlignment="1">
      <alignment horizontal="center" vertical="center"/>
    </xf>
    <xf numFmtId="44" fontId="18" fillId="7" borderId="6" xfId="6" applyFont="1" applyFill="1" applyBorder="1" applyAlignment="1">
      <alignment horizontal="center" vertical="center"/>
    </xf>
  </cellXfs>
  <cellStyles count="15">
    <cellStyle name="Hipervínculo" xfId="4" builtinId="8"/>
    <cellStyle name="Millares [0]" xfId="7" builtinId="6"/>
    <cellStyle name="Moneda" xfId="6" builtinId="4"/>
    <cellStyle name="Moneda [0]" xfId="1" builtinId="7"/>
    <cellStyle name="Moneda 11" xfId="9" xr:uid="{00000000-0005-0000-0000-000004000000}"/>
    <cellStyle name="Moneda 2" xfId="14" xr:uid="{00000000-0005-0000-0000-000005000000}"/>
    <cellStyle name="Moneda 3 2 2" xfId="12" xr:uid="{00000000-0005-0000-0000-000006000000}"/>
    <cellStyle name="Moneda 6 2" xfId="10" xr:uid="{00000000-0005-0000-0000-000007000000}"/>
    <cellStyle name="Normal" xfId="0" builtinId="0"/>
    <cellStyle name="Normal 12" xfId="11" xr:uid="{00000000-0005-0000-0000-000009000000}"/>
    <cellStyle name="Normal 2 2 2 2 2" xfId="8" xr:uid="{00000000-0005-0000-0000-00000A000000}"/>
    <cellStyle name="Normal 2 3 2 3" xfId="13" xr:uid="{00000000-0005-0000-0000-00000B000000}"/>
    <cellStyle name="Normal 3" xfId="5" xr:uid="{00000000-0005-0000-0000-00000C000000}"/>
    <cellStyle name="Normal 6 2" xfId="3" xr:uid="{00000000-0005-0000-0000-00000D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837970</xdr:colOff>
      <xdr:row>0</xdr:row>
      <xdr:rowOff>203200</xdr:rowOff>
    </xdr:from>
    <xdr:to>
      <xdr:col>0</xdr:col>
      <xdr:colOff>1777999</xdr:colOff>
      <xdr:row>3</xdr:row>
      <xdr:rowOff>82350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837970" y="203200"/>
          <a:ext cx="940029" cy="10983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50800</xdr:colOff>
      <xdr:row>0</xdr:row>
      <xdr:rowOff>172721</xdr:rowOff>
    </xdr:from>
    <xdr:to>
      <xdr:col>5</xdr:col>
      <xdr:colOff>607060</xdr:colOff>
      <xdr:row>2</xdr:row>
      <xdr:rowOff>269241</xdr:rowOff>
    </xdr:to>
    <xdr:pic>
      <xdr:nvPicPr>
        <xdr:cNvPr id="3" name="Imagen 2">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23000" y="172721"/>
          <a:ext cx="556260" cy="591820"/>
        </a:xfrm>
        <a:prstGeom prst="rect">
          <a:avLst/>
        </a:prstGeom>
        <a:noFill/>
        <a:ln>
          <a:noFill/>
        </a:ln>
      </xdr:spPr>
    </xdr:pic>
    <xdr:clientData/>
  </xdr:twoCellAnchor>
  <xdr:twoCellAnchor editAs="oneCell">
    <xdr:from>
      <xdr:col>5</xdr:col>
      <xdr:colOff>655322</xdr:colOff>
      <xdr:row>0</xdr:row>
      <xdr:rowOff>167640</xdr:rowOff>
    </xdr:from>
    <xdr:to>
      <xdr:col>6</xdr:col>
      <xdr:colOff>777240</xdr:colOff>
      <xdr:row>2</xdr:row>
      <xdr:rowOff>160020</xdr:rowOff>
    </xdr:to>
    <xdr:pic>
      <xdr:nvPicPr>
        <xdr:cNvPr id="4" name="Imagen 3">
          <a:extLst>
            <a:ext uri="{FF2B5EF4-FFF2-40B4-BE49-F238E27FC236}">
              <a16:creationId xmlns:a16="http://schemas.microsoft.com/office/drawing/2014/main" id="{00000000-0008-0000-09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46522" y="167640"/>
          <a:ext cx="922018" cy="48768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715440</xdr:colOff>
      <xdr:row>1</xdr:row>
      <xdr:rowOff>99785</xdr:rowOff>
    </xdr:from>
    <xdr:to>
      <xdr:col>7</xdr:col>
      <xdr:colOff>236111</xdr:colOff>
      <xdr:row>3</xdr:row>
      <xdr:rowOff>46761</xdr:rowOff>
    </xdr:to>
    <xdr:pic>
      <xdr:nvPicPr>
        <xdr:cNvPr id="2" name="Imagen 1">
          <a:extLst>
            <a:ext uri="{FF2B5EF4-FFF2-40B4-BE49-F238E27FC236}">
              <a16:creationId xmlns:a16="http://schemas.microsoft.com/office/drawing/2014/main" id="{B9D11EC4-DC29-4F02-9684-543F91D8D906}"/>
            </a:ext>
          </a:extLst>
        </xdr:cNvPr>
        <xdr:cNvPicPr>
          <a:picLocks noChangeAspect="1"/>
        </xdr:cNvPicPr>
      </xdr:nvPicPr>
      <xdr:blipFill>
        <a:blip xmlns:r="http://schemas.openxmlformats.org/officeDocument/2006/relationships" r:embed="rId1"/>
        <a:stretch>
          <a:fillRect/>
        </a:stretch>
      </xdr:blipFill>
      <xdr:spPr>
        <a:xfrm>
          <a:off x="8635947" y="432489"/>
          <a:ext cx="1366643" cy="161049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Y:\H:\D:\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D:\Y:\H:\D:\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Y:\D:\Y:\H:\D:\Vqicpysvr\VQ2008\SHARE\ESTIMA\P7020\PROYECTO\730\CAMBIOS\Z2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Y:\D:\Y:\H:\D:\L:\OFERTAS\7422\DPTO\CIVIL\7422CWX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Biblioteca%20no%20tocar\Descargas\Documentos\SECRETARIA%20DE%20PLANEACION%20PUERTO%20NARE\01%20B%20PROYECTOS\07%20PAVIMENTACI&#211;N%20LA%20PESCA%20A%20LA%20SIERRA%20ETAPA1\SUBSANACION%2028052021\Presupuesto%20de%20obra_SI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SUMOS MATERIALE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sheetData sheetId="3"/>
      <sheetData sheetId="4"/>
      <sheetData sheetId="5"/>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INICIALES"/>
      <sheetName val="ENTIDADES"/>
      <sheetName val="PRESUPUESTO"/>
      <sheetName val="MEMORIAS"/>
      <sheetName val="INSUMOS MATERIALES"/>
      <sheetName val="APU"/>
      <sheetName val="APU AUXILIARES"/>
      <sheetName val="INSUMOS EQUIPOS"/>
      <sheetName val="INSUMOS MANO DE OBRA"/>
      <sheetName val="AIU"/>
      <sheetName val="PÓLIZAS OBRA"/>
      <sheetName val="PMT"/>
      <sheetName val="PMA"/>
      <sheetName val="PAPSO OBRA"/>
      <sheetName val="APU CARACTERIZACIÓN"/>
      <sheetName val="APU GEORREFERENCIACIÓN"/>
      <sheetName val="FACTOR PRESTACIONAL"/>
      <sheetName val="AJUSTE ESTUDIOS"/>
      <sheetName val="MATERIALES"/>
      <sheetName val="INSUMOS TRANSPORTES"/>
      <sheetName val="INSUMOS SERVICIOS"/>
      <sheetName val="EQUIPOS"/>
      <sheetName val="TRANSPORTES"/>
      <sheetName val="MANO DE OBRA"/>
      <sheetName val="SERVICIOS"/>
      <sheetName val="ANÁLISIS TRANSPORTES"/>
      <sheetName val="FP"/>
      <sheetName val="INTERVENTORÍA"/>
      <sheetName val="FM INTERVENTORÍA"/>
      <sheetName val="PÓLIZAS INTERVENTORÍA"/>
      <sheetName val="PAPSO INTERVENTORÍ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DEPARTAMENTO DE ANTIOQUIA</v>
          </cell>
          <cell r="B1">
            <v>0</v>
          </cell>
          <cell r="C1" t="str">
            <v/>
          </cell>
          <cell r="D1">
            <v>0</v>
          </cell>
        </row>
        <row r="2">
          <cell r="A2" t="str">
            <v>MUNICIPIO DE PUERTO NARE</v>
          </cell>
          <cell r="B2">
            <v>0</v>
          </cell>
          <cell r="C2">
            <v>0</v>
          </cell>
          <cell r="D2">
            <v>0</v>
          </cell>
        </row>
        <row r="3">
          <cell r="A3" t="str">
            <v>PROYECTO: MEJORAMIENTO DE LA RED VIAL TERCIARIA VÍA CORREGIMIENTO LA PESCA – CORREGIMIENTO LA SIERRA CODIGO 05585VT40, DEL MUNICIPIO DE PUERTO NARE</v>
          </cell>
          <cell r="B3">
            <v>0</v>
          </cell>
          <cell r="C3">
            <v>0</v>
          </cell>
          <cell r="D3">
            <v>0</v>
          </cell>
        </row>
        <row r="4">
          <cell r="A4">
            <v>0</v>
          </cell>
          <cell r="C4">
            <v>0</v>
          </cell>
          <cell r="D4">
            <v>0</v>
          </cell>
        </row>
        <row r="5">
          <cell r="A5" t="str">
            <v>LISTADO DE INSUMOS - EQUIPOS</v>
          </cell>
          <cell r="B5">
            <v>0</v>
          </cell>
          <cell r="C5">
            <v>0</v>
          </cell>
          <cell r="D5">
            <v>0</v>
          </cell>
        </row>
        <row r="7">
          <cell r="A7" t="str">
            <v>CÓDIGO</v>
          </cell>
          <cell r="B7" t="str">
            <v>DESCRIPCIÓN</v>
          </cell>
          <cell r="C7" t="str">
            <v>UNIDAD</v>
          </cell>
          <cell r="D7" t="str">
            <v>VALOR UNITARIO</v>
          </cell>
        </row>
        <row r="8">
          <cell r="A8" t="str">
            <v>EQ001</v>
          </cell>
          <cell r="B8" t="str">
            <v>HERRAMIENTA MENOR (5% DE LA MANO DE OBRA)</v>
          </cell>
          <cell r="C8" t="str">
            <v>%</v>
          </cell>
          <cell r="D8">
            <v>0.05</v>
          </cell>
        </row>
        <row r="9">
          <cell r="A9" t="str">
            <v>EQ002</v>
          </cell>
          <cell r="B9" t="str">
            <v>ESTACIÓN TOTAL</v>
          </cell>
          <cell r="C9" t="str">
            <v>DÍA</v>
          </cell>
          <cell r="D9">
            <v>78710</v>
          </cell>
        </row>
        <row r="10">
          <cell r="A10" t="str">
            <v>EQ003</v>
          </cell>
          <cell r="B10" t="str">
            <v>NIVEL DE PRECISIÓN</v>
          </cell>
          <cell r="C10" t="str">
            <v>DÍA</v>
          </cell>
          <cell r="D10">
            <v>45260</v>
          </cell>
        </row>
        <row r="11">
          <cell r="A11" t="str">
            <v>EQ004</v>
          </cell>
          <cell r="B11" t="str">
            <v>CONCRETADORA 1.5 SACOS A GASOLINA</v>
          </cell>
          <cell r="C11" t="str">
            <v>DÍA</v>
          </cell>
          <cell r="D11">
            <v>62000</v>
          </cell>
        </row>
        <row r="12">
          <cell r="A12" t="str">
            <v>EQ005</v>
          </cell>
          <cell r="B12" t="str">
            <v>VEHÍCULO DOBLE TRACCIÓN, DOBLE CABINA, 2000 CC O SUPERIOR (MODELO 2015 O SUPERIOR)  TARIFA DE ALQUILER TIEMPO COMPLETO, INCLUYE COMBUSTIBLE Y CONDUCTOR. SE DEBE GARANTIZAR PERMANENCIA DE LOS VEHÍCULOS DURANTE TODA LA EJECUCIÓN DEL PROYECTO.</v>
          </cell>
          <cell r="C12" t="str">
            <v>MES</v>
          </cell>
          <cell r="D12">
            <v>5513000</v>
          </cell>
        </row>
        <row r="13">
          <cell r="A13" t="str">
            <v>EQ006</v>
          </cell>
          <cell r="B13" t="str">
            <v xml:space="preserve">MOTO ALQUILER MODELO 2014 O SUPERIOR  - TARIFA DE ALQUILER </v>
          </cell>
          <cell r="C13" t="str">
            <v>MES</v>
          </cell>
          <cell r="D13">
            <v>422000</v>
          </cell>
        </row>
        <row r="14">
          <cell r="A14" t="str">
            <v>EQ007</v>
          </cell>
          <cell r="B14" t="str">
            <v>TARIFA PUESTO DE TRABAJO DEL PERSONAL DE OFICINA DE CAMPO, INCLUYE: ALQUILER DE UN (1) EQUIPO DE COMPUTO COMPLETO, ESCRITORIO, SILLA Y OTROS ENSERES DE OFICINA POR PUESTO DE TRABAJO</v>
          </cell>
          <cell r="C14" t="str">
            <v>MES</v>
          </cell>
          <cell r="D14">
            <v>203000</v>
          </cell>
        </row>
        <row r="15">
          <cell r="A15" t="str">
            <v>EQ008</v>
          </cell>
          <cell r="B15" t="str">
            <v>IMPRESORA EN OBRA (ALQUILER)</v>
          </cell>
          <cell r="C15" t="str">
            <v>MES</v>
          </cell>
          <cell r="D15">
            <v>81000</v>
          </cell>
        </row>
        <row r="16">
          <cell r="A16" t="str">
            <v>EQ009</v>
          </cell>
          <cell r="B16" t="str">
            <v>COMUNICACIONES (TELÉFONO, FAX, CELULAR, INTERNET, ETC.) MENSUAL EN CAMPO</v>
          </cell>
          <cell r="C16" t="str">
            <v>MES</v>
          </cell>
          <cell r="D16">
            <v>120000</v>
          </cell>
        </row>
        <row r="17">
          <cell r="A17" t="str">
            <v>EQ010</v>
          </cell>
          <cell r="B17" t="str">
            <v>RADIOTELÉFONOS PARE-SIGA</v>
          </cell>
          <cell r="C17" t="str">
            <v>MES</v>
          </cell>
          <cell r="D17">
            <v>51800</v>
          </cell>
        </row>
        <row r="18">
          <cell r="A18" t="str">
            <v>EQ011</v>
          </cell>
          <cell r="B18" t="str">
            <v>ALQUILER BAÑOS PORTÁTILES + MANTENIMIENTO Y LIMPIEZA</v>
          </cell>
          <cell r="C18" t="str">
            <v>MES</v>
          </cell>
          <cell r="D18">
            <v>1400000</v>
          </cell>
        </row>
        <row r="19">
          <cell r="A19" t="str">
            <v>EQ012</v>
          </cell>
          <cell r="B19" t="str">
            <v>EQUIPO COMPLETO PARA GEORREFERENCIACIÓN Y CAPTURA , ALMACENAMIENTO, ANALISIS, TRANSFORMACIÓN Y PRESENTACIÓN DE TODA LA INFORMACIÓN GEOGRÁFICA Y SUS ATRIBUTOS, INCLUYE SOFTWARE</v>
          </cell>
          <cell r="C19" t="str">
            <v>MES</v>
          </cell>
          <cell r="D19">
            <v>650000</v>
          </cell>
        </row>
        <row r="20">
          <cell r="A20" t="str">
            <v>EQ013</v>
          </cell>
          <cell r="B20" t="str">
            <v>HERRAMIENTAS DE CAMPO (CÁMARA-EQUIPO DE MEDICIÓN-LASER Y HERRAMIENTA MENOR)</v>
          </cell>
          <cell r="C20" t="str">
            <v>MES</v>
          </cell>
          <cell r="D20">
            <v>221640</v>
          </cell>
        </row>
        <row r="21">
          <cell r="A21" t="str">
            <v>EQ014</v>
          </cell>
          <cell r="B21" t="str">
            <v>RETROEXCAVADORA ORUGA</v>
          </cell>
          <cell r="C21" t="str">
            <v>HORA</v>
          </cell>
          <cell r="D21">
            <v>232050</v>
          </cell>
        </row>
        <row r="22">
          <cell r="A22" t="str">
            <v>EQ015</v>
          </cell>
          <cell r="B22" t="str">
            <v>BULLDOZER CAT D6H O SIMLAR</v>
          </cell>
          <cell r="C22" t="str">
            <v>HORA</v>
          </cell>
          <cell r="D22">
            <v>202300</v>
          </cell>
        </row>
        <row r="23">
          <cell r="A23" t="str">
            <v>EQ016</v>
          </cell>
          <cell r="B23" t="str">
            <v>COMPACTADOR VIBRATORIO INGERSOLL RAND DD-110HF O EQUIVALENTE</v>
          </cell>
          <cell r="C23" t="str">
            <v>HORA</v>
          </cell>
          <cell r="D23">
            <v>176120</v>
          </cell>
        </row>
        <row r="24">
          <cell r="A24" t="str">
            <v>EQ017</v>
          </cell>
          <cell r="B24" t="str">
            <v>MOTONIVELADORA CATERPILLAR 120 - 140</v>
          </cell>
          <cell r="C24" t="str">
            <v>HORA</v>
          </cell>
          <cell r="D24">
            <v>202300</v>
          </cell>
        </row>
        <row r="25">
          <cell r="A25" t="str">
            <v>EQ018</v>
          </cell>
          <cell r="B25" t="str">
            <v>CARROTANQUE  AGUA</v>
          </cell>
          <cell r="C25" t="str">
            <v>HORA</v>
          </cell>
          <cell r="D25">
            <v>57150</v>
          </cell>
        </row>
        <row r="26">
          <cell r="A26" t="str">
            <v>EQ019</v>
          </cell>
          <cell r="B26" t="str">
            <v>COMPACTADOR TIPO RANA A GASOLINA (INCLUYE COMBUSTIBLE)</v>
          </cell>
          <cell r="C26" t="str">
            <v>DÍA</v>
          </cell>
          <cell r="D26">
            <v>57540</v>
          </cell>
        </row>
        <row r="27">
          <cell r="A27" t="str">
            <v>EQ020</v>
          </cell>
          <cell r="B27" t="str">
            <v>RETROEXCAVADORA LLANTA</v>
          </cell>
          <cell r="C27" t="str">
            <v>HORA</v>
          </cell>
          <cell r="D27">
            <v>124950</v>
          </cell>
        </row>
        <row r="28">
          <cell r="A28" t="str">
            <v>EQ021</v>
          </cell>
          <cell r="B28" t="str">
            <v>COMPACTADOR VIBRATORIO 11 TON.</v>
          </cell>
          <cell r="C28" t="str">
            <v>HORA</v>
          </cell>
          <cell r="D28">
            <v>142800</v>
          </cell>
        </row>
        <row r="29">
          <cell r="A29" t="str">
            <v>EQ022</v>
          </cell>
          <cell r="B29" t="str">
            <v>CIZALLA DE BANCO CORTA PERNO, INCLUYE DADOS</v>
          </cell>
          <cell r="C29" t="str">
            <v>HORA</v>
          </cell>
          <cell r="D29">
            <v>1870</v>
          </cell>
        </row>
        <row r="30">
          <cell r="A30" t="str">
            <v>EQ023</v>
          </cell>
          <cell r="B30" t="str">
            <v>SIERRA CIRCULAR</v>
          </cell>
          <cell r="C30" t="str">
            <v>DÍA</v>
          </cell>
          <cell r="D30">
            <v>22800</v>
          </cell>
        </row>
        <row r="31">
          <cell r="A31" t="str">
            <v>EQ024</v>
          </cell>
          <cell r="B31" t="str">
            <v>VIBRADOR DE CONCRETO A GASOLINA (ALQUILER)</v>
          </cell>
          <cell r="C31" t="str">
            <v>DÍA</v>
          </cell>
          <cell r="D31">
            <v>53580</v>
          </cell>
        </row>
        <row r="32">
          <cell r="A32" t="str">
            <v>EQ025</v>
          </cell>
          <cell r="B32" t="str">
            <v>FINISHER</v>
          </cell>
          <cell r="C32" t="str">
            <v>HORA</v>
          </cell>
          <cell r="D32">
            <v>291550</v>
          </cell>
        </row>
        <row r="33">
          <cell r="A33" t="str">
            <v>EQ026</v>
          </cell>
          <cell r="B33" t="str">
            <v>VEHÍCULO DELINEADOR PARA PINTAR LÍNEAS DE 10 A 20 CM</v>
          </cell>
          <cell r="C33" t="str">
            <v>DÍA</v>
          </cell>
          <cell r="D33">
            <v>149880</v>
          </cell>
        </row>
        <row r="34">
          <cell r="A34" t="str">
            <v>EQ027</v>
          </cell>
          <cell r="B34" t="str">
            <v>CAMIONETA D300</v>
          </cell>
          <cell r="C34" t="str">
            <v>DÍA</v>
          </cell>
          <cell r="D34">
            <v>281800</v>
          </cell>
        </row>
        <row r="35">
          <cell r="A35" t="str">
            <v>EQ028</v>
          </cell>
          <cell r="B35" t="str">
            <v>COMPACTADOR NEUMATICO O DE LLANTAS</v>
          </cell>
          <cell r="C35" t="str">
            <v>HORA</v>
          </cell>
          <cell r="D35">
            <v>113050</v>
          </cell>
        </row>
        <row r="36">
          <cell r="A36" t="str">
            <v>EQ029</v>
          </cell>
          <cell r="B36" t="str">
            <v>COMPRESOR NEUMATICO 1 MARTILLO</v>
          </cell>
          <cell r="C36" t="str">
            <v>HORA</v>
          </cell>
          <cell r="D36">
            <v>46000</v>
          </cell>
        </row>
        <row r="37">
          <cell r="A37" t="str">
            <v>EQ030</v>
          </cell>
          <cell r="B37" t="str">
            <v xml:space="preserve">FORMALETA METALICA (CONCRETO HIDRAULICO) </v>
          </cell>
          <cell r="C37" t="str">
            <v>DIA</v>
          </cell>
          <cell r="D37">
            <v>68000</v>
          </cell>
        </row>
        <row r="38">
          <cell r="A38" t="str">
            <v>EQ031</v>
          </cell>
          <cell r="B38" t="str">
            <v>CIZALLA MANUAL</v>
          </cell>
          <cell r="C38" t="str">
            <v>HORA</v>
          </cell>
          <cell r="D38">
            <v>800</v>
          </cell>
        </row>
        <row r="39">
          <cell r="A39" t="str">
            <v>EQ032</v>
          </cell>
          <cell r="B39" t="str">
            <v>VOLQUETA 15 M3</v>
          </cell>
          <cell r="C39" t="str">
            <v>HORA</v>
          </cell>
          <cell r="D39">
            <v>90000</v>
          </cell>
        </row>
        <row r="40">
          <cell r="A40" t="str">
            <v>EQ033</v>
          </cell>
          <cell r="B40">
            <v>90000</v>
          </cell>
          <cell r="C40">
            <v>90000</v>
          </cell>
          <cell r="D40">
            <v>90000</v>
          </cell>
        </row>
        <row r="41">
          <cell r="A41" t="str">
            <v>EQ034</v>
          </cell>
          <cell r="B41">
            <v>90000</v>
          </cell>
          <cell r="C41">
            <v>90000</v>
          </cell>
          <cell r="D41">
            <v>90000</v>
          </cell>
        </row>
        <row r="42">
          <cell r="A42" t="str">
            <v>EQ035</v>
          </cell>
          <cell r="B42">
            <v>90000</v>
          </cell>
          <cell r="C42">
            <v>90000</v>
          </cell>
          <cell r="D42">
            <v>90000</v>
          </cell>
        </row>
        <row r="43">
          <cell r="A43" t="str">
            <v>EQ036</v>
          </cell>
          <cell r="B43">
            <v>90000</v>
          </cell>
          <cell r="C43">
            <v>90000</v>
          </cell>
          <cell r="D43">
            <v>90000</v>
          </cell>
        </row>
        <row r="44">
          <cell r="A44" t="str">
            <v>EQ037</v>
          </cell>
          <cell r="B44">
            <v>90000</v>
          </cell>
          <cell r="C44">
            <v>90000</v>
          </cell>
          <cell r="D44">
            <v>90000</v>
          </cell>
        </row>
        <row r="45">
          <cell r="A45" t="str">
            <v>EQ038</v>
          </cell>
          <cell r="B45">
            <v>90000</v>
          </cell>
          <cell r="C45">
            <v>90000</v>
          </cell>
          <cell r="D45">
            <v>90000</v>
          </cell>
        </row>
        <row r="46">
          <cell r="A46" t="str">
            <v>EQ039</v>
          </cell>
          <cell r="B46">
            <v>90000</v>
          </cell>
          <cell r="C46">
            <v>90000</v>
          </cell>
          <cell r="D46">
            <v>90000</v>
          </cell>
        </row>
        <row r="47">
          <cell r="A47" t="str">
            <v>EQ040</v>
          </cell>
          <cell r="B47">
            <v>90000</v>
          </cell>
          <cell r="C47">
            <v>90000</v>
          </cell>
          <cell r="D47">
            <v>90000</v>
          </cell>
        </row>
        <row r="48">
          <cell r="A48" t="str">
            <v>EQ041</v>
          </cell>
          <cell r="B48">
            <v>90000</v>
          </cell>
          <cell r="C48">
            <v>90000</v>
          </cell>
          <cell r="D48">
            <v>90000</v>
          </cell>
        </row>
        <row r="49">
          <cell r="A49" t="str">
            <v>EQ042</v>
          </cell>
          <cell r="B49">
            <v>90000</v>
          </cell>
          <cell r="C49">
            <v>90000</v>
          </cell>
          <cell r="D49">
            <v>90000</v>
          </cell>
        </row>
        <row r="50">
          <cell r="A50" t="str">
            <v>EQ043</v>
          </cell>
          <cell r="B50">
            <v>90000</v>
          </cell>
          <cell r="C50">
            <v>90000</v>
          </cell>
          <cell r="D50">
            <v>90000</v>
          </cell>
        </row>
        <row r="51">
          <cell r="A51" t="str">
            <v>EQ044</v>
          </cell>
          <cell r="B51">
            <v>90000</v>
          </cell>
          <cell r="C51">
            <v>90000</v>
          </cell>
          <cell r="D51">
            <v>90000</v>
          </cell>
        </row>
        <row r="52">
          <cell r="A52" t="str">
            <v>EQ045</v>
          </cell>
          <cell r="B52">
            <v>90000</v>
          </cell>
          <cell r="C52">
            <v>90000</v>
          </cell>
          <cell r="D52">
            <v>90000</v>
          </cell>
        </row>
        <row r="53">
          <cell r="A53" t="str">
            <v>EQ046</v>
          </cell>
          <cell r="B53">
            <v>90000</v>
          </cell>
          <cell r="C53">
            <v>90000</v>
          </cell>
          <cell r="D53">
            <v>90000</v>
          </cell>
        </row>
        <row r="54">
          <cell r="A54" t="str">
            <v>EQ047</v>
          </cell>
          <cell r="B54">
            <v>90000</v>
          </cell>
          <cell r="C54">
            <v>90000</v>
          </cell>
          <cell r="D54">
            <v>90000</v>
          </cell>
        </row>
        <row r="55">
          <cell r="A55" t="str">
            <v>EQ048</v>
          </cell>
          <cell r="B55">
            <v>90000</v>
          </cell>
          <cell r="C55">
            <v>90000</v>
          </cell>
          <cell r="D55">
            <v>90000</v>
          </cell>
        </row>
        <row r="56">
          <cell r="A56" t="str">
            <v>EQ049</v>
          </cell>
          <cell r="B56">
            <v>90000</v>
          </cell>
          <cell r="C56">
            <v>90000</v>
          </cell>
          <cell r="D56">
            <v>90000</v>
          </cell>
        </row>
        <row r="57">
          <cell r="A57" t="str">
            <v>EQ050</v>
          </cell>
          <cell r="B57">
            <v>90000</v>
          </cell>
          <cell r="C57">
            <v>90000</v>
          </cell>
          <cell r="D57">
            <v>90000</v>
          </cell>
        </row>
        <row r="58">
          <cell r="A58" t="str">
            <v>EQ051</v>
          </cell>
          <cell r="B58">
            <v>90000</v>
          </cell>
          <cell r="C58">
            <v>90000</v>
          </cell>
          <cell r="D58">
            <v>90000</v>
          </cell>
        </row>
        <row r="59">
          <cell r="A59" t="str">
            <v>EQ052</v>
          </cell>
          <cell r="B59">
            <v>90000</v>
          </cell>
          <cell r="C59">
            <v>90000</v>
          </cell>
          <cell r="D59">
            <v>90000</v>
          </cell>
        </row>
        <row r="60">
          <cell r="A60" t="str">
            <v>EQ053</v>
          </cell>
          <cell r="B60">
            <v>90000</v>
          </cell>
          <cell r="C60">
            <v>90000</v>
          </cell>
          <cell r="D60">
            <v>90000</v>
          </cell>
        </row>
        <row r="61">
          <cell r="A61" t="str">
            <v>EQ054</v>
          </cell>
          <cell r="B61">
            <v>90000</v>
          </cell>
          <cell r="C61">
            <v>90000</v>
          </cell>
          <cell r="D61">
            <v>90000</v>
          </cell>
        </row>
        <row r="62">
          <cell r="A62" t="str">
            <v>EQ055</v>
          </cell>
          <cell r="B62">
            <v>90000</v>
          </cell>
          <cell r="C62">
            <v>90000</v>
          </cell>
          <cell r="D62">
            <v>90000</v>
          </cell>
        </row>
        <row r="63">
          <cell r="A63" t="str">
            <v>EQ056</v>
          </cell>
          <cell r="B63">
            <v>90000</v>
          </cell>
          <cell r="C63">
            <v>90000</v>
          </cell>
          <cell r="D63">
            <v>90000</v>
          </cell>
        </row>
        <row r="64">
          <cell r="A64" t="str">
            <v>EQ057</v>
          </cell>
          <cell r="B64">
            <v>90000</v>
          </cell>
          <cell r="C64">
            <v>90000</v>
          </cell>
          <cell r="D64">
            <v>90000</v>
          </cell>
        </row>
        <row r="65">
          <cell r="A65" t="str">
            <v>EQ058</v>
          </cell>
          <cell r="B65">
            <v>90000</v>
          </cell>
          <cell r="C65">
            <v>90000</v>
          </cell>
          <cell r="D65">
            <v>90000</v>
          </cell>
        </row>
        <row r="66">
          <cell r="A66" t="str">
            <v>EQ059</v>
          </cell>
          <cell r="B66">
            <v>90000</v>
          </cell>
          <cell r="C66">
            <v>90000</v>
          </cell>
          <cell r="D66">
            <v>90000</v>
          </cell>
        </row>
        <row r="67">
          <cell r="A67" t="str">
            <v>EQ060</v>
          </cell>
          <cell r="B67">
            <v>90000</v>
          </cell>
          <cell r="C67">
            <v>90000</v>
          </cell>
          <cell r="D67">
            <v>90000</v>
          </cell>
        </row>
        <row r="68">
          <cell r="A68" t="str">
            <v>EQ061</v>
          </cell>
          <cell r="B68">
            <v>90000</v>
          </cell>
          <cell r="C68">
            <v>90000</v>
          </cell>
          <cell r="D68">
            <v>90000</v>
          </cell>
        </row>
        <row r="69">
          <cell r="A69" t="str">
            <v>EQ062</v>
          </cell>
          <cell r="B69">
            <v>90000</v>
          </cell>
          <cell r="C69">
            <v>90000</v>
          </cell>
          <cell r="D69">
            <v>90000</v>
          </cell>
        </row>
        <row r="70">
          <cell r="A70" t="str">
            <v>EQ063</v>
          </cell>
          <cell r="B70">
            <v>90000</v>
          </cell>
          <cell r="C70">
            <v>90000</v>
          </cell>
          <cell r="D70">
            <v>90000</v>
          </cell>
        </row>
        <row r="71">
          <cell r="A71" t="str">
            <v>EQ064</v>
          </cell>
          <cell r="B71">
            <v>90000</v>
          </cell>
          <cell r="C71">
            <v>90000</v>
          </cell>
          <cell r="D71">
            <v>90000</v>
          </cell>
        </row>
        <row r="72">
          <cell r="A72" t="str">
            <v>EQ065</v>
          </cell>
          <cell r="B72">
            <v>90000</v>
          </cell>
          <cell r="C72">
            <v>90000</v>
          </cell>
          <cell r="D72">
            <v>90000</v>
          </cell>
        </row>
        <row r="73">
          <cell r="A73" t="str">
            <v>EQ066</v>
          </cell>
          <cell r="B73">
            <v>90000</v>
          </cell>
          <cell r="C73">
            <v>90000</v>
          </cell>
          <cell r="D73">
            <v>90000</v>
          </cell>
        </row>
        <row r="74">
          <cell r="A74" t="str">
            <v>EQ067</v>
          </cell>
          <cell r="B74">
            <v>90000</v>
          </cell>
          <cell r="C74">
            <v>90000</v>
          </cell>
          <cell r="D74">
            <v>90000</v>
          </cell>
        </row>
        <row r="75">
          <cell r="A75" t="str">
            <v>EQ068</v>
          </cell>
          <cell r="B75">
            <v>90000</v>
          </cell>
          <cell r="C75">
            <v>90000</v>
          </cell>
          <cell r="D75">
            <v>90000</v>
          </cell>
        </row>
        <row r="76">
          <cell r="A76" t="str">
            <v>EQ069</v>
          </cell>
          <cell r="B76">
            <v>90000</v>
          </cell>
          <cell r="C76">
            <v>90000</v>
          </cell>
          <cell r="D76">
            <v>90000</v>
          </cell>
        </row>
        <row r="77">
          <cell r="A77" t="str">
            <v>EQ070</v>
          </cell>
          <cell r="B77">
            <v>90000</v>
          </cell>
          <cell r="C77">
            <v>90000</v>
          </cell>
          <cell r="D77">
            <v>90000</v>
          </cell>
        </row>
        <row r="78">
          <cell r="A78" t="str">
            <v>EQ071</v>
          </cell>
          <cell r="B78">
            <v>90000</v>
          </cell>
          <cell r="C78">
            <v>90000</v>
          </cell>
          <cell r="D78">
            <v>90000</v>
          </cell>
        </row>
        <row r="79">
          <cell r="A79" t="str">
            <v>EQ072</v>
          </cell>
          <cell r="B79">
            <v>90000</v>
          </cell>
          <cell r="C79">
            <v>90000</v>
          </cell>
          <cell r="D79">
            <v>90000</v>
          </cell>
        </row>
        <row r="80">
          <cell r="A80" t="str">
            <v>EQ073</v>
          </cell>
          <cell r="B80">
            <v>90000</v>
          </cell>
          <cell r="C80">
            <v>90000</v>
          </cell>
          <cell r="D80">
            <v>90000</v>
          </cell>
        </row>
        <row r="81">
          <cell r="A81" t="str">
            <v>EQ074</v>
          </cell>
          <cell r="B81">
            <v>90000</v>
          </cell>
          <cell r="C81">
            <v>90000</v>
          </cell>
          <cell r="D81">
            <v>90000</v>
          </cell>
        </row>
        <row r="82">
          <cell r="A82" t="str">
            <v>EQ075</v>
          </cell>
          <cell r="B82">
            <v>90000</v>
          </cell>
          <cell r="C82">
            <v>90000</v>
          </cell>
          <cell r="D82">
            <v>90000</v>
          </cell>
        </row>
        <row r="83">
          <cell r="A83" t="str">
            <v>EQ076</v>
          </cell>
          <cell r="B83">
            <v>90000</v>
          </cell>
          <cell r="C83">
            <v>90000</v>
          </cell>
          <cell r="D83">
            <v>90000</v>
          </cell>
        </row>
        <row r="84">
          <cell r="A84" t="str">
            <v>EQ077</v>
          </cell>
          <cell r="B84">
            <v>90000</v>
          </cell>
          <cell r="C84">
            <v>90000</v>
          </cell>
          <cell r="D84">
            <v>90000</v>
          </cell>
        </row>
        <row r="85">
          <cell r="A85" t="str">
            <v>EQ078</v>
          </cell>
          <cell r="B85">
            <v>90000</v>
          </cell>
          <cell r="C85">
            <v>90000</v>
          </cell>
          <cell r="D85">
            <v>90000</v>
          </cell>
        </row>
        <row r="86">
          <cell r="A86" t="str">
            <v>EQ079</v>
          </cell>
          <cell r="B86">
            <v>90000</v>
          </cell>
          <cell r="C86">
            <v>90000</v>
          </cell>
          <cell r="D86">
            <v>90000</v>
          </cell>
        </row>
        <row r="87">
          <cell r="A87" t="str">
            <v>EQ080</v>
          </cell>
          <cell r="B87">
            <v>90000</v>
          </cell>
          <cell r="C87">
            <v>90000</v>
          </cell>
          <cell r="D87">
            <v>90000</v>
          </cell>
        </row>
        <row r="88">
          <cell r="A88" t="str">
            <v>EQ081</v>
          </cell>
          <cell r="B88">
            <v>90000</v>
          </cell>
          <cell r="C88">
            <v>90000</v>
          </cell>
          <cell r="D88">
            <v>90000</v>
          </cell>
        </row>
        <row r="89">
          <cell r="A89" t="str">
            <v>EQ082</v>
          </cell>
          <cell r="B89">
            <v>90000</v>
          </cell>
          <cell r="C89">
            <v>90000</v>
          </cell>
          <cell r="D89">
            <v>90000</v>
          </cell>
        </row>
        <row r="90">
          <cell r="A90" t="str">
            <v>EQ083</v>
          </cell>
          <cell r="B90">
            <v>90000</v>
          </cell>
          <cell r="C90">
            <v>90000</v>
          </cell>
          <cell r="D90">
            <v>90000</v>
          </cell>
        </row>
        <row r="91">
          <cell r="A91" t="str">
            <v>EQ084</v>
          </cell>
          <cell r="B91">
            <v>90000</v>
          </cell>
          <cell r="C91">
            <v>90000</v>
          </cell>
          <cell r="D91">
            <v>90000</v>
          </cell>
        </row>
        <row r="92">
          <cell r="A92" t="str">
            <v>EQ085</v>
          </cell>
          <cell r="B92">
            <v>90000</v>
          </cell>
          <cell r="C92">
            <v>90000</v>
          </cell>
          <cell r="D92">
            <v>90000</v>
          </cell>
        </row>
        <row r="93">
          <cell r="A93" t="str">
            <v>EQ086</v>
          </cell>
          <cell r="B93">
            <v>90000</v>
          </cell>
          <cell r="C93">
            <v>90000</v>
          </cell>
          <cell r="D93">
            <v>90000</v>
          </cell>
        </row>
        <row r="94">
          <cell r="A94" t="str">
            <v>EQ087</v>
          </cell>
          <cell r="B94">
            <v>90000</v>
          </cell>
          <cell r="C94">
            <v>90000</v>
          </cell>
          <cell r="D94">
            <v>90000</v>
          </cell>
        </row>
        <row r="95">
          <cell r="A95" t="str">
            <v>EQ088</v>
          </cell>
          <cell r="B95">
            <v>90000</v>
          </cell>
          <cell r="C95">
            <v>90000</v>
          </cell>
          <cell r="D95">
            <v>90000</v>
          </cell>
        </row>
        <row r="96">
          <cell r="A96" t="str">
            <v>EQ089</v>
          </cell>
          <cell r="B96">
            <v>90000</v>
          </cell>
          <cell r="C96">
            <v>90000</v>
          </cell>
          <cell r="D96">
            <v>90000</v>
          </cell>
        </row>
        <row r="97">
          <cell r="A97" t="str">
            <v>EQ090</v>
          </cell>
          <cell r="B97">
            <v>90000</v>
          </cell>
          <cell r="C97">
            <v>90000</v>
          </cell>
          <cell r="D97">
            <v>90000</v>
          </cell>
        </row>
        <row r="98">
          <cell r="A98" t="str">
            <v>EQ091</v>
          </cell>
          <cell r="B98">
            <v>90000</v>
          </cell>
          <cell r="C98">
            <v>90000</v>
          </cell>
          <cell r="D98">
            <v>90000</v>
          </cell>
        </row>
        <row r="99">
          <cell r="A99" t="str">
            <v>EQ092</v>
          </cell>
          <cell r="B99">
            <v>90000</v>
          </cell>
          <cell r="C99">
            <v>90000</v>
          </cell>
          <cell r="D99">
            <v>90000</v>
          </cell>
        </row>
        <row r="100">
          <cell r="A100" t="str">
            <v>EQ093</v>
          </cell>
          <cell r="B100">
            <v>90000</v>
          </cell>
          <cell r="C100">
            <v>90000</v>
          </cell>
          <cell r="D100">
            <v>90000</v>
          </cell>
        </row>
        <row r="101">
          <cell r="A101" t="str">
            <v>EQ094</v>
          </cell>
          <cell r="B101">
            <v>90000</v>
          </cell>
          <cell r="C101">
            <v>90000</v>
          </cell>
          <cell r="D101">
            <v>90000</v>
          </cell>
        </row>
        <row r="102">
          <cell r="A102" t="str">
            <v>EQ095</v>
          </cell>
          <cell r="B102">
            <v>90000</v>
          </cell>
          <cell r="C102">
            <v>90000</v>
          </cell>
          <cell r="D102">
            <v>90000</v>
          </cell>
        </row>
        <row r="103">
          <cell r="A103" t="str">
            <v>EQ096</v>
          </cell>
          <cell r="B103">
            <v>90000</v>
          </cell>
          <cell r="C103">
            <v>90000</v>
          </cell>
          <cell r="D103">
            <v>90000</v>
          </cell>
        </row>
        <row r="104">
          <cell r="A104" t="str">
            <v>EQ097</v>
          </cell>
          <cell r="B104">
            <v>90000</v>
          </cell>
          <cell r="C104">
            <v>90000</v>
          </cell>
          <cell r="D104">
            <v>90000</v>
          </cell>
        </row>
        <row r="105">
          <cell r="A105" t="str">
            <v>EQ098</v>
          </cell>
          <cell r="B105">
            <v>90000</v>
          </cell>
          <cell r="C105">
            <v>90000</v>
          </cell>
          <cell r="D105">
            <v>90000</v>
          </cell>
        </row>
      </sheetData>
      <sheetData sheetId="8" refreshError="1">
        <row r="1">
          <cell r="A1" t="str">
            <v>DEPARTAMENTO DE ANTIOQUIA</v>
          </cell>
          <cell r="B1">
            <v>90000</v>
          </cell>
          <cell r="C1">
            <v>90000</v>
          </cell>
          <cell r="D1">
            <v>90000</v>
          </cell>
          <cell r="E1">
            <v>90000</v>
          </cell>
          <cell r="F1">
            <v>90000</v>
          </cell>
          <cell r="G1">
            <v>90000</v>
          </cell>
          <cell r="H1">
            <v>90000</v>
          </cell>
        </row>
        <row r="2">
          <cell r="A2" t="str">
            <v>MUNICIPIO DE PUERTO NARE</v>
          </cell>
          <cell r="B2">
            <v>90000</v>
          </cell>
          <cell r="C2">
            <v>90000</v>
          </cell>
          <cell r="D2">
            <v>90000</v>
          </cell>
          <cell r="E2">
            <v>90000</v>
          </cell>
          <cell r="F2">
            <v>90000</v>
          </cell>
          <cell r="G2">
            <v>90000</v>
          </cell>
          <cell r="H2">
            <v>90000</v>
          </cell>
        </row>
        <row r="3">
          <cell r="A3" t="str">
            <v>PROYECTO: MEJORAMIENTO DE LA RED VIAL TERCIARIA VÍA CORREGIMIENTO LA PESCA – CORREGIMIENTO LA SIERRA CODIGO 05585VT40, DEL MUNICIPIO DE PUERTO NARE</v>
          </cell>
          <cell r="B3">
            <v>90000</v>
          </cell>
          <cell r="C3">
            <v>90000</v>
          </cell>
          <cell r="D3">
            <v>90000</v>
          </cell>
          <cell r="E3">
            <v>90000</v>
          </cell>
          <cell r="F3">
            <v>90000</v>
          </cell>
          <cell r="G3">
            <v>90000</v>
          </cell>
          <cell r="H3">
            <v>90000</v>
          </cell>
        </row>
        <row r="4">
          <cell r="A4">
            <v>90000</v>
          </cell>
          <cell r="B4">
            <v>90000</v>
          </cell>
          <cell r="D4">
            <v>90000</v>
          </cell>
          <cell r="E4">
            <v>90000</v>
          </cell>
          <cell r="F4">
            <v>90000</v>
          </cell>
          <cell r="G4">
            <v>90000</v>
          </cell>
          <cell r="H4">
            <v>90000</v>
          </cell>
        </row>
        <row r="5">
          <cell r="A5" t="str">
            <v>LISTADO DE INSUMOS - MANO DE OBRA</v>
          </cell>
          <cell r="B5">
            <v>90000</v>
          </cell>
          <cell r="C5">
            <v>90000</v>
          </cell>
          <cell r="D5">
            <v>90000</v>
          </cell>
          <cell r="E5">
            <v>90000</v>
          </cell>
          <cell r="F5">
            <v>90000</v>
          </cell>
          <cell r="G5">
            <v>90000</v>
          </cell>
          <cell r="H5">
            <v>90000</v>
          </cell>
        </row>
        <row r="7">
          <cell r="A7" t="str">
            <v>CÓDIGO</v>
          </cell>
          <cell r="B7" t="str">
            <v>CARGO</v>
          </cell>
          <cell r="C7" t="str">
            <v>CLASE</v>
          </cell>
          <cell r="D7" t="str">
            <v>SALARIO MENSUAL</v>
          </cell>
          <cell r="E7" t="str">
            <v>FACTOR PRESTACIONAL</v>
          </cell>
          <cell r="F7" t="str">
            <v>JORNAL</v>
          </cell>
          <cell r="G7" t="str">
            <v>PRESTACIONES</v>
          </cell>
          <cell r="H7" t="str">
            <v>JORNAL TOTAL</v>
          </cell>
        </row>
        <row r="8">
          <cell r="A8" t="str">
            <v>MO001</v>
          </cell>
          <cell r="B8" t="str">
            <v>DIRECTOR DE OBRA</v>
          </cell>
          <cell r="C8" t="str">
            <v>ADMÓN</v>
          </cell>
          <cell r="D8">
            <v>6087124.2000000002</v>
          </cell>
          <cell r="E8">
            <v>1.5</v>
          </cell>
          <cell r="F8">
            <v>200124.63013698629</v>
          </cell>
          <cell r="G8">
            <v>99951.513863013679</v>
          </cell>
          <cell r="H8">
            <v>300076.14399999997</v>
          </cell>
        </row>
        <row r="9">
          <cell r="A9" t="str">
            <v>MO002</v>
          </cell>
          <cell r="B9" t="str">
            <v>DIRECTOR DE INTERVENTORÍA</v>
          </cell>
          <cell r="C9" t="str">
            <v>ADMÓN</v>
          </cell>
          <cell r="D9">
            <v>6087124.2000000002</v>
          </cell>
          <cell r="E9">
            <v>1.5</v>
          </cell>
          <cell r="F9">
            <v>200124.63013698629</v>
          </cell>
          <cell r="G9">
            <v>99951.513863013679</v>
          </cell>
          <cell r="H9">
            <v>300076.14399999997</v>
          </cell>
        </row>
        <row r="10">
          <cell r="A10" t="str">
            <v>MO003</v>
          </cell>
          <cell r="B10" t="str">
            <v>RESIDENTE DE OBRA</v>
          </cell>
          <cell r="C10" t="str">
            <v>ADMÓN</v>
          </cell>
          <cell r="D10">
            <v>4179219.5999999996</v>
          </cell>
          <cell r="E10">
            <v>1.5</v>
          </cell>
          <cell r="F10">
            <v>137399</v>
          </cell>
          <cell r="G10">
            <v>69278.681479452091</v>
          </cell>
          <cell r="H10">
            <v>206677.68147945209</v>
          </cell>
        </row>
        <row r="11">
          <cell r="A11" t="str">
            <v>MO004</v>
          </cell>
          <cell r="B11" t="str">
            <v>RESIDENTE DE INTERVENTORÍA</v>
          </cell>
          <cell r="C11" t="str">
            <v>ADMÓN</v>
          </cell>
          <cell r="D11">
            <v>4179219.5999999996</v>
          </cell>
          <cell r="E11">
            <v>1.5</v>
          </cell>
          <cell r="F11">
            <v>137399</v>
          </cell>
          <cell r="G11">
            <v>69278.681479452091</v>
          </cell>
          <cell r="H11">
            <v>206677.68147945209</v>
          </cell>
        </row>
        <row r="12">
          <cell r="A12" t="str">
            <v>MO005</v>
          </cell>
          <cell r="B12" t="str">
            <v>RESIDENTE AMBIENTAL</v>
          </cell>
          <cell r="C12" t="str">
            <v>ADMÓN</v>
          </cell>
          <cell r="D12">
            <v>3634104</v>
          </cell>
          <cell r="E12">
            <v>1.51</v>
          </cell>
          <cell r="F12">
            <v>119477.39178082191</v>
          </cell>
          <cell r="G12">
            <v>60515.014443835607</v>
          </cell>
          <cell r="H12">
            <v>179992.40622465752</v>
          </cell>
        </row>
        <row r="13">
          <cell r="A13" t="str">
            <v>MO006</v>
          </cell>
          <cell r="B13" t="str">
            <v>RESIDENTE SOCIAL</v>
          </cell>
          <cell r="C13" t="str">
            <v>ADMÓN</v>
          </cell>
          <cell r="D13">
            <v>3634104</v>
          </cell>
          <cell r="E13">
            <v>1.51</v>
          </cell>
          <cell r="F13">
            <v>119477.39178082191</v>
          </cell>
          <cell r="G13">
            <v>60515.014443835607</v>
          </cell>
          <cell r="H13">
            <v>179992.40622465752</v>
          </cell>
        </row>
        <row r="14">
          <cell r="A14" t="str">
            <v>MO007</v>
          </cell>
          <cell r="B14" t="str">
            <v>AUXILIAR DE RESIDENCIA</v>
          </cell>
          <cell r="C14" t="str">
            <v>ADMÓN</v>
          </cell>
          <cell r="D14">
            <v>2725578</v>
          </cell>
          <cell r="E14">
            <v>1.51</v>
          </cell>
          <cell r="F14">
            <v>89608.043835616438</v>
          </cell>
          <cell r="G14">
            <v>45908.903298630117</v>
          </cell>
          <cell r="H14">
            <v>135516.94713424655</v>
          </cell>
        </row>
        <row r="15">
          <cell r="A15" t="str">
            <v>MO008</v>
          </cell>
          <cell r="B15" t="str">
            <v>TECNÓLOGO SST</v>
          </cell>
          <cell r="C15" t="str">
            <v>ADMÓN</v>
          </cell>
          <cell r="D15">
            <v>2089609.7999999998</v>
          </cell>
          <cell r="E15">
            <v>1.52</v>
          </cell>
          <cell r="F15">
            <v>68699.501369863021</v>
          </cell>
          <cell r="G15">
            <v>35684.626169862982</v>
          </cell>
          <cell r="H15">
            <v>104384.127539726</v>
          </cell>
        </row>
        <row r="16">
          <cell r="A16" t="str">
            <v>MO009</v>
          </cell>
          <cell r="B16" t="str">
            <v>ASESOR LEGAL</v>
          </cell>
          <cell r="C16" t="str">
            <v>ADMÓN</v>
          </cell>
          <cell r="D16">
            <v>6087124.2000000002</v>
          </cell>
          <cell r="E16">
            <v>1.5</v>
          </cell>
          <cell r="F16">
            <v>200124.63013698629</v>
          </cell>
          <cell r="G16">
            <v>99951.513863013679</v>
          </cell>
          <cell r="H16">
            <v>300076.14399999997</v>
          </cell>
        </row>
        <row r="17">
          <cell r="A17" t="str">
            <v>MO010</v>
          </cell>
          <cell r="B17" t="str">
            <v>CONTADOR</v>
          </cell>
          <cell r="C17" t="str">
            <v>ADMÓN</v>
          </cell>
          <cell r="D17">
            <v>4179219.5999999996</v>
          </cell>
          <cell r="E17">
            <v>1.5</v>
          </cell>
          <cell r="F17">
            <v>137399</v>
          </cell>
          <cell r="G17">
            <v>69278.681479452091</v>
          </cell>
          <cell r="H17">
            <v>206677.68147945209</v>
          </cell>
        </row>
        <row r="18">
          <cell r="A18" t="str">
            <v>MO011</v>
          </cell>
          <cell r="B18" t="str">
            <v>ALMACENISTA</v>
          </cell>
          <cell r="C18" t="str">
            <v>ADMÓN</v>
          </cell>
          <cell r="D18">
            <v>1680773.1</v>
          </cell>
          <cell r="E18">
            <v>1.64</v>
          </cell>
          <cell r="F18">
            <v>55258.293150684935</v>
          </cell>
          <cell r="G18">
            <v>35212.953424657528</v>
          </cell>
          <cell r="H18">
            <v>90471.246575342462</v>
          </cell>
        </row>
        <row r="19">
          <cell r="A19" t="str">
            <v>MO012</v>
          </cell>
          <cell r="B19" t="str">
            <v>AUXILIAR DE ALMACÉN</v>
          </cell>
          <cell r="C19" t="str">
            <v>ADMÓN</v>
          </cell>
          <cell r="D19">
            <v>1317362.7</v>
          </cell>
          <cell r="E19">
            <v>1.68</v>
          </cell>
          <cell r="F19">
            <v>43310.553424657533</v>
          </cell>
          <cell r="G19">
            <v>29370.506575342464</v>
          </cell>
          <cell r="H19">
            <v>72681.06</v>
          </cell>
        </row>
        <row r="20">
          <cell r="A20" t="str">
            <v>MO013</v>
          </cell>
          <cell r="B20" t="str">
            <v>SECRETARIA</v>
          </cell>
          <cell r="C20" t="str">
            <v>ADMÓN</v>
          </cell>
          <cell r="D20">
            <v>908526</v>
          </cell>
          <cell r="E20">
            <v>1.76</v>
          </cell>
          <cell r="F20">
            <v>29869.347945205478</v>
          </cell>
          <cell r="G20">
            <v>22797.757917808212</v>
          </cell>
          <cell r="H20">
            <v>52667.10586301369</v>
          </cell>
        </row>
        <row r="21">
          <cell r="A21" t="str">
            <v>MO014</v>
          </cell>
          <cell r="B21" t="str">
            <v>MENSAJERO</v>
          </cell>
          <cell r="C21" t="str">
            <v>ADMÓN</v>
          </cell>
          <cell r="D21">
            <v>908526</v>
          </cell>
          <cell r="E21">
            <v>1.76</v>
          </cell>
          <cell r="F21">
            <v>29869.347945205478</v>
          </cell>
          <cell r="G21">
            <v>22797.757917808212</v>
          </cell>
          <cell r="H21">
            <v>52667.10586301369</v>
          </cell>
        </row>
        <row r="22">
          <cell r="A22" t="str">
            <v>MO015</v>
          </cell>
          <cell r="B22" t="str">
            <v>VIGILANTE</v>
          </cell>
          <cell r="C22" t="str">
            <v>ADMÓN</v>
          </cell>
          <cell r="D22">
            <v>908526</v>
          </cell>
          <cell r="E22">
            <v>1.76</v>
          </cell>
          <cell r="F22">
            <v>29869.347945205478</v>
          </cell>
          <cell r="G22">
            <v>22797.757917808212</v>
          </cell>
          <cell r="H22">
            <v>52667.10586301369</v>
          </cell>
        </row>
        <row r="23">
          <cell r="A23" t="str">
            <v>MO016</v>
          </cell>
          <cell r="B23" t="str">
            <v>TOPÓGRAFO</v>
          </cell>
          <cell r="C23" t="str">
            <v>OBRA</v>
          </cell>
          <cell r="D23">
            <v>4360924.8</v>
          </cell>
          <cell r="E23">
            <v>1.51</v>
          </cell>
          <cell r="F23">
            <v>143372.8712328767</v>
          </cell>
          <cell r="G23">
            <v>72944.286224657553</v>
          </cell>
          <cell r="H23">
            <v>216317.15745753425</v>
          </cell>
        </row>
        <row r="24">
          <cell r="A24" t="str">
            <v>MO017</v>
          </cell>
          <cell r="B24" t="str">
            <v>CADENERO 1</v>
          </cell>
          <cell r="C24" t="str">
            <v>OBRA</v>
          </cell>
          <cell r="D24">
            <v>2135036.1</v>
          </cell>
          <cell r="E24">
            <v>1.53</v>
          </cell>
          <cell r="F24">
            <v>70192.967123287672</v>
          </cell>
          <cell r="G24">
            <v>37159.314279452054</v>
          </cell>
          <cell r="H24">
            <v>107352.28140273973</v>
          </cell>
        </row>
        <row r="25">
          <cell r="A25" t="str">
            <v>MO018</v>
          </cell>
          <cell r="B25" t="str">
            <v>CADENERO 2</v>
          </cell>
          <cell r="C25" t="str">
            <v>OBRA</v>
          </cell>
          <cell r="D25">
            <v>1226510.1000000001</v>
          </cell>
          <cell r="E25">
            <v>1.71</v>
          </cell>
          <cell r="F25">
            <v>40323.61917808219</v>
          </cell>
          <cell r="G25">
            <v>28654.280043835628</v>
          </cell>
          <cell r="H25">
            <v>68977.899221917818</v>
          </cell>
        </row>
        <row r="26">
          <cell r="A26" t="str">
            <v>MO019</v>
          </cell>
          <cell r="B26" t="str">
            <v>MAESTRO PRIMERO</v>
          </cell>
          <cell r="C26" t="str">
            <v>OBRA</v>
          </cell>
          <cell r="D26">
            <v>2725578</v>
          </cell>
          <cell r="E26">
            <v>1.52</v>
          </cell>
          <cell r="F26">
            <v>89608.043835616438</v>
          </cell>
          <cell r="G26">
            <v>46653.286860273976</v>
          </cell>
          <cell r="H26">
            <v>136261.33069589041</v>
          </cell>
        </row>
        <row r="27">
          <cell r="A27" t="str">
            <v>MO020</v>
          </cell>
          <cell r="B27" t="str">
            <v>MAESTRO SEGUNDO</v>
          </cell>
          <cell r="C27" t="str">
            <v>OBRA</v>
          </cell>
          <cell r="D27">
            <v>2089609.7999999998</v>
          </cell>
          <cell r="E27">
            <v>1.53</v>
          </cell>
          <cell r="F27">
            <v>68699.501369863021</v>
          </cell>
          <cell r="G27">
            <v>36429.009731506827</v>
          </cell>
          <cell r="H27">
            <v>105128.51110136985</v>
          </cell>
        </row>
        <row r="28">
          <cell r="A28" t="str">
            <v>MO021</v>
          </cell>
          <cell r="B28" t="str">
            <v>OFICIAL ELÉCTRICO</v>
          </cell>
          <cell r="C28" t="str">
            <v>OBRA</v>
          </cell>
          <cell r="D28">
            <v>2498446.5</v>
          </cell>
          <cell r="E28">
            <v>1.52</v>
          </cell>
          <cell r="F28">
            <v>82140.706849315073</v>
          </cell>
          <cell r="G28">
            <v>43001.758389041104</v>
          </cell>
          <cell r="H28">
            <v>125142.46523835618</v>
          </cell>
        </row>
        <row r="29">
          <cell r="A29" t="str">
            <v>MO022</v>
          </cell>
          <cell r="B29" t="str">
            <v>AYUDANTE ELÉCTRICO</v>
          </cell>
          <cell r="C29" t="str">
            <v>OBRA</v>
          </cell>
          <cell r="D29">
            <v>1181083.8</v>
          </cell>
          <cell r="E29">
            <v>1.72</v>
          </cell>
          <cell r="F29">
            <v>38830.153424657532</v>
          </cell>
          <cell r="G29">
            <v>27923.975495890423</v>
          </cell>
          <cell r="H29">
            <v>66754.128920547955</v>
          </cell>
        </row>
        <row r="30">
          <cell r="A30" t="str">
            <v>MO023</v>
          </cell>
          <cell r="B30" t="str">
            <v>OFICIAL PLOMERO</v>
          </cell>
          <cell r="C30" t="str">
            <v>OBRA</v>
          </cell>
          <cell r="D30">
            <v>1817052</v>
          </cell>
          <cell r="E30">
            <v>1.64</v>
          </cell>
          <cell r="F30">
            <v>59738.695890410956</v>
          </cell>
          <cell r="G30">
            <v>38148.252624657551</v>
          </cell>
          <cell r="H30">
            <v>97886.948515068507</v>
          </cell>
        </row>
        <row r="31">
          <cell r="A31" t="str">
            <v>MO024</v>
          </cell>
          <cell r="B31" t="str">
            <v>AYUDANTE PLOMERO</v>
          </cell>
          <cell r="C31" t="str">
            <v>OBRA</v>
          </cell>
          <cell r="D31">
            <v>1090231.2</v>
          </cell>
          <cell r="E31">
            <v>1.74</v>
          </cell>
          <cell r="F31">
            <v>35843.216438356161</v>
          </cell>
          <cell r="G31">
            <v>26463.364405479457</v>
          </cell>
          <cell r="H31">
            <v>62306.580843835618</v>
          </cell>
        </row>
        <row r="32">
          <cell r="A32" t="str">
            <v>MO025</v>
          </cell>
          <cell r="B32" t="str">
            <v>OFICIAL CARPINTERO</v>
          </cell>
          <cell r="C32" t="str">
            <v>OBRA</v>
          </cell>
          <cell r="D32">
            <v>1817052</v>
          </cell>
          <cell r="E32">
            <v>1.64</v>
          </cell>
          <cell r="F32">
            <v>59738.695890410956</v>
          </cell>
          <cell r="G32">
            <v>38148.252624657551</v>
          </cell>
          <cell r="H32">
            <v>97886.948515068507</v>
          </cell>
        </row>
        <row r="33">
          <cell r="A33" t="str">
            <v>MO026</v>
          </cell>
          <cell r="B33" t="str">
            <v>AYUDANTE CARPINTERO</v>
          </cell>
          <cell r="C33" t="str">
            <v>OBRA</v>
          </cell>
          <cell r="D33">
            <v>999378.60000000009</v>
          </cell>
          <cell r="E33">
            <v>1.76</v>
          </cell>
          <cell r="F33">
            <v>32856.282191780825</v>
          </cell>
          <cell r="G33">
            <v>25002.751572602741</v>
          </cell>
          <cell r="H33">
            <v>57859.033764383566</v>
          </cell>
        </row>
        <row r="34">
          <cell r="A34" t="str">
            <v>MO027</v>
          </cell>
          <cell r="B34" t="str">
            <v>OFICIAL PINTOR</v>
          </cell>
          <cell r="C34" t="str">
            <v>OBRA</v>
          </cell>
          <cell r="D34">
            <v>1817052</v>
          </cell>
          <cell r="E34">
            <v>1.64</v>
          </cell>
          <cell r="F34">
            <v>59738.695890410956</v>
          </cell>
          <cell r="G34">
            <v>38148.252624657551</v>
          </cell>
          <cell r="H34">
            <v>97886.948515068507</v>
          </cell>
        </row>
        <row r="35">
          <cell r="A35" t="str">
            <v>MO028</v>
          </cell>
          <cell r="B35" t="str">
            <v>OFICIAL DE OBRA BLANCA</v>
          </cell>
          <cell r="C35" t="str">
            <v>OBRA</v>
          </cell>
          <cell r="D35">
            <v>1817052</v>
          </cell>
          <cell r="E35">
            <v>1.64</v>
          </cell>
          <cell r="F35">
            <v>59738.695890410956</v>
          </cell>
          <cell r="G35">
            <v>38148.252624657551</v>
          </cell>
          <cell r="H35">
            <v>97886.948515068507</v>
          </cell>
        </row>
        <row r="36">
          <cell r="A36" t="str">
            <v>MO029</v>
          </cell>
          <cell r="B36" t="str">
            <v>OFICIAL DE OBRA NEGRA</v>
          </cell>
          <cell r="C36" t="str">
            <v>OBRA</v>
          </cell>
          <cell r="D36">
            <v>1817052</v>
          </cell>
          <cell r="E36">
            <v>1.64</v>
          </cell>
          <cell r="F36">
            <v>59738.695890410956</v>
          </cell>
          <cell r="G36">
            <v>38148.252624657551</v>
          </cell>
          <cell r="H36">
            <v>97886.948515068507</v>
          </cell>
        </row>
        <row r="37">
          <cell r="A37" t="str">
            <v>MO030</v>
          </cell>
          <cell r="B37" t="str">
            <v>OFICIAL HIERRO</v>
          </cell>
          <cell r="C37" t="str">
            <v>OBRA</v>
          </cell>
          <cell r="D37">
            <v>1817052</v>
          </cell>
          <cell r="E37">
            <v>1.64</v>
          </cell>
          <cell r="F37">
            <v>59738.695890410956</v>
          </cell>
          <cell r="G37">
            <v>38148.252624657551</v>
          </cell>
          <cell r="H37">
            <v>97886.948515068507</v>
          </cell>
        </row>
        <row r="38">
          <cell r="A38" t="str">
            <v>MO031</v>
          </cell>
          <cell r="B38" t="str">
            <v>AYUDANTE ENTENDIDO</v>
          </cell>
          <cell r="C38" t="str">
            <v>OBRA</v>
          </cell>
          <cell r="D38">
            <v>1181083.8</v>
          </cell>
          <cell r="E38">
            <v>1.72</v>
          </cell>
          <cell r="F38">
            <v>38830.153424657532</v>
          </cell>
          <cell r="G38">
            <v>27923.975495890423</v>
          </cell>
          <cell r="H38">
            <v>66754.128920547955</v>
          </cell>
        </row>
        <row r="39">
          <cell r="A39" t="str">
            <v>MO032</v>
          </cell>
          <cell r="B39" t="str">
            <v>AYUDANTE RASO</v>
          </cell>
          <cell r="C39" t="str">
            <v>OBRA</v>
          </cell>
          <cell r="D39">
            <v>908526</v>
          </cell>
          <cell r="E39">
            <v>1.79</v>
          </cell>
          <cell r="F39">
            <v>29869.347945205478</v>
          </cell>
          <cell r="G39">
            <v>23542.14147945205</v>
          </cell>
          <cell r="H39">
            <v>53411.489424657528</v>
          </cell>
        </row>
        <row r="40">
          <cell r="A40" t="str">
            <v>MO033</v>
          </cell>
          <cell r="B40" t="str">
            <v>OPERADOR EQUIPO LIVIANO</v>
          </cell>
          <cell r="C40" t="str">
            <v>OBRA</v>
          </cell>
          <cell r="D40">
            <v>1181083.8</v>
          </cell>
          <cell r="E40">
            <v>1.72</v>
          </cell>
          <cell r="F40">
            <v>38830.153424657532</v>
          </cell>
          <cell r="G40">
            <v>27923.975495890423</v>
          </cell>
          <cell r="H40">
            <v>66754.128920547955</v>
          </cell>
        </row>
        <row r="41">
          <cell r="A41" t="str">
            <v>MO034</v>
          </cell>
          <cell r="B41" t="str">
            <v>OPERADOR EQUIPO MEDIANO</v>
          </cell>
          <cell r="C41" t="str">
            <v>OBRA</v>
          </cell>
          <cell r="D41">
            <v>2044183.5</v>
          </cell>
          <cell r="E41">
            <v>1.53</v>
          </cell>
          <cell r="F41">
            <v>67206.032876712328</v>
          </cell>
          <cell r="G41">
            <v>35698.704186301344</v>
          </cell>
          <cell r="H41">
            <v>102904.73706301367</v>
          </cell>
        </row>
        <row r="42">
          <cell r="A42" t="str">
            <v>MO035</v>
          </cell>
          <cell r="B42" t="str">
            <v>OPERADOR EQUIPO PESADO</v>
          </cell>
          <cell r="C42" t="str">
            <v>OBRA</v>
          </cell>
          <cell r="D42">
            <v>2907283.2</v>
          </cell>
          <cell r="E42">
            <v>1.52</v>
          </cell>
          <cell r="F42">
            <v>95581.912328767125</v>
          </cell>
          <cell r="G42">
            <v>49574.509786301351</v>
          </cell>
          <cell r="H42">
            <v>145156.42211506848</v>
          </cell>
        </row>
        <row r="43">
          <cell r="A43" t="str">
            <v>MO036</v>
          </cell>
          <cell r="B43" t="str">
            <v>AUXILIAR HERRAMIENTA</v>
          </cell>
          <cell r="C43" t="str">
            <v>OBRA</v>
          </cell>
          <cell r="D43">
            <v>908526</v>
          </cell>
          <cell r="E43">
            <v>1.79</v>
          </cell>
          <cell r="F43">
            <v>29869.347945205478</v>
          </cell>
          <cell r="G43">
            <v>23542.14147945205</v>
          </cell>
          <cell r="H43">
            <v>53411.489424657528</v>
          </cell>
        </row>
        <row r="44">
          <cell r="A44" t="str">
            <v>MO037</v>
          </cell>
          <cell r="B44" t="str">
            <v>PATIERO</v>
          </cell>
          <cell r="C44" t="str">
            <v>OBRA</v>
          </cell>
          <cell r="D44">
            <v>908526</v>
          </cell>
          <cell r="E44">
            <v>1.79</v>
          </cell>
          <cell r="F44">
            <v>29869.347945205478</v>
          </cell>
          <cell r="G44">
            <v>23542.14147945205</v>
          </cell>
          <cell r="H44">
            <v>53411.489424657528</v>
          </cell>
        </row>
        <row r="45">
          <cell r="A45" t="str">
            <v>MO038</v>
          </cell>
          <cell r="B45" t="str">
            <v>AUXILIAR PARE-SIGA</v>
          </cell>
          <cell r="C45" t="str">
            <v>OBRA</v>
          </cell>
          <cell r="D45">
            <v>908526</v>
          </cell>
          <cell r="E45">
            <v>1.79</v>
          </cell>
          <cell r="F45">
            <v>29869.347945205478</v>
          </cell>
          <cell r="G45">
            <v>23542.14147945205</v>
          </cell>
          <cell r="H45">
            <v>53411.489424657528</v>
          </cell>
        </row>
        <row r="46">
          <cell r="A46" t="str">
            <v>MO039</v>
          </cell>
          <cell r="B46" t="str">
            <v>INGENIERO SIG</v>
          </cell>
          <cell r="C46" t="str">
            <v>ADMÓN</v>
          </cell>
          <cell r="D46">
            <v>4542630</v>
          </cell>
          <cell r="E46">
            <v>1.5</v>
          </cell>
          <cell r="F46">
            <v>149346.73972602739</v>
          </cell>
          <cell r="G46">
            <v>75121.125589041156</v>
          </cell>
          <cell r="H46">
            <v>224467.86531506854</v>
          </cell>
        </row>
        <row r="47">
          <cell r="A47" t="str">
            <v>MO040</v>
          </cell>
          <cell r="B47" t="str">
            <v>TECNÓLOGO SIG</v>
          </cell>
          <cell r="C47" t="str">
            <v>ADMÓN</v>
          </cell>
          <cell r="D47">
            <v>2089609.7999999998</v>
          </cell>
          <cell r="E47">
            <v>1.52</v>
          </cell>
          <cell r="F47">
            <v>68699.501369863021</v>
          </cell>
          <cell r="G47">
            <v>35684.626169862982</v>
          </cell>
          <cell r="H47">
            <v>104384.127539726</v>
          </cell>
        </row>
        <row r="48">
          <cell r="A48" t="str">
            <v>MO041</v>
          </cell>
          <cell r="B48" t="str">
            <v>DIRECTOR DE CONSULTORÍA</v>
          </cell>
          <cell r="C48" t="str">
            <v>ADMÓN</v>
          </cell>
          <cell r="D48">
            <v>6087124.2000000002</v>
          </cell>
          <cell r="E48">
            <v>1.5</v>
          </cell>
          <cell r="F48">
            <v>200124.63013698629</v>
          </cell>
          <cell r="G48">
            <v>99951.513863013679</v>
          </cell>
          <cell r="H48">
            <v>300076.14399999997</v>
          </cell>
        </row>
        <row r="49">
          <cell r="A49" t="str">
            <v>MO042</v>
          </cell>
          <cell r="B49" t="str">
            <v>DIBUJANTE</v>
          </cell>
          <cell r="C49" t="str">
            <v>ADMÓN</v>
          </cell>
          <cell r="D49">
            <v>2089609.7999999998</v>
          </cell>
          <cell r="E49">
            <v>1.52</v>
          </cell>
          <cell r="F49">
            <v>68699.501369863021</v>
          </cell>
          <cell r="G49">
            <v>35684.626169862982</v>
          </cell>
          <cell r="H49">
            <v>104384.127539726</v>
          </cell>
        </row>
        <row r="50">
          <cell r="A50" t="str">
            <v>MO043</v>
          </cell>
          <cell r="B50" t="str">
            <v>INGENIERO ESPECIALISTA GEOTECNIA</v>
          </cell>
          <cell r="C50" t="str">
            <v>ADMÓN</v>
          </cell>
          <cell r="D50">
            <v>5451156</v>
          </cell>
          <cell r="E50">
            <v>1.5</v>
          </cell>
          <cell r="F50">
            <v>179216.08767123288</v>
          </cell>
          <cell r="G50">
            <v>89727.236734246544</v>
          </cell>
          <cell r="H50">
            <v>268943.32440547942</v>
          </cell>
        </row>
        <row r="51">
          <cell r="A51" t="str">
            <v>MO044</v>
          </cell>
          <cell r="B51" t="str">
            <v>GEÓLOGO</v>
          </cell>
          <cell r="C51" t="str">
            <v>ADMÓN</v>
          </cell>
          <cell r="D51">
            <v>4996893</v>
          </cell>
          <cell r="E51">
            <v>1.5</v>
          </cell>
          <cell r="F51">
            <v>164281.41369863015</v>
          </cell>
          <cell r="G51">
            <v>82424.182531506871</v>
          </cell>
          <cell r="H51">
            <v>246705.59623013702</v>
          </cell>
        </row>
        <row r="52">
          <cell r="A52" t="str">
            <v>MO045</v>
          </cell>
          <cell r="B52" t="str">
            <v xml:space="preserve">ARQUITECTO ESPECIALISTA URBANISMO </v>
          </cell>
          <cell r="C52" t="str">
            <v>ADMÓN</v>
          </cell>
          <cell r="D52">
            <v>5451156</v>
          </cell>
          <cell r="E52">
            <v>1.5</v>
          </cell>
          <cell r="F52">
            <v>179216.08767123288</v>
          </cell>
          <cell r="G52">
            <v>89727.236734246544</v>
          </cell>
          <cell r="H52">
            <v>268943.32440547942</v>
          </cell>
        </row>
        <row r="53">
          <cell r="A53" t="str">
            <v>MO046</v>
          </cell>
          <cell r="B53" t="str">
            <v>ARQUITECTO ESPECIALISTA PAISAJISMO</v>
          </cell>
          <cell r="C53" t="str">
            <v>ADMÓN</v>
          </cell>
          <cell r="D53">
            <v>5451156</v>
          </cell>
          <cell r="E53">
            <v>1.5</v>
          </cell>
          <cell r="F53">
            <v>179216.08767123288</v>
          </cell>
          <cell r="G53">
            <v>89727.236734246544</v>
          </cell>
          <cell r="H53">
            <v>268943.32440547942</v>
          </cell>
        </row>
        <row r="54">
          <cell r="A54" t="str">
            <v>MO047</v>
          </cell>
          <cell r="B54" t="str">
            <v>ARQUITECTO DISEÑADOR</v>
          </cell>
          <cell r="C54" t="str">
            <v>ADMÓN</v>
          </cell>
          <cell r="D54">
            <v>4996893</v>
          </cell>
          <cell r="E54">
            <v>1.5</v>
          </cell>
          <cell r="F54">
            <v>164281.41369863015</v>
          </cell>
          <cell r="G54">
            <v>82424.182531506871</v>
          </cell>
          <cell r="H54">
            <v>246705.59623013702</v>
          </cell>
        </row>
        <row r="55">
          <cell r="A55" t="str">
            <v>MO048</v>
          </cell>
          <cell r="B55" t="str">
            <v>INGENIERO ESPECIALISTA ESTRUCTURAL</v>
          </cell>
          <cell r="C55" t="str">
            <v>ADMÓN</v>
          </cell>
          <cell r="D55">
            <v>5451156</v>
          </cell>
          <cell r="E55">
            <v>1.5</v>
          </cell>
          <cell r="F55">
            <v>179216.08767123288</v>
          </cell>
          <cell r="G55">
            <v>89727.236734246544</v>
          </cell>
          <cell r="H55">
            <v>268943.32440547942</v>
          </cell>
        </row>
        <row r="56">
          <cell r="A56" t="str">
            <v>MO049</v>
          </cell>
          <cell r="B56" t="str">
            <v>INGENIERO REVISOR ESTRUCTURAL</v>
          </cell>
          <cell r="C56" t="str">
            <v>ADMÓN</v>
          </cell>
          <cell r="D56">
            <v>5451156</v>
          </cell>
          <cell r="E56">
            <v>1.5</v>
          </cell>
          <cell r="F56">
            <v>179216.08767123288</v>
          </cell>
          <cell r="G56">
            <v>89727.236734246544</v>
          </cell>
          <cell r="H56">
            <v>268943.32440547942</v>
          </cell>
        </row>
        <row r="57">
          <cell r="A57" t="str">
            <v>MO050</v>
          </cell>
          <cell r="B57" t="str">
            <v>INGENIERO ESPECIALISTA HIDRÁULICO</v>
          </cell>
          <cell r="C57" t="str">
            <v>ADMÓN</v>
          </cell>
          <cell r="D57">
            <v>5451156</v>
          </cell>
          <cell r="E57">
            <v>1.5</v>
          </cell>
          <cell r="F57">
            <v>179216.08767123288</v>
          </cell>
          <cell r="G57">
            <v>89727.236734246544</v>
          </cell>
          <cell r="H57">
            <v>268943.32440547942</v>
          </cell>
        </row>
        <row r="58">
          <cell r="A58" t="str">
            <v>MO051</v>
          </cell>
          <cell r="B58" t="str">
            <v>INGENIERO ELECTRICISTA</v>
          </cell>
          <cell r="C58" t="str">
            <v>ADMÓN</v>
          </cell>
          <cell r="D58">
            <v>4996893</v>
          </cell>
          <cell r="E58">
            <v>1.5</v>
          </cell>
          <cell r="F58">
            <v>164281.41369863015</v>
          </cell>
          <cell r="G58">
            <v>82424.182531506871</v>
          </cell>
          <cell r="H58">
            <v>246705.59623013702</v>
          </cell>
        </row>
        <row r="59">
          <cell r="A59" t="str">
            <v>MO052</v>
          </cell>
          <cell r="B59" t="str">
            <v>INGENIERO AMBIENTAL</v>
          </cell>
          <cell r="C59" t="str">
            <v>ADMÓN</v>
          </cell>
          <cell r="D59">
            <v>4996893</v>
          </cell>
          <cell r="E59">
            <v>1.5</v>
          </cell>
          <cell r="F59">
            <v>164281.41369863015</v>
          </cell>
          <cell r="G59">
            <v>82424.182531506871</v>
          </cell>
          <cell r="H59">
            <v>246705.59623013702</v>
          </cell>
        </row>
        <row r="60">
          <cell r="A60" t="str">
            <v>MO053</v>
          </cell>
          <cell r="B60" t="str">
            <v>INGENIERO FORESTAL</v>
          </cell>
          <cell r="C60" t="str">
            <v>ADMÓN</v>
          </cell>
          <cell r="D60">
            <v>4996893</v>
          </cell>
          <cell r="E60">
            <v>1.5</v>
          </cell>
          <cell r="F60">
            <v>164281.41369863015</v>
          </cell>
          <cell r="G60">
            <v>82424.182531506871</v>
          </cell>
          <cell r="H60">
            <v>246705.59623013702</v>
          </cell>
        </row>
        <row r="61">
          <cell r="A61" t="str">
            <v>MO054</v>
          </cell>
          <cell r="B61" t="str">
            <v>TÉCNICO AMBIENTAL</v>
          </cell>
          <cell r="C61" t="str">
            <v>ADMÓN</v>
          </cell>
          <cell r="D61">
            <v>1817052</v>
          </cell>
          <cell r="E61">
            <v>1.63</v>
          </cell>
          <cell r="F61">
            <v>59738.695890410956</v>
          </cell>
          <cell r="G61">
            <v>37403.869063013706</v>
          </cell>
          <cell r="H61">
            <v>97142.564953424662</v>
          </cell>
        </row>
        <row r="62">
          <cell r="A62">
            <v>97142.5625</v>
          </cell>
          <cell r="B62" t="str">
            <v/>
          </cell>
          <cell r="C62" t="str">
            <v/>
          </cell>
          <cell r="D62" t="str">
            <v/>
          </cell>
          <cell r="E62" t="str">
            <v/>
          </cell>
          <cell r="F62" t="str">
            <v/>
          </cell>
          <cell r="G62" t="str">
            <v/>
          </cell>
          <cell r="H62" t="str">
            <v/>
          </cell>
        </row>
        <row r="63">
          <cell r="A63">
            <v>97142.5625</v>
          </cell>
          <cell r="B63" t="str">
            <v/>
          </cell>
          <cell r="C63" t="str">
            <v/>
          </cell>
          <cell r="D63" t="str">
            <v/>
          </cell>
          <cell r="E63" t="str">
            <v/>
          </cell>
          <cell r="F63" t="str">
            <v/>
          </cell>
          <cell r="G63" t="str">
            <v/>
          </cell>
          <cell r="H63"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estatuto.co/?e=1460" TargetMode="External"/><Relationship Id="rId1" Type="http://schemas.openxmlformats.org/officeDocument/2006/relationships/hyperlink" Target="https://www.funcionpublica.gov.co/eva/gestornormativo/norma.php?i=5536"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6"/>
  <sheetViews>
    <sheetView view="pageBreakPreview" zoomScaleNormal="60" zoomScaleSheetLayoutView="100" workbookViewId="0">
      <selection activeCell="B13" sqref="B13"/>
    </sheetView>
  </sheetViews>
  <sheetFormatPr baseColWidth="10" defaultRowHeight="14.4"/>
  <cols>
    <col min="1" max="1" width="57.44140625" customWidth="1"/>
    <col min="2" max="2" width="56.5546875" customWidth="1"/>
    <col min="3" max="3" width="55.5546875" customWidth="1"/>
    <col min="5" max="5" width="23" customWidth="1"/>
  </cols>
  <sheetData>
    <row r="1" spans="1:5" ht="25.8">
      <c r="B1" s="1" t="s">
        <v>0</v>
      </c>
    </row>
    <row r="2" spans="1:5" ht="21">
      <c r="B2" s="2" t="s">
        <v>325</v>
      </c>
    </row>
    <row r="3" spans="1:5" ht="48.6" customHeight="1">
      <c r="B3" s="3" t="str">
        <f>B7</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row>
    <row r="4" spans="1:5" ht="7.35" customHeight="1">
      <c r="B4" s="4"/>
    </row>
    <row r="5" spans="1:5">
      <c r="B5" s="5" t="s">
        <v>1</v>
      </c>
    </row>
    <row r="6" spans="1:5">
      <c r="A6" s="6" t="s">
        <v>2</v>
      </c>
      <c r="B6" s="179" t="s">
        <v>325</v>
      </c>
      <c r="C6" s="13" t="s">
        <v>26</v>
      </c>
    </row>
    <row r="7" spans="1:5" ht="57.6" customHeight="1">
      <c r="A7" s="6" t="s">
        <v>3</v>
      </c>
      <c r="B7" s="12" t="s">
        <v>331</v>
      </c>
      <c r="C7" s="13" t="s">
        <v>27</v>
      </c>
    </row>
    <row r="8" spans="1:5">
      <c r="A8" s="6" t="s">
        <v>4</v>
      </c>
      <c r="B8" s="7" t="s">
        <v>23</v>
      </c>
      <c r="C8" s="13" t="s">
        <v>28</v>
      </c>
    </row>
    <row r="9" spans="1:5">
      <c r="A9" s="6" t="s">
        <v>5</v>
      </c>
      <c r="B9" s="7" t="s">
        <v>24</v>
      </c>
      <c r="C9" s="13" t="s">
        <v>29</v>
      </c>
    </row>
    <row r="10" spans="1:5" ht="48.6" customHeight="1">
      <c r="A10" s="6" t="s">
        <v>6</v>
      </c>
      <c r="B10" s="180" t="s">
        <v>25</v>
      </c>
      <c r="C10" s="13" t="s">
        <v>30</v>
      </c>
    </row>
    <row r="11" spans="1:5" ht="28.8">
      <c r="A11" s="6" t="s">
        <v>7</v>
      </c>
      <c r="B11" s="7" t="s">
        <v>55</v>
      </c>
      <c r="C11" s="13" t="s">
        <v>31</v>
      </c>
    </row>
    <row r="12" spans="1:5">
      <c r="A12" s="6" t="s">
        <v>8</v>
      </c>
      <c r="B12" s="8">
        <v>1750000</v>
      </c>
      <c r="C12" s="13"/>
    </row>
    <row r="13" spans="1:5">
      <c r="A13" s="6" t="s">
        <v>9</v>
      </c>
      <c r="B13" s="8">
        <v>200000</v>
      </c>
      <c r="C13" s="13"/>
    </row>
    <row r="14" spans="1:5" ht="14.4" customHeight="1">
      <c r="A14" s="6" t="s">
        <v>10</v>
      </c>
      <c r="B14" s="7" t="s">
        <v>21</v>
      </c>
      <c r="C14" s="217" t="s">
        <v>32</v>
      </c>
    </row>
    <row r="15" spans="1:5">
      <c r="A15" s="6" t="s">
        <v>11</v>
      </c>
      <c r="B15" s="7" t="s">
        <v>21</v>
      </c>
      <c r="C15" s="217"/>
    </row>
    <row r="16" spans="1:5" ht="28.8">
      <c r="A16" s="6" t="s">
        <v>12</v>
      </c>
      <c r="B16" s="7" t="s">
        <v>22</v>
      </c>
      <c r="C16" s="14" t="s">
        <v>33</v>
      </c>
      <c r="E16" s="182"/>
    </row>
    <row r="17" spans="1:3">
      <c r="A17" s="6" t="s">
        <v>13</v>
      </c>
      <c r="B17" s="9">
        <f>+IF(B16="I",0.522%,IF(B16="II",1.044%,IF(B16="III",2.436%,IF(B16="IV",4.35%,6.96%))))</f>
        <v>6.9599999999999995E-2</v>
      </c>
      <c r="C17" s="13"/>
    </row>
    <row r="18" spans="1:3">
      <c r="A18" s="6" t="s">
        <v>14</v>
      </c>
      <c r="B18" s="10">
        <v>1</v>
      </c>
      <c r="C18" s="13" t="s">
        <v>34</v>
      </c>
    </row>
    <row r="19" spans="1:3" ht="28.8">
      <c r="A19" s="6" t="s">
        <v>15</v>
      </c>
      <c r="B19" s="11">
        <v>5</v>
      </c>
      <c r="C19" s="13" t="s">
        <v>35</v>
      </c>
    </row>
    <row r="20" spans="1:3" ht="28.8">
      <c r="A20" s="6" t="s">
        <v>16</v>
      </c>
      <c r="B20" s="11">
        <v>5</v>
      </c>
      <c r="C20" s="13" t="s">
        <v>36</v>
      </c>
    </row>
    <row r="21" spans="1:3" ht="67.349999999999994" customHeight="1">
      <c r="A21" s="6" t="s">
        <v>171</v>
      </c>
      <c r="B21" s="11">
        <v>10</v>
      </c>
      <c r="C21" s="13" t="s">
        <v>37</v>
      </c>
    </row>
    <row r="22" spans="1:3" ht="53.1" customHeight="1">
      <c r="A22" s="6" t="s">
        <v>172</v>
      </c>
      <c r="B22" s="11">
        <v>10</v>
      </c>
      <c r="C22" s="13" t="s">
        <v>37</v>
      </c>
    </row>
    <row r="23" spans="1:3" ht="28.8">
      <c r="A23" s="6" t="s">
        <v>17</v>
      </c>
      <c r="B23" s="11">
        <v>5</v>
      </c>
      <c r="C23" s="13" t="s">
        <v>38</v>
      </c>
    </row>
    <row r="24" spans="1:3" ht="28.8">
      <c r="A24" s="6" t="s">
        <v>18</v>
      </c>
      <c r="B24" s="11">
        <v>5</v>
      </c>
      <c r="C24" s="13" t="s">
        <v>39</v>
      </c>
    </row>
    <row r="25" spans="1:3" ht="28.8">
      <c r="A25" s="6" t="s">
        <v>19</v>
      </c>
      <c r="B25" s="11"/>
      <c r="C25" s="13" t="s">
        <v>40</v>
      </c>
    </row>
    <row r="26" spans="1:3" ht="28.8">
      <c r="A26" s="6" t="s">
        <v>20</v>
      </c>
      <c r="B26" s="7" t="s">
        <v>21</v>
      </c>
      <c r="C26" s="13" t="s">
        <v>41</v>
      </c>
    </row>
    <row r="29" spans="1:3">
      <c r="A29" s="218"/>
      <c r="B29" s="218"/>
    </row>
    <row r="30" spans="1:3" ht="109.35" customHeight="1">
      <c r="A30" s="218"/>
      <c r="B30" s="218"/>
    </row>
    <row r="31" spans="1:3">
      <c r="A31" s="181"/>
    </row>
    <row r="46" spans="1:2">
      <c r="A46" s="15" t="s">
        <v>43</v>
      </c>
      <c r="B46" s="16" t="s">
        <v>42</v>
      </c>
    </row>
  </sheetData>
  <protectedRanges>
    <protectedRange sqref="B6:B11 B14:B16 B18:B26" name="Rango1"/>
  </protectedRanges>
  <mergeCells count="2">
    <mergeCell ref="C14:C15"/>
    <mergeCell ref="A29:B30"/>
  </mergeCells>
  <dataValidations count="4">
    <dataValidation type="whole" operator="greaterThanOrEqual" allowBlank="1" showInputMessage="1" showErrorMessage="1" sqref="B12:B13" xr:uid="{00000000-0002-0000-0000-000000000000}">
      <formula1>0</formula1>
    </dataValidation>
    <dataValidation type="list" allowBlank="1" showInputMessage="1" showErrorMessage="1" sqref="B6" xr:uid="{00000000-0002-0000-0000-000001000000}">
      <formula1>ENTIDADES</formula1>
    </dataValidation>
    <dataValidation type="list" allowBlank="1" showInputMessage="1" showErrorMessage="1" error="SI O NO" sqref="B14:B15 B26" xr:uid="{00000000-0002-0000-0000-000002000000}">
      <formula1>"SI,NO"</formula1>
    </dataValidation>
    <dataValidation type="list" allowBlank="1" showInputMessage="1" showErrorMessage="1" error="DEBE COLOCARSE UNO DE LOS NIVELES DE RIESGO: I, II, III, IV O V" sqref="B16" xr:uid="{00000000-0002-0000-0000-000003000000}">
      <formula1>"I,II,III,IV,V"</formula1>
    </dataValidation>
  </dataValidations>
  <hyperlinks>
    <hyperlink ref="C16" r:id="rId1" display="Ver " xr:uid="{00000000-0004-0000-0000-000000000000}"/>
    <hyperlink ref="C14:C15" r:id="rId2" display="Ver artículo 114-1 del Estatuto Tributario. Cabe aclarar que, al momento de proyectar los documentos del proceso de selección, deberá incluirse el método o procedimiento mediante el cual la Administración se asegurará de que, si el contratista elegido es de naturaleza contraria a esta decisión, el equilibrio contractual se encuentre garantizado." xr:uid="{00000000-0004-0000-0000-000001000000}"/>
  </hyperlinks>
  <pageMargins left="0.7" right="0.7" top="0.75" bottom="0.75" header="0.3" footer="0.3"/>
  <pageSetup scale="71" orientation="portrait" r:id="rId3"/>
  <colBreaks count="1" manualBreakCount="1">
    <brk id="2" max="36" man="1"/>
  </col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50"/>
  <sheetViews>
    <sheetView view="pageBreakPreview" topLeftCell="A25" zoomScale="60" zoomScaleNormal="100" workbookViewId="0">
      <selection activeCell="E58" sqref="E58"/>
    </sheetView>
  </sheetViews>
  <sheetFormatPr baseColWidth="10" defaultRowHeight="14.4"/>
  <cols>
    <col min="2" max="2" width="62.44140625" customWidth="1"/>
    <col min="5" max="5" width="15.109375" customWidth="1"/>
    <col min="6" max="6" width="14.5546875" customWidth="1"/>
    <col min="9" max="9" width="15.5546875" customWidth="1"/>
    <col min="10" max="10" width="19.44140625" customWidth="1"/>
    <col min="11" max="11" width="19.5546875" bestFit="1" customWidth="1"/>
    <col min="12" max="12" width="14.44140625" bestFit="1" customWidth="1"/>
    <col min="13" max="13" width="13.5546875" bestFit="1" customWidth="1"/>
  </cols>
  <sheetData>
    <row r="1" spans="1:13" ht="25.8">
      <c r="A1" s="222" t="s">
        <v>0</v>
      </c>
      <c r="B1" s="223"/>
      <c r="C1" s="224" t="s">
        <v>52</v>
      </c>
      <c r="D1" s="224"/>
      <c r="E1" s="224"/>
      <c r="F1" s="225"/>
    </row>
    <row r="2" spans="1:13" ht="21">
      <c r="A2" s="230" t="str">
        <f>'DATOS INICIALES'!B2</f>
        <v>MUNICIPIO DE DABEIBA</v>
      </c>
      <c r="B2" s="231"/>
      <c r="C2" s="226"/>
      <c r="D2" s="226"/>
      <c r="E2" s="226"/>
      <c r="F2" s="227"/>
    </row>
    <row r="3" spans="1:13" ht="51.6" customHeight="1">
      <c r="A3" s="232" t="str">
        <f>'DATOS INICIALES'!B3</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233"/>
      <c r="C3" s="226"/>
      <c r="D3" s="226"/>
      <c r="E3" s="226"/>
      <c r="F3" s="227"/>
    </row>
    <row r="4" spans="1:13">
      <c r="A4" s="17"/>
      <c r="B4" s="4"/>
      <c r="C4" s="226"/>
      <c r="D4" s="226"/>
      <c r="E4" s="226"/>
      <c r="F4" s="227"/>
    </row>
    <row r="5" spans="1:13" ht="31.65" customHeight="1">
      <c r="A5" s="234" t="s">
        <v>309</v>
      </c>
      <c r="B5" s="235"/>
      <c r="C5" s="228"/>
      <c r="D5" s="228"/>
      <c r="E5" s="228"/>
      <c r="F5" s="229"/>
    </row>
    <row r="7" spans="1:13" ht="21.6" customHeight="1">
      <c r="A7" s="51" t="s">
        <v>45</v>
      </c>
      <c r="B7" s="51" t="s">
        <v>46</v>
      </c>
      <c r="C7" s="51" t="s">
        <v>47</v>
      </c>
      <c r="D7" s="51" t="s">
        <v>48</v>
      </c>
      <c r="E7" s="50" t="s">
        <v>49</v>
      </c>
      <c r="F7" s="50" t="s">
        <v>50</v>
      </c>
      <c r="H7" s="236" t="s">
        <v>301</v>
      </c>
      <c r="I7" s="236" t="s">
        <v>65</v>
      </c>
      <c r="J7" s="236" t="s">
        <v>302</v>
      </c>
      <c r="K7" s="236" t="s">
        <v>303</v>
      </c>
      <c r="L7" s="236" t="s">
        <v>304</v>
      </c>
      <c r="M7" s="236" t="s">
        <v>271</v>
      </c>
    </row>
    <row r="8" spans="1:13">
      <c r="A8" s="18">
        <v>1</v>
      </c>
      <c r="B8" s="52" t="s">
        <v>131</v>
      </c>
      <c r="C8" s="53" t="s">
        <v>52</v>
      </c>
      <c r="D8" s="53"/>
      <c r="E8" s="54"/>
      <c r="F8" s="55"/>
      <c r="H8" s="236"/>
      <c r="I8" s="236"/>
      <c r="J8" s="236"/>
      <c r="K8" s="236"/>
      <c r="L8" s="236"/>
      <c r="M8" s="236"/>
    </row>
    <row r="9" spans="1:13">
      <c r="A9" s="36">
        <v>1.1000000000000001</v>
      </c>
      <c r="B9" s="56" t="s">
        <v>132</v>
      </c>
      <c r="C9" s="35" t="s">
        <v>52</v>
      </c>
      <c r="D9" s="35"/>
      <c r="E9" s="57" t="s">
        <v>52</v>
      </c>
      <c r="F9" s="58" t="s">
        <v>52</v>
      </c>
    </row>
    <row r="10" spans="1:13">
      <c r="A10" s="59"/>
      <c r="B10" s="21" t="s">
        <v>133</v>
      </c>
      <c r="C10" s="27" t="s">
        <v>67</v>
      </c>
      <c r="D10" s="29" t="s">
        <v>165</v>
      </c>
      <c r="E10" s="23"/>
      <c r="F10" s="60">
        <v>0</v>
      </c>
      <c r="H10" s="151"/>
      <c r="I10" s="151"/>
      <c r="J10" s="151"/>
      <c r="K10" s="151"/>
      <c r="L10" s="151"/>
      <c r="M10" s="151"/>
    </row>
    <row r="11" spans="1:13" ht="24" customHeight="1">
      <c r="A11" s="36">
        <v>1.2</v>
      </c>
      <c r="B11" s="56" t="s">
        <v>134</v>
      </c>
      <c r="C11" s="35" t="s">
        <v>52</v>
      </c>
      <c r="D11" s="35"/>
      <c r="E11" s="57"/>
      <c r="F11" s="58"/>
    </row>
    <row r="12" spans="1:13" ht="24">
      <c r="A12" s="59"/>
      <c r="B12" s="21" t="s">
        <v>168</v>
      </c>
      <c r="C12" s="27" t="s">
        <v>67</v>
      </c>
      <c r="D12" s="29">
        <v>1</v>
      </c>
      <c r="E12" s="23">
        <v>350000</v>
      </c>
      <c r="F12" s="60">
        <f>+IF(D12*E12=0,"",D12*E12)</f>
        <v>350000</v>
      </c>
    </row>
    <row r="13" spans="1:13" ht="24">
      <c r="A13" s="59"/>
      <c r="B13" s="21" t="s">
        <v>135</v>
      </c>
      <c r="C13" s="27" t="s">
        <v>67</v>
      </c>
      <c r="D13" s="29">
        <f>4*4</f>
        <v>16</v>
      </c>
      <c r="E13" s="23">
        <v>18000</v>
      </c>
      <c r="F13" s="60">
        <f>+IF(D13*E13=0,"",D13*E13)</f>
        <v>288000</v>
      </c>
    </row>
    <row r="14" spans="1:13" ht="28.35" customHeight="1">
      <c r="A14" s="59"/>
      <c r="B14" s="21" t="s">
        <v>136</v>
      </c>
      <c r="C14" s="27" t="s">
        <v>59</v>
      </c>
      <c r="D14" s="29">
        <v>4</v>
      </c>
      <c r="E14" s="23">
        <v>70000</v>
      </c>
      <c r="F14" s="60">
        <f>+IF(D14*E14=0,"",D14*E14)</f>
        <v>280000</v>
      </c>
    </row>
    <row r="15" spans="1:13" ht="24">
      <c r="A15" s="61">
        <v>1.3</v>
      </c>
      <c r="B15" s="56" t="s">
        <v>166</v>
      </c>
      <c r="C15" s="35" t="s">
        <v>52</v>
      </c>
      <c r="D15" s="35"/>
      <c r="E15" s="57"/>
      <c r="F15" s="58"/>
    </row>
    <row r="16" spans="1:13" ht="15" customHeight="1">
      <c r="A16" s="59"/>
      <c r="B16" s="21" t="s">
        <v>308</v>
      </c>
      <c r="C16" s="27" t="s">
        <v>137</v>
      </c>
      <c r="D16" s="29">
        <v>100</v>
      </c>
      <c r="E16" s="23">
        <v>12000</v>
      </c>
      <c r="F16" s="60">
        <f>+IF(D16*E16=0,"",D16*E16)</f>
        <v>1200000</v>
      </c>
    </row>
    <row r="17" spans="1:6" ht="24">
      <c r="A17" s="59"/>
      <c r="B17" s="21" t="s">
        <v>138</v>
      </c>
      <c r="C17" s="27" t="s">
        <v>167</v>
      </c>
      <c r="D17" s="29">
        <v>1000</v>
      </c>
      <c r="E17" s="23">
        <v>60</v>
      </c>
      <c r="F17" s="60">
        <f>+IF(D17*E17=0,"",D17*E17)</f>
        <v>60000</v>
      </c>
    </row>
    <row r="18" spans="1:6" ht="24">
      <c r="A18" s="36">
        <v>1.4</v>
      </c>
      <c r="B18" s="56" t="s">
        <v>140</v>
      </c>
      <c r="C18" s="35" t="s">
        <v>52</v>
      </c>
      <c r="D18" s="35"/>
      <c r="E18" s="57"/>
      <c r="F18" s="58"/>
    </row>
    <row r="19" spans="1:6" ht="24">
      <c r="A19" s="59"/>
      <c r="B19" s="21" t="s">
        <v>141</v>
      </c>
      <c r="C19" s="27" t="s">
        <v>58</v>
      </c>
      <c r="D19" s="29">
        <f>4*4</f>
        <v>16</v>
      </c>
      <c r="E19" s="23">
        <v>100000</v>
      </c>
      <c r="F19" s="60">
        <f>+IF(D19*E19=0,"",D19*E19)</f>
        <v>1600000</v>
      </c>
    </row>
    <row r="20" spans="1:6">
      <c r="A20" s="59"/>
      <c r="B20" s="21" t="s">
        <v>142</v>
      </c>
      <c r="C20" s="27" t="s">
        <v>67</v>
      </c>
      <c r="D20" s="29">
        <v>4</v>
      </c>
      <c r="E20" s="23">
        <v>80000</v>
      </c>
      <c r="F20" s="60">
        <f>+IF(D20*E20=0,"",D20*E20)</f>
        <v>320000</v>
      </c>
    </row>
    <row r="21" spans="1:6">
      <c r="A21" s="59"/>
      <c r="B21" s="21" t="s">
        <v>143</v>
      </c>
      <c r="C21" s="27" t="s">
        <v>67</v>
      </c>
      <c r="D21" s="29">
        <v>1</v>
      </c>
      <c r="E21" s="23">
        <v>300000</v>
      </c>
      <c r="F21" s="60">
        <f>+IF(D21*E21=0,"",D21*E21)</f>
        <v>300000</v>
      </c>
    </row>
    <row r="22" spans="1:6" ht="26.4" customHeight="1">
      <c r="A22" s="59"/>
      <c r="B22" s="21" t="s">
        <v>144</v>
      </c>
      <c r="C22" s="27" t="s">
        <v>139</v>
      </c>
      <c r="D22" s="29">
        <v>4</v>
      </c>
      <c r="E22" s="23">
        <v>180000</v>
      </c>
      <c r="F22" s="60">
        <f>+IF(D22*E22=0,"",D22*E22)</f>
        <v>720000</v>
      </c>
    </row>
    <row r="23" spans="1:6" ht="26.4" customHeight="1">
      <c r="A23" s="36">
        <v>1.5</v>
      </c>
      <c r="B23" s="56" t="s">
        <v>145</v>
      </c>
      <c r="C23" s="35" t="s">
        <v>52</v>
      </c>
      <c r="D23" s="35"/>
      <c r="E23" s="57"/>
      <c r="F23" s="58"/>
    </row>
    <row r="24" spans="1:6">
      <c r="A24" s="59"/>
      <c r="B24" s="21" t="s">
        <v>146</v>
      </c>
      <c r="C24" s="27" t="s">
        <v>67</v>
      </c>
      <c r="D24" s="29">
        <v>1</v>
      </c>
      <c r="E24" s="23">
        <v>180000</v>
      </c>
      <c r="F24" s="60">
        <f>+IF(D24*E24=0,"",D24*E24)</f>
        <v>180000</v>
      </c>
    </row>
    <row r="25" spans="1:6">
      <c r="A25" s="62"/>
      <c r="B25" s="63" t="s">
        <v>147</v>
      </c>
      <c r="C25" s="64" t="s">
        <v>52</v>
      </c>
      <c r="D25" s="64"/>
      <c r="E25" s="65"/>
      <c r="F25" s="66">
        <f>IF(SUM(F8:F24)=0,"",SUM(F8:F24))</f>
        <v>5298000</v>
      </c>
    </row>
    <row r="26" spans="1:6">
      <c r="A26" s="18">
        <v>2</v>
      </c>
      <c r="B26" s="52" t="s">
        <v>148</v>
      </c>
      <c r="C26" s="53" t="s">
        <v>52</v>
      </c>
      <c r="D26" s="53"/>
      <c r="E26" s="54"/>
      <c r="F26" s="55"/>
    </row>
    <row r="27" spans="1:6" ht="24.6" customHeight="1">
      <c r="A27" s="36">
        <v>2.1</v>
      </c>
      <c r="B27" s="56" t="s">
        <v>149</v>
      </c>
      <c r="C27" s="35" t="s">
        <v>52</v>
      </c>
      <c r="D27" s="35"/>
      <c r="E27" s="57"/>
      <c r="F27" s="58"/>
    </row>
    <row r="28" spans="1:6" ht="29.4" customHeight="1">
      <c r="A28" s="59"/>
      <c r="B28" s="21" t="s">
        <v>150</v>
      </c>
      <c r="C28" s="27" t="s">
        <v>67</v>
      </c>
      <c r="D28" s="29">
        <v>2</v>
      </c>
      <c r="E28" s="23">
        <v>25000</v>
      </c>
      <c r="F28" s="60">
        <f>+IF(D28*E28=0,"",D28*E28)</f>
        <v>50000</v>
      </c>
    </row>
    <row r="29" spans="1:6">
      <c r="A29" s="59"/>
      <c r="B29" s="21" t="s">
        <v>151</v>
      </c>
      <c r="C29" s="27" t="s">
        <v>67</v>
      </c>
      <c r="D29" s="29">
        <v>1</v>
      </c>
      <c r="E29" s="23">
        <v>160000</v>
      </c>
      <c r="F29" s="60">
        <f>+IF(D29*E29=0,"",D29*E29)</f>
        <v>160000</v>
      </c>
    </row>
    <row r="30" spans="1:6">
      <c r="A30" s="59"/>
      <c r="B30" s="21" t="s">
        <v>152</v>
      </c>
      <c r="C30" s="27" t="s">
        <v>67</v>
      </c>
      <c r="D30" s="29">
        <v>1</v>
      </c>
      <c r="E30" s="23">
        <v>100000</v>
      </c>
      <c r="F30" s="60">
        <f>+IF(D30*E30=0,"",D30*E30)</f>
        <v>100000</v>
      </c>
    </row>
    <row r="31" spans="1:6">
      <c r="A31" s="59"/>
      <c r="B31" s="21" t="s">
        <v>153</v>
      </c>
      <c r="C31" s="27" t="s">
        <v>67</v>
      </c>
      <c r="D31" s="29">
        <v>1</v>
      </c>
      <c r="E31" s="23">
        <v>180000</v>
      </c>
      <c r="F31" s="60">
        <f>+IF(D31*E31=0,"",D31*E31)</f>
        <v>180000</v>
      </c>
    </row>
    <row r="32" spans="1:6">
      <c r="A32" s="36">
        <v>2.2000000000000002</v>
      </c>
      <c r="B32" s="56" t="s">
        <v>154</v>
      </c>
      <c r="C32" s="35" t="s">
        <v>52</v>
      </c>
      <c r="D32" s="35"/>
      <c r="E32" s="57"/>
      <c r="F32" s="58"/>
    </row>
    <row r="33" spans="1:8" ht="24">
      <c r="A33" s="59"/>
      <c r="B33" s="21" t="s">
        <v>155</v>
      </c>
      <c r="C33" s="27" t="s">
        <v>67</v>
      </c>
      <c r="D33" s="29">
        <v>2</v>
      </c>
      <c r="E33" s="23">
        <v>200000</v>
      </c>
      <c r="F33" s="60">
        <f>+IF(D33*E33=0,"",D33*E33)</f>
        <v>400000</v>
      </c>
    </row>
    <row r="34" spans="1:8">
      <c r="A34" s="59"/>
      <c r="B34" s="21" t="s">
        <v>156</v>
      </c>
      <c r="C34" s="27" t="s">
        <v>67</v>
      </c>
      <c r="D34" s="29">
        <v>10</v>
      </c>
      <c r="E34" s="23">
        <v>5000</v>
      </c>
      <c r="F34" s="60">
        <f>+IF(D34*E34=0,"",D34*E34)</f>
        <v>50000</v>
      </c>
    </row>
    <row r="35" spans="1:8">
      <c r="A35" s="62"/>
      <c r="B35" s="63" t="s">
        <v>157</v>
      </c>
      <c r="C35" s="64" t="s">
        <v>52</v>
      </c>
      <c r="D35" s="64"/>
      <c r="E35" s="65"/>
      <c r="F35" s="66">
        <f>IF(SUM(F26:F34)=0,"",SUM(F26:F34))</f>
        <v>940000</v>
      </c>
    </row>
    <row r="36" spans="1:8">
      <c r="A36" s="18">
        <v>3</v>
      </c>
      <c r="B36" s="52" t="s">
        <v>158</v>
      </c>
      <c r="C36" s="53" t="s">
        <v>52</v>
      </c>
      <c r="D36" s="53"/>
      <c r="E36" s="54"/>
      <c r="F36" s="55"/>
    </row>
    <row r="37" spans="1:8">
      <c r="A37" s="36">
        <v>3.1</v>
      </c>
      <c r="B37" s="56" t="s">
        <v>159</v>
      </c>
      <c r="C37" s="35" t="s">
        <v>52</v>
      </c>
      <c r="D37" s="35"/>
      <c r="E37" s="57"/>
      <c r="F37" s="58"/>
    </row>
    <row r="38" spans="1:8" ht="33.6" customHeight="1">
      <c r="A38" s="59"/>
      <c r="B38" s="21" t="s">
        <v>160</v>
      </c>
      <c r="C38" s="27" t="s">
        <v>67</v>
      </c>
      <c r="D38" s="29">
        <v>300</v>
      </c>
      <c r="E38" s="23">
        <v>500</v>
      </c>
      <c r="F38" s="60">
        <f>+IF(D38*E38=0,"",D38*E38)</f>
        <v>150000</v>
      </c>
    </row>
    <row r="39" spans="1:8" ht="24">
      <c r="A39" s="59"/>
      <c r="B39" s="21" t="s">
        <v>161</v>
      </c>
      <c r="C39" s="27" t="s">
        <v>67</v>
      </c>
      <c r="D39" s="29">
        <v>1</v>
      </c>
      <c r="E39" s="23">
        <v>80000</v>
      </c>
      <c r="F39" s="60">
        <f>+IF(D39*E39=0,"",D39*E39)</f>
        <v>80000</v>
      </c>
    </row>
    <row r="40" spans="1:8" ht="39.6" customHeight="1">
      <c r="A40" s="59"/>
      <c r="B40" s="21" t="s">
        <v>162</v>
      </c>
      <c r="C40" s="27" t="s">
        <v>67</v>
      </c>
      <c r="D40" s="29">
        <v>3</v>
      </c>
      <c r="E40" s="23">
        <v>200000</v>
      </c>
      <c r="F40" s="60">
        <f>+IF(D40*E40=0,"",D40*E40)</f>
        <v>600000</v>
      </c>
    </row>
    <row r="41" spans="1:8">
      <c r="A41" s="62"/>
      <c r="B41" s="63" t="s">
        <v>163</v>
      </c>
      <c r="C41" s="64" t="s">
        <v>52</v>
      </c>
      <c r="D41" s="64"/>
      <c r="E41" s="65"/>
      <c r="F41" s="66">
        <f>IF(SUM(F36:F40)=0,"",SUM(F36:F40))</f>
        <v>830000</v>
      </c>
    </row>
    <row r="42" spans="1:8">
      <c r="A42" s="219" t="s">
        <v>164</v>
      </c>
      <c r="B42" s="220"/>
      <c r="C42" s="220"/>
      <c r="D42" s="220"/>
      <c r="E42" s="221"/>
      <c r="F42" s="66">
        <f>IF(SUM(F10:F41)=0,"",SUM(F25,F35,F41))</f>
        <v>7068000</v>
      </c>
    </row>
    <row r="43" spans="1:8">
      <c r="H43" s="67"/>
    </row>
    <row r="49" spans="2:2">
      <c r="B49" s="45"/>
    </row>
    <row r="50" spans="2:2">
      <c r="B50" s="45" t="s">
        <v>305</v>
      </c>
    </row>
  </sheetData>
  <protectedRanges>
    <protectedRange sqref="D16:E17 D38:E40 D33:E34 D28:E31 D24:E24 D19:E22 D10:E10 D12:E14" name="Rango1"/>
  </protectedRanges>
  <mergeCells count="12">
    <mergeCell ref="M7:M8"/>
    <mergeCell ref="H7:H8"/>
    <mergeCell ref="I7:I8"/>
    <mergeCell ref="J7:J8"/>
    <mergeCell ref="K7:K8"/>
    <mergeCell ref="L7:L8"/>
    <mergeCell ref="A42:E42"/>
    <mergeCell ref="A1:B1"/>
    <mergeCell ref="C1:F5"/>
    <mergeCell ref="A2:B2"/>
    <mergeCell ref="A3:B3"/>
    <mergeCell ref="A5:B5"/>
  </mergeCells>
  <pageMargins left="0.7" right="0.7" top="0.75" bottom="0.75" header="0.3" footer="0.3"/>
  <pageSetup scale="62" orientation="portrait" r:id="rId1"/>
  <colBreaks count="1" manualBreakCount="1">
    <brk id="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24"/>
  <sheetViews>
    <sheetView view="pageBreakPreview" topLeftCell="A10" zoomScale="90" zoomScaleNormal="100" zoomScaleSheetLayoutView="90" workbookViewId="0">
      <selection activeCell="A3" sqref="A3:C3"/>
    </sheetView>
  </sheetViews>
  <sheetFormatPr baseColWidth="10" defaultRowHeight="14.4"/>
  <cols>
    <col min="1" max="1" width="5.88671875" customWidth="1"/>
    <col min="2" max="2" width="7.44140625" customWidth="1"/>
    <col min="3" max="3" width="58.109375" customWidth="1"/>
    <col min="4" max="4" width="6.44140625" customWidth="1"/>
    <col min="5" max="5" width="9.109375" customWidth="1"/>
    <col min="6" max="6" width="7.44140625" customWidth="1"/>
    <col min="7" max="7" width="12" customWidth="1"/>
    <col min="8" max="8" width="12.88671875" customWidth="1"/>
  </cols>
  <sheetData>
    <row r="1" spans="1:8" ht="25.8">
      <c r="A1" s="222" t="s">
        <v>0</v>
      </c>
      <c r="B1" s="237"/>
      <c r="C1" s="237"/>
      <c r="D1" s="243"/>
      <c r="E1" s="244"/>
      <c r="F1" s="244"/>
      <c r="G1" s="244"/>
      <c r="H1" s="245"/>
    </row>
    <row r="2" spans="1:8" ht="21">
      <c r="A2" s="230" t="s">
        <v>325</v>
      </c>
      <c r="B2" s="238"/>
      <c r="C2" s="238"/>
      <c r="D2" s="246"/>
      <c r="E2" s="218"/>
      <c r="F2" s="218"/>
      <c r="G2" s="218"/>
      <c r="H2" s="247"/>
    </row>
    <row r="3" spans="1:8" ht="43.35" customHeight="1">
      <c r="A3" s="239" t="str">
        <f>'DATOS INICIALES'!B7</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240"/>
      <c r="C3" s="240"/>
      <c r="D3" s="246"/>
      <c r="E3" s="218"/>
      <c r="F3" s="218"/>
      <c r="G3" s="218"/>
      <c r="H3" s="247"/>
    </row>
    <row r="4" spans="1:8" ht="6.6" customHeight="1">
      <c r="A4" s="251"/>
      <c r="B4" s="251"/>
      <c r="C4" s="252"/>
      <c r="D4" s="246"/>
      <c r="E4" s="218"/>
      <c r="F4" s="218"/>
      <c r="G4" s="218"/>
      <c r="H4" s="247"/>
    </row>
    <row r="5" spans="1:8">
      <c r="A5" s="241" t="s">
        <v>310</v>
      </c>
      <c r="B5" s="242"/>
      <c r="C5" s="242"/>
      <c r="D5" s="248"/>
      <c r="E5" s="249"/>
      <c r="F5" s="249"/>
      <c r="G5" s="249"/>
      <c r="H5" s="250"/>
    </row>
    <row r="6" spans="1:8" ht="8.4" customHeight="1"/>
    <row r="7" spans="1:8">
      <c r="A7" s="26" t="s">
        <v>45</v>
      </c>
      <c r="B7" s="26" t="s">
        <v>53</v>
      </c>
      <c r="C7" s="26" t="s">
        <v>46</v>
      </c>
      <c r="D7" s="26" t="s">
        <v>47</v>
      </c>
      <c r="E7" s="26" t="s">
        <v>48</v>
      </c>
      <c r="F7" s="26" t="s">
        <v>85</v>
      </c>
      <c r="G7" s="183" t="s">
        <v>49</v>
      </c>
      <c r="H7" s="183" t="s">
        <v>50</v>
      </c>
    </row>
    <row r="8" spans="1:8">
      <c r="A8" s="253" t="s">
        <v>311</v>
      </c>
      <c r="B8" s="254"/>
      <c r="C8" s="254"/>
      <c r="D8" s="254"/>
      <c r="E8" s="254"/>
      <c r="F8" s="254"/>
      <c r="G8" s="254"/>
      <c r="H8" s="255"/>
    </row>
    <row r="9" spans="1:8">
      <c r="A9" s="59">
        <v>1.1000000000000001</v>
      </c>
      <c r="B9" s="59"/>
      <c r="C9" s="30" t="s">
        <v>312</v>
      </c>
      <c r="D9" s="27" t="s">
        <v>47</v>
      </c>
      <c r="E9" s="29">
        <v>4</v>
      </c>
      <c r="F9" s="27"/>
      <c r="G9" s="23">
        <v>32000</v>
      </c>
      <c r="H9" s="60">
        <f>+IF(E9*G9=0,"",E9*G9)</f>
        <v>128000</v>
      </c>
    </row>
    <row r="10" spans="1:8">
      <c r="A10" s="59">
        <v>1.2</v>
      </c>
      <c r="B10" s="59"/>
      <c r="C10" s="30" t="s">
        <v>313</v>
      </c>
      <c r="D10" s="27" t="s">
        <v>47</v>
      </c>
      <c r="E10" s="29">
        <v>4</v>
      </c>
      <c r="F10" s="27"/>
      <c r="G10" s="23">
        <v>25000</v>
      </c>
      <c r="H10" s="60">
        <f>+IF(E10*G10=0,"",E10*G10)</f>
        <v>100000</v>
      </c>
    </row>
    <row r="11" spans="1:8">
      <c r="A11" s="59">
        <v>1.3</v>
      </c>
      <c r="B11" s="59"/>
      <c r="C11" s="30" t="s">
        <v>314</v>
      </c>
      <c r="D11" s="27" t="s">
        <v>47</v>
      </c>
      <c r="E11" s="29">
        <v>4</v>
      </c>
      <c r="F11" s="27"/>
      <c r="G11" s="23">
        <v>40000</v>
      </c>
      <c r="H11" s="60">
        <f>+IF(E11*G11=0,"",E11*G11)</f>
        <v>160000</v>
      </c>
    </row>
    <row r="12" spans="1:8">
      <c r="A12" s="59">
        <v>1.4</v>
      </c>
      <c r="B12" s="59"/>
      <c r="C12" s="30" t="s">
        <v>315</v>
      </c>
      <c r="D12" s="27" t="s">
        <v>167</v>
      </c>
      <c r="E12" s="29">
        <v>1000</v>
      </c>
      <c r="F12" s="27"/>
      <c r="G12" s="23">
        <f>20000/500</f>
        <v>40</v>
      </c>
      <c r="H12" s="60">
        <f>+IF(E12*G12=0,"",E12*G12)</f>
        <v>40000</v>
      </c>
    </row>
    <row r="13" spans="1:8">
      <c r="A13" s="253" t="s">
        <v>316</v>
      </c>
      <c r="B13" s="254"/>
      <c r="C13" s="254"/>
      <c r="D13" s="254"/>
      <c r="E13" s="254"/>
      <c r="F13" s="254"/>
      <c r="G13" s="254"/>
      <c r="H13" s="255"/>
    </row>
    <row r="14" spans="1:8">
      <c r="A14" s="59">
        <v>2.1</v>
      </c>
      <c r="B14" s="59"/>
      <c r="C14" s="30" t="s">
        <v>317</v>
      </c>
      <c r="D14" s="27" t="s">
        <v>47</v>
      </c>
      <c r="E14" s="29">
        <v>2</v>
      </c>
      <c r="F14" s="27"/>
      <c r="G14" s="23">
        <v>150000</v>
      </c>
      <c r="H14" s="60">
        <f>+IF(E14*G14=0,"",E14*G14)</f>
        <v>300000</v>
      </c>
    </row>
    <row r="15" spans="1:8">
      <c r="A15" s="59">
        <v>2.2000000000000002</v>
      </c>
      <c r="B15" s="59"/>
      <c r="C15" s="30" t="s">
        <v>318</v>
      </c>
      <c r="D15" s="27" t="s">
        <v>47</v>
      </c>
      <c r="E15" s="29">
        <v>2</v>
      </c>
      <c r="F15" s="27"/>
      <c r="G15" s="23">
        <v>200000</v>
      </c>
      <c r="H15" s="60">
        <f>+IF(E15*G15=0,"",E15*G15)</f>
        <v>400000</v>
      </c>
    </row>
    <row r="16" spans="1:8">
      <c r="A16" s="253" t="s">
        <v>319</v>
      </c>
      <c r="B16" s="254"/>
      <c r="C16" s="254"/>
      <c r="D16" s="254"/>
      <c r="E16" s="254"/>
      <c r="F16" s="254"/>
      <c r="G16" s="254"/>
      <c r="H16" s="255"/>
    </row>
    <row r="17" spans="1:8">
      <c r="A17" s="59">
        <v>3.1</v>
      </c>
      <c r="B17" s="59"/>
      <c r="C17" s="30" t="s">
        <v>76</v>
      </c>
      <c r="D17" s="27" t="s">
        <v>47</v>
      </c>
      <c r="E17" s="29">
        <v>2</v>
      </c>
      <c r="F17" s="27"/>
      <c r="G17" s="23">
        <v>15000</v>
      </c>
      <c r="H17" s="60">
        <f>+IF(E17*G17=0,"",E17*G17)</f>
        <v>30000</v>
      </c>
    </row>
    <row r="18" spans="1:8">
      <c r="A18" s="59">
        <v>3.2</v>
      </c>
      <c r="B18" s="59"/>
      <c r="C18" s="30" t="s">
        <v>320</v>
      </c>
      <c r="D18" s="27" t="s">
        <v>47</v>
      </c>
      <c r="E18" s="29">
        <v>300</v>
      </c>
      <c r="F18" s="27"/>
      <c r="G18" s="23">
        <v>500</v>
      </c>
      <c r="H18" s="60">
        <f>+IF(E18*G18=0,"",E18*G18)</f>
        <v>150000</v>
      </c>
    </row>
    <row r="19" spans="1:8">
      <c r="A19" s="59">
        <v>3.3</v>
      </c>
      <c r="B19" s="59"/>
      <c r="C19" s="30" t="s">
        <v>321</v>
      </c>
      <c r="D19" s="27" t="s">
        <v>47</v>
      </c>
      <c r="E19" s="29">
        <v>2</v>
      </c>
      <c r="F19" s="27"/>
      <c r="G19" s="23">
        <v>2000</v>
      </c>
      <c r="H19" s="60">
        <f>+IF(E19*G19=0,"",E19*G19)</f>
        <v>4000</v>
      </c>
    </row>
    <row r="20" spans="1:8">
      <c r="A20" s="59">
        <v>3.4</v>
      </c>
      <c r="B20" s="59"/>
      <c r="C20" s="30" t="s">
        <v>322</v>
      </c>
      <c r="D20" s="27" t="s">
        <v>59</v>
      </c>
      <c r="E20" s="29">
        <v>1</v>
      </c>
      <c r="F20" s="27"/>
      <c r="G20" s="23">
        <v>150000</v>
      </c>
      <c r="H20" s="60">
        <f>+IF(E20*G20=0,"",E20*G20)</f>
        <v>150000</v>
      </c>
    </row>
    <row r="21" spans="1:8">
      <c r="A21" s="59">
        <v>3.5</v>
      </c>
      <c r="B21" s="29" t="s">
        <v>63</v>
      </c>
      <c r="C21" s="30" t="s">
        <v>64</v>
      </c>
      <c r="D21" s="27" t="s">
        <v>59</v>
      </c>
      <c r="E21" s="29">
        <v>1</v>
      </c>
      <c r="F21" s="29">
        <v>6</v>
      </c>
      <c r="G21" s="28">
        <v>51800</v>
      </c>
      <c r="H21" s="60">
        <f>+IF(E21*G21*F21=0,"",E21*G21*F21)</f>
        <v>310800</v>
      </c>
    </row>
    <row r="22" spans="1:8">
      <c r="A22" s="253" t="s">
        <v>323</v>
      </c>
      <c r="B22" s="254"/>
      <c r="C22" s="254"/>
      <c r="D22" s="254"/>
      <c r="E22" s="254"/>
      <c r="F22" s="254"/>
      <c r="G22" s="254"/>
      <c r="H22" s="255"/>
    </row>
    <row r="23" spans="1:8">
      <c r="A23" s="59">
        <v>4.0999999999999996</v>
      </c>
      <c r="B23" s="29" t="s">
        <v>68</v>
      </c>
      <c r="C23" s="30" t="s">
        <v>73</v>
      </c>
      <c r="D23" s="27" t="s">
        <v>59</v>
      </c>
      <c r="E23" s="29">
        <v>2</v>
      </c>
      <c r="F23" s="29">
        <v>6</v>
      </c>
      <c r="G23" s="28" t="e">
        <f>(#REF!+#REF!)*#REF!</f>
        <v>#REF!</v>
      </c>
      <c r="H23" s="60" t="e">
        <f>+IF(E23*G23*F23=0,"",E23*G23*F23)</f>
        <v>#REF!</v>
      </c>
    </row>
    <row r="24" spans="1:8">
      <c r="A24" s="219" t="s">
        <v>324</v>
      </c>
      <c r="B24" s="220"/>
      <c r="C24" s="220"/>
      <c r="D24" s="220"/>
      <c r="E24" s="220"/>
      <c r="F24" s="220"/>
      <c r="G24" s="221"/>
      <c r="H24" s="66" t="e">
        <f>IF(SUM(H8:H23)=0,"",SUM(H8:H23))</f>
        <v>#REF!</v>
      </c>
    </row>
  </sheetData>
  <protectedRanges>
    <protectedRange sqref="E9:E12 G9:G12" name="Rango1"/>
    <protectedRange sqref="E17:E21 F21 G17:G20 B21 B23 E23:F23 E14:E15 G14:G15" name="Rango1_1"/>
  </protectedRanges>
  <mergeCells count="11">
    <mergeCell ref="A8:H8"/>
    <mergeCell ref="A13:H13"/>
    <mergeCell ref="A16:H16"/>
    <mergeCell ref="A22:H22"/>
    <mergeCell ref="A24:G24"/>
    <mergeCell ref="A1:C1"/>
    <mergeCell ref="A2:C2"/>
    <mergeCell ref="A3:C3"/>
    <mergeCell ref="A5:C5"/>
    <mergeCell ref="D1:H5"/>
    <mergeCell ref="A4:C4"/>
  </mergeCells>
  <dataValidations count="2">
    <dataValidation type="list" allowBlank="1" showInputMessage="1" showErrorMessage="1" sqref="B21" xr:uid="{00000000-0002-0000-0500-000000000000}">
      <formula1>CÓDIGOS_EQUIPOS</formula1>
    </dataValidation>
    <dataValidation type="list" allowBlank="1" showInputMessage="1" showErrorMessage="1" sqref="B23" xr:uid="{00000000-0002-0000-0500-000001000000}">
      <formula1>CÓDIGOS_MANO_DE_OBRA</formula1>
    </dataValidation>
  </dataValidations>
  <pageMargins left="0.7" right="0.7" top="0.75" bottom="0.75" header="0.3" footer="0.3"/>
  <pageSetup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25"/>
  <sheetViews>
    <sheetView view="pageBreakPreview" zoomScale="60" zoomScaleNormal="70" zoomScalePageLayoutView="30" workbookViewId="0">
      <selection activeCell="A4" sqref="A4:I4"/>
    </sheetView>
  </sheetViews>
  <sheetFormatPr baseColWidth="10" defaultColWidth="11.5546875" defaultRowHeight="50.1" customHeight="1"/>
  <cols>
    <col min="1" max="1" width="9.44140625" style="152" customWidth="1"/>
    <col min="2" max="2" width="33.109375" style="152" customWidth="1"/>
    <col min="3" max="3" width="17.44140625" style="152" customWidth="1"/>
    <col min="4" max="4" width="15.5546875" style="152" customWidth="1"/>
    <col min="5" max="5" width="14.88671875" style="152" customWidth="1"/>
    <col min="6" max="6" width="23.109375" style="152" customWidth="1"/>
    <col min="7" max="7" width="26.5546875" style="152" customWidth="1"/>
    <col min="8" max="8" width="18" style="152" customWidth="1"/>
    <col min="9" max="9" width="34.88671875" style="153" customWidth="1"/>
    <col min="10" max="10" width="12.109375" style="153" bestFit="1" customWidth="1"/>
    <col min="11" max="11" width="13.44140625" style="152" bestFit="1" customWidth="1"/>
    <col min="12" max="12" width="15" style="152" bestFit="1" customWidth="1"/>
    <col min="13" max="13" width="16.5546875" style="152" bestFit="1" customWidth="1"/>
    <col min="14" max="14" width="11.5546875" style="152"/>
    <col min="15" max="15" width="12.109375" style="152" bestFit="1" customWidth="1"/>
    <col min="16" max="16384" width="11.5546875" style="152"/>
  </cols>
  <sheetData>
    <row r="1" spans="1:15" s="153" customFormat="1" ht="95.4" customHeight="1">
      <c r="A1" s="258"/>
      <c r="B1" s="259"/>
      <c r="C1" s="259"/>
      <c r="D1" s="259"/>
      <c r="E1" s="259"/>
      <c r="F1" s="259"/>
      <c r="G1" s="259"/>
      <c r="H1" s="259"/>
      <c r="I1" s="260"/>
    </row>
    <row r="2" spans="1:15" s="153" customFormat="1" ht="16.2">
      <c r="A2" s="261"/>
      <c r="B2" s="262"/>
      <c r="C2" s="262"/>
      <c r="D2" s="262"/>
      <c r="E2" s="262"/>
      <c r="F2" s="262"/>
      <c r="G2" s="262"/>
      <c r="H2" s="262"/>
      <c r="I2" s="263"/>
    </row>
    <row r="3" spans="1:15" s="153" customFormat="1" ht="16.2">
      <c r="A3" s="261" t="s">
        <v>300</v>
      </c>
      <c r="B3" s="262"/>
      <c r="C3" s="262"/>
      <c r="D3" s="262"/>
      <c r="E3" s="262"/>
      <c r="F3" s="262"/>
      <c r="G3" s="262"/>
      <c r="H3" s="262"/>
      <c r="I3" s="263"/>
    </row>
    <row r="4" spans="1:15" s="153" customFormat="1" ht="40.35" customHeight="1">
      <c r="A4" s="261" t="str">
        <f>'DATOS INICIALES'!B7</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4" s="262"/>
      <c r="C4" s="262"/>
      <c r="D4" s="262"/>
      <c r="E4" s="262"/>
      <c r="F4" s="262"/>
      <c r="G4" s="262"/>
      <c r="H4" s="262"/>
      <c r="I4" s="263"/>
    </row>
    <row r="5" spans="1:15" s="153" customFormat="1" ht="16.2">
      <c r="A5" s="261" t="s">
        <v>299</v>
      </c>
      <c r="B5" s="262"/>
      <c r="C5" s="262"/>
      <c r="D5" s="262"/>
      <c r="E5" s="262"/>
      <c r="F5" s="262"/>
      <c r="G5" s="262"/>
      <c r="H5" s="262"/>
      <c r="I5" s="263"/>
    </row>
    <row r="6" spans="1:15" s="153" customFormat="1" ht="16.2">
      <c r="A6" s="175" t="s">
        <v>298</v>
      </c>
      <c r="B6" s="174" t="s">
        <v>306</v>
      </c>
      <c r="C6" s="264"/>
      <c r="D6" s="264"/>
      <c r="E6" s="264"/>
      <c r="F6" s="264"/>
      <c r="G6" s="264"/>
      <c r="H6" s="264"/>
      <c r="I6" s="265"/>
    </row>
    <row r="7" spans="1:15" s="153" customFormat="1" ht="16.350000000000001" customHeight="1">
      <c r="A7" s="266" t="s">
        <v>297</v>
      </c>
      <c r="B7" s="267"/>
      <c r="C7" s="267"/>
      <c r="D7" s="267"/>
      <c r="E7" s="267"/>
      <c r="F7" s="267"/>
      <c r="G7" s="267"/>
      <c r="H7" s="267"/>
      <c r="I7" s="268"/>
    </row>
    <row r="8" spans="1:15" s="153" customFormat="1" ht="46.35" customHeight="1">
      <c r="A8" s="173" t="s">
        <v>45</v>
      </c>
      <c r="B8" s="172" t="s">
        <v>270</v>
      </c>
      <c r="C8" s="171" t="s">
        <v>296</v>
      </c>
      <c r="D8" s="172" t="s">
        <v>273</v>
      </c>
      <c r="E8" s="171" t="s">
        <v>295</v>
      </c>
      <c r="F8" s="171" t="s">
        <v>56</v>
      </c>
      <c r="G8" s="171" t="s">
        <v>50</v>
      </c>
      <c r="H8" s="171" t="s">
        <v>294</v>
      </c>
      <c r="I8" s="170" t="s">
        <v>293</v>
      </c>
      <c r="J8" s="176" t="s">
        <v>301</v>
      </c>
      <c r="K8" s="176" t="s">
        <v>65</v>
      </c>
      <c r="L8" s="176" t="s">
        <v>302</v>
      </c>
      <c r="M8" s="176" t="s">
        <v>303</v>
      </c>
      <c r="N8" s="176" t="s">
        <v>304</v>
      </c>
      <c r="O8" s="176" t="s">
        <v>271</v>
      </c>
    </row>
    <row r="9" spans="1:15" s="153" customFormat="1" ht="64.8">
      <c r="A9" s="166">
        <v>1</v>
      </c>
      <c r="B9" s="165" t="s">
        <v>292</v>
      </c>
      <c r="C9" s="165" t="s">
        <v>246</v>
      </c>
      <c r="D9" s="165">
        <v>4</v>
      </c>
      <c r="E9" s="165">
        <f>27*0.006*30</f>
        <v>4.8600000000000003</v>
      </c>
      <c r="F9" s="169">
        <v>9000</v>
      </c>
      <c r="G9" s="163">
        <f>D9*E9*F9</f>
        <v>174960</v>
      </c>
      <c r="H9" s="162" t="s">
        <v>291</v>
      </c>
      <c r="I9" s="161" t="s">
        <v>290</v>
      </c>
    </row>
    <row r="10" spans="1:15" s="153" customFormat="1" ht="162">
      <c r="A10" s="166">
        <v>2</v>
      </c>
      <c r="B10" s="165" t="s">
        <v>248</v>
      </c>
      <c r="C10" s="165" t="s">
        <v>246</v>
      </c>
      <c r="D10" s="165">
        <v>4</v>
      </c>
      <c r="E10" s="165">
        <f>0.003*27*30</f>
        <v>2.4300000000000002</v>
      </c>
      <c r="F10" s="169">
        <v>11085</v>
      </c>
      <c r="G10" s="163">
        <f>ROUND(D10*E10*F10,0)</f>
        <v>107746</v>
      </c>
      <c r="H10" s="162" t="s">
        <v>289</v>
      </c>
      <c r="I10" s="161" t="s">
        <v>288</v>
      </c>
    </row>
    <row r="11" spans="1:15" s="153" customFormat="1" ht="48.6">
      <c r="A11" s="167">
        <v>3</v>
      </c>
      <c r="B11" s="165" t="s">
        <v>250</v>
      </c>
      <c r="C11" s="165" t="s">
        <v>246</v>
      </c>
      <c r="D11" s="165">
        <v>4</v>
      </c>
      <c r="E11" s="165">
        <f>0.005*27*30</f>
        <v>4.0500000000000007</v>
      </c>
      <c r="F11" s="164">
        <v>3995</v>
      </c>
      <c r="G11" s="163">
        <f>D11*E11*F11</f>
        <v>64719.000000000015</v>
      </c>
      <c r="H11" s="162" t="s">
        <v>287</v>
      </c>
      <c r="I11" s="161" t="s">
        <v>286</v>
      </c>
    </row>
    <row r="12" spans="1:15" s="153" customFormat="1" ht="97.2">
      <c r="A12" s="166">
        <v>4</v>
      </c>
      <c r="B12" s="165" t="s">
        <v>252</v>
      </c>
      <c r="C12" s="165" t="s">
        <v>246</v>
      </c>
      <c r="D12" s="165">
        <v>4</v>
      </c>
      <c r="E12" s="165">
        <f>27*0.05*1*0.15*30</f>
        <v>6.0750000000000002</v>
      </c>
      <c r="F12" s="164">
        <v>2774</v>
      </c>
      <c r="G12" s="163">
        <f>ROUND(D12*E12*F12,0)</f>
        <v>67408</v>
      </c>
      <c r="H12" s="162" t="s">
        <v>285</v>
      </c>
      <c r="I12" s="161" t="s">
        <v>284</v>
      </c>
    </row>
    <row r="13" spans="1:15" s="153" customFormat="1" ht="97.2">
      <c r="A13" s="167">
        <v>5</v>
      </c>
      <c r="B13" s="162" t="s">
        <v>254</v>
      </c>
      <c r="C13" s="162" t="s">
        <v>75</v>
      </c>
      <c r="D13" s="165">
        <v>4</v>
      </c>
      <c r="E13" s="162">
        <f>4*27</f>
        <v>108</v>
      </c>
      <c r="F13" s="168">
        <v>1000</v>
      </c>
      <c r="G13" s="163">
        <f>D13*E13*F13</f>
        <v>432000</v>
      </c>
      <c r="H13" s="162" t="s">
        <v>283</v>
      </c>
      <c r="I13" s="161" t="s">
        <v>282</v>
      </c>
    </row>
    <row r="14" spans="1:15" s="153" customFormat="1" ht="97.2">
      <c r="A14" s="166">
        <v>6</v>
      </c>
      <c r="B14" s="165" t="s">
        <v>256</v>
      </c>
      <c r="C14" s="165" t="s">
        <v>74</v>
      </c>
      <c r="D14" s="165">
        <v>4</v>
      </c>
      <c r="E14" s="165">
        <f>8*27</f>
        <v>216</v>
      </c>
      <c r="F14" s="164">
        <v>598</v>
      </c>
      <c r="G14" s="163">
        <f>D14*E14*F14</f>
        <v>516672</v>
      </c>
      <c r="H14" s="162" t="s">
        <v>281</v>
      </c>
      <c r="I14" s="161" t="s">
        <v>280</v>
      </c>
    </row>
    <row r="15" spans="1:15" s="153" customFormat="1" ht="81">
      <c r="A15" s="167">
        <v>7</v>
      </c>
      <c r="B15" s="165" t="s">
        <v>258</v>
      </c>
      <c r="C15" s="165" t="s">
        <v>75</v>
      </c>
      <c r="D15" s="165">
        <v>4</v>
      </c>
      <c r="E15" s="165">
        <v>1</v>
      </c>
      <c r="F15" s="164">
        <v>299900</v>
      </c>
      <c r="G15" s="163">
        <f>D15*E15*F15</f>
        <v>1199600</v>
      </c>
      <c r="H15" s="162" t="s">
        <v>278</v>
      </c>
      <c r="I15" s="161" t="s">
        <v>279</v>
      </c>
    </row>
    <row r="16" spans="1:15" ht="129.6">
      <c r="A16" s="166">
        <v>8</v>
      </c>
      <c r="B16" s="165" t="s">
        <v>260</v>
      </c>
      <c r="C16" s="165" t="s">
        <v>75</v>
      </c>
      <c r="D16" s="165">
        <v>4</v>
      </c>
      <c r="E16" s="165">
        <v>1</v>
      </c>
      <c r="F16" s="164">
        <v>124900</v>
      </c>
      <c r="G16" s="163">
        <f>D16*E16*F16</f>
        <v>499600</v>
      </c>
      <c r="H16" s="162" t="s">
        <v>278</v>
      </c>
      <c r="I16" s="161" t="s">
        <v>277</v>
      </c>
    </row>
    <row r="17" spans="1:10" ht="16.350000000000001" customHeight="1">
      <c r="A17" s="269" t="s">
        <v>276</v>
      </c>
      <c r="B17" s="270"/>
      <c r="C17" s="270"/>
      <c r="D17" s="270"/>
      <c r="E17" s="270"/>
      <c r="F17" s="270"/>
      <c r="G17" s="160">
        <f>SUM(G9:G16)</f>
        <v>3062705</v>
      </c>
      <c r="H17" s="271"/>
      <c r="I17" s="272"/>
    </row>
    <row r="18" spans="1:10" ht="16.350000000000001" customHeight="1">
      <c r="A18" s="269" t="s">
        <v>275</v>
      </c>
      <c r="B18" s="270"/>
      <c r="C18" s="270"/>
      <c r="D18" s="270"/>
      <c r="E18" s="270"/>
      <c r="F18" s="270"/>
      <c r="G18" s="160" t="e">
        <f>#REF!</f>
        <v>#REF!</v>
      </c>
      <c r="H18" s="271"/>
      <c r="I18" s="272"/>
    </row>
    <row r="19" spans="1:10" ht="16.350000000000001" customHeight="1" thickBot="1">
      <c r="A19" s="275" t="s">
        <v>274</v>
      </c>
      <c r="B19" s="276"/>
      <c r="C19" s="276"/>
      <c r="D19" s="276"/>
      <c r="E19" s="276"/>
      <c r="F19" s="276"/>
      <c r="G19" s="159" t="e">
        <f>ROUND(G17/G18,4)</f>
        <v>#REF!</v>
      </c>
      <c r="H19" s="273"/>
      <c r="I19" s="274"/>
    </row>
    <row r="20" spans="1:10" ht="16.350000000000001" customHeight="1">
      <c r="A20" s="158"/>
      <c r="B20" s="158"/>
      <c r="C20" s="158"/>
      <c r="D20" s="158"/>
      <c r="E20" s="158"/>
      <c r="F20" s="157"/>
      <c r="G20" s="156"/>
      <c r="H20" s="155"/>
      <c r="I20" s="155"/>
    </row>
    <row r="21" spans="1:10" ht="16.350000000000001" customHeight="1">
      <c r="A21" s="277" t="s">
        <v>307</v>
      </c>
      <c r="B21" s="277"/>
      <c r="C21" s="277"/>
      <c r="D21" s="277"/>
      <c r="E21" s="277"/>
      <c r="F21" s="277"/>
      <c r="G21" s="277"/>
      <c r="H21" s="277"/>
      <c r="I21" s="277"/>
    </row>
    <row r="22" spans="1:10" ht="46.35" customHeight="1">
      <c r="A22" s="277"/>
      <c r="B22" s="277"/>
      <c r="C22" s="277"/>
      <c r="D22" s="277"/>
      <c r="E22" s="277"/>
      <c r="F22" s="277"/>
      <c r="G22" s="277"/>
      <c r="H22" s="277"/>
      <c r="I22" s="277"/>
      <c r="J22" s="154"/>
    </row>
    <row r="23" spans="1:10" ht="129.6" customHeight="1">
      <c r="A23" s="257"/>
      <c r="B23" s="257"/>
      <c r="C23" s="257"/>
      <c r="D23" s="257"/>
      <c r="E23" s="257"/>
      <c r="F23" s="257"/>
      <c r="G23" s="257"/>
      <c r="H23" s="257"/>
      <c r="I23" s="257"/>
    </row>
    <row r="24" spans="1:10" ht="16.2">
      <c r="A24" s="256"/>
      <c r="B24" s="256"/>
    </row>
    <row r="25" spans="1:10" ht="16.2">
      <c r="A25" s="256" t="s">
        <v>305</v>
      </c>
      <c r="B25" s="256"/>
      <c r="C25" s="256"/>
    </row>
  </sheetData>
  <mergeCells count="15">
    <mergeCell ref="A24:B24"/>
    <mergeCell ref="A25:C25"/>
    <mergeCell ref="A23:I23"/>
    <mergeCell ref="A1:I1"/>
    <mergeCell ref="A2:I2"/>
    <mergeCell ref="A3:I3"/>
    <mergeCell ref="A4:I4"/>
    <mergeCell ref="A5:I5"/>
    <mergeCell ref="C6:I6"/>
    <mergeCell ref="A7:I7"/>
    <mergeCell ref="A17:F17"/>
    <mergeCell ref="H17:I19"/>
    <mergeCell ref="A18:F18"/>
    <mergeCell ref="A19:F19"/>
    <mergeCell ref="A21:I22"/>
  </mergeCells>
  <dataValidations count="1">
    <dataValidation allowBlank="1" showErrorMessage="1" sqref="A24:A25" xr:uid="{00000000-0002-0000-0600-000000000000}"/>
  </dataValidations>
  <printOptions horizontalCentered="1"/>
  <pageMargins left="1.1811023622047245" right="0.23622047244094491" top="0.47244094488188981" bottom="0.98425196850393704" header="0.31496062992125984" footer="0.31496062992125984"/>
  <pageSetup scale="45"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51"/>
  <sheetViews>
    <sheetView view="pageBreakPreview" topLeftCell="A34" zoomScale="80" zoomScaleNormal="100" zoomScaleSheetLayoutView="80" workbookViewId="0">
      <selection activeCell="C50" sqref="C50:D50"/>
    </sheetView>
  </sheetViews>
  <sheetFormatPr baseColWidth="10" defaultColWidth="11.5546875" defaultRowHeight="13.8"/>
  <cols>
    <col min="1" max="1" width="7" style="70" customWidth="1"/>
    <col min="2" max="2" width="11.5546875" style="70"/>
    <col min="3" max="3" width="44.44140625" style="70" customWidth="1"/>
    <col min="4" max="4" width="11.5546875" style="70"/>
    <col min="5" max="5" width="14.88671875" style="70" customWidth="1"/>
    <col min="6" max="6" width="11.5546875" style="70"/>
    <col min="7" max="7" width="10.44140625" style="70" customWidth="1"/>
    <col min="8" max="8" width="11.5546875" style="70"/>
    <col min="9" max="9" width="17.44140625" style="70" customWidth="1"/>
    <col min="10" max="16384" width="11.5546875" style="70"/>
  </cols>
  <sheetData>
    <row r="1" spans="1:9" ht="25.8">
      <c r="A1" s="288" t="s">
        <v>0</v>
      </c>
      <c r="B1" s="288"/>
      <c r="C1" s="288"/>
      <c r="D1" s="288"/>
      <c r="E1" s="288"/>
      <c r="F1" s="288"/>
      <c r="G1" s="289" t="s">
        <v>52</v>
      </c>
      <c r="H1" s="289"/>
      <c r="I1" s="290"/>
    </row>
    <row r="2" spans="1:9" ht="21">
      <c r="A2" s="295" t="str">
        <f>'DATOS INICIALES'!B2</f>
        <v>MUNICIPIO DE DABEIBA</v>
      </c>
      <c r="B2" s="295"/>
      <c r="C2" s="295"/>
      <c r="D2" s="295"/>
      <c r="E2" s="295"/>
      <c r="F2" s="295"/>
      <c r="G2" s="291"/>
      <c r="H2" s="291"/>
      <c r="I2" s="292"/>
    </row>
    <row r="3" spans="1:9" ht="51.6" customHeight="1">
      <c r="A3" s="296" t="str">
        <f>'DATOS INICIALES'!B3</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296"/>
      <c r="C3" s="296"/>
      <c r="D3" s="296"/>
      <c r="E3" s="296"/>
      <c r="F3" s="296"/>
      <c r="G3" s="291"/>
      <c r="H3" s="291"/>
      <c r="I3" s="292"/>
    </row>
    <row r="4" spans="1:9" ht="6.6" customHeight="1">
      <c r="A4" s="17"/>
      <c r="B4" s="4"/>
      <c r="C4" s="4"/>
      <c r="D4" s="4"/>
      <c r="E4" s="4"/>
      <c r="F4" s="4"/>
      <c r="G4" s="291"/>
      <c r="H4" s="291"/>
      <c r="I4" s="292"/>
    </row>
    <row r="5" spans="1:9">
      <c r="A5" s="297" t="s">
        <v>173</v>
      </c>
      <c r="B5" s="297"/>
      <c r="C5" s="297"/>
      <c r="D5" s="297"/>
      <c r="E5" s="297"/>
      <c r="F5" s="297"/>
      <c r="G5" s="293"/>
      <c r="H5" s="293"/>
      <c r="I5" s="294"/>
    </row>
    <row r="6" spans="1:9" ht="6.6" customHeight="1"/>
    <row r="7" spans="1:9">
      <c r="A7" s="71" t="s">
        <v>45</v>
      </c>
      <c r="B7" s="71" t="s">
        <v>53</v>
      </c>
      <c r="C7" s="71" t="s">
        <v>46</v>
      </c>
      <c r="D7" s="71" t="s">
        <v>81</v>
      </c>
      <c r="E7" s="71" t="s">
        <v>82</v>
      </c>
      <c r="F7" s="71" t="s">
        <v>83</v>
      </c>
      <c r="G7" s="71" t="s">
        <v>84</v>
      </c>
      <c r="H7" s="71" t="s">
        <v>85</v>
      </c>
      <c r="I7" s="72" t="s">
        <v>86</v>
      </c>
    </row>
    <row r="8" spans="1:9">
      <c r="A8" s="73" t="s">
        <v>174</v>
      </c>
      <c r="B8" s="298" t="s">
        <v>175</v>
      </c>
      <c r="C8" s="298"/>
      <c r="D8" s="298"/>
      <c r="E8" s="298"/>
      <c r="F8" s="298"/>
      <c r="G8" s="298"/>
      <c r="H8" s="298"/>
      <c r="I8" s="132"/>
    </row>
    <row r="9" spans="1:9">
      <c r="A9" s="74">
        <v>1</v>
      </c>
      <c r="B9" s="286" t="s">
        <v>221</v>
      </c>
      <c r="C9" s="286"/>
      <c r="D9" s="286"/>
      <c r="E9" s="286"/>
      <c r="F9" s="286"/>
      <c r="G9" s="286"/>
      <c r="H9" s="286"/>
      <c r="I9" s="37" t="str">
        <f>IFERROR(IF(SUM(I10:I12)=0,"",SUM(I10:I12)),"")</f>
        <v/>
      </c>
    </row>
    <row r="10" spans="1:9">
      <c r="A10" s="32" t="s">
        <v>51</v>
      </c>
      <c r="B10" s="32" t="e">
        <f>IF(C10="","",INDEX(CODIGOSMANODEOBRA,MATCH($C10,#REF!,0)))</f>
        <v>#REF!</v>
      </c>
      <c r="C10" s="39" t="s">
        <v>69</v>
      </c>
      <c r="D10" s="41">
        <v>1</v>
      </c>
      <c r="E10" s="34" t="str">
        <f>IF(C10="","",IFERROR(VLOOKUP($B10,INSUMOSMANODEOBRA,4,0),""))</f>
        <v/>
      </c>
      <c r="F10" s="150">
        <v>1</v>
      </c>
      <c r="G10" s="40">
        <v>0.3</v>
      </c>
      <c r="H10" s="41">
        <v>6</v>
      </c>
      <c r="I10" s="34" t="str">
        <f>+IF(D10=0,"",IFERROR(D10*(E10+F10)*G10*H10,""))</f>
        <v/>
      </c>
    </row>
    <row r="11" spans="1:9">
      <c r="A11" s="32" t="s">
        <v>87</v>
      </c>
      <c r="B11" s="32" t="e">
        <f>IF(C11="","",INDEX(CODIGOSMANODEOBRA,MATCH($C11,#REF!,0)))</f>
        <v>#REF!</v>
      </c>
      <c r="C11" s="39" t="s">
        <v>70</v>
      </c>
      <c r="D11" s="41">
        <v>1</v>
      </c>
      <c r="E11" s="34" t="str">
        <f>IF(C11="","",IFERROR(VLOOKUP($B11,INSUMOSMANODEOBRA,4,0),""))</f>
        <v/>
      </c>
      <c r="F11" s="150">
        <v>1</v>
      </c>
      <c r="G11" s="40">
        <v>1</v>
      </c>
      <c r="H11" s="41">
        <v>6</v>
      </c>
      <c r="I11" s="34" t="str">
        <f>+IF(D11=0,"",IFERROR(D11*(E11+F11)*G11*H11,""))</f>
        <v/>
      </c>
    </row>
    <row r="12" spans="1:9">
      <c r="A12" s="32" t="s">
        <v>272</v>
      </c>
      <c r="B12" s="32" t="e">
        <f>IF(C12="","",INDEX(CODIGOSMANODEOBRA,MATCH($C12,#REF!,0)))</f>
        <v>#REF!</v>
      </c>
      <c r="C12" s="39" t="s">
        <v>71</v>
      </c>
      <c r="D12" s="41">
        <v>1</v>
      </c>
      <c r="E12" s="34" t="str">
        <f>IF(C12="","",IFERROR(VLOOKUP($B12,INSUMOSMANODEOBRA,4,0),""))</f>
        <v/>
      </c>
      <c r="F12" s="150">
        <v>1</v>
      </c>
      <c r="G12" s="40">
        <v>0.6</v>
      </c>
      <c r="H12" s="41">
        <v>6</v>
      </c>
      <c r="I12" s="34" t="str">
        <f>+IF(D12=0,"",IFERROR(D12*(E12+F12)*G12*H12,""))</f>
        <v/>
      </c>
    </row>
    <row r="13" spans="1:9">
      <c r="A13" s="74">
        <v>2</v>
      </c>
      <c r="B13" s="286">
        <v>6</v>
      </c>
      <c r="C13" s="286"/>
      <c r="D13" s="286"/>
      <c r="E13" s="286"/>
      <c r="F13" s="286"/>
      <c r="G13" s="286"/>
      <c r="H13" s="286"/>
      <c r="I13" s="37" t="str">
        <f>IFERROR(IF(SUM(I14:I14)=0,"",SUM(I14:I14)),"")</f>
        <v/>
      </c>
    </row>
    <row r="14" spans="1:9">
      <c r="A14" s="32" t="s">
        <v>88</v>
      </c>
      <c r="B14" s="32" t="e">
        <f>IF(C14="","",INDEX(CODIGOSMANODEOBRA,MATCH($C14,#REF!,0)))</f>
        <v>#REF!</v>
      </c>
      <c r="C14" s="39" t="s">
        <v>72</v>
      </c>
      <c r="D14" s="41">
        <v>1</v>
      </c>
      <c r="E14" s="34" t="str">
        <f>IF(C14="","",IFERROR(VLOOKUP($B14,INSUMOSMANODEOBRA,4,0),""))</f>
        <v/>
      </c>
      <c r="F14" s="150">
        <v>1</v>
      </c>
      <c r="G14" s="40">
        <v>0.5</v>
      </c>
      <c r="H14" s="41">
        <v>6</v>
      </c>
      <c r="I14" s="34" t="str">
        <f>+IF(D14=0,"",IFERROR(D14*(E14+F14)*G14*H14,""))</f>
        <v/>
      </c>
    </row>
    <row r="15" spans="1:9">
      <c r="A15" s="74">
        <v>3</v>
      </c>
      <c r="B15" s="286" t="s">
        <v>222</v>
      </c>
      <c r="C15" s="286"/>
      <c r="D15" s="286"/>
      <c r="E15" s="286"/>
      <c r="F15" s="286"/>
      <c r="G15" s="286"/>
      <c r="H15" s="286"/>
      <c r="I15" s="75"/>
    </row>
    <row r="16" spans="1:9">
      <c r="A16" s="32" t="s">
        <v>90</v>
      </c>
      <c r="B16" s="100"/>
      <c r="C16" s="38" t="s">
        <v>223</v>
      </c>
      <c r="D16" s="97"/>
      <c r="E16" s="97"/>
      <c r="F16" s="97"/>
      <c r="G16" s="98"/>
      <c r="H16" s="98"/>
      <c r="I16" s="99" t="str">
        <f>IF(SUM(I9,I13)=0,"",SUM(I9,I13))</f>
        <v/>
      </c>
    </row>
    <row r="17" spans="1:9">
      <c r="A17" s="32" t="s">
        <v>129</v>
      </c>
      <c r="B17" s="100"/>
      <c r="C17" s="38" t="s">
        <v>224</v>
      </c>
      <c r="D17" s="97"/>
      <c r="E17" s="97"/>
      <c r="F17" s="97"/>
      <c r="G17" s="98"/>
      <c r="H17" s="98"/>
      <c r="I17" s="148" t="str">
        <f ca="1">'FM INTERVENTORIA'!H39</f>
        <v/>
      </c>
    </row>
    <row r="18" spans="1:9">
      <c r="A18" s="32" t="s">
        <v>169</v>
      </c>
      <c r="B18" s="100"/>
      <c r="C18" s="38" t="s">
        <v>226</v>
      </c>
      <c r="D18" s="97"/>
      <c r="E18" s="97"/>
      <c r="F18" s="97"/>
      <c r="G18" s="98"/>
      <c r="H18" s="98"/>
      <c r="I18" s="99" t="str">
        <f ca="1">+IFERROR(I16*I17,"")</f>
        <v/>
      </c>
    </row>
    <row r="19" spans="1:9" ht="30" customHeight="1">
      <c r="A19" s="85">
        <v>4</v>
      </c>
      <c r="B19" s="287" t="s">
        <v>201</v>
      </c>
      <c r="C19" s="287"/>
      <c r="D19" s="287"/>
      <c r="E19" s="287"/>
      <c r="F19" s="287"/>
      <c r="G19" s="287"/>
      <c r="H19" s="287"/>
      <c r="I19" s="75"/>
    </row>
    <row r="20" spans="1:9">
      <c r="A20" s="32"/>
      <c r="B20" s="100"/>
      <c r="C20" s="38" t="s">
        <v>223</v>
      </c>
      <c r="D20" s="97"/>
      <c r="E20" s="97"/>
      <c r="F20" s="97"/>
      <c r="G20" s="98"/>
      <c r="H20" s="98"/>
      <c r="I20" s="99" t="str">
        <f>IF(SUM(I9,I13)=0,"",SUM(I9,I13))</f>
        <v/>
      </c>
    </row>
    <row r="21" spans="1:9">
      <c r="A21" s="32" t="s">
        <v>93</v>
      </c>
      <c r="B21" s="100"/>
      <c r="C21" s="38" t="s">
        <v>183</v>
      </c>
      <c r="D21" s="97"/>
      <c r="E21" s="97"/>
      <c r="F21" s="97"/>
      <c r="G21" s="98"/>
      <c r="H21" s="101">
        <v>8.5000000000000006E-2</v>
      </c>
      <c r="I21" s="102" t="e">
        <f>$I$20*H21</f>
        <v>#VALUE!</v>
      </c>
    </row>
    <row r="22" spans="1:9">
      <c r="A22" s="32" t="s">
        <v>94</v>
      </c>
      <c r="B22" s="100"/>
      <c r="C22" s="38" t="s">
        <v>186</v>
      </c>
      <c r="D22" s="97"/>
      <c r="E22" s="97"/>
      <c r="F22" s="97"/>
      <c r="G22" s="98"/>
      <c r="H22" s="101">
        <v>0.03</v>
      </c>
      <c r="I22" s="102" t="e">
        <f t="shared" ref="I22:I23" si="0">$I$20*H22</f>
        <v>#VALUE!</v>
      </c>
    </row>
    <row r="23" spans="1:9">
      <c r="A23" s="32" t="s">
        <v>170</v>
      </c>
      <c r="B23" s="100"/>
      <c r="C23" s="38" t="s">
        <v>185</v>
      </c>
      <c r="D23" s="97"/>
      <c r="E23" s="97"/>
      <c r="F23" s="97"/>
      <c r="G23" s="98"/>
      <c r="H23" s="101">
        <v>0.02</v>
      </c>
      <c r="I23" s="102" t="e">
        <f t="shared" si="0"/>
        <v>#VALUE!</v>
      </c>
    </row>
    <row r="24" spans="1:9">
      <c r="A24" s="32"/>
      <c r="B24" s="100"/>
      <c r="C24" s="38" t="s">
        <v>225</v>
      </c>
      <c r="D24" s="97"/>
      <c r="E24" s="97"/>
      <c r="F24" s="97"/>
      <c r="G24" s="98"/>
      <c r="H24" s="98"/>
      <c r="I24" s="99" t="e">
        <f>I21+I22+I23</f>
        <v>#VALUE!</v>
      </c>
    </row>
    <row r="25" spans="1:9">
      <c r="A25" s="103"/>
      <c r="B25" s="284" t="s">
        <v>227</v>
      </c>
      <c r="C25" s="285"/>
      <c r="D25" s="285"/>
      <c r="E25" s="285"/>
      <c r="F25" s="285"/>
      <c r="G25" s="285"/>
      <c r="H25" s="283"/>
      <c r="I25" s="104" t="e">
        <f ca="1">I24+I18</f>
        <v>#VALUE!</v>
      </c>
    </row>
    <row r="26" spans="1:9">
      <c r="A26" s="18" t="s">
        <v>228</v>
      </c>
      <c r="B26" s="278" t="s">
        <v>229</v>
      </c>
      <c r="C26" s="279"/>
      <c r="D26" s="279"/>
      <c r="E26" s="279"/>
      <c r="F26" s="279"/>
      <c r="G26" s="279"/>
      <c r="H26" s="280"/>
      <c r="I26" s="37"/>
    </row>
    <row r="27" spans="1:9" ht="27" customHeight="1">
      <c r="A27" s="18">
        <v>5</v>
      </c>
      <c r="B27" s="281" t="s">
        <v>230</v>
      </c>
      <c r="C27" s="282"/>
      <c r="D27" s="282"/>
      <c r="E27" s="282"/>
      <c r="F27" s="282"/>
      <c r="G27" s="282"/>
      <c r="H27" s="283"/>
      <c r="I27" s="37" t="e">
        <f ca="1">IF(SUM(I28:I40)=0,"",SUM(I28:I40))</f>
        <v>#VALUE!</v>
      </c>
    </row>
    <row r="28" spans="1:9" ht="18.600000000000001" customHeight="1">
      <c r="A28" s="32" t="s">
        <v>95</v>
      </c>
      <c r="B28" s="32" t="e">
        <f>IF(C28="","",INDEX(CODIGOEQUIPOS,MATCH($C28,#REF!,0)))</f>
        <v>#REF!</v>
      </c>
      <c r="C28" s="39" t="s">
        <v>62</v>
      </c>
      <c r="D28" s="41">
        <v>1</v>
      </c>
      <c r="E28" s="34" t="str">
        <f>IF(C28="","",IFERROR(VLOOKUP($B28,INSUMOSEQUIPOS,4,0),""))</f>
        <v/>
      </c>
      <c r="F28" s="97"/>
      <c r="G28" s="98"/>
      <c r="H28" s="41">
        <v>6</v>
      </c>
      <c r="I28" s="102" t="str">
        <f t="shared" ref="I28:I35" si="1">+IFERROR(D28*E28*H28,"")</f>
        <v/>
      </c>
    </row>
    <row r="29" spans="1:9">
      <c r="A29" s="32" t="s">
        <v>96</v>
      </c>
      <c r="B29" s="32" t="e">
        <f>IF(C29="","",INDEX(CODIGOEQUIPOS,MATCH($C29,#REF!,0)))</f>
        <v>#REF!</v>
      </c>
      <c r="C29" s="39" t="s">
        <v>60</v>
      </c>
      <c r="D29" s="41">
        <v>2</v>
      </c>
      <c r="E29" s="34" t="str">
        <f>IF(C29="","",IFERROR(VLOOKUP($B29,INSUMOSEQUIPOS,4,0),""))</f>
        <v/>
      </c>
      <c r="F29" s="97"/>
      <c r="G29" s="98"/>
      <c r="H29" s="41">
        <v>6</v>
      </c>
      <c r="I29" s="102" t="str">
        <f t="shared" si="1"/>
        <v/>
      </c>
    </row>
    <row r="30" spans="1:9">
      <c r="A30" s="105" t="s">
        <v>97</v>
      </c>
      <c r="B30" s="32" t="e">
        <f>IF(C30="","",INDEX(CODIGOEQUIPOS,MATCH($C30,#REF!,0)))</f>
        <v>#REF!</v>
      </c>
      <c r="C30" s="39" t="s">
        <v>61</v>
      </c>
      <c r="D30" s="41">
        <v>1</v>
      </c>
      <c r="E30" s="34" t="str">
        <f>IF(C30="","",IFERROR(VLOOKUP($B30,INSUMOSEQUIPOS,4,0),""))</f>
        <v/>
      </c>
      <c r="F30" s="97"/>
      <c r="G30" s="98"/>
      <c r="H30" s="41">
        <v>6</v>
      </c>
      <c r="I30" s="102" t="str">
        <f t="shared" si="1"/>
        <v/>
      </c>
    </row>
    <row r="31" spans="1:9">
      <c r="A31" s="32" t="s">
        <v>231</v>
      </c>
      <c r="B31" s="32" t="e">
        <f>IF(C31="","",INDEX(CODIGOSSERVICIOS,MATCH($C31,#REF!,0)))</f>
        <v>#REF!</v>
      </c>
      <c r="C31" s="39" t="s">
        <v>77</v>
      </c>
      <c r="D31" s="41">
        <v>2</v>
      </c>
      <c r="E31" s="34" t="str">
        <f>IF(C31="","",IFERROR(VLOOKUP($B31,INSUMOSSERVICIOS,4,0),""))</f>
        <v/>
      </c>
      <c r="F31" s="97"/>
      <c r="G31" s="98"/>
      <c r="H31" s="41">
        <v>6</v>
      </c>
      <c r="I31" s="102" t="str">
        <f t="shared" si="1"/>
        <v/>
      </c>
    </row>
    <row r="32" spans="1:9" ht="24.6">
      <c r="A32" s="105" t="s">
        <v>232</v>
      </c>
      <c r="B32" s="32" t="e">
        <f>IF(C32="","",INDEX(CODIGOSSERVICIOS,MATCH($C32,#REF!,0)))</f>
        <v>#REF!</v>
      </c>
      <c r="C32" s="42" t="s">
        <v>78</v>
      </c>
      <c r="D32" s="41">
        <v>1</v>
      </c>
      <c r="E32" s="34" t="str">
        <f>IF(C32="","",IFERROR(VLOOKUP($B32,INSUMOSSERVICIOS,4,0),""))</f>
        <v/>
      </c>
      <c r="F32" s="97"/>
      <c r="G32" s="98"/>
      <c r="H32" s="41">
        <v>6</v>
      </c>
      <c r="I32" s="102" t="str">
        <f t="shared" si="1"/>
        <v/>
      </c>
    </row>
    <row r="33" spans="1:9" ht="24.6">
      <c r="A33" s="32" t="s">
        <v>233</v>
      </c>
      <c r="B33" s="32" t="e">
        <f>IF(C33="","",INDEX(CODIGOSSERVICIOS,MATCH($C33,#REF!,0)))</f>
        <v>#REF!</v>
      </c>
      <c r="C33" s="42" t="s">
        <v>80</v>
      </c>
      <c r="D33" s="41">
        <v>3</v>
      </c>
      <c r="E33" s="34" t="str">
        <f>IF(C33="","",IFERROR(VLOOKUP($B33,INSUMOSSERVICIOS,4,0),""))</f>
        <v/>
      </c>
      <c r="F33" s="97"/>
      <c r="G33" s="98"/>
      <c r="H33" s="41">
        <v>6</v>
      </c>
      <c r="I33" s="102" t="str">
        <f t="shared" si="1"/>
        <v/>
      </c>
    </row>
    <row r="34" spans="1:9" ht="36.6">
      <c r="A34" s="32" t="s">
        <v>234</v>
      </c>
      <c r="B34" s="32" t="e">
        <f>IF(C34="","",INDEX(CODIGOSSERVICIOS,MATCH($C34,#REF!,0)))</f>
        <v>#REF!</v>
      </c>
      <c r="C34" s="42" t="s">
        <v>79</v>
      </c>
      <c r="D34" s="41">
        <v>1</v>
      </c>
      <c r="E34" s="34" t="str">
        <f>IF(C34="","",IFERROR(VLOOKUP($B34,INSUMOSSERVICIOS,4,0),""))</f>
        <v/>
      </c>
      <c r="F34" s="97"/>
      <c r="G34" s="98"/>
      <c r="H34" s="41">
        <v>6</v>
      </c>
      <c r="I34" s="102" t="str">
        <f t="shared" si="1"/>
        <v/>
      </c>
    </row>
    <row r="35" spans="1:9" ht="27.6" customHeight="1">
      <c r="A35" s="32" t="s">
        <v>237</v>
      </c>
      <c r="B35" s="100"/>
      <c r="C35" s="42" t="s">
        <v>264</v>
      </c>
      <c r="D35" s="41">
        <v>1</v>
      </c>
      <c r="E35" s="33" t="e">
        <f>'PAPSO INTERVENTORIA'!H18/6</f>
        <v>#REF!</v>
      </c>
      <c r="F35" s="97"/>
      <c r="G35" s="98"/>
      <c r="H35" s="41">
        <v>6</v>
      </c>
      <c r="I35" s="102" t="str">
        <f t="shared" si="1"/>
        <v/>
      </c>
    </row>
    <row r="36" spans="1:9">
      <c r="A36" s="103"/>
      <c r="B36" s="284" t="s">
        <v>265</v>
      </c>
      <c r="C36" s="285"/>
      <c r="D36" s="285"/>
      <c r="E36" s="285"/>
      <c r="F36" s="285"/>
      <c r="G36" s="285"/>
      <c r="H36" s="283"/>
      <c r="I36" s="104" t="str">
        <f>IF(SUM(I28:I35)=0,"",SUM(I28:I35))</f>
        <v/>
      </c>
    </row>
    <row r="37" spans="1:9">
      <c r="A37" s="278" t="s">
        <v>266</v>
      </c>
      <c r="B37" s="279"/>
      <c r="C37" s="279"/>
      <c r="D37" s="279"/>
      <c r="E37" s="279"/>
      <c r="F37" s="279"/>
      <c r="G37" s="279"/>
      <c r="H37" s="280"/>
      <c r="I37" s="131" t="e">
        <f ca="1">I25+I36</f>
        <v>#VALUE!</v>
      </c>
    </row>
    <row r="38" spans="1:9">
      <c r="A38" s="278" t="s">
        <v>127</v>
      </c>
      <c r="B38" s="279"/>
      <c r="C38" s="279"/>
      <c r="D38" s="279"/>
      <c r="E38" s="279"/>
      <c r="F38" s="279"/>
      <c r="G38" s="279"/>
      <c r="H38" s="133">
        <v>0.19</v>
      </c>
      <c r="I38" s="131" t="str">
        <f ca="1">+IFERROR(I37*H38,"")</f>
        <v/>
      </c>
    </row>
    <row r="39" spans="1:9">
      <c r="A39" s="278" t="s">
        <v>267</v>
      </c>
      <c r="B39" s="279"/>
      <c r="C39" s="279"/>
      <c r="D39" s="279"/>
      <c r="E39" s="279"/>
      <c r="F39" s="279"/>
      <c r="G39" s="279"/>
      <c r="H39" s="280"/>
      <c r="I39" s="131" t="e">
        <f ca="1">IF(I37="","",SUM(I37:I38))</f>
        <v>#VALUE!</v>
      </c>
    </row>
    <row r="40" spans="1:9">
      <c r="A40" s="278" t="s">
        <v>269</v>
      </c>
      <c r="B40" s="279"/>
      <c r="C40" s="279"/>
      <c r="D40" s="279"/>
      <c r="E40" s="279"/>
      <c r="F40" s="279"/>
      <c r="G40" s="279"/>
      <c r="H40" s="280"/>
      <c r="I40" s="131" t="e">
        <f>#REF!</f>
        <v>#REF!</v>
      </c>
    </row>
    <row r="41" spans="1:9">
      <c r="A41" s="278" t="s">
        <v>57</v>
      </c>
      <c r="B41" s="279"/>
      <c r="C41" s="279"/>
      <c r="D41" s="279"/>
      <c r="E41" s="279"/>
      <c r="F41" s="279"/>
      <c r="G41" s="279"/>
      <c r="H41" s="280"/>
      <c r="I41" s="149" t="e">
        <f ca="1">I39/I40</f>
        <v>#VALUE!</v>
      </c>
    </row>
    <row r="50" spans="3:5" ht="16.2">
      <c r="C50" s="256"/>
      <c r="D50" s="256"/>
      <c r="E50" s="152"/>
    </row>
    <row r="51" spans="3:5">
      <c r="C51" s="256" t="s">
        <v>305</v>
      </c>
      <c r="D51" s="256"/>
      <c r="E51" s="256"/>
    </row>
  </sheetData>
  <mergeCells count="21">
    <mergeCell ref="B9:H9"/>
    <mergeCell ref="A1:F1"/>
    <mergeCell ref="G1:I5"/>
    <mergeCell ref="A2:F2"/>
    <mergeCell ref="A3:F3"/>
    <mergeCell ref="A5:F5"/>
    <mergeCell ref="B8:H8"/>
    <mergeCell ref="B27:H27"/>
    <mergeCell ref="B36:H36"/>
    <mergeCell ref="A37:H37"/>
    <mergeCell ref="B13:H13"/>
    <mergeCell ref="B15:H15"/>
    <mergeCell ref="B19:H19"/>
    <mergeCell ref="B25:H25"/>
    <mergeCell ref="B26:H26"/>
    <mergeCell ref="C50:D50"/>
    <mergeCell ref="C51:E51"/>
    <mergeCell ref="A38:G38"/>
    <mergeCell ref="A39:H39"/>
    <mergeCell ref="A40:H40"/>
    <mergeCell ref="A41:H41"/>
  </mergeCells>
  <phoneticPr fontId="28" type="noConversion"/>
  <dataValidations count="2">
    <dataValidation allowBlank="1" showErrorMessage="1" sqref="C50:C51" xr:uid="{00000000-0002-0000-0700-000000000000}"/>
    <dataValidation type="list" allowBlank="1" showInputMessage="1" showErrorMessage="1" sqref="C14 C10:C12 C28:C34" xr:uid="{00000000-0002-0000-0700-000001000000}">
      <formula1>#REF!</formula1>
    </dataValidation>
  </dataValidations>
  <pageMargins left="0.7" right="0.7" top="0.75" bottom="0.75" header="0.3" footer="0.3"/>
  <pageSetup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49"/>
  <sheetViews>
    <sheetView view="pageBreakPreview" topLeftCell="A22" zoomScale="60" zoomScaleNormal="100" workbookViewId="0">
      <selection activeCell="B48" sqref="B48:C48"/>
    </sheetView>
  </sheetViews>
  <sheetFormatPr baseColWidth="10" defaultRowHeight="14.4"/>
  <cols>
    <col min="2" max="2" width="48" customWidth="1"/>
    <col min="3" max="3" width="17.5546875" customWidth="1"/>
    <col min="9" max="9" width="16.44140625" customWidth="1"/>
  </cols>
  <sheetData>
    <row r="1" spans="1:9" ht="25.8">
      <c r="A1" s="288" t="s">
        <v>0</v>
      </c>
      <c r="B1" s="288"/>
      <c r="C1" s="288"/>
      <c r="D1" s="289" t="s">
        <v>52</v>
      </c>
      <c r="E1" s="289"/>
      <c r="F1" s="289"/>
      <c r="G1" s="289"/>
      <c r="H1" s="290"/>
    </row>
    <row r="2" spans="1:9" ht="21">
      <c r="A2" s="295" t="str">
        <f>'DATOS INICIALES'!B2</f>
        <v>MUNICIPIO DE DABEIBA</v>
      </c>
      <c r="B2" s="295"/>
      <c r="C2" s="295"/>
      <c r="D2" s="291"/>
      <c r="E2" s="291"/>
      <c r="F2" s="291"/>
      <c r="G2" s="291"/>
      <c r="H2" s="292"/>
    </row>
    <row r="3" spans="1:9" ht="44.1" customHeight="1">
      <c r="A3" s="296" t="str">
        <f>'DATOS INICIALES'!B3</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296"/>
      <c r="C3" s="296"/>
      <c r="D3" s="291"/>
      <c r="E3" s="291"/>
      <c r="F3" s="291"/>
      <c r="G3" s="291"/>
      <c r="H3" s="292"/>
    </row>
    <row r="4" spans="1:9">
      <c r="A4" s="17"/>
      <c r="B4" s="4"/>
      <c r="C4" s="4"/>
      <c r="D4" s="291"/>
      <c r="E4" s="291"/>
      <c r="F4" s="291"/>
      <c r="G4" s="291"/>
      <c r="H4" s="292"/>
    </row>
    <row r="5" spans="1:9">
      <c r="A5" s="297" t="s">
        <v>177</v>
      </c>
      <c r="B5" s="297"/>
      <c r="C5" s="297"/>
      <c r="D5" s="293"/>
      <c r="E5" s="293"/>
      <c r="F5" s="293"/>
      <c r="G5" s="293"/>
      <c r="H5" s="294"/>
    </row>
    <row r="7" spans="1:9">
      <c r="A7" s="36">
        <v>1</v>
      </c>
      <c r="B7" s="76" t="s">
        <v>176</v>
      </c>
      <c r="C7" s="76"/>
      <c r="D7" s="76"/>
      <c r="E7" s="76"/>
      <c r="F7" s="76"/>
      <c r="G7" s="77"/>
      <c r="H7" s="77">
        <f>SUM(H8)</f>
        <v>1</v>
      </c>
    </row>
    <row r="8" spans="1:9">
      <c r="A8" s="59" t="s">
        <v>51</v>
      </c>
      <c r="B8" s="30" t="s">
        <v>176</v>
      </c>
      <c r="C8" s="27"/>
      <c r="D8" s="28"/>
      <c r="E8" s="28"/>
      <c r="F8" s="28"/>
      <c r="G8" s="28"/>
      <c r="H8" s="78">
        <v>1</v>
      </c>
    </row>
    <row r="9" spans="1:9">
      <c r="A9" s="36">
        <v>2</v>
      </c>
      <c r="B9" s="76" t="s">
        <v>178</v>
      </c>
      <c r="C9" s="76"/>
      <c r="D9" s="76"/>
      <c r="E9" s="76"/>
      <c r="F9" s="76"/>
      <c r="G9" s="76"/>
      <c r="H9" s="77">
        <f>SUM(H10:H22)</f>
        <v>0.47189999999999999</v>
      </c>
    </row>
    <row r="10" spans="1:9">
      <c r="A10" s="59" t="s">
        <v>88</v>
      </c>
      <c r="B10" s="30" t="s">
        <v>179</v>
      </c>
      <c r="C10" s="27"/>
      <c r="D10" s="28" t="s">
        <v>52</v>
      </c>
      <c r="E10" s="28"/>
      <c r="F10" s="28"/>
      <c r="G10" s="28" t="s">
        <v>52</v>
      </c>
      <c r="H10" s="78">
        <v>8.3299999999999999E-2</v>
      </c>
    </row>
    <row r="11" spans="1:9">
      <c r="A11" s="59" t="s">
        <v>130</v>
      </c>
      <c r="B11" s="30" t="s">
        <v>180</v>
      </c>
      <c r="C11" s="27"/>
      <c r="D11" s="28"/>
      <c r="E11" s="28"/>
      <c r="F11" s="28"/>
      <c r="G11" s="28"/>
      <c r="H11" s="78">
        <v>8.3299999999999999E-2</v>
      </c>
    </row>
    <row r="12" spans="1:9">
      <c r="A12" s="59" t="s">
        <v>203</v>
      </c>
      <c r="B12" s="30" t="s">
        <v>181</v>
      </c>
      <c r="C12" s="27"/>
      <c r="D12" s="28"/>
      <c r="E12" s="28"/>
      <c r="F12" s="28"/>
      <c r="G12" s="28"/>
      <c r="H12" s="78">
        <v>0.01</v>
      </c>
    </row>
    <row r="13" spans="1:9">
      <c r="A13" s="59" t="s">
        <v>89</v>
      </c>
      <c r="B13" s="30" t="s">
        <v>182</v>
      </c>
      <c r="C13" s="27"/>
      <c r="D13" s="28"/>
      <c r="E13" s="28"/>
      <c r="F13" s="28"/>
      <c r="G13" s="28"/>
      <c r="H13" s="78">
        <v>4.1700000000000001E-2</v>
      </c>
    </row>
    <row r="14" spans="1:9" s="69" customFormat="1">
      <c r="A14" s="93" t="s">
        <v>204</v>
      </c>
      <c r="B14" s="80" t="s">
        <v>183</v>
      </c>
      <c r="C14" s="94"/>
      <c r="D14" s="95"/>
      <c r="E14" s="95"/>
      <c r="F14" s="95"/>
      <c r="G14" s="95"/>
      <c r="H14" s="96">
        <v>0</v>
      </c>
      <c r="I14" s="69">
        <v>8.5</v>
      </c>
    </row>
    <row r="15" spans="1:9">
      <c r="A15" s="59" t="s">
        <v>205</v>
      </c>
      <c r="B15" s="30" t="s">
        <v>184</v>
      </c>
      <c r="C15" s="27"/>
      <c r="D15" s="28"/>
      <c r="E15" s="28"/>
      <c r="F15" s="28"/>
      <c r="G15" s="28"/>
      <c r="H15" s="78">
        <v>0.12</v>
      </c>
    </row>
    <row r="16" spans="1:9" s="69" customFormat="1">
      <c r="A16" s="93" t="s">
        <v>206</v>
      </c>
      <c r="B16" s="80" t="s">
        <v>185</v>
      </c>
      <c r="C16" s="94"/>
      <c r="D16" s="95"/>
      <c r="E16" s="95"/>
      <c r="F16" s="95"/>
      <c r="G16" s="95"/>
      <c r="H16" s="96">
        <v>0</v>
      </c>
      <c r="I16" s="69">
        <v>0.2</v>
      </c>
    </row>
    <row r="17" spans="1:9" s="69" customFormat="1">
      <c r="A17" s="93" t="s">
        <v>207</v>
      </c>
      <c r="B17" s="80" t="s">
        <v>186</v>
      </c>
      <c r="C17" s="94"/>
      <c r="D17" s="95"/>
      <c r="E17" s="95"/>
      <c r="F17" s="95"/>
      <c r="G17" s="95"/>
      <c r="H17" s="96">
        <v>0</v>
      </c>
      <c r="I17" s="69">
        <v>0.3</v>
      </c>
    </row>
    <row r="18" spans="1:9">
      <c r="A18" s="59" t="s">
        <v>208</v>
      </c>
      <c r="B18" s="30" t="s">
        <v>187</v>
      </c>
      <c r="C18" s="27"/>
      <c r="D18" s="28"/>
      <c r="E18" s="28"/>
      <c r="F18" s="28"/>
      <c r="G18" s="28"/>
      <c r="H18" s="78">
        <v>0.04</v>
      </c>
    </row>
    <row r="19" spans="1:9">
      <c r="A19" s="59" t="s">
        <v>209</v>
      </c>
      <c r="B19" s="30" t="s">
        <v>188</v>
      </c>
      <c r="C19" s="27"/>
      <c r="D19" s="28"/>
      <c r="E19" s="28"/>
      <c r="F19" s="28"/>
      <c r="G19" s="28"/>
      <c r="H19" s="78">
        <v>6.9599999999999995E-2</v>
      </c>
    </row>
    <row r="20" spans="1:9">
      <c r="A20" s="59" t="s">
        <v>210</v>
      </c>
      <c r="B20" s="30" t="s">
        <v>189</v>
      </c>
      <c r="C20" s="27"/>
      <c r="D20" s="28"/>
      <c r="E20" s="28"/>
      <c r="F20" s="28"/>
      <c r="G20" s="28"/>
      <c r="H20" s="79">
        <v>8.0000000000000002E-3</v>
      </c>
      <c r="I20" s="81" t="s">
        <v>192</v>
      </c>
    </row>
    <row r="21" spans="1:9">
      <c r="A21" s="59" t="s">
        <v>211</v>
      </c>
      <c r="B21" s="30" t="s">
        <v>190</v>
      </c>
      <c r="C21" s="27"/>
      <c r="D21" s="28"/>
      <c r="E21" s="28"/>
      <c r="F21" s="28"/>
      <c r="G21" s="28"/>
      <c r="H21" s="79">
        <v>1.2E-2</v>
      </c>
      <c r="I21" s="81" t="s">
        <v>193</v>
      </c>
    </row>
    <row r="22" spans="1:9">
      <c r="A22" s="59" t="s">
        <v>212</v>
      </c>
      <c r="B22" s="30" t="s">
        <v>191</v>
      </c>
      <c r="C22" s="27"/>
      <c r="D22" s="28"/>
      <c r="E22" s="28"/>
      <c r="F22" s="28"/>
      <c r="G22" s="28"/>
      <c r="H22" s="79">
        <v>4.0000000000000001E-3</v>
      </c>
      <c r="I22" s="81" t="s">
        <v>194</v>
      </c>
    </row>
    <row r="23" spans="1:9">
      <c r="A23" s="36">
        <v>3</v>
      </c>
      <c r="B23" s="76" t="s">
        <v>195</v>
      </c>
      <c r="C23" s="82"/>
      <c r="D23" s="82"/>
      <c r="E23" s="82"/>
      <c r="F23" s="82"/>
      <c r="G23" s="82"/>
      <c r="H23" s="77">
        <f>SUM(H24:H28)</f>
        <v>0</v>
      </c>
    </row>
    <row r="24" spans="1:9" ht="122.4" customHeight="1">
      <c r="A24" s="59" t="s">
        <v>90</v>
      </c>
      <c r="B24" s="21" t="s">
        <v>196</v>
      </c>
      <c r="C24" s="83">
        <v>1</v>
      </c>
      <c r="D24" s="28">
        <v>2500000</v>
      </c>
      <c r="E24" s="84">
        <v>0.2</v>
      </c>
      <c r="F24" s="83">
        <v>6</v>
      </c>
      <c r="G24" s="28">
        <f>+C24*D24*E24*F24</f>
        <v>3000000</v>
      </c>
      <c r="H24" s="78" t="str">
        <f>+IFERROR(G24/INTERVENTORIA!$I$20,"")</f>
        <v/>
      </c>
    </row>
    <row r="25" spans="1:9" ht="24">
      <c r="A25" s="59" t="s">
        <v>129</v>
      </c>
      <c r="B25" s="21" t="s">
        <v>197</v>
      </c>
      <c r="C25" s="83">
        <v>1</v>
      </c>
      <c r="D25" s="28">
        <v>400000</v>
      </c>
      <c r="E25" s="84">
        <v>0.2</v>
      </c>
      <c r="F25" s="83">
        <v>6</v>
      </c>
      <c r="G25" s="28">
        <f t="shared" ref="G25:G28" si="0">+C25*D25*E25*F25</f>
        <v>480000</v>
      </c>
      <c r="H25" s="78" t="str">
        <f>+IFERROR(G25/INTERVENTORIA!$I$20,"")</f>
        <v/>
      </c>
    </row>
    <row r="26" spans="1:9" ht="24">
      <c r="A26" s="59" t="s">
        <v>169</v>
      </c>
      <c r="B26" s="21" t="s">
        <v>198</v>
      </c>
      <c r="C26" s="83">
        <v>1</v>
      </c>
      <c r="D26" s="28">
        <v>1200000</v>
      </c>
      <c r="E26" s="84">
        <v>0.2</v>
      </c>
      <c r="F26" s="83">
        <v>6</v>
      </c>
      <c r="G26" s="28">
        <f t="shared" si="0"/>
        <v>1440000</v>
      </c>
      <c r="H26" s="78" t="str">
        <f>+IFERROR(G26/INTERVENTORIA!$I$20,"")</f>
        <v/>
      </c>
    </row>
    <row r="27" spans="1:9" ht="36">
      <c r="A27" s="59" t="s">
        <v>91</v>
      </c>
      <c r="B27" s="21" t="s">
        <v>199</v>
      </c>
      <c r="C27" s="83">
        <v>1</v>
      </c>
      <c r="D27" s="28">
        <v>2000000</v>
      </c>
      <c r="E27" s="84">
        <v>0.1</v>
      </c>
      <c r="F27" s="83">
        <v>6</v>
      </c>
      <c r="G27" s="28">
        <f t="shared" si="0"/>
        <v>1200000</v>
      </c>
      <c r="H27" s="78" t="str">
        <f>+IFERROR(G27/INTERVENTORIA!$I$20,"")</f>
        <v/>
      </c>
    </row>
    <row r="28" spans="1:9" ht="27" customHeight="1">
      <c r="A28" s="59" t="s">
        <v>92</v>
      </c>
      <c r="B28" s="21" t="s">
        <v>200</v>
      </c>
      <c r="C28" s="83">
        <v>1</v>
      </c>
      <c r="D28" s="28">
        <v>2500000</v>
      </c>
      <c r="E28" s="84">
        <v>0.1</v>
      </c>
      <c r="F28" s="83">
        <v>6</v>
      </c>
      <c r="G28" s="28">
        <f t="shared" si="0"/>
        <v>1500000</v>
      </c>
      <c r="H28" s="78" t="str">
        <f>+IFERROR(G28/INTERVENTORIA!$I$20,"")</f>
        <v/>
      </c>
    </row>
    <row r="29" spans="1:9">
      <c r="A29" s="36">
        <v>4</v>
      </c>
      <c r="B29" s="76" t="s">
        <v>202</v>
      </c>
      <c r="C29" s="82"/>
      <c r="D29" s="82"/>
      <c r="E29" s="82"/>
      <c r="F29" s="82"/>
      <c r="G29" s="82"/>
      <c r="H29" s="89" t="e">
        <f ca="1">SUM(H30:H31)</f>
        <v>#VALUE!</v>
      </c>
    </row>
    <row r="30" spans="1:9">
      <c r="A30" s="59" t="s">
        <v>93</v>
      </c>
      <c r="B30" s="30" t="s">
        <v>98</v>
      </c>
      <c r="C30" s="28"/>
      <c r="D30" s="28"/>
      <c r="E30" s="28"/>
      <c r="F30" s="28"/>
      <c r="G30" s="86" t="str">
        <f ca="1">+'POLIZAS INTERVENTORIA'!G21</f>
        <v/>
      </c>
      <c r="H30" s="87" t="e">
        <f ca="1">'POLIZAS INTERVENTORIA'!$G$22</f>
        <v>#VALUE!</v>
      </c>
    </row>
    <row r="31" spans="1:9">
      <c r="A31" s="59" t="s">
        <v>94</v>
      </c>
      <c r="B31" s="30" t="s">
        <v>99</v>
      </c>
      <c r="C31" s="28"/>
      <c r="D31" s="28"/>
      <c r="E31" s="28"/>
      <c r="F31" s="28"/>
      <c r="G31" s="86" t="str">
        <f ca="1">IFERROR(IF(SUM(G32:G35)=0,"",SUM(G32:G35)),"")</f>
        <v/>
      </c>
      <c r="H31" s="88">
        <f ca="1">SUM(H32:H35)</f>
        <v>0</v>
      </c>
    </row>
    <row r="32" spans="1:9" ht="14.4" customHeight="1">
      <c r="A32" s="59" t="s">
        <v>213</v>
      </c>
      <c r="B32" s="39" t="s">
        <v>100</v>
      </c>
      <c r="C32" s="40">
        <v>0.01</v>
      </c>
      <c r="D32" s="28" t="e">
        <f ca="1">+IF(INTERVENTORIA!$I$20=0,"",IF(B32="","",INTERVENTORIA!$I$39))</f>
        <v>#VALUE!</v>
      </c>
      <c r="E32" s="25"/>
      <c r="F32" s="25"/>
      <c r="G32" s="102" t="str">
        <f ca="1">+IFERROR(IF(C32*D32=0,"",C32*D32),"")</f>
        <v/>
      </c>
      <c r="H32" s="88" t="str">
        <f ca="1">+IFERROR(G32/INTERVENTORIA!$I$20,"")</f>
        <v/>
      </c>
      <c r="I32" s="301" t="s">
        <v>219</v>
      </c>
    </row>
    <row r="33" spans="1:9">
      <c r="A33" s="59" t="s">
        <v>214</v>
      </c>
      <c r="B33" s="39" t="s">
        <v>101</v>
      </c>
      <c r="C33" s="40">
        <v>0.02</v>
      </c>
      <c r="D33" s="28" t="e">
        <f ca="1">+IF(INTERVENTORIA!$I$20=0,"",IF(B33="","",INTERVENTORIA!$I$39))</f>
        <v>#VALUE!</v>
      </c>
      <c r="E33" s="25"/>
      <c r="F33" s="25"/>
      <c r="G33" s="102" t="str">
        <f t="shared" ref="G33:G35" ca="1" si="1">+IFERROR(IF(C33*D33=0,"",C33*D33),"")</f>
        <v/>
      </c>
      <c r="H33" s="88" t="str">
        <f ca="1">+IFERROR(G33/INTERVENTORIA!$I$20,"")</f>
        <v/>
      </c>
      <c r="I33" s="301"/>
    </row>
    <row r="34" spans="1:9">
      <c r="A34" s="59" t="s">
        <v>215</v>
      </c>
      <c r="B34" s="39" t="s">
        <v>102</v>
      </c>
      <c r="C34" s="40">
        <v>0.04</v>
      </c>
      <c r="D34" s="28" t="e">
        <f ca="1">+IF(INTERVENTORIA!$I$20=0,"",IF(B34="","",INTERVENTORIA!$I$39))</f>
        <v>#VALUE!</v>
      </c>
      <c r="E34" s="25"/>
      <c r="F34" s="25"/>
      <c r="G34" s="102" t="str">
        <f t="shared" ca="1" si="1"/>
        <v/>
      </c>
      <c r="H34" s="88" t="str">
        <f ca="1">+IFERROR(G34/INTERVENTORIA!$I$20,"")</f>
        <v/>
      </c>
      <c r="I34" s="301"/>
    </row>
    <row r="35" spans="1:9">
      <c r="A35" s="59" t="s">
        <v>216</v>
      </c>
      <c r="B35" s="39" t="s">
        <v>103</v>
      </c>
      <c r="C35" s="40">
        <v>0.02</v>
      </c>
      <c r="D35" s="28" t="e">
        <f ca="1">+IF(INTERVENTORIA!$I$20=0,"",IF(B35="","",INTERVENTORIA!$I$39))</f>
        <v>#VALUE!</v>
      </c>
      <c r="E35" s="25"/>
      <c r="F35" s="25"/>
      <c r="G35" s="102" t="str">
        <f t="shared" ca="1" si="1"/>
        <v/>
      </c>
      <c r="H35" s="88" t="str">
        <f ca="1">+IFERROR(G35/INTERVENTORIA!$I$20,"")</f>
        <v/>
      </c>
      <c r="I35" s="301"/>
    </row>
    <row r="36" spans="1:9">
      <c r="A36" s="36">
        <v>5</v>
      </c>
      <c r="B36" s="76" t="s">
        <v>217</v>
      </c>
      <c r="C36" s="134"/>
      <c r="D36" s="82"/>
      <c r="E36" s="82"/>
      <c r="F36" s="82"/>
      <c r="G36" s="82"/>
      <c r="H36" s="77">
        <f ca="1">SUM(H37)</f>
        <v>0</v>
      </c>
      <c r="I36" s="92"/>
    </row>
    <row r="37" spans="1:9">
      <c r="A37" s="59">
        <v>4.0999999999999996</v>
      </c>
      <c r="B37" s="30" t="s">
        <v>217</v>
      </c>
      <c r="C37" s="28"/>
      <c r="D37" s="28"/>
      <c r="E37" s="28"/>
      <c r="F37" s="28"/>
      <c r="G37" s="22">
        <v>0.08</v>
      </c>
      <c r="H37" s="87" t="str">
        <f ca="1">+IFERROR(G37*(H29+H23+H9+H7),"")</f>
        <v/>
      </c>
      <c r="I37" s="81" t="s">
        <v>220</v>
      </c>
    </row>
    <row r="38" spans="1:9">
      <c r="A38" s="299" t="s">
        <v>54</v>
      </c>
      <c r="B38" s="300"/>
      <c r="C38" s="300"/>
      <c r="D38" s="300"/>
      <c r="E38" s="300"/>
      <c r="F38" s="300"/>
      <c r="G38" s="300"/>
      <c r="H38" s="90" t="str">
        <f ca="1">IFERROR(SUM(H36,H29,H23,H9,H7),"")</f>
        <v/>
      </c>
      <c r="I38" s="92"/>
    </row>
    <row r="39" spans="1:9">
      <c r="A39" s="299" t="s">
        <v>218</v>
      </c>
      <c r="B39" s="300"/>
      <c r="C39" s="300"/>
      <c r="D39" s="300"/>
      <c r="E39" s="300"/>
      <c r="F39" s="300"/>
      <c r="G39" s="300"/>
      <c r="H39" s="91" t="str">
        <f ca="1">+IFERROR(ROUND(H38,2),"")</f>
        <v/>
      </c>
      <c r="I39" s="4"/>
    </row>
    <row r="48" spans="1:9" ht="16.2">
      <c r="B48" s="256"/>
      <c r="C48" s="256"/>
      <c r="D48" s="152"/>
    </row>
    <row r="49" spans="2:4">
      <c r="B49" s="256" t="s">
        <v>305</v>
      </c>
      <c r="C49" s="256"/>
      <c r="D49" s="256"/>
    </row>
  </sheetData>
  <protectedRanges>
    <protectedRange sqref="H20:H22" name="Rango1"/>
    <protectedRange sqref="G37" name="Rango1_1"/>
  </protectedRanges>
  <mergeCells count="10">
    <mergeCell ref="B48:C48"/>
    <mergeCell ref="B49:D49"/>
    <mergeCell ref="A39:G39"/>
    <mergeCell ref="I32:I35"/>
    <mergeCell ref="A1:C1"/>
    <mergeCell ref="D1:H5"/>
    <mergeCell ref="A2:C2"/>
    <mergeCell ref="A3:C3"/>
    <mergeCell ref="A5:C5"/>
    <mergeCell ref="A38:G38"/>
  </mergeCells>
  <phoneticPr fontId="28" type="noConversion"/>
  <dataValidations count="1">
    <dataValidation allowBlank="1" showErrorMessage="1" sqref="B48:B49" xr:uid="{00000000-0002-0000-0800-000000000000}"/>
  </dataValidations>
  <pageMargins left="0.7" right="0.7" top="0.75" bottom="0.75" header="0.3" footer="0.3"/>
  <pageSetup scale="67" orientation="portrait" r:id="rId1"/>
  <colBreaks count="1" manualBreakCount="1">
    <brk id="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0"/>
  <sheetViews>
    <sheetView view="pageBreakPreview" zoomScale="60" zoomScaleNormal="100" workbookViewId="0">
      <selection activeCell="A29" sqref="A29:B29"/>
    </sheetView>
  </sheetViews>
  <sheetFormatPr baseColWidth="10" defaultRowHeight="14.4"/>
  <cols>
    <col min="1" max="1" width="32.88671875" customWidth="1"/>
    <col min="2" max="2" width="15.44140625" customWidth="1"/>
    <col min="3" max="3" width="11.5546875" bestFit="1" customWidth="1"/>
    <col min="4" max="4" width="15.44140625" customWidth="1"/>
    <col min="5" max="5" width="14.5546875" customWidth="1"/>
    <col min="6" max="7" width="11.5546875" bestFit="1" customWidth="1"/>
  </cols>
  <sheetData>
    <row r="1" spans="1:7" ht="23.4">
      <c r="A1" s="313" t="s">
        <v>0</v>
      </c>
      <c r="B1" s="314"/>
      <c r="C1" s="314"/>
      <c r="D1" s="314"/>
      <c r="E1" s="314"/>
      <c r="F1" s="315" t="s">
        <v>52</v>
      </c>
      <c r="G1" s="315"/>
    </row>
    <row r="2" spans="1:7" ht="15.6">
      <c r="A2" s="316" t="str">
        <f>'DATOS INICIALES'!B6</f>
        <v>MUNICIPIO DE DABEIBA</v>
      </c>
      <c r="B2" s="317"/>
      <c r="C2" s="317"/>
      <c r="D2" s="317"/>
      <c r="E2" s="317"/>
      <c r="F2" s="315"/>
      <c r="G2" s="315"/>
    </row>
    <row r="3" spans="1:7" ht="39.6" customHeight="1">
      <c r="A3" s="318" t="str">
        <f>'DATOS INICIALES'!B3</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319"/>
      <c r="C3" s="319"/>
      <c r="D3" s="319"/>
      <c r="E3" s="319"/>
      <c r="F3" s="315"/>
      <c r="G3" s="315"/>
    </row>
    <row r="4" spans="1:7">
      <c r="A4" s="19"/>
      <c r="B4" s="19"/>
      <c r="C4" s="19"/>
      <c r="D4" s="19"/>
      <c r="E4" s="4"/>
      <c r="F4" s="315"/>
      <c r="G4" s="315"/>
    </row>
    <row r="5" spans="1:7">
      <c r="A5" s="297" t="s">
        <v>105</v>
      </c>
      <c r="B5" s="320"/>
      <c r="C5" s="320"/>
      <c r="D5" s="320"/>
      <c r="E5" s="320"/>
      <c r="F5" s="315"/>
      <c r="G5" s="315"/>
    </row>
    <row r="6" spans="1:7">
      <c r="A6" s="46" t="s">
        <v>106</v>
      </c>
      <c r="B6" s="47" t="e">
        <f ca="1">INTERVENTORIA!I39</f>
        <v>#VALUE!</v>
      </c>
      <c r="C6" s="311" t="str">
        <f ca="1">IFERROR(B6/'DATOS INICIALES'!B12,"")</f>
        <v/>
      </c>
      <c r="D6" s="312"/>
    </row>
    <row r="7" spans="1:7">
      <c r="A7" s="46" t="s">
        <v>107</v>
      </c>
      <c r="B7" s="48">
        <f>'DATOS INICIALES'!B18</f>
        <v>1</v>
      </c>
      <c r="C7" s="308">
        <f>+IFERROR(B7*30,"")</f>
        <v>30</v>
      </c>
      <c r="D7" s="308"/>
    </row>
    <row r="8" spans="1:7">
      <c r="A8" s="46" t="s">
        <v>108</v>
      </c>
      <c r="B8" s="49">
        <v>0</v>
      </c>
      <c r="C8" s="309" t="str">
        <f ca="1">+IFERROR(B8*B6,"")</f>
        <v/>
      </c>
      <c r="D8" s="309"/>
    </row>
    <row r="10" spans="1:7">
      <c r="A10" s="307" t="s">
        <v>109</v>
      </c>
      <c r="B10" s="307" t="s">
        <v>110</v>
      </c>
      <c r="C10" s="307"/>
      <c r="D10" s="307"/>
      <c r="E10" s="307" t="s">
        <v>111</v>
      </c>
      <c r="F10" s="307" t="s">
        <v>112</v>
      </c>
      <c r="G10" s="304" t="s">
        <v>113</v>
      </c>
    </row>
    <row r="11" spans="1:7" ht="21.6" customHeight="1">
      <c r="A11" s="307"/>
      <c r="B11" s="20" t="s">
        <v>57</v>
      </c>
      <c r="C11" s="20" t="s">
        <v>114</v>
      </c>
      <c r="D11" s="20" t="s">
        <v>115</v>
      </c>
      <c r="E11" s="310"/>
      <c r="F11" s="307"/>
      <c r="G11" s="304"/>
    </row>
    <row r="12" spans="1:7">
      <c r="A12" s="135" t="s">
        <v>116</v>
      </c>
      <c r="B12" s="136">
        <v>0.2</v>
      </c>
      <c r="C12" s="137" t="e">
        <f ca="1">$B$6</f>
        <v>#VALUE!</v>
      </c>
      <c r="D12" s="34" t="str">
        <f ca="1">IFERROR(B12*C12,"")</f>
        <v/>
      </c>
      <c r="E12" s="32">
        <f>IFERROR($C$7+180,"")</f>
        <v>210</v>
      </c>
      <c r="F12" s="138">
        <v>2E-3</v>
      </c>
      <c r="G12" s="34" t="str">
        <f ca="1">IFERROR(F12*D12*E12/360,"")</f>
        <v/>
      </c>
    </row>
    <row r="13" spans="1:7" ht="24">
      <c r="A13" s="135" t="s">
        <v>117</v>
      </c>
      <c r="B13" s="136">
        <v>1</v>
      </c>
      <c r="C13" s="137" t="str">
        <f ca="1">$C$8</f>
        <v/>
      </c>
      <c r="D13" s="34" t="str">
        <f ca="1">IFERROR(B13*C13,"")</f>
        <v/>
      </c>
      <c r="E13" s="32">
        <f>IFERROR($C$7+180,"")</f>
        <v>210</v>
      </c>
      <c r="F13" s="138">
        <v>1.5E-3</v>
      </c>
      <c r="G13" s="34" t="str">
        <f ca="1">IFERROR(F13*D13*E13/360,"")</f>
        <v/>
      </c>
    </row>
    <row r="14" spans="1:7" ht="23.4" customHeight="1">
      <c r="A14" s="135" t="s">
        <v>118</v>
      </c>
      <c r="B14" s="136">
        <v>0.2</v>
      </c>
      <c r="C14" s="137" t="e">
        <f ca="1">$B$6</f>
        <v>#VALUE!</v>
      </c>
      <c r="D14" s="34" t="str">
        <f ca="1">IFERROR(B14*C14,"")</f>
        <v/>
      </c>
      <c r="E14" s="32">
        <f>IFERROR($C$7+1080,"")</f>
        <v>1110</v>
      </c>
      <c r="F14" s="138">
        <v>1.5E-3</v>
      </c>
      <c r="G14" s="34" t="str">
        <f ca="1">IFERROR(F14*D14*E14/360,"")</f>
        <v/>
      </c>
    </row>
    <row r="15" spans="1:7">
      <c r="A15" s="135" t="s">
        <v>119</v>
      </c>
      <c r="B15" s="136">
        <v>0.2</v>
      </c>
      <c r="C15" s="137" t="e">
        <f ca="1">$B$6</f>
        <v>#VALUE!</v>
      </c>
      <c r="D15" s="34" t="str">
        <f ca="1">IFERROR(B15*C15,"")</f>
        <v/>
      </c>
      <c r="E15" s="32" t="e">
        <f ca="1">IF($B$6="","",1800)</f>
        <v>#VALUE!</v>
      </c>
      <c r="F15" s="138">
        <v>2.2000000000000001E-3</v>
      </c>
      <c r="G15" s="34" t="str">
        <f ca="1">IFERROR(F15*D15*E15/360,"")</f>
        <v/>
      </c>
    </row>
    <row r="16" spans="1:7" ht="24">
      <c r="A16" s="139" t="s">
        <v>120</v>
      </c>
      <c r="B16" s="140" t="s">
        <v>121</v>
      </c>
      <c r="C16" s="305" t="s">
        <v>122</v>
      </c>
      <c r="D16" s="305"/>
      <c r="E16" s="36" t="s">
        <v>123</v>
      </c>
      <c r="F16" s="140" t="s">
        <v>124</v>
      </c>
      <c r="G16" s="141" t="s">
        <v>113</v>
      </c>
    </row>
    <row r="17" spans="1:7">
      <c r="A17" s="142" t="e">
        <f ca="1">+IF(B6="","",IF(C6&lt;=1500,200,IF(C6&lt;=2500,300,IF(C6&lt;=5000,400,IF(C6&lt;=10000,500,"5%")))))</f>
        <v>#VALUE!</v>
      </c>
      <c r="B17" s="143">
        <f>'DATOS INICIALES'!B12</f>
        <v>1750000</v>
      </c>
      <c r="C17" s="306" t="str">
        <f ca="1">IFERROR(IF(C6&gt;10000,B6+5%,A17*B17),"")</f>
        <v/>
      </c>
      <c r="D17" s="306"/>
      <c r="E17" s="144">
        <f>B7</f>
        <v>1</v>
      </c>
      <c r="F17" s="145">
        <v>2E-3</v>
      </c>
      <c r="G17" s="146" t="str">
        <f ca="1">IFERROR(F17*E17*C17/12,"")</f>
        <v/>
      </c>
    </row>
    <row r="18" spans="1:7">
      <c r="A18" s="302" t="s">
        <v>125</v>
      </c>
      <c r="B18" s="302"/>
      <c r="C18" s="302"/>
      <c r="D18" s="302"/>
      <c r="E18" s="302"/>
      <c r="F18" s="302"/>
      <c r="G18" s="34" t="str">
        <f ca="1">IF(SUM(G12:G15,G17)=0,"",SUM(G12:G15,G17))</f>
        <v/>
      </c>
    </row>
    <row r="19" spans="1:7">
      <c r="A19" s="302" t="s">
        <v>126</v>
      </c>
      <c r="B19" s="302"/>
      <c r="C19" s="302"/>
      <c r="D19" s="302"/>
      <c r="E19" s="302"/>
      <c r="F19" s="302"/>
      <c r="G19" s="34">
        <f ca="1">IF(G19="","",20000)</f>
        <v>20000</v>
      </c>
    </row>
    <row r="20" spans="1:7">
      <c r="A20" s="302" t="s">
        <v>127</v>
      </c>
      <c r="B20" s="302"/>
      <c r="C20" s="302"/>
      <c r="D20" s="302"/>
      <c r="E20" s="302"/>
      <c r="F20" s="302"/>
      <c r="G20" s="34" t="str">
        <f ca="1">IFERROR((G18+G19)*0.19,"")</f>
        <v/>
      </c>
    </row>
    <row r="21" spans="1:7">
      <c r="A21" s="302" t="s">
        <v>128</v>
      </c>
      <c r="B21" s="302"/>
      <c r="C21" s="302"/>
      <c r="D21" s="302"/>
      <c r="E21" s="302"/>
      <c r="F21" s="302"/>
      <c r="G21" s="34" t="str">
        <f ca="1">IF(G18="","",SUM(G18:G20))</f>
        <v/>
      </c>
    </row>
    <row r="22" spans="1:7">
      <c r="A22" s="303" t="s">
        <v>268</v>
      </c>
      <c r="B22" s="303"/>
      <c r="C22" s="303"/>
      <c r="D22" s="303"/>
      <c r="E22" s="303"/>
      <c r="F22" s="303"/>
      <c r="G22" s="147" t="e">
        <f ca="1">$G$21/$B$6</f>
        <v>#VALUE!</v>
      </c>
    </row>
    <row r="29" spans="1:7" ht="16.2">
      <c r="A29" s="256"/>
      <c r="B29" s="256"/>
      <c r="C29" s="152"/>
    </row>
    <row r="30" spans="1:7">
      <c r="A30" s="256" t="s">
        <v>305</v>
      </c>
      <c r="B30" s="256"/>
      <c r="C30" s="256"/>
    </row>
  </sheetData>
  <protectedRanges>
    <protectedRange sqref="B8" name="Rango1"/>
    <protectedRange sqref="B12:B15" name="Rango1_1"/>
  </protectedRanges>
  <mergeCells count="22">
    <mergeCell ref="C6:D6"/>
    <mergeCell ref="A1:E1"/>
    <mergeCell ref="F1:G5"/>
    <mergeCell ref="A2:E2"/>
    <mergeCell ref="A3:E3"/>
    <mergeCell ref="A5:E5"/>
    <mergeCell ref="C7:D7"/>
    <mergeCell ref="C8:D8"/>
    <mergeCell ref="A10:A11"/>
    <mergeCell ref="B10:D10"/>
    <mergeCell ref="E10:E11"/>
    <mergeCell ref="A29:B29"/>
    <mergeCell ref="A30:C30"/>
    <mergeCell ref="A21:F21"/>
    <mergeCell ref="A22:F22"/>
    <mergeCell ref="G10:G11"/>
    <mergeCell ref="C16:D16"/>
    <mergeCell ref="C17:D17"/>
    <mergeCell ref="A18:F18"/>
    <mergeCell ref="A19:F19"/>
    <mergeCell ref="A20:F20"/>
    <mergeCell ref="F10:F11"/>
  </mergeCells>
  <dataValidations count="1">
    <dataValidation allowBlank="1" showErrorMessage="1" sqref="A29:A30" xr:uid="{00000000-0002-0000-0900-000000000000}"/>
  </dataValidations>
  <pageMargins left="0.7" right="0.7" top="0.75" bottom="0.75" header="0.3" footer="0.3"/>
  <pageSetup scale="8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27"/>
  <sheetViews>
    <sheetView view="pageBreakPreview" topLeftCell="A19" zoomScale="60" zoomScaleNormal="100" workbookViewId="0">
      <selection activeCell="B26" sqref="B26:D26"/>
    </sheetView>
  </sheetViews>
  <sheetFormatPr baseColWidth="10" defaultRowHeight="14.4"/>
  <cols>
    <col min="5" max="5" width="13.44140625" customWidth="1"/>
    <col min="6" max="6" width="24.88671875" customWidth="1"/>
    <col min="7" max="7" width="15.5546875" customWidth="1"/>
    <col min="8" max="8" width="16.44140625" customWidth="1"/>
  </cols>
  <sheetData>
    <row r="1" spans="1:8" ht="25.8">
      <c r="A1" s="288" t="s">
        <v>0</v>
      </c>
      <c r="B1" s="288"/>
      <c r="C1" s="288"/>
      <c r="D1" s="288"/>
      <c r="E1" s="288"/>
      <c r="F1" s="288"/>
      <c r="G1" s="106"/>
      <c r="H1" s="107"/>
    </row>
    <row r="2" spans="1:8" ht="21" customHeight="1">
      <c r="A2" s="295" t="str">
        <f>'DATOS INICIALES'!B2</f>
        <v>MUNICIPIO DE DABEIBA</v>
      </c>
      <c r="B2" s="295"/>
      <c r="C2" s="295"/>
      <c r="D2" s="295"/>
      <c r="E2" s="295"/>
      <c r="F2" s="295"/>
      <c r="G2" s="108"/>
      <c r="H2" s="109"/>
    </row>
    <row r="3" spans="1:8" ht="42" customHeight="1">
      <c r="A3" s="296" t="str">
        <f>'DATOS INICIALES'!B3</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296"/>
      <c r="C3" s="296"/>
      <c r="D3" s="296"/>
      <c r="E3" s="296"/>
      <c r="F3" s="296"/>
      <c r="G3" s="108"/>
      <c r="H3" s="109"/>
    </row>
    <row r="4" spans="1:8">
      <c r="A4" s="17"/>
      <c r="B4" s="4"/>
      <c r="C4" s="4"/>
      <c r="D4" s="108"/>
      <c r="E4" s="108"/>
      <c r="F4" s="108"/>
      <c r="G4" s="108"/>
      <c r="H4" s="109"/>
    </row>
    <row r="5" spans="1:8">
      <c r="A5" s="297" t="s">
        <v>236</v>
      </c>
      <c r="B5" s="297"/>
      <c r="C5" s="297"/>
      <c r="D5" s="297"/>
      <c r="E5" s="297"/>
      <c r="F5" s="297"/>
      <c r="G5" s="110"/>
      <c r="H5" s="111"/>
    </row>
    <row r="7" spans="1:8" ht="15" thickBot="1"/>
    <row r="8" spans="1:8" ht="24.6" thickBot="1">
      <c r="A8" s="112">
        <v>5</v>
      </c>
      <c r="B8" s="113" t="s">
        <v>235</v>
      </c>
      <c r="C8" s="114" t="s">
        <v>238</v>
      </c>
      <c r="D8" s="115" t="s">
        <v>239</v>
      </c>
      <c r="E8" s="116" t="s">
        <v>240</v>
      </c>
      <c r="F8" s="114" t="s">
        <v>241</v>
      </c>
      <c r="G8" s="117" t="s">
        <v>242</v>
      </c>
      <c r="H8" s="118" t="s">
        <v>243</v>
      </c>
    </row>
    <row r="9" spans="1:8" ht="22.8">
      <c r="A9" s="119">
        <v>4.0999999999999996</v>
      </c>
      <c r="B9" s="120" t="s">
        <v>263</v>
      </c>
      <c r="C9" s="121" t="s">
        <v>244</v>
      </c>
      <c r="D9" s="122">
        <v>6</v>
      </c>
      <c r="E9" s="121">
        <v>1</v>
      </c>
      <c r="F9" s="123"/>
      <c r="G9" s="124" t="e">
        <f>#REF!*#REF!</f>
        <v>#REF!</v>
      </c>
      <c r="H9" s="125" t="e">
        <f>D9*E9*G9*0.1</f>
        <v>#REF!</v>
      </c>
    </row>
    <row r="10" spans="1:8" ht="57">
      <c r="A10" s="126">
        <v>4.2</v>
      </c>
      <c r="B10" s="120" t="s">
        <v>245</v>
      </c>
      <c r="C10" s="121" t="s">
        <v>246</v>
      </c>
      <c r="D10" s="122">
        <v>6</v>
      </c>
      <c r="E10" s="121">
        <f>3*0.006*30</f>
        <v>0.54</v>
      </c>
      <c r="F10" s="127" t="s">
        <v>247</v>
      </c>
      <c r="G10" s="124">
        <v>9000</v>
      </c>
      <c r="H10" s="128">
        <f t="shared" ref="H10:H15" si="0">D10*E10*G10</f>
        <v>29160.000000000004</v>
      </c>
    </row>
    <row r="11" spans="1:8" ht="102.6">
      <c r="A11" s="126">
        <v>4.3</v>
      </c>
      <c r="B11" s="120" t="s">
        <v>248</v>
      </c>
      <c r="C11" s="121" t="s">
        <v>246</v>
      </c>
      <c r="D11" s="122">
        <v>6</v>
      </c>
      <c r="E11" s="121">
        <f>0.003*3*30</f>
        <v>0.27</v>
      </c>
      <c r="F11" s="127" t="s">
        <v>249</v>
      </c>
      <c r="G11" s="124">
        <v>11085</v>
      </c>
      <c r="H11" s="128">
        <f t="shared" si="0"/>
        <v>17957.7</v>
      </c>
    </row>
    <row r="12" spans="1:8" ht="34.200000000000003">
      <c r="A12" s="126">
        <v>4.4000000000000004</v>
      </c>
      <c r="B12" s="120" t="s">
        <v>250</v>
      </c>
      <c r="C12" s="121" t="s">
        <v>246</v>
      </c>
      <c r="D12" s="122">
        <v>6</v>
      </c>
      <c r="E12" s="121">
        <f>0.005*D12*30*3</f>
        <v>2.6999999999999997</v>
      </c>
      <c r="F12" s="127" t="s">
        <v>251</v>
      </c>
      <c r="G12" s="124">
        <v>3995</v>
      </c>
      <c r="H12" s="128">
        <f t="shared" si="0"/>
        <v>64719</v>
      </c>
    </row>
    <row r="13" spans="1:8" ht="79.8">
      <c r="A13" s="126">
        <v>4.5</v>
      </c>
      <c r="B13" s="120" t="s">
        <v>252</v>
      </c>
      <c r="C13" s="121" t="s">
        <v>246</v>
      </c>
      <c r="D13" s="122">
        <v>6</v>
      </c>
      <c r="E13" s="121">
        <f>3*0.05*1*0.15*30</f>
        <v>0.67500000000000004</v>
      </c>
      <c r="F13" s="127" t="s">
        <v>253</v>
      </c>
      <c r="G13" s="124">
        <v>2774</v>
      </c>
      <c r="H13" s="128">
        <f t="shared" si="0"/>
        <v>11234.700000000003</v>
      </c>
    </row>
    <row r="14" spans="1:8" ht="79.8">
      <c r="A14" s="126">
        <v>4.5999999999999996</v>
      </c>
      <c r="B14" s="120" t="s">
        <v>254</v>
      </c>
      <c r="C14" s="121" t="s">
        <v>75</v>
      </c>
      <c r="D14" s="122">
        <v>6</v>
      </c>
      <c r="E14" s="121">
        <f>4*3</f>
        <v>12</v>
      </c>
      <c r="F14" s="127" t="s">
        <v>255</v>
      </c>
      <c r="G14" s="124">
        <v>1000</v>
      </c>
      <c r="H14" s="128">
        <f t="shared" si="0"/>
        <v>72000</v>
      </c>
    </row>
    <row r="15" spans="1:8" ht="79.8">
      <c r="A15" s="126">
        <v>4.7</v>
      </c>
      <c r="B15" s="120" t="s">
        <v>256</v>
      </c>
      <c r="C15" s="121" t="s">
        <v>74</v>
      </c>
      <c r="D15" s="122">
        <v>6</v>
      </c>
      <c r="E15" s="121">
        <f>8*3</f>
        <v>24</v>
      </c>
      <c r="F15" s="127" t="s">
        <v>257</v>
      </c>
      <c r="G15" s="124">
        <v>598</v>
      </c>
      <c r="H15" s="128">
        <f t="shared" si="0"/>
        <v>86112</v>
      </c>
    </row>
    <row r="16" spans="1:8" ht="57">
      <c r="A16" s="126">
        <v>4.8</v>
      </c>
      <c r="B16" s="120" t="s">
        <v>258</v>
      </c>
      <c r="C16" s="121" t="s">
        <v>75</v>
      </c>
      <c r="D16" s="122">
        <v>1</v>
      </c>
      <c r="E16" s="121">
        <v>1</v>
      </c>
      <c r="F16" s="127" t="s">
        <v>259</v>
      </c>
      <c r="G16" s="124">
        <v>299000</v>
      </c>
      <c r="H16" s="128">
        <v>299000</v>
      </c>
    </row>
    <row r="17" spans="1:8" ht="79.8">
      <c r="A17" s="126">
        <v>4.9000000000000004</v>
      </c>
      <c r="B17" s="120" t="s">
        <v>260</v>
      </c>
      <c r="C17" s="121" t="s">
        <v>75</v>
      </c>
      <c r="D17" s="122">
        <v>1</v>
      </c>
      <c r="E17" s="121">
        <v>1</v>
      </c>
      <c r="F17" s="127" t="s">
        <v>261</v>
      </c>
      <c r="G17" s="124">
        <v>499600</v>
      </c>
      <c r="H17" s="128">
        <v>499600</v>
      </c>
    </row>
    <row r="18" spans="1:8">
      <c r="A18" s="129"/>
      <c r="B18" s="321" t="s">
        <v>262</v>
      </c>
      <c r="C18" s="321"/>
      <c r="D18" s="321"/>
      <c r="E18" s="321"/>
      <c r="F18" s="321"/>
      <c r="G18" s="322"/>
      <c r="H18" s="130" t="e">
        <f>SUM(H9:H17)</f>
        <v>#REF!</v>
      </c>
    </row>
    <row r="26" spans="1:8" ht="16.350000000000001" customHeight="1">
      <c r="B26" s="256"/>
      <c r="C26" s="256"/>
      <c r="D26" s="256"/>
    </row>
    <row r="27" spans="1:8">
      <c r="B27" s="256" t="s">
        <v>305</v>
      </c>
      <c r="C27" s="256"/>
      <c r="D27" s="256"/>
      <c r="E27" s="256"/>
    </row>
  </sheetData>
  <mergeCells count="7">
    <mergeCell ref="B26:D26"/>
    <mergeCell ref="B27:E27"/>
    <mergeCell ref="B18:G18"/>
    <mergeCell ref="A1:F1"/>
    <mergeCell ref="A2:F2"/>
    <mergeCell ref="A3:F3"/>
    <mergeCell ref="A5:F5"/>
  </mergeCells>
  <dataValidations count="2">
    <dataValidation allowBlank="1" showInputMessage="1" showErrorMessage="1" errorTitle="EDU" error="Utilice dos cifras decimales" promptTitle="VIVA" prompt="Utilice dos cifras decimales" sqref="H9:H18" xr:uid="{00000000-0002-0000-0A00-000000000000}"/>
    <dataValidation allowBlank="1" showErrorMessage="1" sqref="B26:B27" xr:uid="{00000000-0002-0000-0A00-000001000000}"/>
  </dataValidations>
  <pageMargins left="0.7" right="0.7" top="0.75" bottom="0.75" header="0.3" footer="0.3"/>
  <pageSetup scale="7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0919F-0E2E-4F40-BC03-F5676CC44FB2}">
  <dimension ref="A1:Q49"/>
  <sheetViews>
    <sheetView tabSelected="1" view="pageBreakPreview" topLeftCell="A3" zoomScale="60" zoomScaleNormal="60" workbookViewId="0">
      <selection activeCell="A26" sqref="A26"/>
    </sheetView>
  </sheetViews>
  <sheetFormatPr baseColWidth="10" defaultRowHeight="14.4"/>
  <cols>
    <col min="1" max="1" width="11.44140625" style="43"/>
    <col min="2" max="3" width="0" style="43" hidden="1" customWidth="1"/>
    <col min="4" max="4" width="92.6640625" bestFit="1" customWidth="1"/>
    <col min="5" max="6" width="11.44140625" style="43"/>
    <col min="7" max="7" width="15.5546875" style="44" customWidth="1"/>
    <col min="8" max="8" width="24.88671875" style="43" customWidth="1"/>
    <col min="9" max="9" width="21" style="177" customWidth="1"/>
    <col min="10" max="10" width="91.33203125" style="151" bestFit="1" customWidth="1"/>
    <col min="11" max="11" width="16.44140625" style="151" customWidth="1"/>
    <col min="12" max="12" width="17.5546875" style="151" bestFit="1" customWidth="1"/>
    <col min="13" max="13" width="18.109375" style="151" bestFit="1" customWidth="1"/>
    <col min="14" max="14" width="16" style="151" customWidth="1"/>
    <col min="15" max="15" width="18.5546875" style="151" customWidth="1"/>
    <col min="16" max="16" width="16" bestFit="1" customWidth="1"/>
    <col min="17" max="17" width="18.6640625" bestFit="1" customWidth="1"/>
  </cols>
  <sheetData>
    <row r="1" spans="1:17" ht="25.8">
      <c r="A1" s="323" t="s">
        <v>0</v>
      </c>
      <c r="B1" s="324"/>
      <c r="C1" s="324"/>
      <c r="D1" s="324"/>
      <c r="E1" s="325"/>
      <c r="F1" s="326"/>
      <c r="G1" s="326"/>
      <c r="H1" s="327"/>
    </row>
    <row r="2" spans="1:17" ht="21">
      <c r="A2" s="334" t="str">
        <f>'DATOS INICIALES'!B2</f>
        <v>MUNICIPIO DE DABEIBA</v>
      </c>
      <c r="B2" s="238"/>
      <c r="C2" s="238"/>
      <c r="D2" s="238"/>
      <c r="E2" s="328"/>
      <c r="F2" s="329"/>
      <c r="G2" s="329"/>
      <c r="H2" s="330"/>
    </row>
    <row r="3" spans="1:17" ht="109.8" customHeight="1">
      <c r="A3" s="335" t="str">
        <f>'DATOS INICIALES'!B3</f>
        <v>SUMINISTRO Y TRANSPORTE DE MATERIALES DE CONSTRUCCIÓN REQUERIDOS PARA EL MEJORAMIENTO, ADECUACIÓN Y MANTENIMIENTO DE LAS CASETAS COMUNALES DEL MUNICIPIO DE DABEIBA, ANTIOQUIA; COMO ESTRATEGIA PARA EL FORTALECIMIENTO DE LA INFRAESTRUCTURA COMUNITARIA CONTEMPLADA EN EL PLAN DE DESARROLLO TERRITORIAL 'PRIMERO DABEIBA' 2024-2027</v>
      </c>
      <c r="B3" s="336"/>
      <c r="C3" s="336"/>
      <c r="D3" s="336"/>
      <c r="E3" s="328"/>
      <c r="F3" s="329"/>
      <c r="G3" s="329"/>
      <c r="H3" s="330"/>
    </row>
    <row r="4" spans="1:17">
      <c r="A4" s="188"/>
      <c r="B4" s="17"/>
      <c r="C4" s="17"/>
      <c r="D4" s="4"/>
      <c r="E4" s="328"/>
      <c r="F4" s="329"/>
      <c r="G4" s="329"/>
      <c r="H4" s="330"/>
    </row>
    <row r="5" spans="1:17">
      <c r="A5" s="337" t="s">
        <v>44</v>
      </c>
      <c r="B5" s="242"/>
      <c r="C5" s="242"/>
      <c r="D5" s="242"/>
      <c r="E5" s="331"/>
      <c r="F5" s="332"/>
      <c r="G5" s="332"/>
      <c r="H5" s="333"/>
    </row>
    <row r="6" spans="1:17" ht="6" customHeight="1">
      <c r="A6" s="189"/>
      <c r="G6" s="190"/>
      <c r="H6" s="191"/>
    </row>
    <row r="7" spans="1:17">
      <c r="A7" s="345" t="s">
        <v>45</v>
      </c>
      <c r="B7" s="205"/>
      <c r="C7" s="205"/>
      <c r="D7" s="347" t="s">
        <v>46</v>
      </c>
      <c r="E7" s="347" t="s">
        <v>47</v>
      </c>
      <c r="F7" s="347" t="s">
        <v>48</v>
      </c>
      <c r="G7" s="349" t="s">
        <v>49</v>
      </c>
      <c r="H7" s="342" t="s">
        <v>50</v>
      </c>
      <c r="I7" s="344"/>
      <c r="J7" s="236"/>
      <c r="K7" s="236"/>
      <c r="L7" s="236"/>
      <c r="M7" s="236"/>
      <c r="N7" s="236"/>
      <c r="O7" s="236"/>
    </row>
    <row r="8" spans="1:17">
      <c r="A8" s="346"/>
      <c r="B8" s="206"/>
      <c r="C8" s="206"/>
      <c r="D8" s="348"/>
      <c r="E8" s="348"/>
      <c r="F8" s="348"/>
      <c r="G8" s="350"/>
      <c r="H8" s="343"/>
      <c r="I8" s="344"/>
      <c r="J8" s="236"/>
      <c r="K8" s="236"/>
      <c r="L8" s="236"/>
      <c r="M8" s="236"/>
      <c r="N8" s="236"/>
      <c r="O8" s="236"/>
    </row>
    <row r="9" spans="1:17" ht="24.9" customHeight="1">
      <c r="A9" s="192">
        <v>1</v>
      </c>
      <c r="B9" s="207"/>
      <c r="C9" s="207"/>
      <c r="D9" s="203"/>
      <c r="E9" s="203"/>
      <c r="F9" s="204"/>
      <c r="G9" s="186"/>
      <c r="H9" s="200"/>
      <c r="I9" s="187"/>
      <c r="J9" s="184"/>
      <c r="K9" s="184"/>
      <c r="L9" s="184"/>
      <c r="M9" s="184"/>
      <c r="N9" s="184"/>
      <c r="O9" s="184"/>
    </row>
    <row r="10" spans="1:17" ht="24.6" customHeight="1">
      <c r="A10" s="193">
        <v>1.1000000000000001</v>
      </c>
      <c r="B10" s="208"/>
      <c r="C10" s="215"/>
      <c r="D10" s="216" t="s">
        <v>333</v>
      </c>
      <c r="E10" s="24" t="s">
        <v>326</v>
      </c>
      <c r="F10" s="213">
        <v>80</v>
      </c>
      <c r="G10" s="211"/>
      <c r="H10" s="194"/>
      <c r="I10" s="211"/>
      <c r="J10" s="214"/>
      <c r="K10" s="184"/>
      <c r="L10" s="184"/>
      <c r="M10" s="184"/>
      <c r="N10" s="184"/>
      <c r="O10" s="185"/>
      <c r="P10" s="31"/>
      <c r="Q10" s="31"/>
    </row>
    <row r="11" spans="1:17" ht="32.4" customHeight="1">
      <c r="A11" s="193">
        <v>1.2</v>
      </c>
      <c r="B11" s="208"/>
      <c r="C11" s="215"/>
      <c r="D11" s="216" t="s">
        <v>332</v>
      </c>
      <c r="E11" s="24" t="s">
        <v>326</v>
      </c>
      <c r="F11" s="213">
        <v>28</v>
      </c>
      <c r="G11" s="211"/>
      <c r="H11" s="194"/>
      <c r="I11" s="211"/>
      <c r="K11" s="184"/>
      <c r="L11" s="184"/>
      <c r="M11" s="184"/>
      <c r="N11" s="184"/>
      <c r="O11" s="184"/>
      <c r="Q11" s="31"/>
    </row>
    <row r="12" spans="1:17" ht="33" customHeight="1">
      <c r="A12" s="193">
        <v>1.3</v>
      </c>
      <c r="B12" s="208"/>
      <c r="C12" s="215"/>
      <c r="D12" s="216" t="s">
        <v>334</v>
      </c>
      <c r="E12" s="24" t="s">
        <v>326</v>
      </c>
      <c r="F12" s="213">
        <v>68</v>
      </c>
      <c r="G12" s="211"/>
      <c r="H12" s="194"/>
      <c r="I12" s="211"/>
      <c r="K12" s="184"/>
      <c r="L12" s="184"/>
      <c r="M12" s="184"/>
      <c r="N12" s="184"/>
      <c r="O12" s="184"/>
      <c r="Q12" s="31"/>
    </row>
    <row r="13" spans="1:17" ht="26.4" customHeight="1">
      <c r="A13" s="193">
        <v>1.4</v>
      </c>
      <c r="B13" s="208"/>
      <c r="C13" s="215"/>
      <c r="D13" s="216" t="s">
        <v>335</v>
      </c>
      <c r="E13" s="24" t="s">
        <v>326</v>
      </c>
      <c r="F13" s="213">
        <v>38</v>
      </c>
      <c r="G13" s="211"/>
      <c r="H13" s="194"/>
      <c r="I13" s="211"/>
      <c r="K13" s="184"/>
      <c r="L13" s="184"/>
      <c r="M13" s="184"/>
      <c r="N13" s="184"/>
      <c r="O13" s="184"/>
      <c r="Q13" s="31"/>
    </row>
    <row r="14" spans="1:17" ht="21" customHeight="1">
      <c r="A14" s="193">
        <v>1.5</v>
      </c>
      <c r="B14" s="208"/>
      <c r="C14" s="215"/>
      <c r="D14" s="216" t="s">
        <v>328</v>
      </c>
      <c r="E14" s="24" t="s">
        <v>66</v>
      </c>
      <c r="F14" s="213">
        <v>125</v>
      </c>
      <c r="G14" s="211"/>
      <c r="H14" s="194"/>
      <c r="I14" s="211"/>
      <c r="K14" s="184"/>
      <c r="L14" s="184"/>
      <c r="M14" s="184"/>
      <c r="N14" s="184"/>
      <c r="O14" s="184"/>
      <c r="Q14" s="31"/>
    </row>
    <row r="15" spans="1:17" ht="18.600000000000001" customHeight="1">
      <c r="A15" s="193">
        <v>1.6</v>
      </c>
      <c r="B15" s="208"/>
      <c r="C15" s="215"/>
      <c r="D15" s="216" t="s">
        <v>336</v>
      </c>
      <c r="E15" s="24" t="s">
        <v>327</v>
      </c>
      <c r="F15" s="213">
        <v>2</v>
      </c>
      <c r="G15" s="211"/>
      <c r="H15" s="194"/>
      <c r="I15" s="211"/>
      <c r="K15" s="184"/>
      <c r="L15" s="184"/>
      <c r="M15" s="184"/>
      <c r="N15" s="184"/>
      <c r="O15" s="184"/>
      <c r="Q15" s="31"/>
    </row>
    <row r="16" spans="1:17" ht="21" customHeight="1">
      <c r="A16" s="193">
        <v>1.7</v>
      </c>
      <c r="B16" s="208"/>
      <c r="C16" s="215"/>
      <c r="D16" s="216" t="s">
        <v>338</v>
      </c>
      <c r="E16" s="24" t="s">
        <v>327</v>
      </c>
      <c r="F16" s="213">
        <v>2</v>
      </c>
      <c r="G16" s="211"/>
      <c r="H16" s="194"/>
      <c r="I16" s="211"/>
      <c r="K16" s="184"/>
      <c r="L16" s="184"/>
      <c r="M16" s="184"/>
      <c r="N16" s="184"/>
      <c r="O16" s="184"/>
      <c r="Q16" s="31"/>
    </row>
    <row r="17" spans="1:17" ht="21" customHeight="1">
      <c r="A17" s="193">
        <v>1.8</v>
      </c>
      <c r="B17" s="208"/>
      <c r="C17" s="215"/>
      <c r="D17" s="216" t="s">
        <v>337</v>
      </c>
      <c r="E17" s="24" t="s">
        <v>326</v>
      </c>
      <c r="F17" s="213">
        <v>10</v>
      </c>
      <c r="G17" s="211"/>
      <c r="H17" s="194"/>
      <c r="I17" s="211"/>
      <c r="K17" s="184"/>
      <c r="L17" s="184"/>
      <c r="M17" s="184"/>
      <c r="N17" s="184"/>
      <c r="O17" s="184"/>
      <c r="Q17" s="31"/>
    </row>
    <row r="18" spans="1:17" ht="18.600000000000001" customHeight="1">
      <c r="A18" s="193">
        <v>1.9</v>
      </c>
      <c r="B18" s="208"/>
      <c r="C18" s="215"/>
      <c r="D18" s="216" t="s">
        <v>339</v>
      </c>
      <c r="E18" s="24" t="s">
        <v>326</v>
      </c>
      <c r="F18" s="213">
        <v>4</v>
      </c>
      <c r="G18" s="211"/>
      <c r="H18" s="194"/>
      <c r="I18" s="211"/>
      <c r="K18" s="184"/>
      <c r="L18" s="184"/>
      <c r="M18" s="184"/>
      <c r="N18" s="184"/>
      <c r="O18" s="184"/>
      <c r="Q18" s="31"/>
    </row>
    <row r="19" spans="1:17" ht="21" customHeight="1">
      <c r="A19" s="212">
        <v>1.1000000000000001</v>
      </c>
      <c r="B19" s="208"/>
      <c r="C19" s="215"/>
      <c r="D19" s="216" t="s">
        <v>340</v>
      </c>
      <c r="E19" s="24" t="s">
        <v>326</v>
      </c>
      <c r="F19" s="213">
        <v>20</v>
      </c>
      <c r="G19" s="211"/>
      <c r="H19" s="194"/>
      <c r="I19" s="211"/>
      <c r="K19" s="184"/>
      <c r="L19" s="184"/>
      <c r="M19" s="184"/>
      <c r="N19" s="184"/>
      <c r="O19" s="184"/>
      <c r="Q19" s="31"/>
    </row>
    <row r="20" spans="1:17" ht="21.6" customHeight="1">
      <c r="A20" s="193">
        <v>1.1100000000000001</v>
      </c>
      <c r="B20" s="208"/>
      <c r="C20" s="215"/>
      <c r="D20" s="216" t="s">
        <v>329</v>
      </c>
      <c r="E20" s="24" t="s">
        <v>326</v>
      </c>
      <c r="F20" s="213">
        <v>287</v>
      </c>
      <c r="G20" s="211"/>
      <c r="H20" s="194"/>
      <c r="I20" s="211"/>
      <c r="K20" s="184"/>
      <c r="L20" s="184"/>
      <c r="M20" s="184"/>
      <c r="N20" s="184"/>
      <c r="O20" s="184"/>
      <c r="Q20" s="31"/>
    </row>
    <row r="21" spans="1:17" ht="17.399999999999999" customHeight="1">
      <c r="A21" s="338" t="s">
        <v>104</v>
      </c>
      <c r="B21" s="339"/>
      <c r="C21" s="339"/>
      <c r="D21" s="340"/>
      <c r="E21" s="340"/>
      <c r="F21" s="340"/>
      <c r="G21" s="340"/>
      <c r="H21" s="195"/>
      <c r="I21" s="178"/>
    </row>
    <row r="22" spans="1:17">
      <c r="A22" s="338" t="s">
        <v>330</v>
      </c>
      <c r="B22" s="339"/>
      <c r="C22" s="339"/>
      <c r="D22" s="340"/>
      <c r="E22" s="340"/>
      <c r="F22" s="340"/>
      <c r="G22" s="340"/>
      <c r="H22" s="195"/>
    </row>
    <row r="23" spans="1:17">
      <c r="A23" s="189"/>
      <c r="G23" s="190"/>
      <c r="H23" s="191"/>
      <c r="Q23" s="68"/>
    </row>
    <row r="24" spans="1:17" ht="60" customHeight="1">
      <c r="A24" s="341"/>
      <c r="B24" s="329"/>
      <c r="C24" s="329"/>
      <c r="D24" s="329"/>
      <c r="G24" s="190"/>
      <c r="H24" s="191"/>
      <c r="Q24" s="68"/>
    </row>
    <row r="25" spans="1:17">
      <c r="A25" s="201"/>
      <c r="B25" s="209"/>
      <c r="C25" s="209"/>
      <c r="G25" s="190"/>
      <c r="H25" s="191"/>
    </row>
    <row r="26" spans="1:17" s="177" customFormat="1" ht="28.35" customHeight="1" thickBot="1">
      <c r="A26" s="202"/>
      <c r="B26" s="210"/>
      <c r="C26" s="210"/>
      <c r="D26" s="196"/>
      <c r="E26" s="197"/>
      <c r="F26" s="197"/>
      <c r="G26" s="198"/>
      <c r="H26" s="199"/>
      <c r="J26" s="151"/>
      <c r="K26" s="151"/>
      <c r="L26" s="151"/>
      <c r="M26" s="151"/>
      <c r="N26" s="151"/>
      <c r="O26" s="151"/>
    </row>
    <row r="27" spans="1:17">
      <c r="I27"/>
      <c r="J27"/>
      <c r="K27"/>
      <c r="L27"/>
    </row>
    <row r="28" spans="1:17">
      <c r="I28"/>
      <c r="J28"/>
      <c r="K28"/>
      <c r="L28"/>
    </row>
    <row r="29" spans="1:17">
      <c r="I29"/>
      <c r="J29"/>
      <c r="K29"/>
      <c r="L29"/>
    </row>
    <row r="30" spans="1:17">
      <c r="I30"/>
      <c r="J30"/>
      <c r="K30"/>
      <c r="L30"/>
    </row>
    <row r="31" spans="1:17">
      <c r="I31"/>
      <c r="J31"/>
      <c r="K31"/>
      <c r="L31"/>
    </row>
    <row r="32" spans="1:17">
      <c r="I32"/>
      <c r="J32"/>
      <c r="K32"/>
      <c r="L32"/>
    </row>
    <row r="33" spans="9:12">
      <c r="I33"/>
      <c r="J33"/>
      <c r="K33"/>
      <c r="L33"/>
    </row>
    <row r="34" spans="9:12">
      <c r="I34"/>
      <c r="J34"/>
      <c r="K34"/>
      <c r="L34"/>
    </row>
    <row r="35" spans="9:12">
      <c r="I35"/>
      <c r="J35"/>
      <c r="K35"/>
      <c r="L35"/>
    </row>
    <row r="36" spans="9:12">
      <c r="I36"/>
      <c r="J36"/>
      <c r="K36"/>
      <c r="L36"/>
    </row>
    <row r="37" spans="9:12">
      <c r="I37"/>
      <c r="J37"/>
      <c r="K37"/>
      <c r="L37"/>
    </row>
    <row r="38" spans="9:12">
      <c r="I38"/>
      <c r="J38"/>
      <c r="K38"/>
      <c r="L38"/>
    </row>
    <row r="39" spans="9:12">
      <c r="I39"/>
      <c r="J39"/>
      <c r="K39"/>
      <c r="L39"/>
    </row>
    <row r="40" spans="9:12">
      <c r="I40"/>
      <c r="J40"/>
      <c r="K40"/>
      <c r="L40"/>
    </row>
    <row r="41" spans="9:12">
      <c r="I41"/>
      <c r="J41"/>
      <c r="K41"/>
      <c r="L41"/>
    </row>
    <row r="42" spans="9:12">
      <c r="I42"/>
      <c r="J42"/>
      <c r="K42"/>
      <c r="L42"/>
    </row>
    <row r="43" spans="9:12">
      <c r="I43"/>
      <c r="J43"/>
      <c r="K43"/>
      <c r="L43"/>
    </row>
    <row r="44" spans="9:12">
      <c r="I44"/>
      <c r="J44"/>
      <c r="K44"/>
      <c r="L44"/>
    </row>
    <row r="45" spans="9:12">
      <c r="I45"/>
      <c r="J45"/>
      <c r="K45"/>
      <c r="L45"/>
    </row>
    <row r="46" spans="9:12">
      <c r="I46"/>
      <c r="J46"/>
      <c r="K46"/>
      <c r="L46"/>
    </row>
    <row r="47" spans="9:12">
      <c r="I47"/>
      <c r="J47"/>
      <c r="K47"/>
      <c r="L47"/>
    </row>
    <row r="48" spans="9:12">
      <c r="I48"/>
      <c r="J48"/>
      <c r="K48"/>
      <c r="L48"/>
    </row>
    <row r="49" spans="9:12">
      <c r="I49"/>
      <c r="J49"/>
      <c r="K49"/>
      <c r="L49"/>
    </row>
  </sheetData>
  <mergeCells count="21">
    <mergeCell ref="A22:G22"/>
    <mergeCell ref="A24:D24"/>
    <mergeCell ref="N7:N8"/>
    <mergeCell ref="O7:O8"/>
    <mergeCell ref="A21:G21"/>
    <mergeCell ref="H7:H8"/>
    <mergeCell ref="I7:I8"/>
    <mergeCell ref="J7:J8"/>
    <mergeCell ref="K7:K8"/>
    <mergeCell ref="L7:L8"/>
    <mergeCell ref="M7:M8"/>
    <mergeCell ref="A7:A8"/>
    <mergeCell ref="D7:D8"/>
    <mergeCell ref="E7:E8"/>
    <mergeCell ref="F7:F8"/>
    <mergeCell ref="G7:G8"/>
    <mergeCell ref="A1:D1"/>
    <mergeCell ref="E1:H5"/>
    <mergeCell ref="A2:D2"/>
    <mergeCell ref="A3:D3"/>
    <mergeCell ref="A5:D5"/>
  </mergeCells>
  <phoneticPr fontId="28" type="noConversion"/>
  <pageMargins left="0.7" right="0.7" top="0.75" bottom="0.75" header="0.3" footer="0.3"/>
  <pageSetup scale="37" orientation="portrait" horizontalDpi="429496729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DATOS INICIALES</vt:lpstr>
      <vt:lpstr>PAGA</vt:lpstr>
      <vt:lpstr>PMT</vt:lpstr>
      <vt:lpstr>PAPSO </vt:lpstr>
      <vt:lpstr>INTERVENTORIA</vt:lpstr>
      <vt:lpstr>FM INTERVENTORIA</vt:lpstr>
      <vt:lpstr>POLIZAS INTERVENTORIA</vt:lpstr>
      <vt:lpstr>PAPSO INTERVENTORIA</vt:lpstr>
      <vt:lpstr>SUMINISTRO DE MATERIALES </vt:lpstr>
      <vt:lpstr>'DATOS INICIALES'!Área_de_impresión</vt:lpstr>
      <vt:lpstr>'FM INTERVENTORIA'!Área_de_impresión</vt:lpstr>
      <vt:lpstr>PAGA!Área_de_impresión</vt:lpstr>
      <vt:lpstr>'PAPSO '!Área_de_impresión</vt:lpstr>
      <vt:lpstr>'PAPSO INTERVENTORIA'!Área_de_impresión</vt:lpstr>
      <vt:lpstr>'POLIZAS INTERVENTORIA'!Área_de_impresión</vt:lpstr>
      <vt:lpstr>'SUMINISTRO DE MATERIALES '!Área_de_impresión</vt:lpstr>
      <vt:lpstr>'SUMINISTRO DE MATERIALES '!PRESUPUESTO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MARLON</dc:creator>
  <cp:lastModifiedBy>Carlos Cardenas</cp:lastModifiedBy>
  <cp:lastPrinted>2024-01-22T20:53:47Z</cp:lastPrinted>
  <dcterms:created xsi:type="dcterms:W3CDTF">2021-02-18T21:50:49Z</dcterms:created>
  <dcterms:modified xsi:type="dcterms:W3CDTF">2026-08-21T16:29:58Z</dcterms:modified>
</cp:coreProperties>
</file>