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sanchez\Desktop\ALMACEN 2025\CONTRATO TALLER\CONTRATOS 2026\PROCESO PARA ENVIAR\leidy\"/>
    </mc:Choice>
  </mc:AlternateContent>
  <bookViews>
    <workbookView xWindow="-120" yWindow="-120" windowWidth="29040" windowHeight="15720" firstSheet="1" activeTab="1"/>
  </bookViews>
  <sheets>
    <sheet name="ESTUDIO DE MERCADO" sheetId="1" state="hidden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2" i="2" l="1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38" i="2"/>
  <c r="E35" i="2"/>
  <c r="H19" i="1"/>
  <c r="G19" i="1"/>
  <c r="E17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" i="2"/>
  <c r="H5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H6" i="1" l="1"/>
  <c r="H49" i="1"/>
  <c r="H48" i="1"/>
  <c r="H47" i="1"/>
  <c r="H46" i="1"/>
  <c r="H45" i="1"/>
  <c r="H44" i="1"/>
  <c r="H42" i="1"/>
  <c r="H41" i="1"/>
  <c r="H40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18" i="1"/>
  <c r="H17" i="1"/>
  <c r="H16" i="1"/>
  <c r="H15" i="1"/>
  <c r="H14" i="1"/>
  <c r="H13" i="1"/>
  <c r="H12" i="1"/>
  <c r="H11" i="1"/>
  <c r="H10" i="1"/>
  <c r="H9" i="1"/>
  <c r="H8" i="1"/>
  <c r="H7" i="1"/>
  <c r="H43" i="1"/>
  <c r="H50" i="1"/>
  <c r="H51" i="1"/>
  <c r="H52" i="1"/>
  <c r="H53" i="1"/>
</calcChain>
</file>

<file path=xl/sharedStrings.xml><?xml version="1.0" encoding="utf-8"?>
<sst xmlns="http://schemas.openxmlformats.org/spreadsheetml/2006/main" count="239" uniqueCount="45">
  <si>
    <t>Item</t>
  </si>
  <si>
    <t>Descripcion</t>
  </si>
  <si>
    <t>Und</t>
  </si>
  <si>
    <t>Cantidad</t>
  </si>
  <si>
    <t>ACEITE MOTOR 15W40 X 1/4</t>
  </si>
  <si>
    <t>CUARTO</t>
  </si>
  <si>
    <t>FILTRO ACEITE MOTOR</t>
  </si>
  <si>
    <t>UNIDAD</t>
  </si>
  <si>
    <t>FILTRO AIRE MOTOR</t>
  </si>
  <si>
    <t>FILTRO COMBUSTIBLE MOTOR</t>
  </si>
  <si>
    <t>MANTENIMIENTO Y CAMBIO DE ACEITE Y FILTROS</t>
  </si>
  <si>
    <t>LIQUIDO DE FRENOS</t>
  </si>
  <si>
    <t>BANDAS FRENO TRASERO</t>
  </si>
  <si>
    <t>JUEGO</t>
  </si>
  <si>
    <t>PASTILLAS FRENO DELANTERO</t>
  </si>
  <si>
    <t>M.O CAMBIO DE PASTILLAS Y BANDAS DE FRENO Y MTO</t>
  </si>
  <si>
    <t>REVISIÓN DEL SISTEMA DE SUSPENSIÓN Y DIRECCIÓN</t>
  </si>
  <si>
    <t>REVISIÓN DEL SISTEMA ELÉCTRICO Y BATERÍA</t>
  </si>
  <si>
    <t>REVISIÓN TECNO MECÁNICA</t>
  </si>
  <si>
    <t>PASTILLAS FRENO TRASERO</t>
  </si>
  <si>
    <t>M.O CAMBIO DE PASTILLAS DE FRENO Y MTO</t>
  </si>
  <si>
    <t>ALINEACION DE DIRECCION</t>
  </si>
  <si>
    <t>REVISIÓN DE SUSPENSIÓN</t>
  </si>
  <si>
    <t>REVISIÓN DEL SISTEMA ELÉCTRICO</t>
  </si>
  <si>
    <t>DIAGNÓSTICO GENERAL DEL MOTOR</t>
  </si>
  <si>
    <t>REVISIÓN DE SUSPENSIÓN, DIRECCIÓN Y TRANSMISIÓN</t>
  </si>
  <si>
    <t>DIAGNÓSTICO ELECTRÓNICO</t>
  </si>
  <si>
    <t>REVISIÓN GENERAL DEL VEHÍCULO</t>
  </si>
  <si>
    <t>TOTAL</t>
  </si>
  <si>
    <t>TOYOTA RAV4 MODELO 2020-</t>
  </si>
  <si>
    <t>AUTOMÓVIL CHEVROLET MODELO 2009-</t>
  </si>
  <si>
    <t>CAMIONETA CHEVROLET LUV DMAX MODELO 2007</t>
  </si>
  <si>
    <t>AGROAUTOMOTORA</t>
  </si>
  <si>
    <t>MANTENIMIENTO Y GRADUACION DE FRENOS EN GENERAL</t>
  </si>
  <si>
    <t>VALOR UNITARIO INCLUIDO IVA (HISTÒRICO DEL CONTRATO + IPC 5,10%)</t>
  </si>
  <si>
    <t>VALOR UNITARIO INCLUIDO IVA</t>
  </si>
  <si>
    <t>PRESUPUESTO OFICIAL</t>
  </si>
  <si>
    <t>PRESUPUESTO UNITARIO</t>
  </si>
  <si>
    <t>DESCRIPCION</t>
  </si>
  <si>
    <t>REVISIÓN DE NIVELES DE FLUIDOS (REFRIGERANTE, FRENOS Y DIRECCIÓN)</t>
  </si>
  <si>
    <t>GREIT S.A.S</t>
  </si>
  <si>
    <t>PROPUESTA ECONOMICA</t>
  </si>
  <si>
    <t>VALOR OFERTADO POR EL OFERENTE</t>
  </si>
  <si>
    <t>VALOR UNITARIO-PRECIO TECHO</t>
  </si>
  <si>
    <t>DEJAR UN VALOR TOTAL A 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</si>
</sst>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7"/>
      <name val="Times New Roman"/>
      <family val="1"/>
    </font>
    <font>
      <b/>
      <sz val="7"/>
      <color rgb="FF000000"/>
      <name val="Arial"/>
      <family val="2"/>
    </font>
    <font>
      <b/>
      <sz val="11"/>
      <name val="Calibri"/>
      <family val="2"/>
      <scheme val="minor"/>
    </font>
    <font>
      <b/>
      <sz val="9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8">
    <xf numFmtId="0" fontId="0" fillId="0" borderId="0" xfId="0"/>
    <xf numFmtId="44" fontId="0" fillId="0" borderId="0" xfId="0" applyNumberFormat="1"/>
    <xf numFmtId="0" fontId="8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 indent="2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left" vertical="center" wrapText="1" indent="2"/>
    </xf>
    <xf numFmtId="44" fontId="1" fillId="0" borderId="8" xfId="1" applyFont="1" applyBorder="1" applyAlignment="1">
      <alignment horizontal="left" vertical="center" wrapText="1" indent="2"/>
    </xf>
    <xf numFmtId="0" fontId="8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 inden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 indent="1"/>
    </xf>
    <xf numFmtId="0" fontId="3" fillId="2" borderId="5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2"/>
    </xf>
    <xf numFmtId="0" fontId="3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44" fontId="1" fillId="0" borderId="14" xfId="1" applyFont="1" applyBorder="1" applyAlignment="1">
      <alignment horizontal="left" vertical="center" wrapText="1" indent="2"/>
    </xf>
    <xf numFmtId="44" fontId="1" fillId="0" borderId="3" xfId="1" applyFont="1" applyBorder="1" applyAlignment="1">
      <alignment horizontal="left" vertical="center" wrapText="1" indent="2"/>
    </xf>
    <xf numFmtId="0" fontId="3" fillId="2" borderId="1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1" applyFont="1" applyBorder="1" applyAlignment="1">
      <alignment horizontal="left" vertical="center" wrapText="1" indent="3"/>
    </xf>
    <xf numFmtId="44" fontId="1" fillId="0" borderId="14" xfId="1" applyFont="1" applyFill="1" applyBorder="1" applyAlignment="1">
      <alignment horizontal="left" vertical="center" wrapText="1" indent="2"/>
    </xf>
    <xf numFmtId="44" fontId="1" fillId="0" borderId="3" xfId="1" applyFont="1" applyFill="1" applyBorder="1" applyAlignment="1">
      <alignment horizontal="left" vertical="center" wrapText="1" indent="3"/>
    </xf>
    <xf numFmtId="44" fontId="1" fillId="0" borderId="8" xfId="1" applyFont="1" applyFill="1" applyBorder="1" applyAlignment="1">
      <alignment horizontal="left" vertical="center" wrapText="1" indent="2"/>
    </xf>
    <xf numFmtId="44" fontId="1" fillId="0" borderId="3" xfId="1" applyFont="1" applyBorder="1" applyAlignment="1">
      <alignment horizontal="right" vertical="center" wrapText="1" indent="3"/>
    </xf>
    <xf numFmtId="44" fontId="1" fillId="0" borderId="3" xfId="1" applyFont="1" applyFill="1" applyBorder="1" applyAlignment="1">
      <alignment horizontal="right" vertical="center" wrapText="1" indent="3"/>
    </xf>
    <xf numFmtId="8" fontId="1" fillId="0" borderId="3" xfId="1" applyNumberFormat="1" applyFont="1" applyBorder="1" applyAlignment="1">
      <alignment horizontal="right" vertical="center" wrapText="1" indent="3"/>
    </xf>
    <xf numFmtId="8" fontId="1" fillId="0" borderId="18" xfId="1" applyNumberFormat="1" applyFont="1" applyBorder="1" applyAlignment="1">
      <alignment horizontal="right" vertical="center" wrapText="1" indent="2"/>
    </xf>
    <xf numFmtId="8" fontId="1" fillId="0" borderId="18" xfId="1" applyNumberFormat="1" applyFont="1" applyFill="1" applyBorder="1" applyAlignment="1">
      <alignment horizontal="right" vertical="center" wrapText="1" indent="2"/>
    </xf>
    <xf numFmtId="44" fontId="1" fillId="0" borderId="18" xfId="1" applyFont="1" applyFill="1" applyBorder="1" applyAlignment="1">
      <alignment horizontal="right" vertical="center" wrapText="1" indent="2"/>
    </xf>
    <xf numFmtId="44" fontId="1" fillId="0" borderId="18" xfId="1" applyFont="1" applyBorder="1" applyAlignment="1">
      <alignment horizontal="right" vertical="center" wrapText="1" indent="2"/>
    </xf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 indent="1"/>
    </xf>
    <xf numFmtId="0" fontId="3" fillId="3" borderId="13" xfId="0" applyFont="1" applyFill="1" applyBorder="1" applyAlignment="1">
      <alignment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4" fontId="1" fillId="0" borderId="21" xfId="0" applyNumberFormat="1" applyFont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0" fillId="0" borderId="20" xfId="0" applyBorder="1"/>
    <xf numFmtId="44" fontId="0" fillId="0" borderId="20" xfId="0" applyNumberFormat="1" applyBorder="1"/>
    <xf numFmtId="0" fontId="0" fillId="0" borderId="1" xfId="0" applyBorder="1"/>
    <xf numFmtId="0" fontId="0" fillId="0" borderId="22" xfId="0" applyBorder="1"/>
    <xf numFmtId="0" fontId="8" fillId="2" borderId="0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5" xfId="0" applyFont="1" applyBorder="1" applyAlignment="1">
      <alignment horizontal="left" vertical="center" wrapText="1" indent="2"/>
    </xf>
    <xf numFmtId="44" fontId="0" fillId="0" borderId="1" xfId="0" applyNumberFormat="1" applyBorder="1"/>
    <xf numFmtId="0" fontId="1" fillId="0" borderId="24" xfId="0" applyFont="1" applyBorder="1" applyAlignment="1">
      <alignment horizontal="left" vertical="center" wrapText="1" indent="2"/>
    </xf>
    <xf numFmtId="0" fontId="1" fillId="0" borderId="25" xfId="0" applyFont="1" applyBorder="1" applyAlignment="1">
      <alignment vertical="center" wrapText="1"/>
    </xf>
    <xf numFmtId="0" fontId="3" fillId="2" borderId="20" xfId="0" applyFont="1" applyFill="1" applyBorder="1" applyAlignment="1">
      <alignment horizontal="left" vertical="center" wrapText="1" inden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vertical="center" wrapText="1"/>
    </xf>
    <xf numFmtId="0" fontId="1" fillId="0" borderId="26" xfId="0" applyFont="1" applyBorder="1" applyAlignment="1">
      <alignment horizontal="left" vertical="center" wrapText="1" indent="2"/>
    </xf>
    <xf numFmtId="0" fontId="1" fillId="0" borderId="18" xfId="0" applyFont="1" applyBorder="1" applyAlignment="1">
      <alignment horizontal="left" vertical="center" wrapText="1" indent="2"/>
    </xf>
    <xf numFmtId="44" fontId="8" fillId="0" borderId="20" xfId="0" applyNumberFormat="1" applyFont="1" applyBorder="1"/>
    <xf numFmtId="0" fontId="3" fillId="2" borderId="21" xfId="0" applyFont="1" applyFill="1" applyBorder="1" applyAlignment="1">
      <alignment vertical="center" wrapText="1"/>
    </xf>
    <xf numFmtId="8" fontId="0" fillId="0" borderId="20" xfId="0" applyNumberFormat="1" applyBorder="1"/>
    <xf numFmtId="8" fontId="8" fillId="0" borderId="20" xfId="0" applyNumberFormat="1" applyFont="1" applyBorder="1"/>
    <xf numFmtId="0" fontId="1" fillId="0" borderId="13" xfId="0" applyFont="1" applyBorder="1" applyAlignment="1">
      <alignment horizontal="left" vertical="center" wrapText="1" indent="2"/>
    </xf>
    <xf numFmtId="0" fontId="3" fillId="4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 indent="1"/>
    </xf>
    <xf numFmtId="0" fontId="3" fillId="4" borderId="19" xfId="0" applyFont="1" applyFill="1" applyBorder="1" applyAlignment="1">
      <alignment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8" zoomScale="160" zoomScaleNormal="160" workbookViewId="0">
      <selection activeCell="B52" sqref="B52"/>
    </sheetView>
  </sheetViews>
  <sheetFormatPr baseColWidth="10" defaultRowHeight="15" x14ac:dyDescent="0.25"/>
  <cols>
    <col min="1" max="1" width="9.28515625" customWidth="1"/>
    <col min="2" max="2" width="19.7109375" customWidth="1"/>
    <col min="5" max="5" width="14" customWidth="1"/>
    <col min="6" max="8" width="19.42578125" customWidth="1"/>
    <col min="9" max="9" width="12.140625" bestFit="1" customWidth="1"/>
  </cols>
  <sheetData>
    <row r="1" spans="1:11" x14ac:dyDescent="0.25">
      <c r="A1" s="79" t="s">
        <v>41</v>
      </c>
      <c r="B1" s="80"/>
      <c r="C1" s="80"/>
      <c r="D1" s="80"/>
      <c r="E1" s="80"/>
      <c r="F1" s="80"/>
      <c r="G1" s="80"/>
      <c r="H1" s="80"/>
      <c r="I1" s="80"/>
      <c r="J1" s="80"/>
    </row>
    <row r="2" spans="1:11" ht="15.75" thickBot="1" x14ac:dyDescent="0.3">
      <c r="A2" s="79"/>
      <c r="B2" s="80"/>
      <c r="C2" s="80"/>
      <c r="D2" s="80"/>
      <c r="E2" s="80"/>
      <c r="F2" s="80"/>
      <c r="G2" s="80"/>
      <c r="H2" s="80"/>
      <c r="I2" s="80"/>
      <c r="J2" s="80"/>
    </row>
    <row r="3" spans="1:11" ht="26.25" customHeight="1" thickBot="1" x14ac:dyDescent="0.3">
      <c r="A3" s="70" t="s">
        <v>31</v>
      </c>
      <c r="B3" s="71"/>
      <c r="C3" s="71"/>
      <c r="D3" s="71"/>
      <c r="E3" s="72"/>
      <c r="F3" s="2" t="s">
        <v>32</v>
      </c>
      <c r="G3" s="2" t="s">
        <v>40</v>
      </c>
      <c r="H3" s="39" t="s">
        <v>36</v>
      </c>
      <c r="I3" s="81" t="s">
        <v>41</v>
      </c>
      <c r="J3" s="81"/>
    </row>
    <row r="4" spans="1:11" ht="60.75" thickBot="1" x14ac:dyDescent="0.3">
      <c r="A4" s="36" t="s">
        <v>0</v>
      </c>
      <c r="B4" s="36" t="s">
        <v>38</v>
      </c>
      <c r="C4" s="37" t="s">
        <v>2</v>
      </c>
      <c r="D4" s="38" t="s">
        <v>3</v>
      </c>
      <c r="E4" s="23" t="s">
        <v>34</v>
      </c>
      <c r="F4" s="10" t="s">
        <v>35</v>
      </c>
      <c r="G4" s="10" t="s">
        <v>35</v>
      </c>
      <c r="H4" s="40" t="s">
        <v>37</v>
      </c>
      <c r="I4" s="43" t="s">
        <v>43</v>
      </c>
      <c r="J4" s="43" t="s">
        <v>42</v>
      </c>
      <c r="K4" s="48" t="s">
        <v>44</v>
      </c>
    </row>
    <row r="5" spans="1:11" ht="28.5" customHeight="1" thickBot="1" x14ac:dyDescent="0.3">
      <c r="A5" s="24">
        <v>1</v>
      </c>
      <c r="B5" s="18" t="s">
        <v>4</v>
      </c>
      <c r="C5" s="18" t="s">
        <v>5</v>
      </c>
      <c r="D5" s="16">
        <v>1</v>
      </c>
      <c r="E5" s="25">
        <f>41496.68*(1+5.1%)</f>
        <v>43613.010679999999</v>
      </c>
      <c r="F5" s="25">
        <v>60000</v>
      </c>
      <c r="G5" s="29">
        <v>64500</v>
      </c>
      <c r="H5" s="41">
        <f>ROUND((AVERAGE(E5,F5,G5)),0)</f>
        <v>56038</v>
      </c>
      <c r="I5" s="44"/>
      <c r="J5" s="44"/>
    </row>
    <row r="6" spans="1:11" ht="29.25" customHeight="1" thickBot="1" x14ac:dyDescent="0.3">
      <c r="A6" s="24">
        <v>2</v>
      </c>
      <c r="B6" s="18" t="s">
        <v>6</v>
      </c>
      <c r="C6" s="18" t="s">
        <v>7</v>
      </c>
      <c r="D6" s="16">
        <v>1</v>
      </c>
      <c r="E6" s="25">
        <f>41496.68*(1+5.1%)</f>
        <v>43613.010679999999</v>
      </c>
      <c r="F6" s="27">
        <v>179690</v>
      </c>
      <c r="G6" s="30">
        <v>193166.75</v>
      </c>
      <c r="H6" s="41">
        <f>ROUND((AVERAGE(F6,G6)),0)</f>
        <v>186428</v>
      </c>
      <c r="I6" s="44"/>
      <c r="J6" s="44"/>
    </row>
    <row r="7" spans="1:11" ht="30.75" customHeight="1" thickBot="1" x14ac:dyDescent="0.3">
      <c r="A7" s="24">
        <v>3</v>
      </c>
      <c r="B7" s="18" t="s">
        <v>8</v>
      </c>
      <c r="C7" s="18" t="s">
        <v>7</v>
      </c>
      <c r="D7" s="16">
        <v>1</v>
      </c>
      <c r="E7" s="25">
        <f>102261.15*(1+5.1%)</f>
        <v>107476.46864999998</v>
      </c>
      <c r="F7" s="27">
        <v>442680</v>
      </c>
      <c r="G7" s="30">
        <v>475881</v>
      </c>
      <c r="H7" s="41">
        <f>ROUND((AVERAGE(F7,G7)),0)</f>
        <v>459281</v>
      </c>
      <c r="I7" s="44"/>
      <c r="J7" s="44"/>
    </row>
    <row r="8" spans="1:11" ht="39.75" customHeight="1" thickBot="1" x14ac:dyDescent="0.3">
      <c r="A8" s="24">
        <v>4</v>
      </c>
      <c r="B8" s="18" t="s">
        <v>9</v>
      </c>
      <c r="C8" s="18" t="s">
        <v>7</v>
      </c>
      <c r="D8" s="16">
        <v>1</v>
      </c>
      <c r="E8" s="25">
        <f>61356.69*(1+5.1%)</f>
        <v>64485.88119</v>
      </c>
      <c r="F8" s="27">
        <v>197540</v>
      </c>
      <c r="G8" s="30">
        <v>212355.5</v>
      </c>
      <c r="H8" s="41">
        <f>ROUND((AVERAGE(F8,G8)),0)</f>
        <v>204948</v>
      </c>
      <c r="I8" s="44"/>
      <c r="J8" s="44"/>
    </row>
    <row r="9" spans="1:11" ht="51" customHeight="1" thickBot="1" x14ac:dyDescent="0.3">
      <c r="A9" s="24">
        <v>5</v>
      </c>
      <c r="B9" s="18" t="s">
        <v>10</v>
      </c>
      <c r="C9" s="18" t="s">
        <v>7</v>
      </c>
      <c r="D9" s="16">
        <v>1</v>
      </c>
      <c r="E9" s="25">
        <f>258801*(1+5.1%)</f>
        <v>271999.85099999997</v>
      </c>
      <c r="F9" s="25">
        <v>152320</v>
      </c>
      <c r="G9" s="31">
        <v>163744</v>
      </c>
      <c r="H9" s="41">
        <f t="shared" ref="H9:H18" si="0">ROUND((AVERAGE(E9,F9,G9)),0)</f>
        <v>196021</v>
      </c>
      <c r="I9" s="44"/>
      <c r="J9" s="44"/>
    </row>
    <row r="10" spans="1:11" ht="38.25" customHeight="1" thickBot="1" x14ac:dyDescent="0.3">
      <c r="A10" s="24">
        <v>6</v>
      </c>
      <c r="B10" s="18" t="s">
        <v>11</v>
      </c>
      <c r="C10" s="18" t="s">
        <v>7</v>
      </c>
      <c r="D10" s="16">
        <v>1</v>
      </c>
      <c r="E10" s="25">
        <f>28288*(1+5.1%)</f>
        <v>29730.687999999998</v>
      </c>
      <c r="F10" s="25">
        <v>83300</v>
      </c>
      <c r="G10" s="31">
        <v>89547.5</v>
      </c>
      <c r="H10" s="41">
        <f t="shared" si="0"/>
        <v>67526</v>
      </c>
      <c r="I10" s="44"/>
      <c r="J10" s="44"/>
    </row>
    <row r="11" spans="1:11" ht="40.5" customHeight="1" thickBot="1" x14ac:dyDescent="0.3">
      <c r="A11" s="24">
        <v>7</v>
      </c>
      <c r="B11" s="18" t="s">
        <v>12</v>
      </c>
      <c r="C11" s="18" t="s">
        <v>13</v>
      </c>
      <c r="D11" s="16">
        <v>1</v>
      </c>
      <c r="E11" s="25">
        <f>792065*(1+5.1%)</f>
        <v>832460.31499999994</v>
      </c>
      <c r="F11" s="25">
        <v>614040</v>
      </c>
      <c r="G11" s="31">
        <v>660093</v>
      </c>
      <c r="H11" s="41">
        <f t="shared" si="0"/>
        <v>702198</v>
      </c>
      <c r="I11" s="44"/>
      <c r="J11" s="44"/>
    </row>
    <row r="12" spans="1:11" ht="45" customHeight="1" thickBot="1" x14ac:dyDescent="0.3">
      <c r="A12" s="24">
        <v>8</v>
      </c>
      <c r="B12" s="18" t="s">
        <v>14</v>
      </c>
      <c r="C12" s="18" t="s">
        <v>13</v>
      </c>
      <c r="D12" s="16">
        <v>1</v>
      </c>
      <c r="E12" s="25">
        <f>530000*(1+5.1%)</f>
        <v>557030</v>
      </c>
      <c r="F12" s="25">
        <v>921060</v>
      </c>
      <c r="G12" s="31">
        <v>990139.5</v>
      </c>
      <c r="H12" s="41">
        <f t="shared" si="0"/>
        <v>822743</v>
      </c>
      <c r="I12" s="44"/>
      <c r="J12" s="44"/>
    </row>
    <row r="13" spans="1:11" ht="27.75" thickBot="1" x14ac:dyDescent="0.3">
      <c r="A13" s="24">
        <v>9</v>
      </c>
      <c r="B13" s="18" t="s">
        <v>15</v>
      </c>
      <c r="C13" s="18" t="s">
        <v>7</v>
      </c>
      <c r="D13" s="16">
        <v>1</v>
      </c>
      <c r="E13" s="25">
        <f>424000*(1+5.1%)</f>
        <v>445624</v>
      </c>
      <c r="F13" s="25">
        <v>309400</v>
      </c>
      <c r="G13" s="31">
        <v>332605</v>
      </c>
      <c r="H13" s="41">
        <f t="shared" si="0"/>
        <v>362543</v>
      </c>
      <c r="I13" s="44"/>
      <c r="J13" s="44"/>
    </row>
    <row r="14" spans="1:11" ht="38.25" customHeight="1" thickBot="1" x14ac:dyDescent="0.3">
      <c r="A14" s="24">
        <v>10</v>
      </c>
      <c r="B14" s="18" t="s">
        <v>33</v>
      </c>
      <c r="C14" s="18" t="s">
        <v>7</v>
      </c>
      <c r="D14" s="16">
        <v>1</v>
      </c>
      <c r="E14" s="25">
        <f>165000*(1+5.1%)</f>
        <v>173415</v>
      </c>
      <c r="F14" s="25">
        <v>190400</v>
      </c>
      <c r="G14" s="29">
        <v>204680</v>
      </c>
      <c r="H14" s="41">
        <f t="shared" si="0"/>
        <v>189498</v>
      </c>
      <c r="I14" s="44"/>
      <c r="J14" s="44"/>
    </row>
    <row r="15" spans="1:11" ht="59.25" customHeight="1" thickBot="1" x14ac:dyDescent="0.3">
      <c r="A15" s="24">
        <v>11</v>
      </c>
      <c r="B15" s="18" t="s">
        <v>16</v>
      </c>
      <c r="C15" s="18" t="s">
        <v>7</v>
      </c>
      <c r="D15" s="16">
        <v>1</v>
      </c>
      <c r="E15" s="25">
        <f>350000*(1+5.1%)</f>
        <v>367850</v>
      </c>
      <c r="F15" s="25">
        <v>297500</v>
      </c>
      <c r="G15" s="31">
        <v>319812.5</v>
      </c>
      <c r="H15" s="41">
        <f t="shared" si="0"/>
        <v>328388</v>
      </c>
      <c r="I15" s="44"/>
      <c r="J15" s="44"/>
    </row>
    <row r="16" spans="1:11" ht="56.25" customHeight="1" thickBot="1" x14ac:dyDescent="0.3">
      <c r="A16" s="24">
        <v>12</v>
      </c>
      <c r="B16" s="18" t="s">
        <v>17</v>
      </c>
      <c r="C16" s="18" t="s">
        <v>7</v>
      </c>
      <c r="D16" s="16">
        <v>1</v>
      </c>
      <c r="E16" s="25">
        <f>180000*(1+5.1%)</f>
        <v>189180</v>
      </c>
      <c r="F16" s="25">
        <v>142800</v>
      </c>
      <c r="G16" s="29">
        <v>153510</v>
      </c>
      <c r="H16" s="41">
        <f t="shared" si="0"/>
        <v>161830</v>
      </c>
      <c r="I16" s="44"/>
      <c r="J16" s="44"/>
    </row>
    <row r="17" spans="1:10" ht="27.75" thickBot="1" x14ac:dyDescent="0.3">
      <c r="A17" s="24">
        <v>13</v>
      </c>
      <c r="B17" s="18" t="s">
        <v>39</v>
      </c>
      <c r="C17" s="18" t="s">
        <v>7</v>
      </c>
      <c r="D17" s="16">
        <v>1</v>
      </c>
      <c r="E17" s="25">
        <f>220000*(1+5.1%)</f>
        <v>231220</v>
      </c>
      <c r="F17" s="25">
        <v>142800</v>
      </c>
      <c r="G17" s="31">
        <v>153510</v>
      </c>
      <c r="H17" s="41">
        <f t="shared" si="0"/>
        <v>175843</v>
      </c>
      <c r="I17" s="44"/>
      <c r="J17" s="44"/>
    </row>
    <row r="18" spans="1:10" ht="18.75" thickBot="1" x14ac:dyDescent="0.3">
      <c r="A18" s="24">
        <v>14</v>
      </c>
      <c r="B18" s="18" t="s">
        <v>18</v>
      </c>
      <c r="C18" s="18" t="s">
        <v>7</v>
      </c>
      <c r="D18" s="16">
        <v>1</v>
      </c>
      <c r="E18" s="25">
        <f>248000*(1+5.1%)</f>
        <v>260647.99999999997</v>
      </c>
      <c r="F18" s="25">
        <v>440300</v>
      </c>
      <c r="G18" s="31">
        <v>473322.5</v>
      </c>
      <c r="H18" s="41">
        <f t="shared" si="0"/>
        <v>391424</v>
      </c>
      <c r="I18" s="44"/>
      <c r="J18" s="44"/>
    </row>
    <row r="19" spans="1:10" ht="15.75" thickBot="1" x14ac:dyDescent="0.3">
      <c r="A19" s="76" t="s">
        <v>28</v>
      </c>
      <c r="B19" s="77"/>
      <c r="C19" s="77"/>
      <c r="D19" s="77"/>
      <c r="E19" s="77"/>
      <c r="G19" s="1">
        <f>SUM(G5:G18)</f>
        <v>4486867.25</v>
      </c>
      <c r="H19" s="1">
        <f>SUM(H5:H18)</f>
        <v>4304709</v>
      </c>
      <c r="I19" s="44"/>
      <c r="J19" s="44"/>
    </row>
    <row r="20" spans="1:10" ht="30.75" customHeight="1" thickBot="1" x14ac:dyDescent="0.3">
      <c r="A20" s="73" t="s">
        <v>30</v>
      </c>
      <c r="B20" s="74"/>
      <c r="C20" s="74"/>
      <c r="D20" s="74"/>
      <c r="E20" s="74"/>
      <c r="F20" s="21" t="s">
        <v>32</v>
      </c>
      <c r="G20" s="2" t="s">
        <v>40</v>
      </c>
      <c r="H20" s="42" t="s">
        <v>36</v>
      </c>
      <c r="I20" s="44"/>
      <c r="J20" s="44"/>
    </row>
    <row r="21" spans="1:10" ht="54.75" thickBot="1" x14ac:dyDescent="0.3">
      <c r="A21" s="11" t="s">
        <v>0</v>
      </c>
      <c r="B21" s="12" t="s">
        <v>1</v>
      </c>
      <c r="C21" s="13" t="s">
        <v>2</v>
      </c>
      <c r="D21" s="14" t="s">
        <v>3</v>
      </c>
      <c r="E21" s="3" t="s">
        <v>34</v>
      </c>
      <c r="F21" s="22" t="s">
        <v>35</v>
      </c>
      <c r="G21" s="10" t="s">
        <v>35</v>
      </c>
      <c r="H21" s="3" t="s">
        <v>37</v>
      </c>
      <c r="I21" s="44"/>
      <c r="J21" s="44"/>
    </row>
    <row r="22" spans="1:10" ht="15.75" thickBot="1" x14ac:dyDescent="0.3">
      <c r="A22" s="6">
        <v>1</v>
      </c>
      <c r="B22" s="7" t="s">
        <v>4</v>
      </c>
      <c r="C22" s="7" t="s">
        <v>5</v>
      </c>
      <c r="D22" s="8">
        <v>1</v>
      </c>
      <c r="E22" s="9">
        <f>59400*(1+5.1%)</f>
        <v>62429.399999999994</v>
      </c>
      <c r="F22" s="9">
        <v>60000</v>
      </c>
      <c r="G22" s="32">
        <v>64500</v>
      </c>
      <c r="H22" s="41">
        <f>ROUND((AVERAGE(E22,F22,G22)),0)</f>
        <v>62310</v>
      </c>
      <c r="I22" s="44"/>
      <c r="J22" s="44"/>
    </row>
    <row r="23" spans="1:10" ht="15.75" thickBot="1" x14ac:dyDescent="0.3">
      <c r="A23" s="6">
        <v>2</v>
      </c>
      <c r="B23" s="7" t="s">
        <v>6</v>
      </c>
      <c r="C23" s="7" t="s">
        <v>7</v>
      </c>
      <c r="D23" s="8">
        <v>1</v>
      </c>
      <c r="E23" s="9">
        <f>59400*(1+5.1%)</f>
        <v>62429.399999999994</v>
      </c>
      <c r="F23" s="28">
        <v>179690</v>
      </c>
      <c r="G23" s="33">
        <v>193166.75</v>
      </c>
      <c r="H23" s="41">
        <f>ROUND((AVERAGE(F23,G23)),0)</f>
        <v>186428</v>
      </c>
      <c r="I23" s="45"/>
      <c r="J23" s="44"/>
    </row>
    <row r="24" spans="1:10" ht="15.75" thickBot="1" x14ac:dyDescent="0.3">
      <c r="A24" s="6">
        <v>3</v>
      </c>
      <c r="B24" s="7" t="s">
        <v>8</v>
      </c>
      <c r="C24" s="7" t="s">
        <v>7</v>
      </c>
      <c r="D24" s="8">
        <v>1</v>
      </c>
      <c r="E24" s="9">
        <f>59400*(1+5.1%)</f>
        <v>62429.399999999994</v>
      </c>
      <c r="F24" s="28">
        <v>442680</v>
      </c>
      <c r="G24" s="33">
        <v>475881</v>
      </c>
      <c r="H24" s="41">
        <f>ROUND((AVERAGE(F24,G24)),0)</f>
        <v>459281</v>
      </c>
      <c r="I24" s="44"/>
      <c r="J24" s="44"/>
    </row>
    <row r="25" spans="1:10" ht="18.75" thickBot="1" x14ac:dyDescent="0.3">
      <c r="A25" s="6">
        <v>4</v>
      </c>
      <c r="B25" s="7" t="s">
        <v>9</v>
      </c>
      <c r="C25" s="7" t="s">
        <v>7</v>
      </c>
      <c r="D25" s="8">
        <v>1</v>
      </c>
      <c r="E25" s="9">
        <f>26700*(1+5.1%)</f>
        <v>28061.699999999997</v>
      </c>
      <c r="F25" s="28">
        <v>197540</v>
      </c>
      <c r="G25" s="33">
        <v>212355.5</v>
      </c>
      <c r="H25" s="41">
        <f>ROUND((AVERAGE(F25,G25)),0)</f>
        <v>204948</v>
      </c>
      <c r="I25" s="44"/>
      <c r="J25" s="44"/>
    </row>
    <row r="26" spans="1:10" ht="18.75" thickBot="1" x14ac:dyDescent="0.3">
      <c r="A26" s="6">
        <v>5</v>
      </c>
      <c r="B26" s="7" t="s">
        <v>10</v>
      </c>
      <c r="C26" s="7" t="s">
        <v>7</v>
      </c>
      <c r="D26" s="8">
        <v>1</v>
      </c>
      <c r="E26" s="9">
        <f>242300*(1+5.1%)</f>
        <v>254657.3</v>
      </c>
      <c r="F26" s="28">
        <v>152320</v>
      </c>
      <c r="G26" s="33">
        <v>163744</v>
      </c>
      <c r="H26" s="41">
        <f>ROUND((AVERAGE(E26,F26,G26)),0)</f>
        <v>190240</v>
      </c>
      <c r="I26" s="44"/>
      <c r="J26" s="44"/>
    </row>
    <row r="27" spans="1:10" ht="15.75" thickBot="1" x14ac:dyDescent="0.3">
      <c r="A27" s="6">
        <v>6</v>
      </c>
      <c r="B27" s="7" t="s">
        <v>11</v>
      </c>
      <c r="C27" s="7" t="s">
        <v>7</v>
      </c>
      <c r="D27" s="8">
        <v>1</v>
      </c>
      <c r="E27" s="9">
        <f>53500*(1+5.1%)</f>
        <v>56228.5</v>
      </c>
      <c r="F27" s="28">
        <v>83300</v>
      </c>
      <c r="G27" s="33">
        <v>89547.5</v>
      </c>
      <c r="H27" s="41">
        <f>ROUND((AVERAGE(E27,F27,G27)),0)</f>
        <v>76359</v>
      </c>
      <c r="I27" s="44"/>
      <c r="J27" s="44"/>
    </row>
    <row r="28" spans="1:10" ht="18.75" thickBot="1" x14ac:dyDescent="0.3">
      <c r="A28" s="6">
        <v>7</v>
      </c>
      <c r="B28" s="7" t="s">
        <v>19</v>
      </c>
      <c r="C28" s="7" t="s">
        <v>13</v>
      </c>
      <c r="D28" s="8">
        <v>1</v>
      </c>
      <c r="E28" s="9">
        <f>152500*(1+5.1%)</f>
        <v>160277.5</v>
      </c>
      <c r="F28" s="28">
        <v>535500</v>
      </c>
      <c r="G28" s="33">
        <v>575662.5</v>
      </c>
      <c r="H28" s="41">
        <f>ROUND((AVERAGE(F28,G28)),0)</f>
        <v>555581</v>
      </c>
      <c r="I28" s="44"/>
      <c r="J28" s="44"/>
    </row>
    <row r="29" spans="1:10" ht="18.75" thickBot="1" x14ac:dyDescent="0.3">
      <c r="A29" s="6">
        <v>8</v>
      </c>
      <c r="B29" s="7" t="s">
        <v>14</v>
      </c>
      <c r="C29" s="7" t="s">
        <v>13</v>
      </c>
      <c r="D29" s="8">
        <v>1</v>
      </c>
      <c r="E29" s="9">
        <f>152500*(1+5.1%)</f>
        <v>160277.5</v>
      </c>
      <c r="F29" s="28">
        <v>618800</v>
      </c>
      <c r="G29" s="33">
        <v>665210</v>
      </c>
      <c r="H29" s="41">
        <f>ROUND((AVERAGE(F29,G29)),0)</f>
        <v>642005</v>
      </c>
      <c r="I29" s="44"/>
      <c r="J29" s="44"/>
    </row>
    <row r="30" spans="1:10" ht="18.75" thickBot="1" x14ac:dyDescent="0.3">
      <c r="A30" s="6">
        <v>9</v>
      </c>
      <c r="B30" s="7" t="s">
        <v>20</v>
      </c>
      <c r="C30" s="7" t="s">
        <v>7</v>
      </c>
      <c r="D30" s="8">
        <v>1</v>
      </c>
      <c r="E30" s="9">
        <f>433000*(1+5.1%)</f>
        <v>455083</v>
      </c>
      <c r="F30" s="28">
        <v>309400</v>
      </c>
      <c r="G30" s="34">
        <v>332605</v>
      </c>
      <c r="H30" s="41">
        <f t="shared" ref="H30:H36" si="1">ROUND((AVERAGE(E30,F30,G30)),0)</f>
        <v>365696</v>
      </c>
      <c r="I30" s="44"/>
      <c r="J30" s="44"/>
    </row>
    <row r="31" spans="1:10" ht="27.75" thickBot="1" x14ac:dyDescent="0.3">
      <c r="A31" s="6">
        <v>10</v>
      </c>
      <c r="B31" s="7" t="s">
        <v>33</v>
      </c>
      <c r="C31" s="7" t="s">
        <v>7</v>
      </c>
      <c r="D31" s="8">
        <v>1</v>
      </c>
      <c r="E31" s="9">
        <f>280000*(1+5.1%)</f>
        <v>294280</v>
      </c>
      <c r="F31" s="28">
        <v>190400</v>
      </c>
      <c r="G31" s="33">
        <v>204680</v>
      </c>
      <c r="H31" s="41">
        <f t="shared" si="1"/>
        <v>229787</v>
      </c>
      <c r="I31" s="44"/>
      <c r="J31" s="44"/>
    </row>
    <row r="32" spans="1:10" ht="15.75" thickBot="1" x14ac:dyDescent="0.3">
      <c r="A32" s="6">
        <v>11</v>
      </c>
      <c r="B32" s="7" t="s">
        <v>21</v>
      </c>
      <c r="C32" s="7" t="s">
        <v>7</v>
      </c>
      <c r="D32" s="8">
        <v>1</v>
      </c>
      <c r="E32" s="9">
        <f>114000*(1+5.1%)</f>
        <v>119813.99999999999</v>
      </c>
      <c r="F32" s="28">
        <v>83300</v>
      </c>
      <c r="G32" s="33">
        <v>89547.5</v>
      </c>
      <c r="H32" s="41">
        <f t="shared" si="1"/>
        <v>97554</v>
      </c>
      <c r="I32" s="44"/>
      <c r="J32" s="44"/>
    </row>
    <row r="33" spans="1:10" ht="15.75" thickBot="1" x14ac:dyDescent="0.3">
      <c r="A33" s="6">
        <v>12</v>
      </c>
      <c r="B33" s="7" t="s">
        <v>22</v>
      </c>
      <c r="C33" s="7" t="s">
        <v>7</v>
      </c>
      <c r="D33" s="8">
        <v>1</v>
      </c>
      <c r="E33" s="9">
        <f>249900*(1+5.1%)</f>
        <v>262644.89999999997</v>
      </c>
      <c r="F33" s="28">
        <v>249900</v>
      </c>
      <c r="G33" s="33">
        <v>268642.5</v>
      </c>
      <c r="H33" s="41">
        <f t="shared" si="1"/>
        <v>260396</v>
      </c>
      <c r="I33" s="44"/>
      <c r="J33" s="44"/>
    </row>
    <row r="34" spans="1:10" ht="18.75" thickBot="1" x14ac:dyDescent="0.3">
      <c r="A34" s="6">
        <v>13</v>
      </c>
      <c r="B34" s="7" t="s">
        <v>23</v>
      </c>
      <c r="C34" s="7" t="s">
        <v>7</v>
      </c>
      <c r="D34" s="8">
        <v>1</v>
      </c>
      <c r="E34" s="9">
        <f>142800*(1+5.1%)</f>
        <v>150082.79999999999</v>
      </c>
      <c r="F34" s="9">
        <v>142800</v>
      </c>
      <c r="G34" s="32">
        <v>153510</v>
      </c>
      <c r="H34" s="41">
        <f t="shared" si="1"/>
        <v>148798</v>
      </c>
      <c r="I34" s="44"/>
      <c r="J34" s="44"/>
    </row>
    <row r="35" spans="1:10" ht="18.75" thickBot="1" x14ac:dyDescent="0.3">
      <c r="A35" s="6">
        <v>14</v>
      </c>
      <c r="B35" s="7" t="s">
        <v>24</v>
      </c>
      <c r="C35" s="7" t="s">
        <v>7</v>
      </c>
      <c r="D35" s="8">
        <v>1</v>
      </c>
      <c r="E35" s="9">
        <f>900000*(1+5.1%)</f>
        <v>945899.99999999988</v>
      </c>
      <c r="F35" s="9">
        <v>1130500</v>
      </c>
      <c r="G35" s="32">
        <v>1215287.5</v>
      </c>
      <c r="H35" s="41">
        <f t="shared" si="1"/>
        <v>1097229</v>
      </c>
      <c r="I35" s="44"/>
      <c r="J35" s="44"/>
    </row>
    <row r="36" spans="1:10" ht="18.75" thickBot="1" x14ac:dyDescent="0.3">
      <c r="A36" s="6">
        <v>15</v>
      </c>
      <c r="B36" s="7" t="s">
        <v>18</v>
      </c>
      <c r="C36" s="7" t="s">
        <v>7</v>
      </c>
      <c r="D36" s="8">
        <v>1</v>
      </c>
      <c r="E36" s="9">
        <f>335000*(1+5.1%)</f>
        <v>352085</v>
      </c>
      <c r="F36" s="9">
        <v>440300</v>
      </c>
      <c r="G36" s="32">
        <v>473322.5</v>
      </c>
      <c r="H36" s="41">
        <f t="shared" si="1"/>
        <v>421903</v>
      </c>
      <c r="I36" s="44"/>
      <c r="J36" s="44"/>
    </row>
    <row r="37" spans="1:10" ht="15.75" thickBot="1" x14ac:dyDescent="0.3">
      <c r="A37" s="78"/>
      <c r="B37" s="78"/>
      <c r="C37" s="78"/>
      <c r="D37" s="78"/>
      <c r="E37" s="78"/>
      <c r="I37" s="46"/>
      <c r="J37" s="46"/>
    </row>
    <row r="38" spans="1:10" ht="29.25" customHeight="1" thickBot="1" x14ac:dyDescent="0.3">
      <c r="A38" s="73" t="s">
        <v>29</v>
      </c>
      <c r="B38" s="74"/>
      <c r="C38" s="74"/>
      <c r="D38" s="74"/>
      <c r="E38" s="75"/>
      <c r="F38" s="2" t="s">
        <v>32</v>
      </c>
      <c r="G38" s="2" t="s">
        <v>40</v>
      </c>
      <c r="H38" s="39" t="s">
        <v>36</v>
      </c>
      <c r="I38" s="44"/>
      <c r="J38" s="44"/>
    </row>
    <row r="39" spans="1:10" ht="54.75" thickBot="1" x14ac:dyDescent="0.3">
      <c r="A39" s="15" t="s">
        <v>0</v>
      </c>
      <c r="B39" s="17" t="s">
        <v>1</v>
      </c>
      <c r="C39" s="15" t="s">
        <v>2</v>
      </c>
      <c r="D39" s="5" t="s">
        <v>3</v>
      </c>
      <c r="E39" s="5" t="s">
        <v>34</v>
      </c>
      <c r="F39" s="4" t="s">
        <v>35</v>
      </c>
      <c r="G39" s="10" t="s">
        <v>35</v>
      </c>
      <c r="H39" s="39" t="s">
        <v>37</v>
      </c>
      <c r="I39" s="44"/>
      <c r="J39" s="44"/>
    </row>
    <row r="40" spans="1:10" ht="15.75" thickBot="1" x14ac:dyDescent="0.3">
      <c r="A40" s="16">
        <v>1</v>
      </c>
      <c r="B40" s="18" t="s">
        <v>4</v>
      </c>
      <c r="C40" s="18" t="s">
        <v>5</v>
      </c>
      <c r="D40" s="16">
        <v>1</v>
      </c>
      <c r="E40" s="20">
        <f>66900*(1+5.1%)</f>
        <v>70311.899999999994</v>
      </c>
      <c r="F40" s="19">
        <v>60000</v>
      </c>
      <c r="G40" s="32">
        <v>64500</v>
      </c>
      <c r="H40" s="41">
        <f>ROUND((AVERAGE(E40,F40,G40)),0)</f>
        <v>64937</v>
      </c>
      <c r="I40" s="47"/>
      <c r="J40" s="47"/>
    </row>
    <row r="41" spans="1:10" ht="15.75" thickBot="1" x14ac:dyDescent="0.3">
      <c r="A41" s="16">
        <v>2</v>
      </c>
      <c r="B41" s="18" t="s">
        <v>6</v>
      </c>
      <c r="C41" s="18" t="s">
        <v>7</v>
      </c>
      <c r="D41" s="16">
        <v>1</v>
      </c>
      <c r="E41" s="20">
        <f>66900*(1+5.1%)</f>
        <v>70311.899999999994</v>
      </c>
      <c r="F41" s="26">
        <v>179690</v>
      </c>
      <c r="G41" s="33">
        <v>193166.75</v>
      </c>
      <c r="H41" s="41">
        <f>ROUND((AVERAGE(F41,G41)),0)</f>
        <v>186428</v>
      </c>
      <c r="I41" s="44"/>
      <c r="J41" s="44"/>
    </row>
    <row r="42" spans="1:10" ht="15.75" thickBot="1" x14ac:dyDescent="0.3">
      <c r="A42" s="16">
        <v>3</v>
      </c>
      <c r="B42" s="18" t="s">
        <v>8</v>
      </c>
      <c r="C42" s="18" t="s">
        <v>7</v>
      </c>
      <c r="D42" s="16">
        <v>1</v>
      </c>
      <c r="E42" s="20">
        <f>66900*(1+5.1%)</f>
        <v>70311.899999999994</v>
      </c>
      <c r="F42" s="26">
        <v>442680</v>
      </c>
      <c r="G42" s="33">
        <v>475881</v>
      </c>
      <c r="H42" s="41">
        <f>ROUND((AVERAGE(F42,G42)),0)</f>
        <v>459281</v>
      </c>
      <c r="I42" s="44"/>
      <c r="J42" s="44"/>
    </row>
    <row r="43" spans="1:10" ht="18.75" thickBot="1" x14ac:dyDescent="0.3">
      <c r="A43" s="16">
        <v>4</v>
      </c>
      <c r="B43" s="18" t="s">
        <v>9</v>
      </c>
      <c r="C43" s="18" t="s">
        <v>7</v>
      </c>
      <c r="D43" s="16">
        <v>1</v>
      </c>
      <c r="E43" s="20">
        <f>66900*(1+5.1%)</f>
        <v>70311.899999999994</v>
      </c>
      <c r="F43" s="26">
        <v>197540</v>
      </c>
      <c r="G43" s="33">
        <v>212355.5</v>
      </c>
      <c r="H43" s="41">
        <f>ROUND((AVERAGE(E43,F43,G43)),0)</f>
        <v>160069</v>
      </c>
      <c r="I43" s="44"/>
      <c r="J43" s="44"/>
    </row>
    <row r="44" spans="1:10" ht="18.75" thickBot="1" x14ac:dyDescent="0.3">
      <c r="A44" s="16">
        <v>5</v>
      </c>
      <c r="B44" s="18" t="s">
        <v>10</v>
      </c>
      <c r="C44" s="18" t="s">
        <v>7</v>
      </c>
      <c r="D44" s="16">
        <v>1</v>
      </c>
      <c r="E44" s="20">
        <f>451500*(1+5.1%)</f>
        <v>474526.49999999994</v>
      </c>
      <c r="F44" s="26">
        <v>152320</v>
      </c>
      <c r="G44" s="33">
        <v>163744</v>
      </c>
      <c r="H44" s="41">
        <f>ROUND((AVERAGE(F44,G44)),0)</f>
        <v>158032</v>
      </c>
      <c r="I44" s="44"/>
      <c r="J44" s="44"/>
    </row>
    <row r="45" spans="1:10" ht="15.75" thickBot="1" x14ac:dyDescent="0.3">
      <c r="A45" s="16">
        <v>6</v>
      </c>
      <c r="B45" s="18" t="s">
        <v>11</v>
      </c>
      <c r="C45" s="18" t="s">
        <v>7</v>
      </c>
      <c r="D45" s="16">
        <v>1</v>
      </c>
      <c r="E45" s="20">
        <f>137800*(1+5.1%)</f>
        <v>144827.79999999999</v>
      </c>
      <c r="F45" s="26">
        <v>83300</v>
      </c>
      <c r="G45" s="33">
        <v>89547.5</v>
      </c>
      <c r="H45" s="41">
        <f>ROUND((AVERAGE(E45,F45,G45)),0)</f>
        <v>105892</v>
      </c>
      <c r="I45" s="44"/>
      <c r="J45" s="44"/>
    </row>
    <row r="46" spans="1:10" ht="15.75" thickBot="1" x14ac:dyDescent="0.3">
      <c r="A46" s="16">
        <v>7</v>
      </c>
      <c r="B46" s="18" t="s">
        <v>12</v>
      </c>
      <c r="C46" s="18" t="s">
        <v>13</v>
      </c>
      <c r="D46" s="16">
        <v>1</v>
      </c>
      <c r="E46" s="20">
        <f>614040*(1+5.1%)</f>
        <v>645356.03999999992</v>
      </c>
      <c r="F46" s="26">
        <v>614040</v>
      </c>
      <c r="G46" s="33">
        <v>660093</v>
      </c>
      <c r="H46" s="41">
        <f>ROUND((AVERAGE(E46,F46,G46)),0)</f>
        <v>639830</v>
      </c>
      <c r="I46" s="44"/>
      <c r="J46" s="44"/>
    </row>
    <row r="47" spans="1:10" ht="18.75" thickBot="1" x14ac:dyDescent="0.3">
      <c r="A47" s="16">
        <v>8</v>
      </c>
      <c r="B47" s="18" t="s">
        <v>14</v>
      </c>
      <c r="C47" s="18" t="s">
        <v>13</v>
      </c>
      <c r="D47" s="16">
        <v>1</v>
      </c>
      <c r="E47" s="20">
        <f>275700*(1+5.1%)</f>
        <v>289760.69999999995</v>
      </c>
      <c r="F47" s="26">
        <v>921060</v>
      </c>
      <c r="G47" s="34">
        <v>990139.5</v>
      </c>
      <c r="H47" s="41">
        <f>ROUND((AVERAGE(F47,G47)),0)</f>
        <v>955600</v>
      </c>
      <c r="I47" s="44"/>
      <c r="J47" s="44"/>
    </row>
    <row r="48" spans="1:10" ht="27.75" thickBot="1" x14ac:dyDescent="0.3">
      <c r="A48" s="16">
        <v>9</v>
      </c>
      <c r="B48" s="18" t="s">
        <v>15</v>
      </c>
      <c r="C48" s="18" t="s">
        <v>7</v>
      </c>
      <c r="D48" s="16">
        <v>1</v>
      </c>
      <c r="E48" s="20">
        <f>850000*(1+5.1%)</f>
        <v>893350</v>
      </c>
      <c r="F48" s="26">
        <v>309400</v>
      </c>
      <c r="G48" s="33">
        <v>332605</v>
      </c>
      <c r="H48" s="41">
        <f>ROUND((AVERAGE(F48,G48)),0)</f>
        <v>321003</v>
      </c>
      <c r="I48" s="44"/>
      <c r="J48" s="44"/>
    </row>
    <row r="49" spans="1:10" ht="27.75" thickBot="1" x14ac:dyDescent="0.3">
      <c r="A49" s="16">
        <v>10</v>
      </c>
      <c r="B49" s="18" t="s">
        <v>33</v>
      </c>
      <c r="C49" s="18" t="s">
        <v>7</v>
      </c>
      <c r="D49" s="16">
        <v>1</v>
      </c>
      <c r="E49" s="20">
        <f>380000*(1+5.1%)</f>
        <v>399380</v>
      </c>
      <c r="F49" s="19">
        <v>190400</v>
      </c>
      <c r="G49" s="35">
        <v>204680</v>
      </c>
      <c r="H49" s="41">
        <f>ROUND((AVERAGE(F49,G49)),0)</f>
        <v>197540</v>
      </c>
      <c r="I49" s="44"/>
      <c r="J49" s="44"/>
    </row>
    <row r="50" spans="1:10" ht="18.75" thickBot="1" x14ac:dyDescent="0.3">
      <c r="A50" s="16">
        <v>11</v>
      </c>
      <c r="B50" s="18" t="s">
        <v>25</v>
      </c>
      <c r="C50" s="18" t="s">
        <v>7</v>
      </c>
      <c r="D50" s="16">
        <v>1</v>
      </c>
      <c r="E50" s="20">
        <f>600000*(1+5.1%)</f>
        <v>630600</v>
      </c>
      <c r="F50" s="19">
        <v>452200</v>
      </c>
      <c r="G50" s="32">
        <v>486115</v>
      </c>
      <c r="H50" s="41">
        <f>ROUND((AVERAGE(E50,F50,G50)),0)</f>
        <v>522972</v>
      </c>
      <c r="I50" s="44"/>
      <c r="J50" s="44"/>
    </row>
    <row r="51" spans="1:10" ht="18.75" thickBot="1" x14ac:dyDescent="0.3">
      <c r="A51" s="16">
        <v>12</v>
      </c>
      <c r="B51" s="18" t="s">
        <v>26</v>
      </c>
      <c r="C51" s="18" t="s">
        <v>7</v>
      </c>
      <c r="D51" s="16">
        <v>1</v>
      </c>
      <c r="E51" s="20">
        <f>773500*(1+5.1%)</f>
        <v>812948.5</v>
      </c>
      <c r="F51" s="26">
        <v>773500</v>
      </c>
      <c r="G51" s="34">
        <v>831512.5</v>
      </c>
      <c r="H51" s="41">
        <f>ROUND((AVERAGE(E51,F51,G51)),0)</f>
        <v>805987</v>
      </c>
      <c r="I51" s="44"/>
      <c r="J51" s="44"/>
    </row>
    <row r="52" spans="1:10" ht="18.75" thickBot="1" x14ac:dyDescent="0.3">
      <c r="A52" s="16">
        <v>13</v>
      </c>
      <c r="B52" s="18" t="s">
        <v>27</v>
      </c>
      <c r="C52" s="18" t="s">
        <v>7</v>
      </c>
      <c r="D52" s="16">
        <v>1</v>
      </c>
      <c r="E52" s="20">
        <f>380800*(1+5.1%)</f>
        <v>400220.8</v>
      </c>
      <c r="F52" s="26">
        <v>380800</v>
      </c>
      <c r="G52" s="33">
        <v>409360</v>
      </c>
      <c r="H52" s="41">
        <f>ROUND((AVERAGE(E52,F52,G52)),0)</f>
        <v>396794</v>
      </c>
      <c r="I52" s="44"/>
      <c r="J52" s="44"/>
    </row>
    <row r="53" spans="1:10" ht="18.75" thickBot="1" x14ac:dyDescent="0.3">
      <c r="A53" s="16">
        <v>14</v>
      </c>
      <c r="B53" s="18" t="s">
        <v>18</v>
      </c>
      <c r="C53" s="18" t="s">
        <v>7</v>
      </c>
      <c r="D53" s="16">
        <v>1</v>
      </c>
      <c r="E53" s="20">
        <f>305700*(1+5.1%)</f>
        <v>321290.69999999995</v>
      </c>
      <c r="F53" s="26">
        <v>440300</v>
      </c>
      <c r="G53" s="33">
        <v>473322.5</v>
      </c>
      <c r="H53" s="41">
        <f>ROUND((AVERAGE(E53,F53,G53)),0)</f>
        <v>411638</v>
      </c>
      <c r="I53" s="44"/>
      <c r="J53" s="44"/>
    </row>
  </sheetData>
  <mergeCells count="7">
    <mergeCell ref="A1:J2"/>
    <mergeCell ref="I3:J3"/>
    <mergeCell ref="A3:E3"/>
    <mergeCell ref="A20:E20"/>
    <mergeCell ref="A38:E38"/>
    <mergeCell ref="A19:E19"/>
    <mergeCell ref="A37:E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7" zoomScale="142" zoomScaleNormal="142" workbookViewId="0">
      <selection activeCell="F4" sqref="F4"/>
    </sheetView>
  </sheetViews>
  <sheetFormatPr baseColWidth="10" defaultRowHeight="15" x14ac:dyDescent="0.25"/>
  <cols>
    <col min="1" max="1" width="15.5703125" customWidth="1"/>
    <col min="2" max="2" width="26.28515625" customWidth="1"/>
    <col min="3" max="3" width="18" customWidth="1"/>
    <col min="4" max="4" width="17.42578125" customWidth="1"/>
    <col min="5" max="5" width="24.28515625" bestFit="1" customWidth="1"/>
    <col min="6" max="6" width="30.5703125" bestFit="1" customWidth="1"/>
  </cols>
  <sheetData>
    <row r="1" spans="1:6" x14ac:dyDescent="0.25">
      <c r="A1" s="83" t="s">
        <v>31</v>
      </c>
      <c r="B1" s="83"/>
      <c r="C1" s="83"/>
      <c r="D1" s="83"/>
      <c r="E1" s="83" t="s">
        <v>41</v>
      </c>
      <c r="F1" s="83"/>
    </row>
    <row r="2" spans="1:6" ht="30.75" thickBot="1" x14ac:dyDescent="0.3">
      <c r="A2" s="66" t="s">
        <v>0</v>
      </c>
      <c r="B2" s="66" t="s">
        <v>38</v>
      </c>
      <c r="C2" s="67" t="s">
        <v>2</v>
      </c>
      <c r="D2" s="68" t="s">
        <v>3</v>
      </c>
      <c r="E2" s="69" t="s">
        <v>36</v>
      </c>
      <c r="F2" s="69" t="s">
        <v>42</v>
      </c>
    </row>
    <row r="3" spans="1:6" ht="15.75" thickBot="1" x14ac:dyDescent="0.3">
      <c r="A3" s="24">
        <v>1</v>
      </c>
      <c r="B3" s="18" t="s">
        <v>4</v>
      </c>
      <c r="C3" s="18" t="s">
        <v>5</v>
      </c>
      <c r="D3" s="49">
        <v>1</v>
      </c>
      <c r="E3" s="45">
        <f>'ESTUDIO DE MERCADO'!H5</f>
        <v>56038</v>
      </c>
      <c r="F3" s="45"/>
    </row>
    <row r="4" spans="1:6" ht="15.75" thickBot="1" x14ac:dyDescent="0.3">
      <c r="A4" s="24">
        <v>2</v>
      </c>
      <c r="B4" s="18" t="s">
        <v>6</v>
      </c>
      <c r="C4" s="18" t="s">
        <v>7</v>
      </c>
      <c r="D4" s="49">
        <v>1</v>
      </c>
      <c r="E4" s="45">
        <f>'ESTUDIO DE MERCADO'!H6</f>
        <v>186428</v>
      </c>
      <c r="F4" s="45"/>
    </row>
    <row r="5" spans="1:6" ht="15.75" thickBot="1" x14ac:dyDescent="0.3">
      <c r="A5" s="24">
        <v>3</v>
      </c>
      <c r="B5" s="18" t="s">
        <v>8</v>
      </c>
      <c r="C5" s="18" t="s">
        <v>7</v>
      </c>
      <c r="D5" s="49">
        <v>1</v>
      </c>
      <c r="E5" s="45">
        <f>'ESTUDIO DE MERCADO'!H7</f>
        <v>459281</v>
      </c>
      <c r="F5" s="45"/>
    </row>
    <row r="6" spans="1:6" ht="18.75" thickBot="1" x14ac:dyDescent="0.3">
      <c r="A6" s="24">
        <v>4</v>
      </c>
      <c r="B6" s="18" t="s">
        <v>9</v>
      </c>
      <c r="C6" s="18" t="s">
        <v>7</v>
      </c>
      <c r="D6" s="49">
        <v>1</v>
      </c>
      <c r="E6" s="45">
        <f>'ESTUDIO DE MERCADO'!H8</f>
        <v>204948</v>
      </c>
      <c r="F6" s="45"/>
    </row>
    <row r="7" spans="1:6" ht="18.75" thickBot="1" x14ac:dyDescent="0.3">
      <c r="A7" s="24">
        <v>5</v>
      </c>
      <c r="B7" s="18" t="s">
        <v>10</v>
      </c>
      <c r="C7" s="18" t="s">
        <v>7</v>
      </c>
      <c r="D7" s="49">
        <v>1</v>
      </c>
      <c r="E7" s="45">
        <f>'ESTUDIO DE MERCADO'!H9</f>
        <v>196021</v>
      </c>
      <c r="F7" s="45"/>
    </row>
    <row r="8" spans="1:6" ht="15.75" thickBot="1" x14ac:dyDescent="0.3">
      <c r="A8" s="24">
        <v>6</v>
      </c>
      <c r="B8" s="18" t="s">
        <v>11</v>
      </c>
      <c r="C8" s="18" t="s">
        <v>7</v>
      </c>
      <c r="D8" s="49">
        <v>1</v>
      </c>
      <c r="E8" s="45">
        <f>'ESTUDIO DE MERCADO'!H10</f>
        <v>67526</v>
      </c>
      <c r="F8" s="45"/>
    </row>
    <row r="9" spans="1:6" ht="15.75" thickBot="1" x14ac:dyDescent="0.3">
      <c r="A9" s="24">
        <v>7</v>
      </c>
      <c r="B9" s="18" t="s">
        <v>12</v>
      </c>
      <c r="C9" s="18" t="s">
        <v>13</v>
      </c>
      <c r="D9" s="49">
        <v>1</v>
      </c>
      <c r="E9" s="45">
        <f>'ESTUDIO DE MERCADO'!H11</f>
        <v>702198</v>
      </c>
      <c r="F9" s="45"/>
    </row>
    <row r="10" spans="1:6" ht="18.75" thickBot="1" x14ac:dyDescent="0.3">
      <c r="A10" s="24">
        <v>8</v>
      </c>
      <c r="B10" s="18" t="s">
        <v>14</v>
      </c>
      <c r="C10" s="18" t="s">
        <v>13</v>
      </c>
      <c r="D10" s="49">
        <v>1</v>
      </c>
      <c r="E10" s="45">
        <f>'ESTUDIO DE MERCADO'!H12</f>
        <v>822743</v>
      </c>
      <c r="F10" s="45"/>
    </row>
    <row r="11" spans="1:6" ht="18.75" thickBot="1" x14ac:dyDescent="0.3">
      <c r="A11" s="24">
        <v>9</v>
      </c>
      <c r="B11" s="18" t="s">
        <v>15</v>
      </c>
      <c r="C11" s="18" t="s">
        <v>7</v>
      </c>
      <c r="D11" s="49">
        <v>1</v>
      </c>
      <c r="E11" s="45">
        <f>'ESTUDIO DE MERCADO'!H13</f>
        <v>362543</v>
      </c>
      <c r="F11" s="45"/>
    </row>
    <row r="12" spans="1:6" ht="27.75" thickBot="1" x14ac:dyDescent="0.3">
      <c r="A12" s="24">
        <v>10</v>
      </c>
      <c r="B12" s="18" t="s">
        <v>33</v>
      </c>
      <c r="C12" s="18" t="s">
        <v>7</v>
      </c>
      <c r="D12" s="49">
        <v>1</v>
      </c>
      <c r="E12" s="45">
        <f>'ESTUDIO DE MERCADO'!H14</f>
        <v>189498</v>
      </c>
      <c r="F12" s="45"/>
    </row>
    <row r="13" spans="1:6" ht="18.75" thickBot="1" x14ac:dyDescent="0.3">
      <c r="A13" s="24">
        <v>11</v>
      </c>
      <c r="B13" s="18" t="s">
        <v>16</v>
      </c>
      <c r="C13" s="18" t="s">
        <v>7</v>
      </c>
      <c r="D13" s="49">
        <v>1</v>
      </c>
      <c r="E13" s="45">
        <f>'ESTUDIO DE MERCADO'!H15</f>
        <v>328388</v>
      </c>
      <c r="F13" s="45"/>
    </row>
    <row r="14" spans="1:6" ht="18.75" thickBot="1" x14ac:dyDescent="0.3">
      <c r="A14" s="24">
        <v>12</v>
      </c>
      <c r="B14" s="18" t="s">
        <v>17</v>
      </c>
      <c r="C14" s="18" t="s">
        <v>7</v>
      </c>
      <c r="D14" s="49">
        <v>1</v>
      </c>
      <c r="E14" s="45">
        <f>'ESTUDIO DE MERCADO'!H16</f>
        <v>161830</v>
      </c>
      <c r="F14" s="45"/>
    </row>
    <row r="15" spans="1:6" ht="27.75" thickBot="1" x14ac:dyDescent="0.3">
      <c r="A15" s="24">
        <v>13</v>
      </c>
      <c r="B15" s="18" t="s">
        <v>39</v>
      </c>
      <c r="C15" s="18" t="s">
        <v>7</v>
      </c>
      <c r="D15" s="49">
        <v>1</v>
      </c>
      <c r="E15" s="45">
        <f>'ESTUDIO DE MERCADO'!H17</f>
        <v>175843</v>
      </c>
      <c r="F15" s="45"/>
    </row>
    <row r="16" spans="1:6" x14ac:dyDescent="0.25">
      <c r="A16" s="50">
        <v>14</v>
      </c>
      <c r="B16" s="51" t="s">
        <v>18</v>
      </c>
      <c r="C16" s="51" t="s">
        <v>7</v>
      </c>
      <c r="D16" s="52">
        <v>1</v>
      </c>
      <c r="E16" s="53">
        <f>'ESTUDIO DE MERCADO'!H18</f>
        <v>391424</v>
      </c>
      <c r="F16" s="53"/>
    </row>
    <row r="17" spans="1:6" x14ac:dyDescent="0.25">
      <c r="A17" s="84" t="s">
        <v>28</v>
      </c>
      <c r="B17" s="84"/>
      <c r="C17" s="84"/>
      <c r="D17" s="84"/>
      <c r="E17" s="61">
        <f>SUM(E3:E16)</f>
        <v>4304709</v>
      </c>
      <c r="F17" s="61"/>
    </row>
    <row r="18" spans="1:6" ht="30.75" customHeight="1" x14ac:dyDescent="0.25">
      <c r="A18" s="83" t="s">
        <v>30</v>
      </c>
      <c r="B18" s="83"/>
      <c r="C18" s="83"/>
      <c r="D18" s="83"/>
      <c r="E18" s="87" t="s">
        <v>36</v>
      </c>
      <c r="F18" s="87" t="s">
        <v>42</v>
      </c>
    </row>
    <row r="19" spans="1:6" x14ac:dyDescent="0.25">
      <c r="A19" s="56" t="s">
        <v>0</v>
      </c>
      <c r="B19" s="57" t="s">
        <v>1</v>
      </c>
      <c r="C19" s="56" t="s">
        <v>2</v>
      </c>
      <c r="D19" s="58" t="s">
        <v>3</v>
      </c>
      <c r="E19" s="87"/>
      <c r="F19" s="87"/>
    </row>
    <row r="20" spans="1:6" ht="15.75" thickBot="1" x14ac:dyDescent="0.3">
      <c r="A20" s="54">
        <v>1</v>
      </c>
      <c r="B20" s="55" t="s">
        <v>4</v>
      </c>
      <c r="C20" s="55" t="s">
        <v>5</v>
      </c>
      <c r="D20" s="59">
        <v>1</v>
      </c>
      <c r="E20" s="45">
        <f>'ESTUDIO DE MERCADO'!H22</f>
        <v>62310</v>
      </c>
      <c r="F20" s="45"/>
    </row>
    <row r="21" spans="1:6" ht="15.75" thickBot="1" x14ac:dyDescent="0.3">
      <c r="A21" s="6">
        <v>2</v>
      </c>
      <c r="B21" s="7" t="s">
        <v>6</v>
      </c>
      <c r="C21" s="7" t="s">
        <v>7</v>
      </c>
      <c r="D21" s="60">
        <v>1</v>
      </c>
      <c r="E21" s="45">
        <f>'ESTUDIO DE MERCADO'!H23</f>
        <v>186428</v>
      </c>
      <c r="F21" s="45"/>
    </row>
    <row r="22" spans="1:6" ht="15.75" thickBot="1" x14ac:dyDescent="0.3">
      <c r="A22" s="6">
        <v>3</v>
      </c>
      <c r="B22" s="7" t="s">
        <v>8</v>
      </c>
      <c r="C22" s="7" t="s">
        <v>7</v>
      </c>
      <c r="D22" s="60">
        <v>1</v>
      </c>
      <c r="E22" s="45">
        <f>'ESTUDIO DE MERCADO'!H24</f>
        <v>459281</v>
      </c>
      <c r="F22" s="45"/>
    </row>
    <row r="23" spans="1:6" ht="15.75" thickBot="1" x14ac:dyDescent="0.3">
      <c r="A23" s="6">
        <v>4</v>
      </c>
      <c r="B23" s="7" t="s">
        <v>9</v>
      </c>
      <c r="C23" s="7" t="s">
        <v>7</v>
      </c>
      <c r="D23" s="60">
        <v>1</v>
      </c>
      <c r="E23" s="45">
        <f>'ESTUDIO DE MERCADO'!H25</f>
        <v>204948</v>
      </c>
      <c r="F23" s="45"/>
    </row>
    <row r="24" spans="1:6" ht="18.75" thickBot="1" x14ac:dyDescent="0.3">
      <c r="A24" s="6">
        <v>5</v>
      </c>
      <c r="B24" s="7" t="s">
        <v>10</v>
      </c>
      <c r="C24" s="7" t="s">
        <v>7</v>
      </c>
      <c r="D24" s="60">
        <v>1</v>
      </c>
      <c r="E24" s="45">
        <f>'ESTUDIO DE MERCADO'!H26</f>
        <v>190240</v>
      </c>
      <c r="F24" s="45"/>
    </row>
    <row r="25" spans="1:6" ht="15.75" thickBot="1" x14ac:dyDescent="0.3">
      <c r="A25" s="6">
        <v>6</v>
      </c>
      <c r="B25" s="7" t="s">
        <v>11</v>
      </c>
      <c r="C25" s="7" t="s">
        <v>7</v>
      </c>
      <c r="D25" s="60">
        <v>1</v>
      </c>
      <c r="E25" s="45">
        <f>'ESTUDIO DE MERCADO'!H27</f>
        <v>76359</v>
      </c>
      <c r="F25" s="45"/>
    </row>
    <row r="26" spans="1:6" ht="15.75" thickBot="1" x14ac:dyDescent="0.3">
      <c r="A26" s="6">
        <v>7</v>
      </c>
      <c r="B26" s="7" t="s">
        <v>19</v>
      </c>
      <c r="C26" s="7" t="s">
        <v>13</v>
      </c>
      <c r="D26" s="60">
        <v>1</v>
      </c>
      <c r="E26" s="45">
        <f>'ESTUDIO DE MERCADO'!H28</f>
        <v>555581</v>
      </c>
      <c r="F26" s="45"/>
    </row>
    <row r="27" spans="1:6" ht="15.75" thickBot="1" x14ac:dyDescent="0.3">
      <c r="A27" s="6">
        <v>8</v>
      </c>
      <c r="B27" s="7" t="s">
        <v>14</v>
      </c>
      <c r="C27" s="7" t="s">
        <v>13</v>
      </c>
      <c r="D27" s="60">
        <v>1</v>
      </c>
      <c r="E27" s="45">
        <f>'ESTUDIO DE MERCADO'!H29</f>
        <v>642005</v>
      </c>
      <c r="F27" s="45"/>
    </row>
    <row r="28" spans="1:6" ht="18.75" thickBot="1" x14ac:dyDescent="0.3">
      <c r="A28" s="6">
        <v>9</v>
      </c>
      <c r="B28" s="7" t="s">
        <v>20</v>
      </c>
      <c r="C28" s="7" t="s">
        <v>7</v>
      </c>
      <c r="D28" s="60">
        <v>1</v>
      </c>
      <c r="E28" s="45">
        <f>'ESTUDIO DE MERCADO'!H30</f>
        <v>365696</v>
      </c>
      <c r="F28" s="45"/>
    </row>
    <row r="29" spans="1:6" ht="18.75" thickBot="1" x14ac:dyDescent="0.3">
      <c r="A29" s="6">
        <v>10</v>
      </c>
      <c r="B29" s="7" t="s">
        <v>33</v>
      </c>
      <c r="C29" s="7" t="s">
        <v>7</v>
      </c>
      <c r="D29" s="60">
        <v>1</v>
      </c>
      <c r="E29" s="45">
        <f>'ESTUDIO DE MERCADO'!H31</f>
        <v>229787</v>
      </c>
      <c r="F29" s="45"/>
    </row>
    <row r="30" spans="1:6" ht="15.75" thickBot="1" x14ac:dyDescent="0.3">
      <c r="A30" s="6">
        <v>11</v>
      </c>
      <c r="B30" s="7" t="s">
        <v>21</v>
      </c>
      <c r="C30" s="7" t="s">
        <v>7</v>
      </c>
      <c r="D30" s="60">
        <v>1</v>
      </c>
      <c r="E30" s="45">
        <f>'ESTUDIO DE MERCADO'!H32</f>
        <v>97554</v>
      </c>
      <c r="F30" s="45"/>
    </row>
    <row r="31" spans="1:6" ht="15.75" thickBot="1" x14ac:dyDescent="0.3">
      <c r="A31" s="6">
        <v>12</v>
      </c>
      <c r="B31" s="7" t="s">
        <v>22</v>
      </c>
      <c r="C31" s="7" t="s">
        <v>7</v>
      </c>
      <c r="D31" s="60">
        <v>1</v>
      </c>
      <c r="E31" s="45">
        <f>'ESTUDIO DE MERCADO'!H33</f>
        <v>260396</v>
      </c>
      <c r="F31" s="45"/>
    </row>
    <row r="32" spans="1:6" ht="15.75" thickBot="1" x14ac:dyDescent="0.3">
      <c r="A32" s="6">
        <v>13</v>
      </c>
      <c r="B32" s="7" t="s">
        <v>23</v>
      </c>
      <c r="C32" s="7" t="s">
        <v>7</v>
      </c>
      <c r="D32" s="60">
        <v>1</v>
      </c>
      <c r="E32" s="45">
        <f>'ESTUDIO DE MERCADO'!H34</f>
        <v>148798</v>
      </c>
      <c r="F32" s="45"/>
    </row>
    <row r="33" spans="1:6" ht="15.75" thickBot="1" x14ac:dyDescent="0.3">
      <c r="A33" s="6">
        <v>14</v>
      </c>
      <c r="B33" s="7" t="s">
        <v>24</v>
      </c>
      <c r="C33" s="7" t="s">
        <v>7</v>
      </c>
      <c r="D33" s="60">
        <v>1</v>
      </c>
      <c r="E33" s="45">
        <f>'ESTUDIO DE MERCADO'!H35</f>
        <v>1097229</v>
      </c>
      <c r="F33" s="45"/>
    </row>
    <row r="34" spans="1:6" ht="15.75" thickBot="1" x14ac:dyDescent="0.3">
      <c r="A34" s="6">
        <v>15</v>
      </c>
      <c r="B34" s="7" t="s">
        <v>18</v>
      </c>
      <c r="C34" s="7" t="s">
        <v>7</v>
      </c>
      <c r="D34" s="60">
        <v>1</v>
      </c>
      <c r="E34" s="45">
        <f>'ESTUDIO DE MERCADO'!H36</f>
        <v>421903</v>
      </c>
      <c r="F34" s="45"/>
    </row>
    <row r="35" spans="1:6" ht="15.75" thickBot="1" x14ac:dyDescent="0.3">
      <c r="A35" s="78" t="s">
        <v>28</v>
      </c>
      <c r="B35" s="78"/>
      <c r="C35" s="78"/>
      <c r="D35" s="85"/>
      <c r="E35" s="61">
        <f>SUM(E20:E34)</f>
        <v>4998515</v>
      </c>
      <c r="F35" s="61"/>
    </row>
    <row r="36" spans="1:6" ht="30.75" customHeight="1" thickBot="1" x14ac:dyDescent="0.3">
      <c r="A36" s="73" t="s">
        <v>29</v>
      </c>
      <c r="B36" s="74"/>
      <c r="C36" s="74"/>
      <c r="D36" s="86"/>
      <c r="E36" s="87" t="s">
        <v>36</v>
      </c>
      <c r="F36" s="87" t="s">
        <v>42</v>
      </c>
    </row>
    <row r="37" spans="1:6" ht="15.75" thickBot="1" x14ac:dyDescent="0.3">
      <c r="A37" s="15" t="s">
        <v>0</v>
      </c>
      <c r="B37" s="17" t="s">
        <v>1</v>
      </c>
      <c r="C37" s="15" t="s">
        <v>2</v>
      </c>
      <c r="D37" s="62" t="s">
        <v>3</v>
      </c>
      <c r="E37" s="87"/>
      <c r="F37" s="87"/>
    </row>
    <row r="38" spans="1:6" ht="15.75" thickBot="1" x14ac:dyDescent="0.3">
      <c r="A38" s="16">
        <v>1</v>
      </c>
      <c r="B38" s="18" t="s">
        <v>4</v>
      </c>
      <c r="C38" s="18" t="s">
        <v>5</v>
      </c>
      <c r="D38" s="49">
        <v>1</v>
      </c>
      <c r="E38" s="45">
        <f>SUM('ESTUDIO DE MERCADO'!F40)</f>
        <v>60000</v>
      </c>
      <c r="F38" s="63"/>
    </row>
    <row r="39" spans="1:6" ht="15.75" thickBot="1" x14ac:dyDescent="0.3">
      <c r="A39" s="16">
        <v>2</v>
      </c>
      <c r="B39" s="18" t="s">
        <v>6</v>
      </c>
      <c r="C39" s="18" t="s">
        <v>7</v>
      </c>
      <c r="D39" s="49">
        <v>1</v>
      </c>
      <c r="E39" s="45">
        <f>SUM('ESTUDIO DE MERCADO'!F41)</f>
        <v>179690</v>
      </c>
      <c r="F39" s="63"/>
    </row>
    <row r="40" spans="1:6" ht="15.75" thickBot="1" x14ac:dyDescent="0.3">
      <c r="A40" s="16">
        <v>3</v>
      </c>
      <c r="B40" s="18" t="s">
        <v>8</v>
      </c>
      <c r="C40" s="18" t="s">
        <v>7</v>
      </c>
      <c r="D40" s="49">
        <v>1</v>
      </c>
      <c r="E40" s="45">
        <f>SUM('ESTUDIO DE MERCADO'!F42)</f>
        <v>442680</v>
      </c>
      <c r="F40" s="63"/>
    </row>
    <row r="41" spans="1:6" ht="15.75" thickBot="1" x14ac:dyDescent="0.3">
      <c r="A41" s="16">
        <v>4</v>
      </c>
      <c r="B41" s="18" t="s">
        <v>9</v>
      </c>
      <c r="C41" s="18" t="s">
        <v>7</v>
      </c>
      <c r="D41" s="49">
        <v>1</v>
      </c>
      <c r="E41" s="45">
        <f>SUM('ESTUDIO DE MERCADO'!F43)</f>
        <v>197540</v>
      </c>
      <c r="F41" s="63"/>
    </row>
    <row r="42" spans="1:6" ht="18.75" thickBot="1" x14ac:dyDescent="0.3">
      <c r="A42" s="16">
        <v>5</v>
      </c>
      <c r="B42" s="18" t="s">
        <v>10</v>
      </c>
      <c r="C42" s="18" t="s">
        <v>7</v>
      </c>
      <c r="D42" s="49">
        <v>1</v>
      </c>
      <c r="E42" s="45">
        <f>SUM('ESTUDIO DE MERCADO'!F44)</f>
        <v>152320</v>
      </c>
      <c r="F42" s="63"/>
    </row>
    <row r="43" spans="1:6" ht="15.75" thickBot="1" x14ac:dyDescent="0.3">
      <c r="A43" s="16">
        <v>6</v>
      </c>
      <c r="B43" s="18" t="s">
        <v>11</v>
      </c>
      <c r="C43" s="18" t="s">
        <v>7</v>
      </c>
      <c r="D43" s="49">
        <v>1</v>
      </c>
      <c r="E43" s="45">
        <f>SUM('ESTUDIO DE MERCADO'!F45)</f>
        <v>83300</v>
      </c>
      <c r="F43" s="63"/>
    </row>
    <row r="44" spans="1:6" ht="15.75" thickBot="1" x14ac:dyDescent="0.3">
      <c r="A44" s="16">
        <v>7</v>
      </c>
      <c r="B44" s="18" t="s">
        <v>12</v>
      </c>
      <c r="C44" s="18" t="s">
        <v>13</v>
      </c>
      <c r="D44" s="49">
        <v>1</v>
      </c>
      <c r="E44" s="45">
        <f>SUM('ESTUDIO DE MERCADO'!F46)</f>
        <v>614040</v>
      </c>
      <c r="F44" s="63"/>
    </row>
    <row r="45" spans="1:6" ht="15.75" thickBot="1" x14ac:dyDescent="0.3">
      <c r="A45" s="16">
        <v>8</v>
      </c>
      <c r="B45" s="18" t="s">
        <v>14</v>
      </c>
      <c r="C45" s="18" t="s">
        <v>13</v>
      </c>
      <c r="D45" s="49">
        <v>1</v>
      </c>
      <c r="E45" s="45">
        <f>SUM('ESTUDIO DE MERCADO'!F47)</f>
        <v>921060</v>
      </c>
      <c r="F45" s="63"/>
    </row>
    <row r="46" spans="1:6" ht="18.75" thickBot="1" x14ac:dyDescent="0.3">
      <c r="A46" s="16">
        <v>9</v>
      </c>
      <c r="B46" s="18" t="s">
        <v>15</v>
      </c>
      <c r="C46" s="18" t="s">
        <v>7</v>
      </c>
      <c r="D46" s="49">
        <v>1</v>
      </c>
      <c r="E46" s="45">
        <f>SUM('ESTUDIO DE MERCADO'!F48)</f>
        <v>309400</v>
      </c>
      <c r="F46" s="63"/>
    </row>
    <row r="47" spans="1:6" ht="18.75" thickBot="1" x14ac:dyDescent="0.3">
      <c r="A47" s="16">
        <v>10</v>
      </c>
      <c r="B47" s="18" t="s">
        <v>33</v>
      </c>
      <c r="C47" s="18" t="s">
        <v>7</v>
      </c>
      <c r="D47" s="49">
        <v>1</v>
      </c>
      <c r="E47" s="45">
        <f>SUM('ESTUDIO DE MERCADO'!F49)</f>
        <v>190400</v>
      </c>
      <c r="F47" s="63"/>
    </row>
    <row r="48" spans="1:6" ht="18.75" thickBot="1" x14ac:dyDescent="0.3">
      <c r="A48" s="16">
        <v>11</v>
      </c>
      <c r="B48" s="18" t="s">
        <v>25</v>
      </c>
      <c r="C48" s="18" t="s">
        <v>7</v>
      </c>
      <c r="D48" s="49">
        <v>1</v>
      </c>
      <c r="E48" s="45">
        <f>SUM('ESTUDIO DE MERCADO'!F50)</f>
        <v>452200</v>
      </c>
      <c r="F48" s="63"/>
    </row>
    <row r="49" spans="1:6" ht="15.75" thickBot="1" x14ac:dyDescent="0.3">
      <c r="A49" s="16">
        <v>12</v>
      </c>
      <c r="B49" s="18" t="s">
        <v>26</v>
      </c>
      <c r="C49" s="18" t="s">
        <v>7</v>
      </c>
      <c r="D49" s="49">
        <v>1</v>
      </c>
      <c r="E49" s="45">
        <f>SUM('ESTUDIO DE MERCADO'!F51)</f>
        <v>773500</v>
      </c>
      <c r="F49" s="63"/>
    </row>
    <row r="50" spans="1:6" ht="15.75" thickBot="1" x14ac:dyDescent="0.3">
      <c r="A50" s="16">
        <v>13</v>
      </c>
      <c r="B50" s="18" t="s">
        <v>27</v>
      </c>
      <c r="C50" s="18" t="s">
        <v>7</v>
      </c>
      <c r="D50" s="49">
        <v>1</v>
      </c>
      <c r="E50" s="45">
        <f>SUM('ESTUDIO DE MERCADO'!F52)</f>
        <v>380800</v>
      </c>
      <c r="F50" s="63"/>
    </row>
    <row r="51" spans="1:6" x14ac:dyDescent="0.25">
      <c r="A51" s="65">
        <v>14</v>
      </c>
      <c r="B51" s="51" t="s">
        <v>18</v>
      </c>
      <c r="C51" s="51" t="s">
        <v>7</v>
      </c>
      <c r="D51" s="52">
        <v>1</v>
      </c>
      <c r="E51" s="45">
        <f>SUM('ESTUDIO DE MERCADO'!F53)</f>
        <v>440300</v>
      </c>
      <c r="F51" s="63"/>
    </row>
    <row r="52" spans="1:6" x14ac:dyDescent="0.25">
      <c r="A52" s="82" t="s">
        <v>28</v>
      </c>
      <c r="B52" s="82"/>
      <c r="C52" s="82"/>
      <c r="D52" s="82"/>
      <c r="E52" s="61">
        <f>SUM(E38:E51)</f>
        <v>5197230</v>
      </c>
      <c r="F52" s="64"/>
    </row>
  </sheetData>
  <mergeCells count="11">
    <mergeCell ref="E1:F1"/>
    <mergeCell ref="E18:E19"/>
    <mergeCell ref="F18:F19"/>
    <mergeCell ref="E36:E37"/>
    <mergeCell ref="F36:F37"/>
    <mergeCell ref="A52:D52"/>
    <mergeCell ref="A1:D1"/>
    <mergeCell ref="A17:D17"/>
    <mergeCell ref="A18:D18"/>
    <mergeCell ref="A35:D35"/>
    <mergeCell ref="A36:D36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Andres Sanchez Luengas</dc:creator>
  <cp:lastModifiedBy>Jorge Andres Sanchez Luengas</cp:lastModifiedBy>
  <dcterms:created xsi:type="dcterms:W3CDTF">2026-06-11T16:37:39Z</dcterms:created>
  <dcterms:modified xsi:type="dcterms:W3CDTF">2026-08-20T13:01:35Z</dcterms:modified>
</cp:coreProperties>
</file>