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D:\OD_JEVR\OneDrive - MUNICIPIO DE ENVIGADO\Escritorio\procesos\2026\SEPTIEMBRE\CONV AS ADULTO MAYOR\"/>
    </mc:Choice>
  </mc:AlternateContent>
  <bookViews>
    <workbookView xWindow="-120" yWindow="-120" windowWidth="29040" windowHeight="15720" activeTab="1"/>
  </bookViews>
  <sheets>
    <sheet name="DIAS CONTABLES Y CORRIENTES 202" sheetId="12" r:id="rId1"/>
    <sheet name="RESUMEN" sheetId="1" r:id="rId2"/>
    <sheet name="Hoja1" sheetId="13" r:id="rId3"/>
    <sheet name="PERSONAL" sheetId="5" r:id="rId4"/>
    <sheet name="COSTOS DIRECTOS" sheetId="2" r:id="rId5"/>
    <sheet name="COSTOS ADMINISTRATIVOS" sheetId="9" r:id="rId6"/>
    <sheet name="INDIRECTOS" sheetId="10" r:id="rId7"/>
  </sheets>
  <definedNames>
    <definedName name="_xlnm.Print_Area" localSheetId="1">RESUMEN!$A$1:$F$36</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6" i="13" l="1"/>
  <c r="E7" i="13"/>
  <c r="E34" i="1" l="1"/>
  <c r="E33" i="1"/>
  <c r="D27" i="2"/>
  <c r="H11" i="1" l="1"/>
  <c r="R24" i="5" l="1"/>
  <c r="Q24" i="5"/>
  <c r="D33" i="5" l="1"/>
  <c r="D11" i="2" l="1"/>
  <c r="C11" i="2"/>
  <c r="G49" i="12"/>
  <c r="G48" i="12"/>
  <c r="G39" i="12"/>
  <c r="E50" i="12"/>
  <c r="D50" i="12"/>
  <c r="M74" i="12" l="1"/>
  <c r="M70" i="12"/>
  <c r="M60" i="12"/>
  <c r="E41" i="12"/>
  <c r="D41" i="12"/>
  <c r="G40" i="12"/>
  <c r="G29" i="12"/>
  <c r="E29" i="12"/>
  <c r="D29" i="12"/>
  <c r="G28" i="12"/>
  <c r="E18" i="12"/>
  <c r="D18" i="12"/>
  <c r="F14" i="1" l="1"/>
  <c r="H10" i="1" l="1"/>
  <c r="C6" i="2"/>
  <c r="E9" i="5"/>
  <c r="D26" i="5" s="1"/>
  <c r="E8" i="5"/>
  <c r="D25" i="5" s="1"/>
  <c r="E25" i="5" s="1"/>
  <c r="E7" i="5"/>
  <c r="D23" i="5" s="1"/>
  <c r="E6" i="5"/>
  <c r="D22" i="5" s="1"/>
  <c r="E5" i="5"/>
  <c r="D21" i="5" s="1"/>
  <c r="E21" i="5" s="1"/>
  <c r="E4" i="5"/>
  <c r="D20" i="5" s="1"/>
  <c r="E20" i="5" s="1"/>
  <c r="E3" i="5"/>
  <c r="D19" i="5" s="1"/>
  <c r="E19" i="5" s="1"/>
  <c r="E2" i="5"/>
  <c r="D18" i="5" s="1"/>
  <c r="E18" i="5" s="1"/>
  <c r="C10" i="9"/>
  <c r="C25" i="2"/>
  <c r="C24" i="2"/>
  <c r="C23" i="2"/>
  <c r="C22" i="2"/>
  <c r="C21" i="2"/>
  <c r="C20" i="2"/>
  <c r="D20" i="2" s="1"/>
  <c r="F20" i="2" s="1"/>
  <c r="C35" i="2"/>
  <c r="C14" i="2"/>
  <c r="C13" i="2"/>
  <c r="C12" i="2"/>
  <c r="C7" i="2"/>
  <c r="E10" i="5"/>
  <c r="D27" i="5" s="1"/>
  <c r="E27" i="5" s="1"/>
  <c r="E11" i="5"/>
  <c r="D28" i="5" s="1"/>
  <c r="E28" i="5" s="1"/>
  <c r="E12" i="5"/>
  <c r="D29" i="5" s="1"/>
  <c r="E29" i="5" s="1"/>
  <c r="E20" i="2" l="1"/>
  <c r="I10" i="1"/>
  <c r="C13" i="1" l="1"/>
  <c r="D33" i="10" l="1"/>
  <c r="G14" i="1"/>
  <c r="C12" i="1" s="1"/>
  <c r="G4" i="10" l="1"/>
  <c r="C10" i="2" l="1"/>
  <c r="C18" i="1" s="1"/>
  <c r="D14" i="2"/>
  <c r="E14" i="2" s="1"/>
  <c r="B27" i="10"/>
  <c r="B28" i="10"/>
  <c r="B29" i="10"/>
  <c r="B30" i="10"/>
  <c r="C23" i="10"/>
  <c r="B23" i="10"/>
  <c r="D9" i="2"/>
  <c r="G40" i="2"/>
  <c r="A19" i="5" l="1"/>
  <c r="C7" i="1"/>
  <c r="C27" i="5"/>
  <c r="B29" i="5" l="1"/>
  <c r="B18" i="5"/>
  <c r="B19" i="5"/>
  <c r="B20" i="5"/>
  <c r="B21" i="5"/>
  <c r="B22" i="5"/>
  <c r="B23" i="5"/>
  <c r="B25" i="5"/>
  <c r="B26" i="5"/>
  <c r="B27" i="5"/>
  <c r="B28" i="5"/>
  <c r="B17" i="5"/>
  <c r="L8" i="5" l="1"/>
  <c r="H4" i="5"/>
  <c r="S24" i="5" s="1"/>
  <c r="M8" i="9" l="1"/>
  <c r="M19" i="5" l="1"/>
  <c r="L19" i="5"/>
  <c r="N19" i="5" s="1"/>
  <c r="Q10" i="9"/>
  <c r="J9" i="9"/>
  <c r="L9" i="9" s="1"/>
  <c r="I9" i="9"/>
  <c r="H9" i="9"/>
  <c r="O9" i="9"/>
  <c r="O8" i="9"/>
  <c r="I7" i="9"/>
  <c r="O7" i="9"/>
  <c r="O6" i="9"/>
  <c r="N6" i="9"/>
  <c r="M6" i="9"/>
  <c r="K6" i="9"/>
  <c r="J6" i="9"/>
  <c r="L6" i="9" s="1"/>
  <c r="I6" i="9"/>
  <c r="H6" i="9"/>
  <c r="G6" i="9"/>
  <c r="F6" i="9"/>
  <c r="E6" i="9"/>
  <c r="B13" i="5"/>
  <c r="D13" i="5"/>
  <c r="F19" i="5"/>
  <c r="Q19" i="5"/>
  <c r="Q23" i="5"/>
  <c r="P19" i="5"/>
  <c r="O19" i="5"/>
  <c r="K19" i="5"/>
  <c r="J19" i="5"/>
  <c r="I19" i="5"/>
  <c r="G19" i="5"/>
  <c r="G18" i="5" l="1"/>
  <c r="I18" i="5"/>
  <c r="L18" i="5"/>
  <c r="P18" i="5"/>
  <c r="Q18" i="5"/>
  <c r="K18" i="5"/>
  <c r="M18" i="5"/>
  <c r="O18" i="5"/>
  <c r="J18" i="5"/>
  <c r="P6" i="9"/>
  <c r="H8" i="9"/>
  <c r="I8" i="9"/>
  <c r="J8" i="9"/>
  <c r="L8" i="9" s="1"/>
  <c r="H7" i="9"/>
  <c r="E7" i="9"/>
  <c r="M7" i="9"/>
  <c r="E8" i="9"/>
  <c r="E9" i="9"/>
  <c r="M9" i="9"/>
  <c r="F7" i="9"/>
  <c r="N8" i="9"/>
  <c r="J7" i="9"/>
  <c r="L7" i="9" s="1"/>
  <c r="K7" i="9"/>
  <c r="K8" i="9"/>
  <c r="K9" i="9"/>
  <c r="N7" i="9"/>
  <c r="F8" i="9"/>
  <c r="F9" i="9"/>
  <c r="N9" i="9"/>
  <c r="G7" i="9"/>
  <c r="G8" i="9"/>
  <c r="G9" i="9"/>
  <c r="Q6" i="9" l="1"/>
  <c r="P7" i="9"/>
  <c r="Q7" i="9" s="1"/>
  <c r="N18" i="5"/>
  <c r="P9" i="9"/>
  <c r="Q9" i="9" s="1"/>
  <c r="P8" i="9"/>
  <c r="Q8" i="9" s="1"/>
  <c r="K7" i="10"/>
  <c r="P11" i="9" l="1"/>
  <c r="Q11" i="9"/>
  <c r="D20" i="1" s="1"/>
  <c r="C28" i="10" s="1"/>
  <c r="J20" i="2"/>
  <c r="C7" i="10"/>
  <c r="D21" i="2"/>
  <c r="D22" i="2"/>
  <c r="D23" i="2"/>
  <c r="D24" i="2"/>
  <c r="D25" i="2"/>
  <c r="K21" i="2" l="1"/>
  <c r="J21" i="2"/>
  <c r="I21" i="2"/>
  <c r="H21" i="2"/>
  <c r="G21" i="2"/>
  <c r="E21" i="2"/>
  <c r="F21" i="2"/>
  <c r="K22" i="2"/>
  <c r="F22" i="2"/>
  <c r="E22" i="2"/>
  <c r="J22" i="2"/>
  <c r="I22" i="2"/>
  <c r="H22" i="2"/>
  <c r="G22" i="2"/>
  <c r="F23" i="2"/>
  <c r="E23" i="2"/>
  <c r="K23" i="2"/>
  <c r="J23" i="2"/>
  <c r="H23" i="2"/>
  <c r="I23" i="2"/>
  <c r="G23" i="2"/>
  <c r="K24" i="2"/>
  <c r="J24" i="2"/>
  <c r="H24" i="2"/>
  <c r="G24" i="2"/>
  <c r="I24" i="2"/>
  <c r="F24" i="2"/>
  <c r="E24" i="2"/>
  <c r="F25" i="2"/>
  <c r="E25" i="2"/>
  <c r="K25" i="2"/>
  <c r="J25" i="2"/>
  <c r="I25" i="2"/>
  <c r="H25" i="2"/>
  <c r="G25" i="2"/>
  <c r="D26" i="2"/>
  <c r="C20" i="1"/>
  <c r="C30" i="1" s="1"/>
  <c r="P13" i="9"/>
  <c r="H20" i="2"/>
  <c r="K20" i="2"/>
  <c r="G20" i="2"/>
  <c r="I20" i="2"/>
  <c r="C19" i="5"/>
  <c r="C20" i="5"/>
  <c r="C21" i="5"/>
  <c r="C22" i="5"/>
  <c r="C23" i="5"/>
  <c r="C26" i="5"/>
  <c r="C29" i="5"/>
  <c r="C18" i="5"/>
  <c r="A20" i="5"/>
  <c r="A21" i="5"/>
  <c r="A22" i="5"/>
  <c r="A23" i="5"/>
  <c r="A26" i="5"/>
  <c r="A27" i="5"/>
  <c r="A28" i="5"/>
  <c r="A29" i="5"/>
  <c r="A30" i="5"/>
  <c r="L20" i="2" l="1"/>
  <c r="L24" i="2"/>
  <c r="L21" i="2"/>
  <c r="L22" i="2"/>
  <c r="L23" i="2"/>
  <c r="L25" i="2"/>
  <c r="K26" i="2"/>
  <c r="J26" i="2"/>
  <c r="I26" i="2"/>
  <c r="H26" i="2"/>
  <c r="G26" i="2"/>
  <c r="E26" i="2"/>
  <c r="D30" i="5"/>
  <c r="F27" i="5"/>
  <c r="Q27" i="5"/>
  <c r="P27" i="5"/>
  <c r="Q26" i="5"/>
  <c r="Q25" i="5"/>
  <c r="P25" i="5"/>
  <c r="Q22" i="5"/>
  <c r="Q21" i="5"/>
  <c r="P21" i="5"/>
  <c r="P20" i="5"/>
  <c r="F20" i="5"/>
  <c r="Q20" i="5"/>
  <c r="P29" i="5"/>
  <c r="Q29" i="5"/>
  <c r="F29" i="5"/>
  <c r="Q28" i="5"/>
  <c r="P28" i="5"/>
  <c r="O29" i="5"/>
  <c r="J29" i="5"/>
  <c r="G29" i="5"/>
  <c r="L29" i="5"/>
  <c r="N29" i="5" s="1"/>
  <c r="I29" i="5"/>
  <c r="K29" i="5"/>
  <c r="M29" i="5"/>
  <c r="M21" i="5"/>
  <c r="O21" i="5"/>
  <c r="J21" i="5"/>
  <c r="G21" i="5"/>
  <c r="L21" i="5"/>
  <c r="N21" i="5" s="1"/>
  <c r="I21" i="5"/>
  <c r="K21" i="5"/>
  <c r="O20" i="5"/>
  <c r="J20" i="5"/>
  <c r="G20" i="5"/>
  <c r="L20" i="5"/>
  <c r="I20" i="5"/>
  <c r="K20" i="5"/>
  <c r="M20" i="5"/>
  <c r="G28" i="5"/>
  <c r="L28" i="5"/>
  <c r="N28" i="5" s="1"/>
  <c r="I28" i="5"/>
  <c r="K28" i="5"/>
  <c r="M28" i="5"/>
  <c r="O28" i="5"/>
  <c r="J28" i="5"/>
  <c r="L27" i="5"/>
  <c r="N27" i="5" s="1"/>
  <c r="I27" i="5"/>
  <c r="K27" i="5"/>
  <c r="M27" i="5"/>
  <c r="O27" i="5"/>
  <c r="J27" i="5"/>
  <c r="G27" i="5"/>
  <c r="K25" i="5"/>
  <c r="M25" i="5"/>
  <c r="O25" i="5"/>
  <c r="J25" i="5"/>
  <c r="G25" i="5"/>
  <c r="L25" i="5"/>
  <c r="N25" i="5" s="1"/>
  <c r="I25" i="5"/>
  <c r="F26" i="2"/>
  <c r="C17" i="1" l="1"/>
  <c r="C27" i="1" s="1"/>
  <c r="Q30" i="5"/>
  <c r="F30" i="5"/>
  <c r="G30" i="5"/>
  <c r="P30" i="5"/>
  <c r="J30" i="5"/>
  <c r="H30" i="5"/>
  <c r="N20" i="5"/>
  <c r="N30" i="5" s="1"/>
  <c r="L30" i="5"/>
  <c r="M30" i="5"/>
  <c r="O30" i="5"/>
  <c r="K30" i="5"/>
  <c r="I30" i="5"/>
  <c r="R23" i="5"/>
  <c r="S23" i="5" s="1"/>
  <c r="R19" i="5"/>
  <c r="S19" i="5" s="1"/>
  <c r="R18" i="5"/>
  <c r="S18" i="5" s="1"/>
  <c r="R27" i="5"/>
  <c r="S27" i="5" s="1"/>
  <c r="R25" i="5"/>
  <c r="S25" i="5" s="1"/>
  <c r="R29" i="5"/>
  <c r="S29" i="5" s="1"/>
  <c r="R21" i="5"/>
  <c r="S21" i="5" s="1"/>
  <c r="R26" i="5"/>
  <c r="S26" i="5" s="1"/>
  <c r="R28" i="5"/>
  <c r="S28" i="5" s="1"/>
  <c r="R22" i="5"/>
  <c r="S22" i="5" s="1"/>
  <c r="L26" i="2"/>
  <c r="E9" i="2" s="1"/>
  <c r="R20" i="5" l="1"/>
  <c r="S20" i="5" s="1"/>
  <c r="S30" i="5" s="1"/>
  <c r="D19" i="1" s="1"/>
  <c r="C27" i="10" s="1"/>
  <c r="D27" i="10" s="1"/>
  <c r="E30" i="5"/>
  <c r="R30" i="5" l="1"/>
  <c r="C19" i="1" s="1"/>
  <c r="C29" i="1" s="1"/>
  <c r="Q32" i="5" l="1"/>
  <c r="C28" i="1"/>
  <c r="D7" i="2"/>
  <c r="E7" i="2" s="1"/>
  <c r="E11" i="2"/>
  <c r="I32" i="2" s="1"/>
  <c r="D13" i="2"/>
  <c r="E13" i="2" s="1"/>
  <c r="E8" i="2"/>
  <c r="D17" i="1" s="1"/>
  <c r="C25" i="10" s="1"/>
  <c r="D25" i="10" s="1"/>
  <c r="D6" i="2"/>
  <c r="E6" i="2" s="1"/>
  <c r="C8" i="2"/>
  <c r="D8" i="2" s="1"/>
  <c r="Q13" i="9" l="1"/>
  <c r="D10" i="2"/>
  <c r="D12" i="2"/>
  <c r="E12" i="2" s="1"/>
  <c r="E10" i="2" s="1"/>
  <c r="D18" i="1" s="1"/>
  <c r="C26" i="10" s="1"/>
  <c r="C5" i="2"/>
  <c r="C16" i="1" s="1"/>
  <c r="C26" i="1" s="1"/>
  <c r="E5" i="2"/>
  <c r="D5" i="2"/>
  <c r="D16" i="1" l="1"/>
  <c r="C24" i="10" s="1"/>
  <c r="D24" i="10" s="1"/>
  <c r="C21" i="1"/>
  <c r="D26" i="10"/>
  <c r="E26" i="10" s="1"/>
  <c r="I2" i="1"/>
  <c r="I3" i="1"/>
  <c r="B7" i="1"/>
  <c r="F2" i="1"/>
  <c r="D21" i="1" l="1"/>
  <c r="C29" i="10" s="1"/>
  <c r="D29" i="10" s="1"/>
  <c r="C25" i="1"/>
  <c r="C30" i="5"/>
  <c r="B25" i="1"/>
  <c r="B18" i="1"/>
  <c r="B26" i="10" s="1"/>
  <c r="B17" i="1"/>
  <c r="B25" i="10" s="1"/>
  <c r="B16" i="1"/>
  <c r="B24" i="10" s="1"/>
  <c r="J3" i="1"/>
  <c r="J2" i="1"/>
  <c r="F7" i="1"/>
  <c r="B9" i="1"/>
  <c r="B8" i="1"/>
  <c r="C9" i="1"/>
  <c r="C8" i="1"/>
  <c r="E4" i="1" l="1"/>
  <c r="K3" i="1"/>
  <c r="I4" i="1" s="1"/>
  <c r="D4" i="1"/>
  <c r="C10" i="1"/>
  <c r="D8" i="1" s="1"/>
  <c r="D7" i="1" l="1"/>
  <c r="D10" i="1"/>
  <c r="D9" i="1"/>
  <c r="E8" i="1" l="1"/>
  <c r="F8" i="1" l="1"/>
  <c r="C31" i="1" l="1"/>
  <c r="C33" i="1" s="1"/>
  <c r="D33" i="1" l="1"/>
  <c r="C34" i="1"/>
  <c r="C22" i="1"/>
  <c r="D34" i="1" l="1"/>
  <c r="C35" i="1"/>
  <c r="D35" i="1" s="1"/>
  <c r="E35" i="1" s="1"/>
  <c r="D11" i="10"/>
  <c r="D22" i="1"/>
  <c r="C41" i="1" l="1"/>
  <c r="H33" i="1"/>
  <c r="F33" i="1"/>
  <c r="G32" i="2" s="1"/>
  <c r="G33" i="2" s="1"/>
  <c r="E39" i="1"/>
  <c r="E40" i="1" s="1"/>
  <c r="C42" i="1"/>
  <c r="F34" i="1"/>
  <c r="G37" i="1"/>
  <c r="D2" i="10"/>
  <c r="D5" i="10" s="1"/>
  <c r="C30" i="10"/>
  <c r="C43" i="1" l="1"/>
  <c r="D41" i="1" s="1"/>
  <c r="F35" i="1"/>
  <c r="D6" i="10"/>
  <c r="F6" i="10" s="1"/>
  <c r="D4" i="10"/>
  <c r="E11" i="10"/>
  <c r="D42" i="1" l="1"/>
  <c r="D43" i="1"/>
  <c r="D7" i="10"/>
  <c r="D12" i="10" s="1"/>
  <c r="E12" i="10" s="1"/>
  <c r="H11" i="10" s="1"/>
  <c r="I31" i="2"/>
  <c r="I33" i="2" s="1"/>
  <c r="R9" i="9" l="1"/>
  <c r="S9" i="9" s="1"/>
  <c r="D28" i="10"/>
  <c r="E28" i="10" s="1"/>
  <c r="E30" i="10" s="1"/>
  <c r="E31" i="10" s="1"/>
  <c r="D13" i="10"/>
  <c r="E13" i="10" s="1"/>
  <c r="I11" i="10" s="1"/>
  <c r="D30" i="10" l="1"/>
  <c r="D31" i="10" s="1"/>
  <c r="D34" i="10" l="1"/>
</calcChain>
</file>

<file path=xl/comments1.xml><?xml version="1.0" encoding="utf-8"?>
<comments xmlns="http://schemas.openxmlformats.org/spreadsheetml/2006/main">
  <authors>
    <author>user</author>
  </authors>
  <commentList>
    <comment ref="C12" authorId="0" shapeId="0">
      <text>
        <r>
          <rPr>
            <b/>
            <sz val="9"/>
            <color rgb="FF000000"/>
            <rFont val="Tahoma"/>
            <family val="2"/>
          </rPr>
          <t>user:</t>
        </r>
        <r>
          <rPr>
            <sz val="9"/>
            <color rgb="FF000000"/>
            <rFont val="Tahoma"/>
            <family val="2"/>
          </rPr>
          <t xml:space="preserve">
</t>
        </r>
        <r>
          <rPr>
            <sz val="9"/>
            <color rgb="FF000000"/>
            <rFont val="Tahoma"/>
            <family val="2"/>
          </rPr>
          <t xml:space="preserve">modifico duración del contrato
</t>
        </r>
      </text>
    </comment>
    <comment ref="A15" authorId="0" shapeId="0">
      <text>
        <r>
          <rPr>
            <b/>
            <sz val="9"/>
            <color indexed="81"/>
            <rFont val="Tahoma"/>
            <family val="2"/>
          </rPr>
          <t>user:</t>
        </r>
        <r>
          <rPr>
            <sz val="9"/>
            <color indexed="81"/>
            <rFont val="Tahoma"/>
            <family val="2"/>
          </rPr>
          <t xml:space="preserve">
Inserto nombre para dar claridad
</t>
        </r>
      </text>
    </comment>
    <comment ref="B19" authorId="0" shapeId="0">
      <text>
        <r>
          <rPr>
            <b/>
            <sz val="9"/>
            <color rgb="FF000000"/>
            <rFont val="Tahoma"/>
            <family val="2"/>
          </rPr>
          <t>user:</t>
        </r>
        <r>
          <rPr>
            <sz val="9"/>
            <color rgb="FF000000"/>
            <rFont val="Tahoma"/>
            <family val="2"/>
          </rPr>
          <t xml:space="preserve">
</t>
        </r>
        <r>
          <rPr>
            <sz val="9"/>
            <color rgb="FF000000"/>
            <rFont val="Tahoma"/>
            <family val="2"/>
          </rPr>
          <t xml:space="preserve">Modifico: servicio prestado
</t>
        </r>
      </text>
    </comment>
    <comment ref="C19" authorId="0" shapeId="0">
      <text>
        <r>
          <rPr>
            <b/>
            <sz val="9"/>
            <color rgb="FF000000"/>
            <rFont val="Tahoma"/>
            <family val="2"/>
          </rPr>
          <t>user:</t>
        </r>
        <r>
          <rPr>
            <sz val="9"/>
            <color rgb="FF000000"/>
            <rFont val="Tahoma"/>
            <family val="2"/>
          </rPr>
          <t xml:space="preserve">
</t>
        </r>
        <r>
          <rPr>
            <sz val="9"/>
            <color rgb="FF000000"/>
            <rFont val="Tahoma"/>
            <family val="2"/>
          </rPr>
          <t xml:space="preserve">Modifico: salario del personal mensual
</t>
        </r>
        <r>
          <rPr>
            <sz val="9"/>
            <color rgb="FF000000"/>
            <rFont val="Tahoma"/>
            <family val="2"/>
          </rPr>
          <t xml:space="preserve">
</t>
        </r>
      </text>
    </comment>
    <comment ref="C20" authorId="0" shapeId="0">
      <text>
        <r>
          <rPr>
            <b/>
            <sz val="9"/>
            <color indexed="81"/>
            <rFont val="Tahoma"/>
            <family val="2"/>
          </rPr>
          <t>user:</t>
        </r>
        <r>
          <rPr>
            <sz val="9"/>
            <color indexed="81"/>
            <rFont val="Tahoma"/>
            <family val="2"/>
          </rPr>
          <t xml:space="preserve">
Modifico: la formula anterior tenia el valor total por los meses de ejecucion del contrato y debe ser mensual
</t>
        </r>
      </text>
    </comment>
    <comment ref="C26" authorId="0" shapeId="0">
      <text>
        <r>
          <rPr>
            <b/>
            <sz val="9"/>
            <color rgb="FF000000"/>
            <rFont val="Tahoma"/>
            <family val="2"/>
          </rPr>
          <t>user:</t>
        </r>
        <r>
          <rPr>
            <sz val="9"/>
            <color rgb="FF000000"/>
            <rFont val="Tahoma"/>
            <family val="2"/>
          </rPr>
          <t xml:space="preserve">
</t>
        </r>
        <r>
          <rPr>
            <sz val="9"/>
            <color rgb="FF000000"/>
            <rFont val="Tahoma"/>
            <family val="2"/>
          </rPr>
          <t xml:space="preserve">Modifico los siguientes 5 items: para el valor individual mensual solo se toma el valor del gasto mensual y se divide por la cantidad de cupos. (no consideramos logico dividirlo por la cantidad de meses de ejecucion del contrato
</t>
        </r>
      </text>
    </comment>
  </commentList>
</comments>
</file>

<file path=xl/sharedStrings.xml><?xml version="1.0" encoding="utf-8"?>
<sst xmlns="http://schemas.openxmlformats.org/spreadsheetml/2006/main" count="258" uniqueCount="164">
  <si>
    <t>ALOJAMIENTO</t>
  </si>
  <si>
    <t>ALIMENTACIÓN</t>
  </si>
  <si>
    <t xml:space="preserve">VALOR TOTAL </t>
  </si>
  <si>
    <t>CONCEPTO</t>
  </si>
  <si>
    <t>TOTAL CONTRATO</t>
  </si>
  <si>
    <t>TOTAL</t>
  </si>
  <si>
    <t>VALOR MES</t>
  </si>
  <si>
    <t xml:space="preserve">CONCEPTO </t>
  </si>
  <si>
    <t>Nutricionista</t>
  </si>
  <si>
    <t>Fisioterapeuta</t>
  </si>
  <si>
    <t>Psicólogo</t>
  </si>
  <si>
    <t>Manipuladoras de alimentos</t>
  </si>
  <si>
    <t>Personal de servicios Generales</t>
  </si>
  <si>
    <t>SALARIO</t>
  </si>
  <si>
    <t>CUPOS MES</t>
  </si>
  <si>
    <t>TOTAL CUPOS</t>
  </si>
  <si>
    <t>PARTICIPACIÓN</t>
  </si>
  <si>
    <t>MUNICIPIO</t>
  </si>
  <si>
    <t>Trabajador Social</t>
  </si>
  <si>
    <t>Arrendamiento</t>
  </si>
  <si>
    <t>Servicios públicos</t>
  </si>
  <si>
    <t>MENSUAL</t>
  </si>
  <si>
    <t>Compra alimentación</t>
  </si>
  <si>
    <t>ESPARCIMIENTO, ASEO Y SALUD</t>
  </si>
  <si>
    <t xml:space="preserve">VALOR INDIVIDUAL POR PRESTACIÓN </t>
  </si>
  <si>
    <t>TOTAL COSTO UNITARIO</t>
  </si>
  <si>
    <t>GASTOS DE OFICINA Y PAPELERIA</t>
  </si>
  <si>
    <t>CONTADOR</t>
  </si>
  <si>
    <t xml:space="preserve">COSTO MENSUAL </t>
  </si>
  <si>
    <t>ABOGADO</t>
  </si>
  <si>
    <t>ASISTENCIA</t>
  </si>
  <si>
    <t>FUNDACION HUELLAS DEL AYER</t>
  </si>
  <si>
    <t>VALOR DIA</t>
  </si>
  <si>
    <t>GASTOS INDIRECTOS ASOCIADOS A LA PUESTA EN MARCHA DEL PROYECTOS</t>
  </si>
  <si>
    <t xml:space="preserve">COSTO TOTAL </t>
  </si>
  <si>
    <t>Gerontologo</t>
  </si>
  <si>
    <t>Enfermero jefe</t>
  </si>
  <si>
    <t>COSTOS ADMINISTRATIVOS DE OPERACIÓN</t>
  </si>
  <si>
    <t>ASEO INSTITUCIONAL</t>
  </si>
  <si>
    <t>VALOR TOTAL 365 DIAS</t>
  </si>
  <si>
    <t>FINANCIERO</t>
  </si>
  <si>
    <t>TOTAL MES</t>
  </si>
  <si>
    <t>TOTAL AÑO</t>
  </si>
  <si>
    <t>Mantenimiento sede</t>
  </si>
  <si>
    <t>Desayuno</t>
  </si>
  <si>
    <t>Media mañana</t>
  </si>
  <si>
    <t>Almuerzo</t>
  </si>
  <si>
    <t>Media tarde</t>
  </si>
  <si>
    <t>Cena</t>
  </si>
  <si>
    <t>Merienda</t>
  </si>
  <si>
    <t>Concepto</t>
  </si>
  <si>
    <t>Valor</t>
  </si>
  <si>
    <t xml:space="preserve">Días de atención </t>
  </si>
  <si>
    <t>Julio</t>
  </si>
  <si>
    <t>Agosto</t>
  </si>
  <si>
    <t>Septiembre</t>
  </si>
  <si>
    <t>Octubre</t>
  </si>
  <si>
    <t>Noviembre</t>
  </si>
  <si>
    <t>Diciembre</t>
  </si>
  <si>
    <t>Días</t>
  </si>
  <si>
    <t>Valor por cupo</t>
  </si>
  <si>
    <t>Tipo vinculación</t>
  </si>
  <si>
    <t>Vinculados</t>
  </si>
  <si>
    <t>Prestación de servicios</t>
  </si>
  <si>
    <t>Impuesto de industria y comerico</t>
  </si>
  <si>
    <t>timbre</t>
  </si>
  <si>
    <t>BG</t>
  </si>
  <si>
    <t>Pólizas</t>
  </si>
  <si>
    <t>DIAS CALENDARIO</t>
  </si>
  <si>
    <t>DÍAS CONTABLES</t>
  </si>
  <si>
    <t xml:space="preserve">la atencion se da con base a meses corridos porque atiendo de lunes a lunes 24 horas </t>
  </si>
  <si>
    <t>Justificar esto en la propuesta, porque me vale esto cada adulto mayor. Los dias de atención VS valores de cada ración</t>
  </si>
  <si>
    <t>Seguridad Social</t>
  </si>
  <si>
    <t>ARL</t>
  </si>
  <si>
    <t>Caja de compensación</t>
  </si>
  <si>
    <t>SENA</t>
  </si>
  <si>
    <t>ICBF</t>
  </si>
  <si>
    <t>Cesantías</t>
  </si>
  <si>
    <t>Prima</t>
  </si>
  <si>
    <t>Intereses Cesantías</t>
  </si>
  <si>
    <t>Vacaciones</t>
  </si>
  <si>
    <t>Auxilio de transporte</t>
  </si>
  <si>
    <t xml:space="preserve">Recargos </t>
  </si>
  <si>
    <t>Dotación</t>
  </si>
  <si>
    <t>SST</t>
  </si>
  <si>
    <t>COSTO TOTAL PERSONAL</t>
  </si>
  <si>
    <t xml:space="preserve">dia </t>
  </si>
  <si>
    <t xml:space="preserve">Tecnólogo gerontologo </t>
  </si>
  <si>
    <t>contables</t>
  </si>
  <si>
    <t>COSTO PERSONAL</t>
  </si>
  <si>
    <t>COSTO TOTAL</t>
  </si>
  <si>
    <t>APORTE MUNICIPIO</t>
  </si>
  <si>
    <t>PERFIL</t>
  </si>
  <si>
    <t>Cantidad</t>
  </si>
  <si>
    <t>Salarios</t>
  </si>
  <si>
    <t>Perfil</t>
  </si>
  <si>
    <t>Salario</t>
  </si>
  <si>
    <t>TOTAL DÍAS DE ATENCIÓN</t>
  </si>
  <si>
    <t>ÍTEM</t>
  </si>
  <si>
    <t>Porcentaje</t>
  </si>
  <si>
    <t xml:space="preserve">COORDINADOR ADMINISTRATIVO </t>
  </si>
  <si>
    <t>ADULTO MAYOR</t>
  </si>
  <si>
    <t>MANTENIMIENTO CON INSUMOS PISCINA / JARDINERIA Y ROSERIA</t>
  </si>
  <si>
    <t>TRANSPORTE (CITAS, TRAMITES, TRASLADOS) TENER EN CUENTA PEAJES</t>
  </si>
  <si>
    <t xml:space="preserve">Gestora de enfermería </t>
  </si>
  <si>
    <t>Auxiliares en gerontología o cuidadores certificados / y/o Auxiliar de enfermería</t>
  </si>
  <si>
    <t>Total</t>
  </si>
  <si>
    <t>APORTE HUELLAS</t>
  </si>
  <si>
    <t>PORCENTAJE</t>
  </si>
  <si>
    <t>NATURALEZA APORTE</t>
  </si>
  <si>
    <t>ESPECIE</t>
  </si>
  <si>
    <t>MANTENIMIENTO PISCINA Y JARDINES (Mano de obra + insumos)</t>
  </si>
  <si>
    <t>APORTE ASOCIADO MÍNIMO</t>
  </si>
  <si>
    <t>ICA 10X1000</t>
  </si>
  <si>
    <t>APORTE ASOCIADO</t>
  </si>
  <si>
    <t>TOTAL CONVENIO</t>
  </si>
  <si>
    <t>VALOR</t>
  </si>
  <si>
    <t>junio</t>
  </si>
  <si>
    <t>COSTO/MES</t>
  </si>
  <si>
    <t>agosto</t>
  </si>
  <si>
    <t>septiembre</t>
  </si>
  <si>
    <t>octubre</t>
  </si>
  <si>
    <t>noviembre</t>
  </si>
  <si>
    <t>diciembre</t>
  </si>
  <si>
    <t>Junio</t>
  </si>
  <si>
    <t>MES</t>
  </si>
  <si>
    <t>DIA CONTABLE</t>
  </si>
  <si>
    <t>DIA CALENDARIO</t>
  </si>
  <si>
    <t>ENERO</t>
  </si>
  <si>
    <t>FEBRERO</t>
  </si>
  <si>
    <t>MARZO</t>
  </si>
  <si>
    <t xml:space="preserve">ABRIL </t>
  </si>
  <si>
    <t>MAYO</t>
  </si>
  <si>
    <t>JUNIO</t>
  </si>
  <si>
    <t>DIAS CONTABLES HATAS 12 DE JUNIO</t>
  </si>
  <si>
    <t>JULIO</t>
  </si>
  <si>
    <t>DIAS CORRIENTES</t>
  </si>
  <si>
    <t>AGOSTO</t>
  </si>
  <si>
    <t>SEPTIEMBRE</t>
  </si>
  <si>
    <t>OCTUBRE</t>
  </si>
  <si>
    <t>NOVIEMBRE</t>
  </si>
  <si>
    <t>DICIMEBRE</t>
  </si>
  <si>
    <t xml:space="preserve">CA-001-2026 INICIAL </t>
  </si>
  <si>
    <t>DIAS CALENDARIO HASTA EL 12 JUNIO</t>
  </si>
  <si>
    <t>CA-00X-2026 SEGUNDO SEMESTRE</t>
  </si>
  <si>
    <t>DIAS CONTABLES HATAS 31 DE DICIEMBRE</t>
  </si>
  <si>
    <t>DIAS CALENDARIO HASTA EL 31 DE DICIMEBRE</t>
  </si>
  <si>
    <t>Tipo de contrato (bien o servicio)</t>
  </si>
  <si>
    <t>Convenio de Asociación Régimen especial - Decreto 092 de 2017. (Convenio de Interés Público y Social)</t>
  </si>
  <si>
    <t>Objeto a contratar</t>
  </si>
  <si>
    <t>Aunar esfuerzos administrativos, técnicos y financieros para la prestación del servicio de atención integral de las personas mayores vulnerables del municipio de Copacabana, en la modalidad de cupo persona para la vigencia 2026, según los lineamientos establecidos por la Administración Municipal en el Plan de Desarrollo 2024- 2027 “Somos un Nuevo Aire”</t>
  </si>
  <si>
    <t>Cuantía estimada</t>
  </si>
  <si>
    <t>Fuente de financiación (si aplica)</t>
  </si>
  <si>
    <t xml:space="preserve"> 2024052120064-SLD-431-11001-ICLD
2024052120064-SLD-431-13001-Estampilla ProBienestar del anciano</t>
  </si>
  <si>
    <t>Fecha tentativa de inicio</t>
  </si>
  <si>
    <t>13 de junio de 2026</t>
  </si>
  <si>
    <t>Tiempo estimado de ejecución</t>
  </si>
  <si>
    <t>Doscientos dos (202) dias calendario</t>
  </si>
  <si>
    <t>5% INCREMENTO</t>
  </si>
  <si>
    <t>2 EUCARISTIAS</t>
  </si>
  <si>
    <t>4 HIDROAEROBICOS</t>
  </si>
  <si>
    <r>
      <t xml:space="preserve">ESPARCIMIENTO:
YOGA (4 AL MES)
CLASES DE HUERTA Y JARDINERIA (4 AL MES)
GIMNASIO (4 AL MES)
</t>
    </r>
    <r>
      <rPr>
        <sz val="11"/>
        <rFont val="Calibri"/>
        <family val="2"/>
        <scheme val="minor"/>
      </rPr>
      <t xml:space="preserve">MISAS </t>
    </r>
    <r>
      <rPr>
        <sz val="11"/>
        <color rgb="FFFF0000"/>
        <rFont val="Calibri"/>
        <family val="2"/>
        <scheme val="minor"/>
      </rPr>
      <t>(2 AL MES)</t>
    </r>
    <r>
      <rPr>
        <sz val="11"/>
        <color theme="1"/>
        <rFont val="Calibri"/>
        <family val="2"/>
        <scheme val="minor"/>
      </rPr>
      <t xml:space="preserve">
HIDROAEROBICOS (</t>
    </r>
    <r>
      <rPr>
        <sz val="11"/>
        <color rgb="FFFF0000"/>
        <rFont val="Calibri"/>
        <family val="2"/>
        <scheme val="minor"/>
      </rPr>
      <t>4 AL MES)</t>
    </r>
  </si>
  <si>
    <t>Gerontologo coordinador</t>
  </si>
  <si>
    <t>Enfermero en jefe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</si>
</sst>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4" formatCode="_-&quot;$&quot;\ * #,##0.00_-;\-&quot;$&quot;\ * #,##0.00_-;_-&quot;$&quot;\ * &quot;-&quot;??_-;_-@_-"/>
    <numFmt numFmtId="43" formatCode="_-* #,##0.00_-;\-* #,##0.00_-;_-* &quot;-&quot;??_-;_-@_-"/>
    <numFmt numFmtId="164" formatCode="_-&quot;$&quot;\ * #,##0_-;\-&quot;$&quot;\ * #,##0_-;_-&quot;$&quot;\ * &quot;-&quot;??_-;_-@_-"/>
    <numFmt numFmtId="165" formatCode="0.0%"/>
    <numFmt numFmtId="166" formatCode="0.000%"/>
    <numFmt numFmtId="167" formatCode="#,##0.000000000"/>
    <numFmt numFmtId="168" formatCode="0.00000%"/>
    <numFmt numFmtId="169" formatCode="&quot;$&quot;\ #,##0"/>
  </numFmts>
  <fonts count="16"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35"/>
      <color theme="1"/>
      <name val="Calibri"/>
      <family val="2"/>
      <scheme val="minor"/>
    </font>
    <font>
      <sz val="25"/>
      <color theme="1"/>
      <name val="Calibri"/>
      <family val="2"/>
      <scheme val="minor"/>
    </font>
    <font>
      <sz val="9"/>
      <color indexed="81"/>
      <name val="Tahoma"/>
      <family val="2"/>
    </font>
    <font>
      <b/>
      <sz val="9"/>
      <color indexed="81"/>
      <name val="Tahoma"/>
      <family val="2"/>
    </font>
    <font>
      <b/>
      <sz val="11"/>
      <color theme="0"/>
      <name val="Calibri"/>
      <family val="2"/>
      <scheme val="minor"/>
    </font>
    <font>
      <sz val="11"/>
      <color theme="0"/>
      <name val="Calibri"/>
      <family val="2"/>
      <scheme val="minor"/>
    </font>
    <font>
      <sz val="36"/>
      <color rgb="FFFF0000"/>
      <name val="Calibri"/>
      <family val="2"/>
      <scheme val="minor"/>
    </font>
    <font>
      <sz val="11"/>
      <name val="Calibri"/>
      <family val="2"/>
      <scheme val="minor"/>
    </font>
    <font>
      <b/>
      <sz val="9"/>
      <color rgb="FF000000"/>
      <name val="Tahoma"/>
      <family val="2"/>
    </font>
    <font>
      <sz val="9"/>
      <color rgb="FF000000"/>
      <name val="Tahoma"/>
      <family val="2"/>
    </font>
    <font>
      <b/>
      <sz val="11"/>
      <name val="Calibri"/>
      <family val="2"/>
      <scheme val="minor"/>
    </font>
    <font>
      <sz val="12"/>
      <color theme="1"/>
      <name val="Calibri"/>
      <family val="2"/>
      <scheme val="minor"/>
    </font>
  </fonts>
  <fills count="8">
    <fill>
      <patternFill patternType="none"/>
    </fill>
    <fill>
      <patternFill patternType="gray125"/>
    </fill>
    <fill>
      <patternFill patternType="solid">
        <fgColor theme="9" tint="0.79998168889431442"/>
        <bgColor indexed="64"/>
      </patternFill>
    </fill>
    <fill>
      <patternFill patternType="solid">
        <fgColor theme="8" tint="0.79998168889431442"/>
        <bgColor indexed="64"/>
      </patternFill>
    </fill>
    <fill>
      <patternFill patternType="solid">
        <fgColor theme="5" tint="0.59999389629810485"/>
        <bgColor indexed="64"/>
      </patternFill>
    </fill>
    <fill>
      <patternFill patternType="solid">
        <fgColor theme="0"/>
        <bgColor indexed="64"/>
      </patternFill>
    </fill>
    <fill>
      <patternFill patternType="solid">
        <fgColor theme="0" tint="-0.14999847407452621"/>
        <bgColor indexed="64"/>
      </patternFill>
    </fill>
    <fill>
      <patternFill patternType="solid">
        <fgColor theme="2" tint="-0.249977111117893"/>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top/>
      <bottom style="double">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double">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cellStyleXfs>
  <cellXfs count="158">
    <xf numFmtId="0" fontId="0" fillId="0" borderId="0" xfId="0"/>
    <xf numFmtId="4" fontId="0" fillId="0" borderId="0" xfId="0" applyNumberFormat="1"/>
    <xf numFmtId="0" fontId="3" fillId="0" borderId="1" xfId="0" applyFont="1" applyBorder="1" applyAlignment="1">
      <alignment horizontal="center" vertical="center" wrapText="1"/>
    </xf>
    <xf numFmtId="0" fontId="0" fillId="0" borderId="0" xfId="0" applyAlignment="1">
      <alignment vertical="center" wrapText="1"/>
    </xf>
    <xf numFmtId="4" fontId="3" fillId="0" borderId="1" xfId="0" applyNumberFormat="1"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0" xfId="0" applyFont="1" applyAlignment="1">
      <alignment horizontal="center" vertical="center" wrapText="1"/>
    </xf>
    <xf numFmtId="4" fontId="3" fillId="0" borderId="0" xfId="0" applyNumberFormat="1" applyFont="1" applyAlignment="1">
      <alignment horizontal="center" vertical="center" wrapText="1"/>
    </xf>
    <xf numFmtId="9" fontId="0" fillId="0" borderId="0" xfId="0" applyNumberFormat="1"/>
    <xf numFmtId="0" fontId="3" fillId="0" borderId="0" xfId="0" applyFont="1" applyAlignment="1">
      <alignment horizontal="center"/>
    </xf>
    <xf numFmtId="4" fontId="0" fillId="0" borderId="1" xfId="0" applyNumberFormat="1" applyBorder="1" applyAlignment="1">
      <alignment vertical="center" wrapText="1"/>
    </xf>
    <xf numFmtId="0" fontId="0" fillId="0" borderId="1" xfId="0" applyBorder="1" applyAlignment="1">
      <alignment vertical="center" wrapText="1"/>
    </xf>
    <xf numFmtId="4" fontId="8" fillId="0" borderId="0" xfId="0" applyNumberFormat="1" applyFont="1" applyAlignment="1">
      <alignment horizontal="center" vertical="center" wrapText="1"/>
    </xf>
    <xf numFmtId="43" fontId="3" fillId="0" borderId="6" xfId="1" applyFont="1" applyFill="1" applyBorder="1" applyAlignment="1">
      <alignment horizontal="center" vertical="center" wrapText="1"/>
    </xf>
    <xf numFmtId="0" fontId="0" fillId="0" borderId="0" xfId="0" applyAlignment="1">
      <alignment wrapText="1"/>
    </xf>
    <xf numFmtId="4" fontId="8" fillId="0" borderId="0" xfId="0" applyNumberFormat="1" applyFont="1" applyAlignment="1">
      <alignment wrapText="1"/>
    </xf>
    <xf numFmtId="4" fontId="8" fillId="0" borderId="0" xfId="0" applyNumberFormat="1" applyFont="1" applyAlignment="1">
      <alignment horizontal="center" wrapText="1"/>
    </xf>
    <xf numFmtId="4" fontId="0" fillId="0" borderId="0" xfId="0" applyNumberFormat="1" applyAlignment="1">
      <alignment wrapText="1"/>
    </xf>
    <xf numFmtId="4" fontId="11" fillId="0" borderId="1" xfId="0" applyNumberFormat="1" applyFont="1" applyBorder="1" applyAlignment="1">
      <alignment horizontal="center" wrapText="1"/>
    </xf>
    <xf numFmtId="4" fontId="9" fillId="0" borderId="0" xfId="0" applyNumberFormat="1" applyFont="1" applyAlignment="1">
      <alignment horizontal="center" wrapText="1"/>
    </xf>
    <xf numFmtId="4" fontId="0" fillId="0" borderId="0" xfId="0" applyNumberFormat="1" applyAlignment="1">
      <alignment horizontal="center" wrapText="1"/>
    </xf>
    <xf numFmtId="10" fontId="0" fillId="0" borderId="0" xfId="2" applyNumberFormat="1" applyFont="1" applyAlignment="1">
      <alignment horizontal="center" wrapText="1"/>
    </xf>
    <xf numFmtId="10" fontId="9" fillId="0" borderId="0" xfId="2" applyNumberFormat="1" applyFont="1" applyBorder="1" applyAlignment="1">
      <alignment horizontal="center" wrapText="1"/>
    </xf>
    <xf numFmtId="0" fontId="9" fillId="0" borderId="0" xfId="0" applyFont="1" applyAlignment="1">
      <alignment horizontal="center" wrapText="1"/>
    </xf>
    <xf numFmtId="4" fontId="0" fillId="0" borderId="1" xfId="0" applyNumberFormat="1" applyBorder="1" applyAlignment="1">
      <alignment horizontal="center" wrapText="1"/>
    </xf>
    <xf numFmtId="10" fontId="0" fillId="0" borderId="1" xfId="2" applyNumberFormat="1" applyFont="1" applyBorder="1" applyAlignment="1">
      <alignment horizontal="center" wrapText="1"/>
    </xf>
    <xf numFmtId="10" fontId="0" fillId="0" borderId="0" xfId="0" applyNumberFormat="1" applyAlignment="1">
      <alignment horizontal="center" wrapText="1"/>
    </xf>
    <xf numFmtId="4" fontId="3" fillId="0" borderId="0" xfId="0" applyNumberFormat="1" applyFont="1" applyAlignment="1">
      <alignment wrapText="1"/>
    </xf>
    <xf numFmtId="4" fontId="2" fillId="0" borderId="1" xfId="0" applyNumberFormat="1" applyFont="1" applyBorder="1" applyAlignment="1">
      <alignment horizontal="center" wrapText="1"/>
    </xf>
    <xf numFmtId="4" fontId="0" fillId="0" borderId="1" xfId="0" applyNumberFormat="1" applyBorder="1" applyAlignment="1">
      <alignment wrapText="1"/>
    </xf>
    <xf numFmtId="4" fontId="0" fillId="0" borderId="0" xfId="0" applyNumberFormat="1" applyAlignment="1">
      <alignment horizontal="left" wrapText="1"/>
    </xf>
    <xf numFmtId="0" fontId="0" fillId="0" borderId="0" xfId="0" applyAlignment="1">
      <alignment horizontal="left" wrapText="1"/>
    </xf>
    <xf numFmtId="0" fontId="0" fillId="0" borderId="1" xfId="0" applyBorder="1" applyAlignment="1">
      <alignment wrapText="1"/>
    </xf>
    <xf numFmtId="4" fontId="3" fillId="0" borderId="0" xfId="0" applyNumberFormat="1" applyFont="1" applyAlignment="1">
      <alignment vertical="center" wrapText="1"/>
    </xf>
    <xf numFmtId="0" fontId="3" fillId="0" borderId="0" xfId="0" applyFont="1" applyAlignment="1">
      <alignment vertical="center" wrapText="1"/>
    </xf>
    <xf numFmtId="0" fontId="0" fillId="0" borderId="3" xfId="0" applyBorder="1" applyAlignment="1">
      <alignment wrapText="1"/>
    </xf>
    <xf numFmtId="164" fontId="0" fillId="0" borderId="4" xfId="3" applyNumberFormat="1" applyFont="1" applyBorder="1" applyAlignment="1">
      <alignment wrapText="1"/>
    </xf>
    <xf numFmtId="4" fontId="5" fillId="0" borderId="0" xfId="0" applyNumberFormat="1" applyFont="1" applyAlignment="1">
      <alignment horizontal="center" vertical="center" wrapText="1"/>
    </xf>
    <xf numFmtId="4" fontId="9" fillId="0" borderId="0" xfId="0" applyNumberFormat="1" applyFont="1" applyAlignment="1">
      <alignment wrapText="1"/>
    </xf>
    <xf numFmtId="0" fontId="8" fillId="0" borderId="0" xfId="0" applyFont="1" applyAlignment="1">
      <alignment horizontal="center" vertical="center" wrapText="1"/>
    </xf>
    <xf numFmtId="10" fontId="9" fillId="0" borderId="0" xfId="2" applyNumberFormat="1" applyFont="1" applyFill="1" applyBorder="1" applyAlignment="1">
      <alignment horizontal="center" wrapText="1"/>
    </xf>
    <xf numFmtId="10" fontId="9" fillId="0" borderId="0" xfId="0" applyNumberFormat="1" applyFont="1" applyAlignment="1">
      <alignment horizontal="center" wrapText="1"/>
    </xf>
    <xf numFmtId="4" fontId="0" fillId="0" borderId="3" xfId="0" applyNumberFormat="1" applyBorder="1" applyAlignment="1">
      <alignment horizontal="center" wrapText="1"/>
    </xf>
    <xf numFmtId="3" fontId="0" fillId="0" borderId="0" xfId="0" applyNumberFormat="1" applyAlignment="1">
      <alignment wrapText="1"/>
    </xf>
    <xf numFmtId="4" fontId="3" fillId="0" borderId="4" xfId="0" applyNumberFormat="1" applyFont="1" applyBorder="1" applyAlignment="1">
      <alignment horizontal="center" vertical="center" wrapText="1"/>
    </xf>
    <xf numFmtId="44" fontId="3" fillId="0" borderId="6" xfId="3" applyFont="1" applyFill="1" applyBorder="1" applyAlignment="1">
      <alignment horizontal="center" vertical="center" wrapText="1"/>
    </xf>
    <xf numFmtId="44" fontId="0" fillId="0" borderId="0" xfId="3" applyFont="1" applyFill="1" applyAlignment="1">
      <alignment vertical="center" wrapText="1"/>
    </xf>
    <xf numFmtId="0" fontId="0" fillId="2" borderId="0" xfId="0" applyFill="1" applyAlignment="1">
      <alignment vertical="center" wrapText="1"/>
    </xf>
    <xf numFmtId="2" fontId="0" fillId="2" borderId="0" xfId="0" applyNumberFormat="1" applyFill="1" applyAlignment="1">
      <alignment horizontal="center" vertical="center" wrapText="1"/>
    </xf>
    <xf numFmtId="44" fontId="0" fillId="2" borderId="0" xfId="3" applyFont="1" applyFill="1" applyAlignment="1">
      <alignment horizontal="center" vertical="center" wrapText="1"/>
    </xf>
    <xf numFmtId="2" fontId="0" fillId="2" borderId="2" xfId="0" applyNumberFormat="1" applyFill="1" applyBorder="1" applyAlignment="1">
      <alignment horizontal="center" vertical="center" wrapText="1"/>
    </xf>
    <xf numFmtId="0" fontId="0" fillId="3" borderId="0" xfId="0" applyFill="1" applyAlignment="1">
      <alignment vertical="center" wrapText="1"/>
    </xf>
    <xf numFmtId="2" fontId="0" fillId="3" borderId="0" xfId="0" applyNumberFormat="1" applyFill="1" applyAlignment="1">
      <alignment horizontal="center" vertical="center" wrapText="1"/>
    </xf>
    <xf numFmtId="44" fontId="0" fillId="3" borderId="0" xfId="3" applyFont="1" applyFill="1" applyAlignment="1">
      <alignment horizontal="center" vertical="center" wrapText="1"/>
    </xf>
    <xf numFmtId="4" fontId="3" fillId="0" borderId="0" xfId="0" applyNumberFormat="1" applyFont="1" applyAlignment="1">
      <alignment horizontal="center" wrapText="1"/>
    </xf>
    <xf numFmtId="4" fontId="2" fillId="0" borderId="0" xfId="0" applyNumberFormat="1" applyFont="1" applyAlignment="1">
      <alignment wrapText="1"/>
    </xf>
    <xf numFmtId="0" fontId="0" fillId="2" borderId="2" xfId="0" applyFill="1" applyBorder="1" applyAlignment="1">
      <alignment vertical="center" wrapText="1"/>
    </xf>
    <xf numFmtId="4" fontId="0" fillId="0" borderId="0" xfId="0" applyNumberFormat="1" applyAlignment="1">
      <alignment vertical="center" wrapText="1"/>
    </xf>
    <xf numFmtId="10" fontId="0" fillId="0" borderId="0" xfId="2" applyNumberFormat="1" applyFont="1" applyAlignment="1">
      <alignment wrapText="1"/>
    </xf>
    <xf numFmtId="9" fontId="0" fillId="0" borderId="0" xfId="2" applyFont="1"/>
    <xf numFmtId="0" fontId="0" fillId="0" borderId="0" xfId="0" applyAlignment="1">
      <alignment horizontal="center"/>
    </xf>
    <xf numFmtId="0" fontId="3" fillId="4" borderId="0" xfId="0" applyFont="1" applyFill="1"/>
    <xf numFmtId="0" fontId="3" fillId="4" borderId="0" xfId="0" applyFont="1" applyFill="1" applyAlignment="1">
      <alignment horizontal="center"/>
    </xf>
    <xf numFmtId="4" fontId="0" fillId="2" borderId="0" xfId="0" applyNumberFormat="1" applyFill="1" applyAlignment="1">
      <alignment vertical="center" wrapText="1"/>
    </xf>
    <xf numFmtId="0" fontId="0" fillId="2" borderId="0" xfId="0" applyFill="1" applyAlignment="1">
      <alignment horizontal="center" vertical="center" wrapText="1"/>
    </xf>
    <xf numFmtId="4" fontId="4" fillId="0" borderId="0" xfId="0" applyNumberFormat="1" applyFont="1" applyAlignment="1">
      <alignment vertical="center" wrapText="1"/>
    </xf>
    <xf numFmtId="10" fontId="0" fillId="0" borderId="0" xfId="0" applyNumberFormat="1"/>
    <xf numFmtId="10" fontId="0" fillId="0" borderId="0" xfId="2" applyNumberFormat="1" applyFont="1"/>
    <xf numFmtId="0" fontId="3" fillId="0" borderId="0" xfId="0" applyFont="1"/>
    <xf numFmtId="165" fontId="0" fillId="0" borderId="0" xfId="2" applyNumberFormat="1" applyFont="1" applyAlignment="1">
      <alignment horizontal="center" vertical="center" wrapText="1"/>
    </xf>
    <xf numFmtId="10" fontId="0" fillId="0" borderId="0" xfId="2" applyNumberFormat="1" applyFont="1" applyAlignment="1">
      <alignment horizontal="center" vertical="center" wrapText="1"/>
    </xf>
    <xf numFmtId="166" fontId="0" fillId="0" borderId="0" xfId="2" applyNumberFormat="1" applyFont="1" applyAlignment="1">
      <alignment horizontal="center" vertical="center" wrapText="1"/>
    </xf>
    <xf numFmtId="0" fontId="0" fillId="0" borderId="0" xfId="0" applyAlignment="1">
      <alignment horizontal="center" vertical="center" wrapText="1"/>
    </xf>
    <xf numFmtId="44" fontId="0" fillId="0" borderId="0" xfId="3" applyFont="1" applyAlignment="1">
      <alignment vertical="center" wrapText="1"/>
    </xf>
    <xf numFmtId="44" fontId="0" fillId="0" borderId="0" xfId="0" applyNumberFormat="1" applyAlignment="1">
      <alignment horizontal="center" vertical="center" wrapText="1"/>
    </xf>
    <xf numFmtId="9" fontId="0" fillId="0" borderId="0" xfId="0" applyNumberFormat="1" applyAlignment="1">
      <alignment horizontal="center" vertical="center" wrapText="1"/>
    </xf>
    <xf numFmtId="10" fontId="0" fillId="0" borderId="0" xfId="0" applyNumberFormat="1" applyAlignment="1">
      <alignment horizontal="center" vertical="center" wrapText="1"/>
    </xf>
    <xf numFmtId="0" fontId="3" fillId="5" borderId="0" xfId="0" applyFont="1" applyFill="1" applyAlignment="1">
      <alignment vertical="center" wrapText="1"/>
    </xf>
    <xf numFmtId="0" fontId="0" fillId="5" borderId="1" xfId="0" applyFill="1" applyBorder="1" applyAlignment="1">
      <alignment vertical="center" wrapText="1"/>
    </xf>
    <xf numFmtId="44" fontId="0" fillId="0" borderId="0" xfId="3" applyFont="1"/>
    <xf numFmtId="4" fontId="0" fillId="3" borderId="0" xfId="0" applyNumberFormat="1" applyFill="1" applyAlignment="1">
      <alignment vertical="center" wrapText="1"/>
    </xf>
    <xf numFmtId="165" fontId="0" fillId="0" borderId="0" xfId="2" applyNumberFormat="1" applyFont="1" applyFill="1" applyAlignment="1">
      <alignment horizontal="center" vertical="center" wrapText="1"/>
    </xf>
    <xf numFmtId="166" fontId="0" fillId="0" borderId="0" xfId="2" applyNumberFormat="1" applyFont="1" applyFill="1" applyAlignment="1">
      <alignment horizontal="center" vertical="center" wrapText="1"/>
    </xf>
    <xf numFmtId="0" fontId="0" fillId="0" borderId="1" xfId="0" applyBorder="1" applyAlignment="1">
      <alignment horizontal="center" vertical="center" wrapText="1"/>
    </xf>
    <xf numFmtId="9" fontId="3" fillId="0" borderId="1" xfId="0" applyNumberFormat="1" applyFont="1" applyBorder="1" applyAlignment="1">
      <alignment horizontal="center" vertical="center" wrapText="1"/>
    </xf>
    <xf numFmtId="43" fontId="0" fillId="0" borderId="1" xfId="1" applyFont="1" applyBorder="1" applyAlignment="1">
      <alignment vertical="center" wrapText="1"/>
    </xf>
    <xf numFmtId="43" fontId="0" fillId="0" borderId="1" xfId="1" applyFont="1" applyFill="1" applyBorder="1" applyAlignment="1">
      <alignment vertical="center" wrapText="1"/>
    </xf>
    <xf numFmtId="43" fontId="3" fillId="0" borderId="1" xfId="1" applyFont="1" applyBorder="1" applyAlignment="1">
      <alignment vertical="center" wrapText="1"/>
    </xf>
    <xf numFmtId="44" fontId="3" fillId="0" borderId="1" xfId="0" applyNumberFormat="1" applyFont="1" applyBorder="1" applyAlignment="1">
      <alignment horizontal="center" vertical="center" wrapText="1"/>
    </xf>
    <xf numFmtId="0" fontId="3" fillId="5" borderId="1" xfId="0" applyFont="1" applyFill="1" applyBorder="1" applyAlignment="1">
      <alignment horizontal="center" vertical="center" wrapText="1"/>
    </xf>
    <xf numFmtId="165" fontId="3" fillId="0" borderId="1" xfId="0" applyNumberFormat="1" applyFont="1" applyBorder="1" applyAlignment="1">
      <alignment horizontal="center" vertical="center" wrapText="1"/>
    </xf>
    <xf numFmtId="0" fontId="0" fillId="0" borderId="1" xfId="0" applyBorder="1"/>
    <xf numFmtId="43" fontId="0" fillId="0" borderId="1" xfId="1" applyFont="1" applyBorder="1"/>
    <xf numFmtId="4" fontId="0" fillId="0" borderId="1" xfId="0" applyNumberFormat="1" applyBorder="1"/>
    <xf numFmtId="4" fontId="3" fillId="0" borderId="1" xfId="0" applyNumberFormat="1" applyFont="1" applyBorder="1"/>
    <xf numFmtId="0" fontId="3" fillId="4" borderId="1" xfId="0" applyFont="1" applyFill="1" applyBorder="1" applyAlignment="1">
      <alignment horizontal="center" vertical="center"/>
    </xf>
    <xf numFmtId="4" fontId="3" fillId="4" borderId="1" xfId="0" applyNumberFormat="1" applyFont="1" applyFill="1" applyBorder="1" applyAlignment="1">
      <alignment horizontal="center" vertical="center" wrapText="1"/>
    </xf>
    <xf numFmtId="43" fontId="3" fillId="0" borderId="1" xfId="1" applyFont="1" applyFill="1" applyBorder="1" applyAlignment="1">
      <alignment vertical="center" wrapText="1"/>
    </xf>
    <xf numFmtId="44" fontId="3" fillId="0" borderId="1" xfId="0" applyNumberFormat="1" applyFont="1" applyBorder="1"/>
    <xf numFmtId="43" fontId="0" fillId="0" borderId="1" xfId="1" applyFont="1" applyBorder="1" applyAlignment="1">
      <alignment horizontal="center" vertical="center" wrapText="1"/>
    </xf>
    <xf numFmtId="43" fontId="0" fillId="0" borderId="1" xfId="1" applyFont="1" applyBorder="1" applyAlignment="1">
      <alignment wrapText="1"/>
    </xf>
    <xf numFmtId="43" fontId="0" fillId="5" borderId="1" xfId="1" applyFont="1" applyFill="1" applyBorder="1" applyAlignment="1">
      <alignment horizontal="center" vertical="center" wrapText="1"/>
    </xf>
    <xf numFmtId="0" fontId="3" fillId="0" borderId="1" xfId="0" applyFont="1" applyBorder="1" applyAlignment="1">
      <alignment vertical="center" wrapText="1"/>
    </xf>
    <xf numFmtId="0" fontId="3" fillId="0" borderId="3" xfId="0" applyFont="1" applyBorder="1"/>
    <xf numFmtId="0" fontId="3" fillId="0" borderId="1" xfId="0" applyFont="1" applyBorder="1"/>
    <xf numFmtId="3" fontId="0" fillId="0" borderId="1" xfId="0" applyNumberFormat="1" applyBorder="1"/>
    <xf numFmtId="10" fontId="0" fillId="0" borderId="1" xfId="2" applyNumberFormat="1" applyFont="1" applyBorder="1"/>
    <xf numFmtId="10" fontId="3" fillId="0" borderId="1" xfId="0" applyNumberFormat="1" applyFont="1" applyBorder="1"/>
    <xf numFmtId="167" fontId="0" fillId="0" borderId="0" xfId="0" applyNumberFormat="1"/>
    <xf numFmtId="43" fontId="0" fillId="5" borderId="1" xfId="1" applyFont="1" applyFill="1" applyBorder="1" applyAlignment="1">
      <alignment wrapText="1"/>
    </xf>
    <xf numFmtId="43" fontId="0" fillId="0" borderId="0" xfId="0" applyNumberFormat="1" applyAlignment="1">
      <alignment wrapText="1"/>
    </xf>
    <xf numFmtId="43" fontId="3" fillId="0" borderId="9" xfId="1" applyFont="1" applyBorder="1" applyAlignment="1">
      <alignment wrapText="1"/>
    </xf>
    <xf numFmtId="43" fontId="3" fillId="0" borderId="7" xfId="1" applyFont="1" applyBorder="1" applyAlignment="1">
      <alignment wrapText="1"/>
    </xf>
    <xf numFmtId="168" fontId="0" fillId="0" borderId="0" xfId="2" applyNumberFormat="1" applyFont="1"/>
    <xf numFmtId="10" fontId="3" fillId="0" borderId="1" xfId="2" applyNumberFormat="1" applyFont="1" applyBorder="1"/>
    <xf numFmtId="165" fontId="0" fillId="0" borderId="0" xfId="2" applyNumberFormat="1" applyFont="1"/>
    <xf numFmtId="14" fontId="0" fillId="0" borderId="0" xfId="0" applyNumberFormat="1" applyAlignment="1">
      <alignment wrapText="1"/>
    </xf>
    <xf numFmtId="0" fontId="11" fillId="0" borderId="1" xfId="0" applyFont="1" applyBorder="1" applyAlignment="1">
      <alignment wrapText="1"/>
    </xf>
    <xf numFmtId="4" fontId="11" fillId="0" borderId="1" xfId="0" applyNumberFormat="1" applyFont="1" applyBorder="1" applyAlignment="1">
      <alignment wrapText="1"/>
    </xf>
    <xf numFmtId="10" fontId="11" fillId="0" borderId="1" xfId="2" applyNumberFormat="1" applyFont="1" applyBorder="1" applyAlignment="1">
      <alignment wrapText="1"/>
    </xf>
    <xf numFmtId="0" fontId="14" fillId="0" borderId="1" xfId="0" applyFont="1" applyBorder="1" applyAlignment="1">
      <alignment horizontal="center" wrapText="1"/>
    </xf>
    <xf numFmtId="4" fontId="14" fillId="0" borderId="1" xfId="0" applyNumberFormat="1" applyFont="1" applyBorder="1" applyAlignment="1">
      <alignment horizontal="center" wrapText="1"/>
    </xf>
    <xf numFmtId="14" fontId="3" fillId="0" borderId="0" xfId="0" applyNumberFormat="1" applyFont="1" applyAlignment="1">
      <alignment wrapText="1"/>
    </xf>
    <xf numFmtId="14" fontId="0" fillId="0" borderId="0" xfId="0" applyNumberFormat="1" applyAlignment="1">
      <alignment horizontal="left" wrapText="1"/>
    </xf>
    <xf numFmtId="4" fontId="15" fillId="0" borderId="0" xfId="0" applyNumberFormat="1" applyFont="1" applyAlignment="1">
      <alignment vertical="center" wrapText="1"/>
    </xf>
    <xf numFmtId="10" fontId="0" fillId="0" borderId="0" xfId="0" applyNumberFormat="1" applyAlignment="1">
      <alignment vertical="center" wrapText="1"/>
    </xf>
    <xf numFmtId="0" fontId="3" fillId="0" borderId="1" xfId="0" applyFont="1" applyBorder="1" applyAlignment="1">
      <alignment horizontal="center"/>
    </xf>
    <xf numFmtId="0" fontId="0" fillId="0" borderId="1" xfId="0" applyBorder="1" applyAlignment="1">
      <alignment horizontal="center"/>
    </xf>
    <xf numFmtId="0" fontId="3" fillId="6" borderId="1" xfId="0" applyFont="1" applyFill="1" applyBorder="1" applyAlignment="1">
      <alignment horizontal="center"/>
    </xf>
    <xf numFmtId="169" fontId="0" fillId="0" borderId="1" xfId="0" applyNumberFormat="1" applyBorder="1"/>
    <xf numFmtId="4" fontId="11" fillId="0" borderId="0" xfId="0" applyNumberFormat="1" applyFont="1" applyAlignment="1">
      <alignment wrapText="1"/>
    </xf>
    <xf numFmtId="4" fontId="2" fillId="0" borderId="1" xfId="0" applyNumberFormat="1" applyFont="1" applyBorder="1"/>
    <xf numFmtId="4" fontId="3" fillId="0" borderId="1" xfId="0" applyNumberFormat="1" applyFont="1" applyBorder="1" applyAlignment="1">
      <alignment horizontal="center" wrapText="1"/>
    </xf>
    <xf numFmtId="4" fontId="3" fillId="0" borderId="0" xfId="0" applyNumberFormat="1" applyFont="1" applyAlignment="1">
      <alignment horizontal="center" vertical="center" wrapText="1"/>
    </xf>
    <xf numFmtId="4" fontId="8" fillId="0" borderId="0" xfId="0" applyNumberFormat="1" applyFont="1" applyAlignment="1">
      <alignment horizontal="center" wrapText="1"/>
    </xf>
    <xf numFmtId="4" fontId="10" fillId="0" borderId="0" xfId="0" applyNumberFormat="1" applyFont="1" applyAlignment="1">
      <alignment horizontal="left" wrapText="1"/>
    </xf>
    <xf numFmtId="4" fontId="3" fillId="0" borderId="0" xfId="0" applyNumberFormat="1" applyFont="1" applyAlignment="1">
      <alignment horizontal="left" wrapText="1"/>
    </xf>
    <xf numFmtId="0" fontId="3" fillId="0" borderId="1" xfId="0" applyFont="1" applyBorder="1" applyAlignment="1">
      <alignment horizontal="center"/>
    </xf>
    <xf numFmtId="0" fontId="0" fillId="0" borderId="1" xfId="0" applyBorder="1" applyAlignment="1">
      <alignment horizontal="center"/>
    </xf>
    <xf numFmtId="43" fontId="0" fillId="0" borderId="0" xfId="0" applyNumberFormat="1"/>
    <xf numFmtId="0" fontId="3" fillId="7" borderId="1" xfId="0" applyFont="1" applyFill="1" applyBorder="1" applyAlignment="1">
      <alignment horizontal="center" vertical="center" wrapText="1"/>
    </xf>
    <xf numFmtId="4" fontId="3" fillId="7" borderId="1" xfId="0" applyNumberFormat="1" applyFont="1" applyFill="1" applyBorder="1" applyAlignment="1">
      <alignment horizontal="center" vertical="center" wrapText="1"/>
    </xf>
    <xf numFmtId="0" fontId="3" fillId="7" borderId="1" xfId="0" applyFont="1" applyFill="1" applyBorder="1" applyAlignment="1">
      <alignment horizontal="center" wrapText="1"/>
    </xf>
    <xf numFmtId="4" fontId="3" fillId="7" borderId="3" xfId="0" applyNumberFormat="1" applyFont="1" applyFill="1" applyBorder="1" applyAlignment="1">
      <alignment horizontal="center" wrapText="1"/>
    </xf>
    <xf numFmtId="4" fontId="3" fillId="7" borderId="1" xfId="0" applyNumberFormat="1" applyFont="1" applyFill="1" applyBorder="1" applyAlignment="1">
      <alignment horizontal="center" wrapText="1"/>
    </xf>
    <xf numFmtId="10" fontId="3" fillId="7" borderId="8" xfId="2" applyNumberFormat="1" applyFont="1" applyFill="1" applyBorder="1" applyAlignment="1">
      <alignment horizontal="center" wrapText="1"/>
    </xf>
    <xf numFmtId="0" fontId="3" fillId="7" borderId="1" xfId="0" applyFont="1" applyFill="1" applyBorder="1" applyAlignment="1">
      <alignment horizontal="right" wrapText="1"/>
    </xf>
    <xf numFmtId="0" fontId="3" fillId="7" borderId="7" xfId="0" applyFont="1" applyFill="1" applyBorder="1" applyAlignment="1">
      <alignment horizontal="right" vertical="center" wrapText="1"/>
    </xf>
    <xf numFmtId="43" fontId="3" fillId="7" borderId="7" xfId="1" applyFont="1" applyFill="1" applyBorder="1" applyAlignment="1">
      <alignment horizontal="center" vertical="center" wrapText="1"/>
    </xf>
    <xf numFmtId="43" fontId="3" fillId="7" borderId="1" xfId="3" applyNumberFormat="1" applyFont="1" applyFill="1" applyBorder="1" applyAlignment="1">
      <alignment horizontal="center" vertical="center" wrapText="1"/>
    </xf>
    <xf numFmtId="0" fontId="3" fillId="7" borderId="3" xfId="0" applyFont="1" applyFill="1" applyBorder="1" applyAlignment="1">
      <alignment horizontal="center" wrapText="1"/>
    </xf>
    <xf numFmtId="0" fontId="3" fillId="7" borderId="5" xfId="0" applyFont="1" applyFill="1" applyBorder="1" applyAlignment="1">
      <alignment horizontal="center" wrapText="1"/>
    </xf>
    <xf numFmtId="0" fontId="3" fillId="7" borderId="9" xfId="0" applyFont="1" applyFill="1" applyBorder="1" applyAlignment="1">
      <alignment horizontal="right" wrapText="1"/>
    </xf>
    <xf numFmtId="0" fontId="0" fillId="7" borderId="1" xfId="0" applyFill="1" applyBorder="1" applyAlignment="1">
      <alignment wrapText="1"/>
    </xf>
    <xf numFmtId="0" fontId="14" fillId="7" borderId="1" xfId="0" applyFont="1" applyFill="1" applyBorder="1" applyAlignment="1">
      <alignment horizontal="center" wrapText="1"/>
    </xf>
    <xf numFmtId="0" fontId="11" fillId="7" borderId="1" xfId="0" applyFont="1" applyFill="1" applyBorder="1" applyAlignment="1">
      <alignment wrapText="1"/>
    </xf>
    <xf numFmtId="4" fontId="14" fillId="7" borderId="1" xfId="0" applyNumberFormat="1" applyFont="1" applyFill="1" applyBorder="1" applyAlignment="1">
      <alignment horizontal="center" wrapText="1"/>
    </xf>
  </cellXfs>
  <cellStyles count="4">
    <cellStyle name="Millares" xfId="1" builtinId="3"/>
    <cellStyle name="Moneda" xfId="3"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5:N75"/>
  <sheetViews>
    <sheetView workbookViewId="0">
      <selection activeCell="D14" sqref="D14"/>
    </sheetView>
  </sheetViews>
  <sheetFormatPr baseColWidth="10" defaultRowHeight="15" x14ac:dyDescent="0.25"/>
  <cols>
    <col min="3" max="3" width="14.42578125" customWidth="1"/>
    <col min="4" max="4" width="14.85546875" customWidth="1"/>
    <col min="5" max="5" width="17.7109375" customWidth="1"/>
    <col min="8" max="8" width="33.140625" customWidth="1"/>
    <col min="12" max="12" width="34" customWidth="1"/>
    <col min="13" max="13" width="52.85546875" customWidth="1"/>
  </cols>
  <sheetData>
    <row r="5" spans="3:8" x14ac:dyDescent="0.25">
      <c r="C5" s="129" t="s">
        <v>125</v>
      </c>
      <c r="D5" s="129" t="s">
        <v>126</v>
      </c>
      <c r="E5" s="129" t="s">
        <v>127</v>
      </c>
    </row>
    <row r="6" spans="3:8" x14ac:dyDescent="0.25">
      <c r="C6" s="92" t="s">
        <v>128</v>
      </c>
      <c r="D6" s="128"/>
      <c r="E6" s="128"/>
    </row>
    <row r="7" spans="3:8" x14ac:dyDescent="0.25">
      <c r="C7" s="92" t="s">
        <v>129</v>
      </c>
      <c r="D7" s="128"/>
      <c r="E7" s="128"/>
    </row>
    <row r="8" spans="3:8" x14ac:dyDescent="0.25">
      <c r="C8" s="92" t="s">
        <v>130</v>
      </c>
      <c r="D8" s="128"/>
      <c r="E8" s="128"/>
    </row>
    <row r="9" spans="3:8" x14ac:dyDescent="0.25">
      <c r="C9" s="92" t="s">
        <v>131</v>
      </c>
      <c r="D9" s="128"/>
      <c r="E9" s="128"/>
    </row>
    <row r="10" spans="3:8" x14ac:dyDescent="0.25">
      <c r="C10" s="92" t="s">
        <v>132</v>
      </c>
      <c r="D10" s="128"/>
      <c r="E10" s="128"/>
    </row>
    <row r="11" spans="3:8" x14ac:dyDescent="0.25">
      <c r="C11" s="92" t="s">
        <v>133</v>
      </c>
      <c r="D11" s="128"/>
      <c r="E11" s="128"/>
      <c r="G11">
        <v>162</v>
      </c>
      <c r="H11" t="s">
        <v>134</v>
      </c>
    </row>
    <row r="12" spans="3:8" x14ac:dyDescent="0.25">
      <c r="C12" s="92" t="s">
        <v>135</v>
      </c>
      <c r="D12" s="128"/>
      <c r="E12" s="128"/>
      <c r="G12">
        <v>163</v>
      </c>
      <c r="H12" t="s">
        <v>136</v>
      </c>
    </row>
    <row r="13" spans="3:8" x14ac:dyDescent="0.25">
      <c r="C13" s="92" t="s">
        <v>137</v>
      </c>
      <c r="D13" s="128">
        <v>0</v>
      </c>
      <c r="E13" s="128">
        <v>0</v>
      </c>
    </row>
    <row r="14" spans="3:8" x14ac:dyDescent="0.25">
      <c r="C14" s="92" t="s">
        <v>138</v>
      </c>
      <c r="D14" s="128">
        <v>30</v>
      </c>
      <c r="E14" s="128">
        <v>30</v>
      </c>
    </row>
    <row r="15" spans="3:8" x14ac:dyDescent="0.25">
      <c r="C15" s="92" t="s">
        <v>139</v>
      </c>
      <c r="D15" s="128">
        <v>30</v>
      </c>
      <c r="E15" s="128">
        <v>31</v>
      </c>
    </row>
    <row r="16" spans="3:8" x14ac:dyDescent="0.25">
      <c r="C16" s="92" t="s">
        <v>140</v>
      </c>
      <c r="D16" s="128">
        <v>30</v>
      </c>
      <c r="E16" s="128">
        <v>30</v>
      </c>
    </row>
    <row r="17" spans="3:8" x14ac:dyDescent="0.25">
      <c r="C17" s="92" t="s">
        <v>141</v>
      </c>
      <c r="D17" s="128">
        <v>30</v>
      </c>
      <c r="E17" s="128">
        <v>31</v>
      </c>
    </row>
    <row r="18" spans="3:8" x14ac:dyDescent="0.25">
      <c r="C18" s="92"/>
      <c r="D18" s="127">
        <f>SUM(D6:D17)</f>
        <v>120</v>
      </c>
      <c r="E18" s="127">
        <f>SUM(E6:E17)</f>
        <v>122</v>
      </c>
    </row>
    <row r="22" spans="3:8" x14ac:dyDescent="0.25">
      <c r="C22" s="129" t="s">
        <v>125</v>
      </c>
      <c r="D22" s="129" t="s">
        <v>126</v>
      </c>
      <c r="E22" s="129" t="s">
        <v>127</v>
      </c>
    </row>
    <row r="23" spans="3:8" x14ac:dyDescent="0.25">
      <c r="C23" s="92" t="s">
        <v>128</v>
      </c>
      <c r="D23" s="128">
        <v>30</v>
      </c>
      <c r="E23" s="128">
        <v>31</v>
      </c>
    </row>
    <row r="24" spans="3:8" x14ac:dyDescent="0.25">
      <c r="C24" s="92" t="s">
        <v>129</v>
      </c>
      <c r="D24" s="128">
        <v>30</v>
      </c>
      <c r="E24" s="128">
        <v>28</v>
      </c>
    </row>
    <row r="25" spans="3:8" x14ac:dyDescent="0.25">
      <c r="C25" s="92" t="s">
        <v>130</v>
      </c>
      <c r="D25" s="128">
        <v>30</v>
      </c>
      <c r="E25" s="128">
        <v>31</v>
      </c>
    </row>
    <row r="26" spans="3:8" x14ac:dyDescent="0.25">
      <c r="C26" s="92" t="s">
        <v>131</v>
      </c>
      <c r="D26" s="128">
        <v>30</v>
      </c>
      <c r="E26" s="128">
        <v>30</v>
      </c>
      <c r="H26" s="69" t="s">
        <v>142</v>
      </c>
    </row>
    <row r="27" spans="3:8" x14ac:dyDescent="0.25">
      <c r="C27" s="92" t="s">
        <v>132</v>
      </c>
      <c r="D27" s="128">
        <v>30</v>
      </c>
      <c r="E27" s="128">
        <v>31</v>
      </c>
    </row>
    <row r="28" spans="3:8" x14ac:dyDescent="0.25">
      <c r="C28" s="92" t="s">
        <v>133</v>
      </c>
      <c r="D28" s="128">
        <v>12</v>
      </c>
      <c r="E28" s="128">
        <v>12</v>
      </c>
      <c r="G28" s="69">
        <f>D23+D24+D25+D26+D27+D28</f>
        <v>162</v>
      </c>
      <c r="H28" t="s">
        <v>134</v>
      </c>
    </row>
    <row r="29" spans="3:8" x14ac:dyDescent="0.25">
      <c r="C29" s="92"/>
      <c r="D29" s="127">
        <f>SUM(D23:D28)</f>
        <v>162</v>
      </c>
      <c r="E29" s="127">
        <f>SUM(E23:E28)</f>
        <v>163</v>
      </c>
      <c r="G29" s="69">
        <f>E23+E24+E25+E26+E27+E28</f>
        <v>163</v>
      </c>
      <c r="H29" t="s">
        <v>143</v>
      </c>
    </row>
    <row r="33" spans="3:13" x14ac:dyDescent="0.25">
      <c r="C33" s="129" t="s">
        <v>125</v>
      </c>
      <c r="D33" s="129" t="s">
        <v>126</v>
      </c>
      <c r="E33" s="129" t="s">
        <v>127</v>
      </c>
    </row>
    <row r="34" spans="3:13" x14ac:dyDescent="0.25">
      <c r="C34" s="92" t="s">
        <v>133</v>
      </c>
      <c r="D34" s="128">
        <v>18</v>
      </c>
      <c r="E34" s="128">
        <v>18</v>
      </c>
    </row>
    <row r="35" spans="3:13" x14ac:dyDescent="0.25">
      <c r="C35" s="92" t="s">
        <v>135</v>
      </c>
      <c r="D35" s="128">
        <v>30</v>
      </c>
      <c r="E35" s="128">
        <v>31</v>
      </c>
    </row>
    <row r="36" spans="3:13" x14ac:dyDescent="0.25">
      <c r="C36" s="92" t="s">
        <v>137</v>
      </c>
      <c r="D36" s="128">
        <v>30</v>
      </c>
      <c r="E36" s="128">
        <v>31</v>
      </c>
    </row>
    <row r="37" spans="3:13" x14ac:dyDescent="0.25">
      <c r="C37" s="92" t="s">
        <v>138</v>
      </c>
      <c r="D37" s="128">
        <v>30</v>
      </c>
      <c r="E37" s="128">
        <v>30</v>
      </c>
      <c r="H37" s="69" t="s">
        <v>144</v>
      </c>
    </row>
    <row r="38" spans="3:13" x14ac:dyDescent="0.25">
      <c r="C38" s="92" t="s">
        <v>139</v>
      </c>
      <c r="D38" s="128">
        <v>30</v>
      </c>
      <c r="E38" s="128">
        <v>31</v>
      </c>
    </row>
    <row r="39" spans="3:13" x14ac:dyDescent="0.25">
      <c r="C39" s="92" t="s">
        <v>140</v>
      </c>
      <c r="D39" s="128">
        <v>30</v>
      </c>
      <c r="E39" s="128">
        <v>30</v>
      </c>
      <c r="G39" s="69">
        <f>D34+D35+D36+D37+D38+D39+D40</f>
        <v>198</v>
      </c>
      <c r="H39" t="s">
        <v>145</v>
      </c>
    </row>
    <row r="40" spans="3:13" x14ac:dyDescent="0.25">
      <c r="C40" s="92" t="s">
        <v>141</v>
      </c>
      <c r="D40" s="128">
        <v>30</v>
      </c>
      <c r="E40" s="128">
        <v>31</v>
      </c>
      <c r="G40" s="69">
        <f>E34+E35+E36+E37+E38+E39+E40</f>
        <v>202</v>
      </c>
      <c r="H40" t="s">
        <v>146</v>
      </c>
    </row>
    <row r="41" spans="3:13" x14ac:dyDescent="0.25">
      <c r="C41" s="92"/>
      <c r="D41" s="127">
        <f>SUM(D34:D40)</f>
        <v>198</v>
      </c>
      <c r="E41" s="127">
        <f>SUM(E34:E40)</f>
        <v>202</v>
      </c>
      <c r="G41" s="69"/>
    </row>
    <row r="45" spans="3:13" x14ac:dyDescent="0.25">
      <c r="C45" s="129" t="s">
        <v>125</v>
      </c>
      <c r="D45" s="129" t="s">
        <v>126</v>
      </c>
      <c r="E45" s="129" t="s">
        <v>127</v>
      </c>
    </row>
    <row r="46" spans="3:13" ht="15" customHeight="1" x14ac:dyDescent="0.25">
      <c r="C46" s="92" t="s">
        <v>138</v>
      </c>
      <c r="D46" s="128">
        <v>28</v>
      </c>
      <c r="E46" s="128">
        <v>28</v>
      </c>
      <c r="H46" s="69" t="s">
        <v>144</v>
      </c>
    </row>
    <row r="47" spans="3:13" ht="15" customHeight="1" x14ac:dyDescent="0.25">
      <c r="C47" s="92" t="s">
        <v>139</v>
      </c>
      <c r="D47" s="128">
        <v>30</v>
      </c>
      <c r="E47" s="128">
        <v>31</v>
      </c>
      <c r="L47" s="105" t="s">
        <v>147</v>
      </c>
      <c r="M47" s="33" t="s">
        <v>148</v>
      </c>
    </row>
    <row r="48" spans="3:13" ht="15" customHeight="1" x14ac:dyDescent="0.25">
      <c r="C48" s="92" t="s">
        <v>140</v>
      </c>
      <c r="D48" s="128">
        <v>30</v>
      </c>
      <c r="E48" s="128">
        <v>30</v>
      </c>
      <c r="G48" s="69">
        <f>D46+D47+D48+D49</f>
        <v>118</v>
      </c>
      <c r="H48" t="s">
        <v>145</v>
      </c>
      <c r="L48" s="105" t="s">
        <v>149</v>
      </c>
      <c r="M48" s="33" t="s">
        <v>150</v>
      </c>
    </row>
    <row r="49" spans="3:14" ht="15" customHeight="1" x14ac:dyDescent="0.25">
      <c r="C49" s="92" t="s">
        <v>141</v>
      </c>
      <c r="D49" s="128">
        <v>30</v>
      </c>
      <c r="E49" s="128">
        <v>31</v>
      </c>
      <c r="G49" s="69">
        <f>E46+E47+E48+E49</f>
        <v>120</v>
      </c>
      <c r="H49" t="s">
        <v>146</v>
      </c>
      <c r="L49" s="105" t="s">
        <v>151</v>
      </c>
      <c r="M49" s="130">
        <v>1020000000</v>
      </c>
    </row>
    <row r="50" spans="3:14" ht="15" customHeight="1" x14ac:dyDescent="0.25">
      <c r="C50" s="92"/>
      <c r="D50" s="127">
        <f>SUM(D46:D49)</f>
        <v>118</v>
      </c>
      <c r="E50" s="127">
        <f>SUM(E46:E49)</f>
        <v>120</v>
      </c>
      <c r="G50" s="69"/>
      <c r="L50" s="105" t="s">
        <v>152</v>
      </c>
      <c r="M50" s="33" t="s">
        <v>153</v>
      </c>
    </row>
    <row r="51" spans="3:14" x14ac:dyDescent="0.25">
      <c r="L51" s="105" t="s">
        <v>154</v>
      </c>
      <c r="M51" s="92" t="s">
        <v>155</v>
      </c>
    </row>
    <row r="52" spans="3:14" x14ac:dyDescent="0.25">
      <c r="L52" s="105" t="s">
        <v>156</v>
      </c>
      <c r="M52" s="92" t="s">
        <v>157</v>
      </c>
    </row>
    <row r="57" spans="3:14" ht="30" x14ac:dyDescent="0.25">
      <c r="L57" s="121" t="s">
        <v>3</v>
      </c>
      <c r="M57" s="122" t="s">
        <v>116</v>
      </c>
      <c r="N57" s="122" t="s">
        <v>108</v>
      </c>
    </row>
    <row r="58" spans="3:14" x14ac:dyDescent="0.25">
      <c r="L58" s="118" t="s">
        <v>91</v>
      </c>
      <c r="M58" s="119">
        <v>726355688</v>
      </c>
      <c r="N58" s="120">
        <v>0.90000007310468577</v>
      </c>
    </row>
    <row r="59" spans="3:14" x14ac:dyDescent="0.25">
      <c r="L59" s="118" t="s">
        <v>114</v>
      </c>
      <c r="M59" s="119">
        <v>80706122</v>
      </c>
      <c r="N59" s="120">
        <v>9.9999926895314256E-2</v>
      </c>
    </row>
    <row r="60" spans="3:14" x14ac:dyDescent="0.25">
      <c r="L60" s="118" t="s">
        <v>115</v>
      </c>
      <c r="M60" s="119">
        <f>M58+M59</f>
        <v>807061810</v>
      </c>
      <c r="N60" s="120">
        <v>1</v>
      </c>
    </row>
    <row r="64" spans="3:14" ht="30" x14ac:dyDescent="0.25">
      <c r="L64" s="121" t="s">
        <v>3</v>
      </c>
      <c r="M64" s="122" t="s">
        <v>116</v>
      </c>
      <c r="N64" s="122" t="s">
        <v>108</v>
      </c>
    </row>
    <row r="65" spans="12:14" x14ac:dyDescent="0.25">
      <c r="L65" s="118" t="s">
        <v>91</v>
      </c>
      <c r="M65" s="119">
        <v>915969356</v>
      </c>
      <c r="N65" s="120">
        <v>0.89999998221556254</v>
      </c>
    </row>
    <row r="66" spans="12:14" x14ac:dyDescent="0.25">
      <c r="L66" s="118" t="s">
        <v>114</v>
      </c>
      <c r="M66" s="119">
        <v>101774393</v>
      </c>
      <c r="N66" s="120">
        <v>0.1000000177844374</v>
      </c>
    </row>
    <row r="67" spans="12:14" x14ac:dyDescent="0.25">
      <c r="L67" s="118" t="s">
        <v>115</v>
      </c>
      <c r="M67" s="119">
        <v>1017743749</v>
      </c>
      <c r="N67" s="120">
        <v>1</v>
      </c>
    </row>
    <row r="69" spans="12:14" x14ac:dyDescent="0.25">
      <c r="M69" s="131">
        <v>1020000000</v>
      </c>
    </row>
    <row r="70" spans="12:14" x14ac:dyDescent="0.25">
      <c r="M70" s="1">
        <f>M69-M67</f>
        <v>2256251</v>
      </c>
    </row>
    <row r="73" spans="12:14" x14ac:dyDescent="0.25">
      <c r="L73" s="92" t="s">
        <v>115</v>
      </c>
      <c r="M73" s="119">
        <v>1017743749</v>
      </c>
    </row>
    <row r="74" spans="12:14" x14ac:dyDescent="0.25">
      <c r="L74" s="92" t="s">
        <v>158</v>
      </c>
      <c r="M74" s="119">
        <f>M73*5%+M73</f>
        <v>1068630936.45</v>
      </c>
    </row>
    <row r="75" spans="12:14" x14ac:dyDescent="0.25">
      <c r="M75" s="1"/>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pageSetUpPr fitToPage="1"/>
  </sheetPr>
  <dimension ref="A1:M47"/>
  <sheetViews>
    <sheetView showGridLines="0" tabSelected="1" topLeftCell="A25" zoomScale="106" zoomScaleNormal="100" workbookViewId="0">
      <selection activeCell="B40" sqref="B40:D43"/>
    </sheetView>
  </sheetViews>
  <sheetFormatPr baseColWidth="10" defaultColWidth="10.7109375" defaultRowHeight="15" x14ac:dyDescent="0.25"/>
  <cols>
    <col min="1" max="1" width="14.28515625" style="15" customWidth="1"/>
    <col min="2" max="2" width="65.85546875" style="15" bestFit="1" customWidth="1"/>
    <col min="3" max="3" width="22.28515625" style="18" customWidth="1"/>
    <col min="4" max="4" width="19.140625" style="18" customWidth="1"/>
    <col min="5" max="5" width="17.7109375" style="18" bestFit="1" customWidth="1"/>
    <col min="6" max="6" width="15.42578125" style="18" bestFit="1" customWidth="1"/>
    <col min="7" max="7" width="15.28515625" style="18" customWidth="1"/>
    <col min="8" max="8" width="17.28515625" style="18" customWidth="1"/>
    <col min="9" max="9" width="24.85546875" style="18" customWidth="1"/>
    <col min="10" max="10" width="32.5703125" style="18" bestFit="1" customWidth="1"/>
    <col min="11" max="11" width="32.5703125" style="15" bestFit="1" customWidth="1"/>
    <col min="12" max="12" width="38.140625" style="15" customWidth="1"/>
    <col min="13" max="16384" width="10.7109375" style="15"/>
  </cols>
  <sheetData>
    <row r="1" spans="1:13" x14ac:dyDescent="0.25">
      <c r="B1" s="133" t="s">
        <v>21</v>
      </c>
      <c r="C1" s="133"/>
      <c r="D1" s="16"/>
      <c r="E1" s="16"/>
      <c r="F1" s="135" t="s">
        <v>4</v>
      </c>
      <c r="G1" s="135"/>
      <c r="H1" s="135"/>
      <c r="I1" s="135"/>
      <c r="J1" s="135"/>
      <c r="K1" s="135"/>
    </row>
    <row r="2" spans="1:13" ht="30" x14ac:dyDescent="0.25">
      <c r="B2" s="141" t="s">
        <v>3</v>
      </c>
      <c r="C2" s="142" t="s">
        <v>101</v>
      </c>
      <c r="D2" s="13"/>
      <c r="E2" s="13"/>
      <c r="F2" s="13" t="str">
        <f>+C2</f>
        <v>ADULTO MAYOR</v>
      </c>
      <c r="G2" s="13"/>
      <c r="H2" s="13"/>
      <c r="I2" s="13">
        <f>+D2</f>
        <v>0</v>
      </c>
      <c r="J2" s="13">
        <f>+E2</f>
        <v>0</v>
      </c>
      <c r="K2" s="13" t="s">
        <v>5</v>
      </c>
      <c r="L2" s="18"/>
      <c r="M2" s="18"/>
    </row>
    <row r="3" spans="1:13" x14ac:dyDescent="0.25">
      <c r="B3" s="143" t="s">
        <v>14</v>
      </c>
      <c r="C3" s="19">
        <v>35</v>
      </c>
      <c r="D3" s="20">
        <v>0</v>
      </c>
      <c r="E3" s="20">
        <v>0</v>
      </c>
      <c r="F3" s="20">
        <v>100</v>
      </c>
      <c r="G3" s="20"/>
      <c r="H3" s="20"/>
      <c r="I3" s="20">
        <f>+D3*$C$12</f>
        <v>0</v>
      </c>
      <c r="J3" s="20">
        <f>+E3*$C$12</f>
        <v>0</v>
      </c>
      <c r="K3" s="20">
        <f>SUM(F3:J3)</f>
        <v>100</v>
      </c>
      <c r="L3" s="18"/>
      <c r="M3" s="18"/>
    </row>
    <row r="4" spans="1:13" x14ac:dyDescent="0.25">
      <c r="B4" s="21"/>
      <c r="C4" s="22"/>
      <c r="D4" s="23" t="e">
        <f>+D3/#REF!</f>
        <v>#REF!</v>
      </c>
      <c r="E4" s="23" t="e">
        <f>+E3/#REF!</f>
        <v>#REF!</v>
      </c>
      <c r="F4" s="23">
        <v>1</v>
      </c>
      <c r="G4" s="23"/>
      <c r="H4" s="23"/>
      <c r="I4" s="23">
        <f t="shared" ref="I4" si="0">+I3/$K$3</f>
        <v>0</v>
      </c>
      <c r="J4" s="23">
        <v>1</v>
      </c>
      <c r="K4" s="24"/>
    </row>
    <row r="5" spans="1:13" x14ac:dyDescent="0.25">
      <c r="E5" s="39"/>
      <c r="F5" s="39"/>
      <c r="G5" s="39"/>
      <c r="H5" s="59">
        <v>1.4926906555826536E-2</v>
      </c>
    </row>
    <row r="6" spans="1:13" x14ac:dyDescent="0.25">
      <c r="B6" s="143" t="s">
        <v>3</v>
      </c>
      <c r="C6" s="144" t="s">
        <v>15</v>
      </c>
      <c r="D6" s="145" t="s">
        <v>16</v>
      </c>
      <c r="E6" s="13" t="s">
        <v>17</v>
      </c>
      <c r="F6" s="40" t="s">
        <v>5</v>
      </c>
      <c r="G6" s="40"/>
      <c r="H6" s="7"/>
    </row>
    <row r="7" spans="1:13" x14ac:dyDescent="0.25">
      <c r="B7" s="25" t="str">
        <f>+C2</f>
        <v>ADULTO MAYOR</v>
      </c>
      <c r="C7" s="43">
        <f>+C3*$C$12</f>
        <v>3605</v>
      </c>
      <c r="D7" s="26">
        <f>+C7/$C$10</f>
        <v>1</v>
      </c>
      <c r="E7" s="41">
        <v>1</v>
      </c>
      <c r="F7" s="42" t="e">
        <f>+E7+#REF!</f>
        <v>#REF!</v>
      </c>
      <c r="G7" s="42"/>
      <c r="H7" s="27"/>
    </row>
    <row r="8" spans="1:13" x14ac:dyDescent="0.25">
      <c r="B8" s="25">
        <f>+D2</f>
        <v>0</v>
      </c>
      <c r="C8" s="43">
        <f>+D3*C12</f>
        <v>0</v>
      </c>
      <c r="D8" s="26">
        <f t="shared" ref="D8:D10" si="1">+C8/$C$10</f>
        <v>0</v>
      </c>
      <c r="E8" s="17">
        <f>ROUND(F15*E7,0)</f>
        <v>0</v>
      </c>
      <c r="F8" s="17" t="e">
        <f>+E8+#REF!</f>
        <v>#REF!</v>
      </c>
      <c r="G8" s="16"/>
      <c r="H8" s="28"/>
    </row>
    <row r="9" spans="1:13" x14ac:dyDescent="0.25">
      <c r="B9" s="25">
        <f>+E2</f>
        <v>0</v>
      </c>
      <c r="C9" s="43">
        <f>+E3*C12</f>
        <v>0</v>
      </c>
      <c r="D9" s="26">
        <f t="shared" si="1"/>
        <v>0</v>
      </c>
      <c r="E9" s="39"/>
      <c r="F9" s="39"/>
      <c r="G9" s="39"/>
    </row>
    <row r="10" spans="1:13" x14ac:dyDescent="0.25">
      <c r="B10" s="145" t="s">
        <v>5</v>
      </c>
      <c r="C10" s="145">
        <f>SUM(C7:C9)</f>
        <v>3605</v>
      </c>
      <c r="D10" s="146">
        <f t="shared" si="1"/>
        <v>1</v>
      </c>
      <c r="H10" s="18">
        <f>+F14</f>
        <v>101</v>
      </c>
      <c r="I10" s="18">
        <f>+ROUND((I11*H10)/H11,2)</f>
        <v>3.37</v>
      </c>
    </row>
    <row r="11" spans="1:13" x14ac:dyDescent="0.25">
      <c r="H11" s="18">
        <f>3*30</f>
        <v>90</v>
      </c>
      <c r="I11" s="18">
        <v>3</v>
      </c>
    </row>
    <row r="12" spans="1:13" x14ac:dyDescent="0.25">
      <c r="B12" s="147" t="s">
        <v>68</v>
      </c>
      <c r="C12" s="29">
        <f>+G14</f>
        <v>103</v>
      </c>
      <c r="D12" s="30"/>
      <c r="F12" s="117">
        <v>46268</v>
      </c>
    </row>
    <row r="13" spans="1:13" x14ac:dyDescent="0.25">
      <c r="B13" s="147" t="s">
        <v>69</v>
      </c>
      <c r="C13" s="25">
        <f>+F14</f>
        <v>101</v>
      </c>
      <c r="D13" s="30"/>
      <c r="F13" s="117">
        <v>46370</v>
      </c>
    </row>
    <row r="14" spans="1:13" x14ac:dyDescent="0.25">
      <c r="F14" s="18">
        <f>DAYS360(F12,F13)</f>
        <v>101</v>
      </c>
      <c r="G14" s="18">
        <f>_xlfn.DAYS(F13,F12)+1</f>
        <v>103</v>
      </c>
      <c r="H14" s="15"/>
      <c r="I14" s="15"/>
      <c r="J14" s="15"/>
    </row>
    <row r="15" spans="1:13" ht="45.75" x14ac:dyDescent="0.25">
      <c r="A15" s="3" t="s">
        <v>21</v>
      </c>
      <c r="B15" s="141" t="s">
        <v>3</v>
      </c>
      <c r="C15" s="142" t="s">
        <v>118</v>
      </c>
      <c r="D15" s="142" t="s">
        <v>34</v>
      </c>
      <c r="E15" s="8"/>
      <c r="F15" s="8"/>
      <c r="G15" s="66"/>
      <c r="H15" s="66"/>
      <c r="I15" s="66"/>
      <c r="J15" s="125"/>
      <c r="K15" s="18"/>
    </row>
    <row r="16" spans="1:13" x14ac:dyDescent="0.25">
      <c r="B16" s="11" t="str">
        <f>+'COSTOS DIRECTOS'!B5</f>
        <v>ALOJAMIENTO</v>
      </c>
      <c r="C16" s="100">
        <f>ROUND('COSTOS DIRECTOS'!C5,0)</f>
        <v>18392500</v>
      </c>
      <c r="D16" s="101">
        <f>ROUND('COSTOS DIRECTOS'!E5,0)</f>
        <v>62096583</v>
      </c>
      <c r="F16" s="28"/>
      <c r="G16" s="28"/>
      <c r="H16" s="28"/>
      <c r="I16" s="123"/>
      <c r="J16" s="28"/>
      <c r="K16" s="18"/>
    </row>
    <row r="17" spans="2:10" x14ac:dyDescent="0.25">
      <c r="B17" s="12" t="str">
        <f>+'COSTOS DIRECTOS'!B8</f>
        <v>ALIMENTACIÓN</v>
      </c>
      <c r="C17" s="100">
        <f>ROUND('COSTOS DIRECTOS'!D27,0)</f>
        <v>30023507</v>
      </c>
      <c r="D17" s="101">
        <f>ROUND('COSTOS DIRECTOS'!E8,0)</f>
        <v>114612864</v>
      </c>
      <c r="F17" s="31"/>
      <c r="G17" s="31">
        <v>13</v>
      </c>
      <c r="H17" s="32"/>
      <c r="I17" s="124"/>
      <c r="J17" s="32"/>
    </row>
    <row r="18" spans="2:10" x14ac:dyDescent="0.25">
      <c r="B18" s="12" t="str">
        <f>+'COSTOS DIRECTOS'!B10</f>
        <v>ESPARCIMIENTO, ASEO Y SALUD</v>
      </c>
      <c r="C18" s="100">
        <f>ROUND('COSTOS DIRECTOS'!C10,0)</f>
        <v>21228446</v>
      </c>
      <c r="D18" s="101">
        <f>ROUND('COSTOS DIRECTOS'!E10,0)</f>
        <v>58312283</v>
      </c>
      <c r="F18" s="31"/>
      <c r="G18" s="31">
        <v>14</v>
      </c>
      <c r="H18" s="32"/>
      <c r="I18" s="32"/>
      <c r="J18" s="32"/>
    </row>
    <row r="19" spans="2:10" ht="14.45" customHeight="1" x14ac:dyDescent="0.25">
      <c r="B19" s="79" t="s">
        <v>89</v>
      </c>
      <c r="C19" s="102">
        <f>ROUND(PERSONAL!R30,0)</f>
        <v>74984917</v>
      </c>
      <c r="D19" s="110">
        <f>ROUND(PERSONAL!S30,0)</f>
        <v>252449219</v>
      </c>
      <c r="F19" s="136"/>
      <c r="G19" s="136"/>
      <c r="H19" s="136"/>
      <c r="I19" s="136"/>
      <c r="J19" s="136"/>
    </row>
    <row r="20" spans="2:10" ht="14.45" customHeight="1" x14ac:dyDescent="0.25">
      <c r="B20" s="79" t="s">
        <v>37</v>
      </c>
      <c r="C20" s="102">
        <f>ROUND('COSTOS ADMINISTRATIVOS'!P11,0)</f>
        <v>21035893</v>
      </c>
      <c r="D20" s="110">
        <f>ROUND('COSTOS ADMINISTRATIVOS'!Q11,0)</f>
        <v>70820840</v>
      </c>
      <c r="F20" s="136"/>
      <c r="G20" s="136"/>
      <c r="H20" s="136"/>
      <c r="I20" s="136"/>
      <c r="J20" s="136"/>
    </row>
    <row r="21" spans="2:10" ht="14.45" customHeight="1" x14ac:dyDescent="0.25">
      <c r="B21" s="79" t="s">
        <v>33</v>
      </c>
      <c r="C21" s="102">
        <f>ROUND(SUM(C16:C20)*$H$5,0)</f>
        <v>2472870</v>
      </c>
      <c r="D21" s="102">
        <f>ROUND(SUM(D16:D20)*$H$5,0)</f>
        <v>8333569</v>
      </c>
      <c r="F21" s="136"/>
      <c r="G21" s="136"/>
      <c r="H21" s="136"/>
      <c r="I21" s="136"/>
      <c r="J21" s="136"/>
    </row>
    <row r="22" spans="2:10" ht="15.75" thickBot="1" x14ac:dyDescent="0.3">
      <c r="B22" s="148" t="s">
        <v>2</v>
      </c>
      <c r="C22" s="149">
        <f>SUM(C16:C21)</f>
        <v>168138133</v>
      </c>
      <c r="D22" s="150">
        <f>SUM(D16:D21)</f>
        <v>566625358</v>
      </c>
      <c r="F22" s="31"/>
      <c r="G22" s="137"/>
      <c r="H22" s="137"/>
      <c r="I22" s="137"/>
      <c r="J22" s="32"/>
    </row>
    <row r="23" spans="2:10" ht="15.75" thickTop="1" x14ac:dyDescent="0.25">
      <c r="D23" s="111"/>
      <c r="H23" s="15"/>
      <c r="I23" s="15"/>
      <c r="J23" s="15"/>
    </row>
    <row r="24" spans="2:10" ht="14.45" customHeight="1" x14ac:dyDescent="0.25">
      <c r="B24" s="151" t="s">
        <v>24</v>
      </c>
      <c r="C24" s="152"/>
      <c r="H24" s="59"/>
      <c r="I24" s="59"/>
      <c r="J24" s="15"/>
    </row>
    <row r="25" spans="2:10" x14ac:dyDescent="0.25">
      <c r="B25" s="143" t="str">
        <f>+B15</f>
        <v>CONCEPTO</v>
      </c>
      <c r="C25" s="143" t="str">
        <f>+C15</f>
        <v>COSTO/MES</v>
      </c>
      <c r="I25" s="15"/>
      <c r="J25" s="15"/>
    </row>
    <row r="26" spans="2:10" x14ac:dyDescent="0.25">
      <c r="B26" s="33" t="s">
        <v>0</v>
      </c>
      <c r="C26" s="101">
        <f>ROUND(C16/$C$3,0)</f>
        <v>525500</v>
      </c>
      <c r="I26" s="15"/>
      <c r="J26" s="15"/>
    </row>
    <row r="27" spans="2:10" x14ac:dyDescent="0.25">
      <c r="B27" s="33" t="s">
        <v>1</v>
      </c>
      <c r="C27" s="101">
        <f t="shared" ref="C27:C31" si="2">ROUND(C17/$C$3,0)</f>
        <v>857814</v>
      </c>
      <c r="H27" s="134"/>
      <c r="I27" s="134"/>
      <c r="J27" s="134"/>
    </row>
    <row r="28" spans="2:10" x14ac:dyDescent="0.25">
      <c r="B28" s="33" t="s">
        <v>23</v>
      </c>
      <c r="C28" s="101">
        <f t="shared" si="2"/>
        <v>606527</v>
      </c>
      <c r="H28" s="8"/>
      <c r="I28" s="8"/>
      <c r="J28" s="8"/>
    </row>
    <row r="29" spans="2:10" x14ac:dyDescent="0.25">
      <c r="B29" s="33" t="s">
        <v>30</v>
      </c>
      <c r="C29" s="101">
        <f t="shared" si="2"/>
        <v>2142426</v>
      </c>
      <c r="H29" s="8"/>
      <c r="I29" s="8"/>
      <c r="J29" s="8"/>
    </row>
    <row r="30" spans="2:10" x14ac:dyDescent="0.25">
      <c r="B30" s="33" t="s">
        <v>37</v>
      </c>
      <c r="C30" s="101">
        <f t="shared" si="2"/>
        <v>601026</v>
      </c>
      <c r="H30" s="34"/>
      <c r="I30" s="35"/>
      <c r="J30" s="35"/>
    </row>
    <row r="31" spans="2:10" ht="30" x14ac:dyDescent="0.25">
      <c r="B31" s="33" t="s">
        <v>33</v>
      </c>
      <c r="C31" s="101">
        <f t="shared" si="2"/>
        <v>70653</v>
      </c>
      <c r="H31" s="34"/>
      <c r="I31" s="35"/>
      <c r="J31" s="35"/>
    </row>
    <row r="32" spans="2:10" x14ac:dyDescent="0.25">
      <c r="B32" s="36"/>
      <c r="C32" s="37"/>
      <c r="D32" s="55" t="s">
        <v>41</v>
      </c>
      <c r="E32" s="55" t="s">
        <v>42</v>
      </c>
      <c r="I32" s="15"/>
      <c r="J32" s="15"/>
    </row>
    <row r="33" spans="2:12" ht="15.75" thickBot="1" x14ac:dyDescent="0.3">
      <c r="B33" s="153" t="s">
        <v>25</v>
      </c>
      <c r="C33" s="112">
        <f>SUM(C26:C31)</f>
        <v>4803946</v>
      </c>
      <c r="D33" s="113">
        <f>+C33*$C$3</f>
        <v>168138110</v>
      </c>
      <c r="E33" s="113">
        <f>ROUND(D33*$I$10,0)-85+12</f>
        <v>566625358</v>
      </c>
      <c r="F33" s="18">
        <f>+E33-D22</f>
        <v>0</v>
      </c>
      <c r="G33" s="18">
        <v>511999190</v>
      </c>
      <c r="H33" s="18">
        <f>+G33-E34</f>
        <v>2036422</v>
      </c>
      <c r="I33" s="15"/>
      <c r="J33" s="15"/>
    </row>
    <row r="34" spans="2:12" ht="16.5" thickTop="1" thickBot="1" x14ac:dyDescent="0.3">
      <c r="B34" s="154" t="s">
        <v>91</v>
      </c>
      <c r="C34" s="101">
        <f>+C33*90%</f>
        <v>4323551.4000000004</v>
      </c>
      <c r="D34" s="113">
        <f>+C34*$C$3</f>
        <v>151324299</v>
      </c>
      <c r="E34" s="113">
        <f>ROUND(D34*$I$10,0)-85-35</f>
        <v>509962768</v>
      </c>
      <c r="F34" s="59">
        <f>+E34/E33</f>
        <v>0.89999990434596822</v>
      </c>
    </row>
    <row r="35" spans="2:12" ht="16.5" thickTop="1" thickBot="1" x14ac:dyDescent="0.3">
      <c r="B35" s="154" t="s">
        <v>112</v>
      </c>
      <c r="C35" s="101">
        <f>ROUND(C33-C34,0)</f>
        <v>480395</v>
      </c>
      <c r="D35" s="113">
        <f>+C35*$C$3</f>
        <v>16813825</v>
      </c>
      <c r="E35" s="113">
        <f>ROUND(D35*$I$10,0)</f>
        <v>56662590</v>
      </c>
      <c r="F35" s="59">
        <f>+E35/E33</f>
        <v>0.10000009565403178</v>
      </c>
      <c r="J35" s="15"/>
    </row>
    <row r="36" spans="2:12" ht="15.75" thickTop="1" x14ac:dyDescent="0.25">
      <c r="J36" s="15"/>
    </row>
    <row r="37" spans="2:12" x14ac:dyDescent="0.25">
      <c r="C37" s="56"/>
      <c r="G37" s="18">
        <f>+E34</f>
        <v>509962768</v>
      </c>
      <c r="J37" s="15"/>
    </row>
    <row r="38" spans="2:12" x14ac:dyDescent="0.25">
      <c r="C38" s="56"/>
      <c r="D38" s="59"/>
      <c r="E38" s="59"/>
      <c r="J38" s="15"/>
    </row>
    <row r="39" spans="2:12" ht="32.25" x14ac:dyDescent="0.25">
      <c r="C39" s="56"/>
      <c r="E39" s="18">
        <f>+E34+E35</f>
        <v>566625358</v>
      </c>
      <c r="J39" s="38"/>
      <c r="K39" s="38"/>
      <c r="L39" s="38"/>
    </row>
    <row r="40" spans="2:12" ht="32.25" x14ac:dyDescent="0.25">
      <c r="B40" s="155" t="s">
        <v>3</v>
      </c>
      <c r="C40" s="157" t="s">
        <v>116</v>
      </c>
      <c r="D40" s="157" t="s">
        <v>108</v>
      </c>
      <c r="E40" s="18">
        <f>+E39-E33</f>
        <v>0</v>
      </c>
      <c r="J40" s="38"/>
      <c r="K40" s="38"/>
      <c r="L40" s="38"/>
    </row>
    <row r="41" spans="2:12" ht="32.25" x14ac:dyDescent="0.25">
      <c r="B41" s="156" t="s">
        <v>91</v>
      </c>
      <c r="C41" s="119">
        <f>+E34</f>
        <v>509962768</v>
      </c>
      <c r="D41" s="120">
        <f>+C41/$C$43</f>
        <v>0.89999990434596822</v>
      </c>
      <c r="J41" s="38"/>
      <c r="K41" s="38"/>
      <c r="L41" s="38"/>
    </row>
    <row r="42" spans="2:12" ht="32.25" x14ac:dyDescent="0.25">
      <c r="B42" s="156" t="s">
        <v>114</v>
      </c>
      <c r="C42" s="119">
        <f>+E35</f>
        <v>56662590</v>
      </c>
      <c r="D42" s="120">
        <f t="shared" ref="D42:D43" si="3">+C42/$C$43</f>
        <v>0.10000009565403178</v>
      </c>
      <c r="H42" s="56"/>
      <c r="I42" s="56"/>
      <c r="J42" s="38"/>
      <c r="K42" s="38"/>
      <c r="L42" s="38"/>
    </row>
    <row r="43" spans="2:12" ht="32.25" x14ac:dyDescent="0.25">
      <c r="B43" s="156" t="s">
        <v>115</v>
      </c>
      <c r="C43" s="119">
        <f>+C41+C42</f>
        <v>566625358</v>
      </c>
      <c r="D43" s="120">
        <f t="shared" si="3"/>
        <v>1</v>
      </c>
      <c r="F43" s="44"/>
      <c r="G43" s="44"/>
      <c r="H43" s="44"/>
      <c r="J43" s="38"/>
      <c r="K43" s="38"/>
      <c r="L43" s="38"/>
    </row>
    <row r="44" spans="2:12" ht="32.25" x14ac:dyDescent="0.25">
      <c r="F44" s="44"/>
      <c r="G44" s="44"/>
      <c r="H44" s="44"/>
      <c r="J44" s="38"/>
      <c r="K44" s="38"/>
      <c r="L44" s="38"/>
    </row>
    <row r="45" spans="2:12" ht="32.25" x14ac:dyDescent="0.25">
      <c r="J45" s="38"/>
      <c r="K45" s="38"/>
      <c r="L45" s="38"/>
    </row>
    <row r="46" spans="2:12" ht="32.25" x14ac:dyDescent="0.25">
      <c r="J46" s="38"/>
      <c r="K46" s="38"/>
      <c r="L46" s="38"/>
    </row>
    <row r="47" spans="2:12" ht="32.25" x14ac:dyDescent="0.25">
      <c r="J47" s="38"/>
      <c r="K47" s="38"/>
      <c r="L47" s="38"/>
    </row>
  </sheetData>
  <mergeCells count="6">
    <mergeCell ref="B1:C1"/>
    <mergeCell ref="B24:C24"/>
    <mergeCell ref="H27:J27"/>
    <mergeCell ref="F1:K1"/>
    <mergeCell ref="F19:J21"/>
    <mergeCell ref="G22:I22"/>
  </mergeCells>
  <pageMargins left="0.7" right="0.7" top="0.75" bottom="0.75" header="0.3" footer="0.3"/>
  <pageSetup paperSize="9" scale="57" orientation="portrait" r:id="rId1"/>
  <colBreaks count="1" manualBreakCount="1">
    <brk id="7" max="46" man="1"/>
  </colBreaks>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E6:F12"/>
  <sheetViews>
    <sheetView workbookViewId="0">
      <selection activeCell="F9" sqref="F9"/>
    </sheetView>
  </sheetViews>
  <sheetFormatPr baseColWidth="10" defaultRowHeight="15" x14ac:dyDescent="0.25"/>
  <cols>
    <col min="5" max="5" width="15.140625" bestFit="1" customWidth="1"/>
    <col min="6" max="6" width="13.7109375" bestFit="1" customWidth="1"/>
  </cols>
  <sheetData>
    <row r="6" spans="5:6" x14ac:dyDescent="0.25">
      <c r="F6" s="1">
        <f>SUM(F7:F24)</f>
        <v>509962768</v>
      </c>
    </row>
    <row r="7" spans="5:6" x14ac:dyDescent="0.25">
      <c r="E7" s="140">
        <f>+RESUMEN!E34</f>
        <v>509962768</v>
      </c>
      <c r="F7" s="1">
        <v>141375817</v>
      </c>
    </row>
    <row r="8" spans="5:6" x14ac:dyDescent="0.25">
      <c r="F8" s="1">
        <v>65638771</v>
      </c>
    </row>
    <row r="9" spans="5:6" x14ac:dyDescent="0.25">
      <c r="F9" s="1"/>
    </row>
    <row r="10" spans="5:6" x14ac:dyDescent="0.25">
      <c r="F10" s="1"/>
    </row>
    <row r="11" spans="5:6" x14ac:dyDescent="0.25">
      <c r="F11" s="1">
        <v>151474090</v>
      </c>
    </row>
    <row r="12" spans="5:6" x14ac:dyDescent="0.25">
      <c r="F12" s="1">
        <v>151474090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S33"/>
  <sheetViews>
    <sheetView showGridLines="0" zoomScale="106" zoomScaleNormal="100" workbookViewId="0">
      <pane xSplit="1" ySplit="1" topLeftCell="F8" activePane="bottomRight" state="frozen"/>
      <selection pane="topRight" activeCell="C1" sqref="C1"/>
      <selection pane="bottomLeft" activeCell="A4" sqref="A4"/>
      <selection pane="bottomRight" activeCell="J22" sqref="J22"/>
    </sheetView>
  </sheetViews>
  <sheetFormatPr baseColWidth="10" defaultColWidth="10.7109375" defaultRowHeight="15" outlineLevelCol="1" x14ac:dyDescent="0.25"/>
  <cols>
    <col min="1" max="1" width="43.42578125" style="3" bestFit="1" customWidth="1"/>
    <col min="2" max="2" width="21.140625" style="3" customWidth="1"/>
    <col min="3" max="3" width="16.28515625" style="3" customWidth="1"/>
    <col min="4" max="4" width="22.85546875" style="3" customWidth="1" outlineLevel="1"/>
    <col min="5" max="5" width="14.85546875" style="3" customWidth="1" outlineLevel="1"/>
    <col min="6" max="6" width="17.7109375" style="3" customWidth="1" outlineLevel="1"/>
    <col min="7" max="7" width="16.28515625" style="3" customWidth="1" outlineLevel="1"/>
    <col min="8" max="8" width="14.28515625" style="3" customWidth="1" outlineLevel="1"/>
    <col min="9" max="9" width="16" style="3" customWidth="1" outlineLevel="1" collapsed="1"/>
    <col min="10" max="11" width="15" style="3" customWidth="1" outlineLevel="1"/>
    <col min="12" max="12" width="12.42578125" style="3" customWidth="1" outlineLevel="1"/>
    <col min="13" max="13" width="14.28515625" style="3" customWidth="1" outlineLevel="1"/>
    <col min="14" max="14" width="12.42578125" style="3" customWidth="1" outlineLevel="1"/>
    <col min="15" max="15" width="12.42578125" style="3" customWidth="1" outlineLevel="1" collapsed="1"/>
    <col min="16" max="16" width="13.28515625" style="3" customWidth="1" outlineLevel="1"/>
    <col min="17" max="17" width="15" style="3" customWidth="1" outlineLevel="1"/>
    <col min="18" max="18" width="14.42578125" style="3" customWidth="1" outlineLevel="1"/>
    <col min="19" max="19" width="15.42578125" style="3" bestFit="1" customWidth="1"/>
    <col min="20" max="16384" width="10.7109375" style="3"/>
  </cols>
  <sheetData>
    <row r="1" spans="1:17" ht="30" x14ac:dyDescent="0.25">
      <c r="A1" s="5" t="s">
        <v>7</v>
      </c>
      <c r="B1" s="45" t="s">
        <v>31</v>
      </c>
      <c r="C1" s="45" t="s">
        <v>61</v>
      </c>
      <c r="D1" s="6" t="s">
        <v>13</v>
      </c>
      <c r="E1" s="126">
        <v>5.0999999999999997E-2</v>
      </c>
    </row>
    <row r="2" spans="1:17" s="48" customFormat="1" ht="20.100000000000001" customHeight="1" x14ac:dyDescent="0.25">
      <c r="A2" s="48" t="s">
        <v>36</v>
      </c>
      <c r="B2" s="49">
        <v>1</v>
      </c>
      <c r="C2" s="49" t="s">
        <v>62</v>
      </c>
      <c r="D2" s="50">
        <v>4500000</v>
      </c>
      <c r="E2" s="64">
        <f t="shared" ref="E2:E9" si="0">+D2</f>
        <v>4500000</v>
      </c>
    </row>
    <row r="3" spans="1:17" s="48" customFormat="1" ht="20.100000000000001" customHeight="1" x14ac:dyDescent="0.25">
      <c r="A3" s="48" t="s">
        <v>104</v>
      </c>
      <c r="B3" s="49">
        <v>1</v>
      </c>
      <c r="C3" s="49" t="s">
        <v>62</v>
      </c>
      <c r="D3" s="50">
        <v>1970000</v>
      </c>
      <c r="E3" s="64">
        <f t="shared" si="0"/>
        <v>1970000</v>
      </c>
      <c r="H3" s="48" t="s">
        <v>88</v>
      </c>
    </row>
    <row r="4" spans="1:17" s="48" customFormat="1" ht="33.950000000000003" customHeight="1" x14ac:dyDescent="0.25">
      <c r="A4" s="48" t="s">
        <v>105</v>
      </c>
      <c r="B4" s="49">
        <v>7</v>
      </c>
      <c r="C4" s="49" t="s">
        <v>62</v>
      </c>
      <c r="D4" s="50">
        <v>1820000</v>
      </c>
      <c r="E4" s="64">
        <f t="shared" si="0"/>
        <v>1820000</v>
      </c>
      <c r="H4" s="64">
        <f>+RESUMEN!C13</f>
        <v>101</v>
      </c>
    </row>
    <row r="5" spans="1:17" s="52" customFormat="1" ht="20.100000000000001" customHeight="1" x14ac:dyDescent="0.25">
      <c r="A5" s="48" t="s">
        <v>18</v>
      </c>
      <c r="B5" s="65">
        <v>0.5</v>
      </c>
      <c r="C5" s="49" t="s">
        <v>62</v>
      </c>
      <c r="D5" s="64">
        <v>3500000</v>
      </c>
      <c r="E5" s="64">
        <f t="shared" si="0"/>
        <v>3500000</v>
      </c>
    </row>
    <row r="6" spans="1:17" s="52" customFormat="1" ht="24.95" customHeight="1" x14ac:dyDescent="0.25">
      <c r="A6" s="52" t="s">
        <v>8</v>
      </c>
      <c r="B6" s="53">
        <v>0.5</v>
      </c>
      <c r="C6" s="53" t="s">
        <v>63</v>
      </c>
      <c r="D6" s="54">
        <v>3300000</v>
      </c>
      <c r="E6" s="64">
        <f t="shared" si="0"/>
        <v>3300000</v>
      </c>
    </row>
    <row r="7" spans="1:17" s="52" customFormat="1" ht="24.95" customHeight="1" x14ac:dyDescent="0.25">
      <c r="A7" s="52" t="s">
        <v>9</v>
      </c>
      <c r="B7" s="53">
        <v>0.5</v>
      </c>
      <c r="C7" s="53" t="s">
        <v>63</v>
      </c>
      <c r="D7" s="54">
        <v>3300000</v>
      </c>
      <c r="E7" s="64">
        <f t="shared" si="0"/>
        <v>3300000</v>
      </c>
    </row>
    <row r="8" spans="1:17" s="52" customFormat="1" x14ac:dyDescent="0.25">
      <c r="A8" s="52" t="s">
        <v>35</v>
      </c>
      <c r="B8" s="53">
        <v>1</v>
      </c>
      <c r="C8" s="53" t="s">
        <v>62</v>
      </c>
      <c r="D8" s="54">
        <v>2200000</v>
      </c>
      <c r="E8" s="64">
        <f t="shared" si="0"/>
        <v>2200000</v>
      </c>
      <c r="L8" s="81">
        <f>236400+167450+20567</f>
        <v>424417</v>
      </c>
    </row>
    <row r="9" spans="1:17" s="52" customFormat="1" ht="30" x14ac:dyDescent="0.25">
      <c r="A9" s="52" t="s">
        <v>10</v>
      </c>
      <c r="B9" s="53">
        <v>0.5</v>
      </c>
      <c r="C9" s="53" t="s">
        <v>63</v>
      </c>
      <c r="D9" s="54">
        <v>3000000</v>
      </c>
      <c r="E9" s="64">
        <f t="shared" si="0"/>
        <v>3000000</v>
      </c>
    </row>
    <row r="10" spans="1:17" s="48" customFormat="1" x14ac:dyDescent="0.25">
      <c r="A10" s="48" t="s">
        <v>11</v>
      </c>
      <c r="B10" s="49">
        <v>3</v>
      </c>
      <c r="C10" s="49" t="s">
        <v>62</v>
      </c>
      <c r="D10" s="50">
        <v>1430000</v>
      </c>
      <c r="E10" s="64">
        <f>+IF(D10&gt;=$C$33,D10*(1+$E$1),$C$33)</f>
        <v>1750905</v>
      </c>
    </row>
    <row r="11" spans="1:17" s="48" customFormat="1" x14ac:dyDescent="0.25">
      <c r="A11" s="48" t="s">
        <v>43</v>
      </c>
      <c r="B11" s="49">
        <v>1</v>
      </c>
      <c r="C11" s="49" t="s">
        <v>62</v>
      </c>
      <c r="D11" s="50">
        <v>1430000</v>
      </c>
      <c r="E11" s="64">
        <f>+IF(D11&gt;=$C$33,D11*(1+$E$1),$C$33)</f>
        <v>1750905</v>
      </c>
    </row>
    <row r="12" spans="1:17" s="48" customFormat="1" ht="15.75" thickBot="1" x14ac:dyDescent="0.3">
      <c r="A12" s="57" t="s">
        <v>12</v>
      </c>
      <c r="B12" s="51">
        <v>3</v>
      </c>
      <c r="C12" s="49" t="s">
        <v>62</v>
      </c>
      <c r="D12" s="50">
        <v>1430000</v>
      </c>
      <c r="E12" s="64">
        <f>+IF(D12&gt;=$C$33,D12*(1+$E$1),$C$33)</f>
        <v>1750905</v>
      </c>
    </row>
    <row r="13" spans="1:17" ht="16.5" thickTop="1" thickBot="1" x14ac:dyDescent="0.3">
      <c r="A13" s="14" t="s">
        <v>5</v>
      </c>
      <c r="B13" s="14">
        <f>ROUND(SUM(B2:B12),2)</f>
        <v>19</v>
      </c>
      <c r="C13" s="14"/>
      <c r="D13" s="46">
        <f t="shared" ref="D13" si="1">SUM(D2:D12)</f>
        <v>27880000</v>
      </c>
    </row>
    <row r="14" spans="1:17" ht="15.75" thickTop="1" x14ac:dyDescent="0.25">
      <c r="D14" s="58"/>
    </row>
    <row r="15" spans="1:17" x14ac:dyDescent="0.25">
      <c r="A15" s="78"/>
      <c r="C15" s="47"/>
    </row>
    <row r="16" spans="1:17" s="73" customFormat="1" x14ac:dyDescent="0.25">
      <c r="A16" s="7"/>
      <c r="C16" s="75"/>
      <c r="F16" s="76">
        <v>0.2</v>
      </c>
      <c r="G16" s="82">
        <v>0.20499999999999999</v>
      </c>
      <c r="H16" s="83">
        <v>1.044E-2</v>
      </c>
      <c r="I16" s="82">
        <v>0.04</v>
      </c>
      <c r="J16" s="82">
        <v>0.03</v>
      </c>
      <c r="K16" s="82">
        <v>0.02</v>
      </c>
      <c r="L16" s="71">
        <v>8.3299999999999999E-2</v>
      </c>
      <c r="M16" s="71">
        <v>8.3299999999999999E-2</v>
      </c>
      <c r="N16" s="71">
        <v>0.01</v>
      </c>
      <c r="O16" s="71">
        <v>4.1700000000000001E-2</v>
      </c>
      <c r="P16" s="76">
        <v>0.05</v>
      </c>
      <c r="Q16" s="77">
        <v>2.5000000000000001E-2</v>
      </c>
    </row>
    <row r="17" spans="1:19" s="73" customFormat="1" ht="30" x14ac:dyDescent="0.25">
      <c r="A17" s="2" t="s">
        <v>92</v>
      </c>
      <c r="B17" s="4" t="str">
        <f>+C1</f>
        <v>Tipo vinculación</v>
      </c>
      <c r="C17" s="2" t="s">
        <v>93</v>
      </c>
      <c r="D17" s="89" t="s">
        <v>94</v>
      </c>
      <c r="E17" s="2" t="s">
        <v>81</v>
      </c>
      <c r="F17" s="85" t="s">
        <v>82</v>
      </c>
      <c r="G17" s="85" t="s">
        <v>72</v>
      </c>
      <c r="H17" s="85" t="s">
        <v>73</v>
      </c>
      <c r="I17" s="85" t="s">
        <v>74</v>
      </c>
      <c r="J17" s="85" t="s">
        <v>75</v>
      </c>
      <c r="K17" s="85" t="s">
        <v>76</v>
      </c>
      <c r="L17" s="85" t="s">
        <v>77</v>
      </c>
      <c r="M17" s="85" t="s">
        <v>78</v>
      </c>
      <c r="N17" s="85" t="s">
        <v>79</v>
      </c>
      <c r="O17" s="85" t="s">
        <v>80</v>
      </c>
      <c r="P17" s="85" t="s">
        <v>83</v>
      </c>
      <c r="Q17" s="85" t="s">
        <v>84</v>
      </c>
      <c r="R17" s="85" t="s">
        <v>85</v>
      </c>
      <c r="S17" s="85" t="s">
        <v>90</v>
      </c>
    </row>
    <row r="18" spans="1:19" x14ac:dyDescent="0.25">
      <c r="A18" s="12" t="s">
        <v>162</v>
      </c>
      <c r="B18" s="4" t="str">
        <f t="shared" ref="B18:B23" si="2">+C2</f>
        <v>Vinculados</v>
      </c>
      <c r="C18" s="11">
        <f t="shared" ref="C18:C23" si="3">+B2</f>
        <v>1</v>
      </c>
      <c r="D18" s="86">
        <f>+E2</f>
        <v>4500000</v>
      </c>
      <c r="E18" s="86">
        <f>IF(D18&gt;=$C$32,0,249095)</f>
        <v>0</v>
      </c>
      <c r="F18" s="87"/>
      <c r="G18" s="87">
        <f>+D18*$G$16</f>
        <v>922500</v>
      </c>
      <c r="H18" s="87">
        <v>109350</v>
      </c>
      <c r="I18" s="87">
        <f>+D18*$I$16</f>
        <v>180000</v>
      </c>
      <c r="J18" s="87">
        <f>+D18*$J$16</f>
        <v>135000</v>
      </c>
      <c r="K18" s="87">
        <f>+D18*$K$16</f>
        <v>90000</v>
      </c>
      <c r="L18" s="86">
        <f>+D18*$L$16</f>
        <v>374850</v>
      </c>
      <c r="M18" s="86">
        <f>+D18*$M$16</f>
        <v>374850</v>
      </c>
      <c r="N18" s="86">
        <f>(L18*$H$4*0.12)/360</f>
        <v>12619.95</v>
      </c>
      <c r="O18" s="86">
        <f>+D18*$O$16</f>
        <v>187650</v>
      </c>
      <c r="P18" s="86">
        <f t="shared" ref="P18:P29" si="4">+D18*$P$16</f>
        <v>225000</v>
      </c>
      <c r="Q18" s="86">
        <f t="shared" ref="Q18:Q29" si="5">+D18*$Q$16</f>
        <v>112500</v>
      </c>
      <c r="R18" s="88">
        <f>+SUM(D18:Q18)*C18</f>
        <v>7224319.9500000002</v>
      </c>
      <c r="S18" s="86">
        <f>+(R18/30)*$H$4</f>
        <v>24321877.164999999</v>
      </c>
    </row>
    <row r="19" spans="1:19" x14ac:dyDescent="0.25">
      <c r="A19" s="12" t="str">
        <f>+A3</f>
        <v xml:space="preserve">Gestora de enfermería </v>
      </c>
      <c r="B19" s="4" t="str">
        <f t="shared" si="2"/>
        <v>Vinculados</v>
      </c>
      <c r="C19" s="11">
        <f t="shared" si="3"/>
        <v>1</v>
      </c>
      <c r="D19" s="86">
        <f t="shared" ref="D19:D23" si="6">+E3</f>
        <v>1970000</v>
      </c>
      <c r="E19" s="86">
        <f>IF(D19&gt;=$C$32,0,249095)</f>
        <v>249095</v>
      </c>
      <c r="F19" s="87">
        <f>+D19*F16</f>
        <v>394000</v>
      </c>
      <c r="G19" s="87">
        <f>+D19*$G$16</f>
        <v>403850</v>
      </c>
      <c r="H19" s="87">
        <v>47871</v>
      </c>
      <c r="I19" s="87">
        <f>+D19*$I$16</f>
        <v>78800</v>
      </c>
      <c r="J19" s="87">
        <f>+D19*$J$16</f>
        <v>59100</v>
      </c>
      <c r="K19" s="87">
        <f>+D19*$K$16</f>
        <v>39400</v>
      </c>
      <c r="L19" s="86">
        <f>(D19+E19)*$L$16</f>
        <v>184850.61350000001</v>
      </c>
      <c r="M19" s="86">
        <f>(D19+E19)*$M$16</f>
        <v>184850.61350000001</v>
      </c>
      <c r="N19" s="86">
        <f t="shared" ref="N19:N29" si="7">(L19*$H$4*0.12)/360</f>
        <v>6223.3039878333338</v>
      </c>
      <c r="O19" s="86">
        <f>+D19*$O$16</f>
        <v>82149</v>
      </c>
      <c r="P19" s="86">
        <f t="shared" si="4"/>
        <v>98500</v>
      </c>
      <c r="Q19" s="86">
        <f t="shared" si="5"/>
        <v>49250</v>
      </c>
      <c r="R19" s="88">
        <f t="shared" ref="R19:R29" si="8">+SUM(D19:Q19)*C19</f>
        <v>3847939.5309878332</v>
      </c>
      <c r="S19" s="86">
        <f t="shared" ref="S19:S29" si="9">+(R19/30)*$H$4</f>
        <v>12954729.754325705</v>
      </c>
    </row>
    <row r="20" spans="1:19" ht="30" customHeight="1" x14ac:dyDescent="0.25">
      <c r="A20" s="12" t="str">
        <f t="shared" ref="A20:A23" si="10">+A4</f>
        <v>Auxiliares en gerontología o cuidadores certificados / y/o Auxiliar de enfermería</v>
      </c>
      <c r="B20" s="4" t="str">
        <f t="shared" si="2"/>
        <v>Vinculados</v>
      </c>
      <c r="C20" s="11">
        <f t="shared" si="3"/>
        <v>7</v>
      </c>
      <c r="D20" s="86">
        <f t="shared" si="6"/>
        <v>1820000</v>
      </c>
      <c r="E20" s="86">
        <f>IF(D20&gt;=$C$32,0,249095)</f>
        <v>249095</v>
      </c>
      <c r="F20" s="87">
        <f>+D20*F16</f>
        <v>364000</v>
      </c>
      <c r="G20" s="87">
        <f>+D20*$G$16</f>
        <v>373100</v>
      </c>
      <c r="H20" s="87">
        <v>44226</v>
      </c>
      <c r="I20" s="87">
        <f>+D20*$I$16</f>
        <v>72800</v>
      </c>
      <c r="J20" s="87">
        <f>+D20*$J$16</f>
        <v>54600</v>
      </c>
      <c r="K20" s="87">
        <f>+D20*$K$16</f>
        <v>36400</v>
      </c>
      <c r="L20" s="86">
        <f>+D20*$L$16</f>
        <v>151606</v>
      </c>
      <c r="M20" s="86">
        <f>+D20*$M$16</f>
        <v>151606</v>
      </c>
      <c r="N20" s="86">
        <f t="shared" si="7"/>
        <v>5104.068666666667</v>
      </c>
      <c r="O20" s="86">
        <f>+D20*$O$16</f>
        <v>75894</v>
      </c>
      <c r="P20" s="86">
        <f t="shared" si="4"/>
        <v>91000</v>
      </c>
      <c r="Q20" s="86">
        <f t="shared" si="5"/>
        <v>45500</v>
      </c>
      <c r="R20" s="88">
        <f t="shared" si="8"/>
        <v>24744517.480666667</v>
      </c>
      <c r="S20" s="86">
        <f t="shared" si="9"/>
        <v>83306542.184911117</v>
      </c>
    </row>
    <row r="21" spans="1:19" x14ac:dyDescent="0.25">
      <c r="A21" s="12" t="str">
        <f t="shared" si="10"/>
        <v>Trabajador Social</v>
      </c>
      <c r="B21" s="4" t="str">
        <f t="shared" si="2"/>
        <v>Vinculados</v>
      </c>
      <c r="C21" s="11">
        <f t="shared" si="3"/>
        <v>0.5</v>
      </c>
      <c r="D21" s="86">
        <f t="shared" si="6"/>
        <v>3500000</v>
      </c>
      <c r="E21" s="86">
        <f>IF(D21&gt;=$C$32,0,249095)</f>
        <v>249095</v>
      </c>
      <c r="F21" s="87"/>
      <c r="G21" s="87">
        <f>+D21*$G$16</f>
        <v>717500</v>
      </c>
      <c r="H21" s="87">
        <v>18270</v>
      </c>
      <c r="I21" s="87">
        <f>+D21*$I$16</f>
        <v>140000</v>
      </c>
      <c r="J21" s="87">
        <f>+D21*$J$16</f>
        <v>105000</v>
      </c>
      <c r="K21" s="87">
        <f>+D21*$K$16</f>
        <v>70000</v>
      </c>
      <c r="L21" s="86">
        <f>+D21*$L$16</f>
        <v>291550</v>
      </c>
      <c r="M21" s="86">
        <f>+D21*$M$16</f>
        <v>291550</v>
      </c>
      <c r="N21" s="86">
        <f t="shared" si="7"/>
        <v>9815.5166666666664</v>
      </c>
      <c r="O21" s="86">
        <f>+D21*$O$16</f>
        <v>145950</v>
      </c>
      <c r="P21" s="86">
        <f t="shared" si="4"/>
        <v>175000</v>
      </c>
      <c r="Q21" s="86">
        <f t="shared" si="5"/>
        <v>87500</v>
      </c>
      <c r="R21" s="88">
        <f t="shared" si="8"/>
        <v>2900615.2583333333</v>
      </c>
      <c r="S21" s="86">
        <f t="shared" si="9"/>
        <v>9765404.703055555</v>
      </c>
    </row>
    <row r="22" spans="1:19" ht="30" x14ac:dyDescent="0.25">
      <c r="A22" s="12" t="str">
        <f t="shared" si="10"/>
        <v>Nutricionista</v>
      </c>
      <c r="B22" s="4" t="str">
        <f t="shared" si="2"/>
        <v>Prestación de servicios</v>
      </c>
      <c r="C22" s="11">
        <f t="shared" si="3"/>
        <v>0.5</v>
      </c>
      <c r="D22" s="86">
        <f t="shared" si="6"/>
        <v>3300000</v>
      </c>
      <c r="E22" s="86">
        <v>0</v>
      </c>
      <c r="F22" s="87"/>
      <c r="G22" s="87"/>
      <c r="H22" s="87"/>
      <c r="I22" s="87"/>
      <c r="J22" s="87"/>
      <c r="K22" s="87"/>
      <c r="L22" s="86"/>
      <c r="M22" s="86"/>
      <c r="N22" s="86"/>
      <c r="O22" s="86"/>
      <c r="P22" s="86"/>
      <c r="Q22" s="86">
        <f t="shared" si="5"/>
        <v>82500</v>
      </c>
      <c r="R22" s="88">
        <f t="shared" si="8"/>
        <v>1691250</v>
      </c>
      <c r="S22" s="86">
        <f t="shared" si="9"/>
        <v>5693875</v>
      </c>
    </row>
    <row r="23" spans="1:19" ht="30" x14ac:dyDescent="0.25">
      <c r="A23" s="12" t="str">
        <f t="shared" si="10"/>
        <v>Fisioterapeuta</v>
      </c>
      <c r="B23" s="4" t="str">
        <f t="shared" si="2"/>
        <v>Prestación de servicios</v>
      </c>
      <c r="C23" s="11">
        <f t="shared" si="3"/>
        <v>0.5</v>
      </c>
      <c r="D23" s="86">
        <f t="shared" si="6"/>
        <v>3300000</v>
      </c>
      <c r="E23" s="86">
        <v>0</v>
      </c>
      <c r="F23" s="87"/>
      <c r="G23" s="87"/>
      <c r="H23" s="87"/>
      <c r="I23" s="87"/>
      <c r="J23" s="87"/>
      <c r="K23" s="87"/>
      <c r="L23" s="86"/>
      <c r="M23" s="86"/>
      <c r="N23" s="86"/>
      <c r="O23" s="86"/>
      <c r="P23" s="86"/>
      <c r="Q23" s="86">
        <f t="shared" si="5"/>
        <v>82500</v>
      </c>
      <c r="R23" s="88">
        <f t="shared" si="8"/>
        <v>1691250</v>
      </c>
      <c r="S23" s="86">
        <f t="shared" si="9"/>
        <v>5693875</v>
      </c>
    </row>
    <row r="24" spans="1:19" ht="30" x14ac:dyDescent="0.25">
      <c r="A24" s="12" t="s">
        <v>163</v>
      </c>
      <c r="B24" s="4" t="s">
        <v>63</v>
      </c>
      <c r="C24" s="11">
        <v>0.5</v>
      </c>
      <c r="D24" s="86">
        <v>8000000</v>
      </c>
      <c r="E24" s="86"/>
      <c r="F24" s="87"/>
      <c r="G24" s="87"/>
      <c r="H24" s="87"/>
      <c r="I24" s="87"/>
      <c r="J24" s="87"/>
      <c r="K24" s="87"/>
      <c r="L24" s="86"/>
      <c r="M24" s="86"/>
      <c r="N24" s="86"/>
      <c r="O24" s="86"/>
      <c r="P24" s="86"/>
      <c r="Q24" s="86">
        <f t="shared" si="5"/>
        <v>200000</v>
      </c>
      <c r="R24" s="88">
        <f t="shared" si="8"/>
        <v>4100000</v>
      </c>
      <c r="S24" s="86">
        <f t="shared" si="9"/>
        <v>13803333.333333332</v>
      </c>
    </row>
    <row r="25" spans="1:19" x14ac:dyDescent="0.25">
      <c r="A25" s="12" t="s">
        <v>87</v>
      </c>
      <c r="B25" s="4" t="str">
        <f>+C8</f>
        <v>Vinculados</v>
      </c>
      <c r="C25" s="11">
        <v>1</v>
      </c>
      <c r="D25" s="86">
        <f>+E8</f>
        <v>2200000</v>
      </c>
      <c r="E25" s="86">
        <f>IF(D25&gt;=$C$32,0,249095)</f>
        <v>249095</v>
      </c>
      <c r="F25" s="87"/>
      <c r="G25" s="87">
        <f>+D25*$G$16</f>
        <v>451000</v>
      </c>
      <c r="H25" s="87">
        <v>53460</v>
      </c>
      <c r="I25" s="87">
        <f>+D25*$I$16</f>
        <v>88000</v>
      </c>
      <c r="J25" s="87">
        <f>+D25*$J$16</f>
        <v>66000</v>
      </c>
      <c r="K25" s="87">
        <f>+D25*$K$16</f>
        <v>44000</v>
      </c>
      <c r="L25" s="86">
        <f>+D25*$L$16</f>
        <v>183260</v>
      </c>
      <c r="M25" s="86">
        <f>+D25*$M$16</f>
        <v>183260</v>
      </c>
      <c r="N25" s="86">
        <f t="shared" si="7"/>
        <v>6169.7533333333322</v>
      </c>
      <c r="O25" s="86">
        <f>+D25*$O$16</f>
        <v>91740</v>
      </c>
      <c r="P25" s="86">
        <f t="shared" si="4"/>
        <v>110000</v>
      </c>
      <c r="Q25" s="86">
        <f t="shared" si="5"/>
        <v>55000</v>
      </c>
      <c r="R25" s="88">
        <f t="shared" si="8"/>
        <v>3780984.7533333334</v>
      </c>
      <c r="S25" s="86">
        <f t="shared" si="9"/>
        <v>12729315.336222222</v>
      </c>
    </row>
    <row r="26" spans="1:19" ht="30" x14ac:dyDescent="0.25">
      <c r="A26" s="12" t="str">
        <f>+A9</f>
        <v>Psicólogo</v>
      </c>
      <c r="B26" s="4" t="str">
        <f>+C9</f>
        <v>Prestación de servicios</v>
      </c>
      <c r="C26" s="11">
        <f>+B9</f>
        <v>0.5</v>
      </c>
      <c r="D26" s="86">
        <f>+E9</f>
        <v>3000000</v>
      </c>
      <c r="E26" s="86">
        <v>0</v>
      </c>
      <c r="F26" s="87"/>
      <c r="G26" s="87"/>
      <c r="H26" s="87"/>
      <c r="I26" s="87"/>
      <c r="J26" s="87"/>
      <c r="K26" s="87"/>
      <c r="L26" s="86"/>
      <c r="M26" s="86"/>
      <c r="N26" s="86"/>
      <c r="O26" s="86"/>
      <c r="P26" s="86"/>
      <c r="Q26" s="86">
        <f t="shared" si="5"/>
        <v>75000</v>
      </c>
      <c r="R26" s="88">
        <f t="shared" si="8"/>
        <v>1537500</v>
      </c>
      <c r="S26" s="86">
        <f t="shared" si="9"/>
        <v>5176250</v>
      </c>
    </row>
    <row r="27" spans="1:19" x14ac:dyDescent="0.25">
      <c r="A27" s="12" t="str">
        <f>+A10</f>
        <v>Manipuladoras de alimentos</v>
      </c>
      <c r="B27" s="4" t="str">
        <f>+C10</f>
        <v>Vinculados</v>
      </c>
      <c r="C27" s="11">
        <f t="shared" ref="C27" si="11">+B10</f>
        <v>3</v>
      </c>
      <c r="D27" s="86">
        <f>+E10</f>
        <v>1750905</v>
      </c>
      <c r="E27" s="86">
        <f>IF(D27&gt;=$C$32,0,249095)</f>
        <v>249095</v>
      </c>
      <c r="F27" s="87">
        <f>+D27*F16</f>
        <v>350181</v>
      </c>
      <c r="G27" s="87">
        <f>+D27*$G$16</f>
        <v>358935.52499999997</v>
      </c>
      <c r="H27" s="87">
        <v>34749</v>
      </c>
      <c r="I27" s="87">
        <f>+D27*$I$16</f>
        <v>70036.2</v>
      </c>
      <c r="J27" s="87">
        <f>+D27*$J$16</f>
        <v>52527.15</v>
      </c>
      <c r="K27" s="87">
        <f>+D27*$K$16</f>
        <v>35018.1</v>
      </c>
      <c r="L27" s="86">
        <f>+D27*$L$16</f>
        <v>145850.38649999999</v>
      </c>
      <c r="M27" s="86">
        <f>+D27*$M$16</f>
        <v>145850.38649999999</v>
      </c>
      <c r="N27" s="86">
        <f t="shared" si="7"/>
        <v>4910.296345499999</v>
      </c>
      <c r="O27" s="86">
        <f>+D27*$O$16</f>
        <v>73012.738500000007</v>
      </c>
      <c r="P27" s="86">
        <f t="shared" si="4"/>
        <v>87545.25</v>
      </c>
      <c r="Q27" s="86">
        <f t="shared" si="5"/>
        <v>43772.625</v>
      </c>
      <c r="R27" s="88">
        <f t="shared" si="8"/>
        <v>10207165.973536499</v>
      </c>
      <c r="S27" s="86">
        <f t="shared" si="9"/>
        <v>34364125.444239549</v>
      </c>
    </row>
    <row r="28" spans="1:19" x14ac:dyDescent="0.25">
      <c r="A28" s="12" t="str">
        <f>+A11</f>
        <v>Mantenimiento sede</v>
      </c>
      <c r="B28" s="4" t="str">
        <f>+C11</f>
        <v>Vinculados</v>
      </c>
      <c r="C28" s="11">
        <v>1</v>
      </c>
      <c r="D28" s="86">
        <f>+E11</f>
        <v>1750905</v>
      </c>
      <c r="E28" s="86">
        <f>IF(D28&gt;=$C$32,0,249095)</f>
        <v>249095</v>
      </c>
      <c r="F28" s="87"/>
      <c r="G28" s="87">
        <f>+D28*$G$16</f>
        <v>358935.52499999997</v>
      </c>
      <c r="H28" s="87">
        <v>34749</v>
      </c>
      <c r="I28" s="87">
        <f>+D28*$I$16</f>
        <v>70036.2</v>
      </c>
      <c r="J28" s="87">
        <f>+D28*$J$16</f>
        <v>52527.15</v>
      </c>
      <c r="K28" s="87">
        <f>+D28*$K$16</f>
        <v>35018.1</v>
      </c>
      <c r="L28" s="86">
        <f>+D28*$L$16</f>
        <v>145850.38649999999</v>
      </c>
      <c r="M28" s="86">
        <f>+D28*$M$16</f>
        <v>145850.38649999999</v>
      </c>
      <c r="N28" s="86">
        <f t="shared" si="7"/>
        <v>4910.296345499999</v>
      </c>
      <c r="O28" s="86">
        <f>+D28*$O$16</f>
        <v>73012.738500000007</v>
      </c>
      <c r="P28" s="86">
        <f t="shared" si="4"/>
        <v>87545.25</v>
      </c>
      <c r="Q28" s="86">
        <f t="shared" si="5"/>
        <v>43772.625</v>
      </c>
      <c r="R28" s="98">
        <f t="shared" si="8"/>
        <v>3052207.6578454999</v>
      </c>
      <c r="S28" s="87">
        <f t="shared" si="9"/>
        <v>10275765.781413183</v>
      </c>
    </row>
    <row r="29" spans="1:19" x14ac:dyDescent="0.25">
      <c r="A29" s="12" t="str">
        <f>+A12</f>
        <v>Personal de servicios Generales</v>
      </c>
      <c r="B29" s="4" t="str">
        <f>+C12</f>
        <v>Vinculados</v>
      </c>
      <c r="C29" s="11">
        <f>+B12</f>
        <v>3</v>
      </c>
      <c r="D29" s="86">
        <f>+E12</f>
        <v>1750905</v>
      </c>
      <c r="E29" s="86">
        <f>IF(D29&gt;=$C$32,0,249095)</f>
        <v>249095</v>
      </c>
      <c r="F29" s="87">
        <f>+D29*F16</f>
        <v>350181</v>
      </c>
      <c r="G29" s="87">
        <f>+D29*$G$16</f>
        <v>358935.52499999997</v>
      </c>
      <c r="H29" s="87">
        <v>34749</v>
      </c>
      <c r="I29" s="87">
        <f>+D29*$I$16</f>
        <v>70036.2</v>
      </c>
      <c r="J29" s="87">
        <f>+D29*$J$16</f>
        <v>52527.15</v>
      </c>
      <c r="K29" s="87">
        <f>+D29*$K$16</f>
        <v>35018.1</v>
      </c>
      <c r="L29" s="86">
        <f>+D29*$L$16</f>
        <v>145850.38649999999</v>
      </c>
      <c r="M29" s="86">
        <f>+D29*$M$16</f>
        <v>145850.38649999999</v>
      </c>
      <c r="N29" s="86">
        <f t="shared" si="7"/>
        <v>4910.296345499999</v>
      </c>
      <c r="O29" s="86">
        <f>+D29*$O$16</f>
        <v>73012.738500000007</v>
      </c>
      <c r="P29" s="86">
        <f t="shared" si="4"/>
        <v>87545.25</v>
      </c>
      <c r="Q29" s="86">
        <f t="shared" si="5"/>
        <v>43772.625</v>
      </c>
      <c r="R29" s="98">
        <f t="shared" si="8"/>
        <v>10207165.973536499</v>
      </c>
      <c r="S29" s="87">
        <f t="shared" si="9"/>
        <v>34364125.444239549</v>
      </c>
    </row>
    <row r="30" spans="1:19" x14ac:dyDescent="0.25">
      <c r="A30" s="103" t="str">
        <f>+A13</f>
        <v>TOTAL</v>
      </c>
      <c r="B30" s="12"/>
      <c r="C30" s="11">
        <f>+B13</f>
        <v>19</v>
      </c>
      <c r="D30" s="86">
        <f>SUM(D18:D29)</f>
        <v>36842715</v>
      </c>
      <c r="E30" s="86">
        <f t="shared" ref="E30:Q30" si="12">SUM(E18:E29)</f>
        <v>1743665</v>
      </c>
      <c r="F30" s="86">
        <f t="shared" si="12"/>
        <v>1458362</v>
      </c>
      <c r="G30" s="86">
        <f t="shared" si="12"/>
        <v>3944756.5749999997</v>
      </c>
      <c r="H30" s="86">
        <f t="shared" si="12"/>
        <v>377424</v>
      </c>
      <c r="I30" s="86">
        <f t="shared" si="12"/>
        <v>769708.59999999986</v>
      </c>
      <c r="J30" s="86">
        <f t="shared" si="12"/>
        <v>577281.45000000007</v>
      </c>
      <c r="K30" s="86">
        <f t="shared" si="12"/>
        <v>384854.29999999993</v>
      </c>
      <c r="L30" s="86">
        <f t="shared" si="12"/>
        <v>1623667.773</v>
      </c>
      <c r="M30" s="86">
        <f t="shared" si="12"/>
        <v>1623667.773</v>
      </c>
      <c r="N30" s="86">
        <f t="shared" si="12"/>
        <v>54663.481691000001</v>
      </c>
      <c r="O30" s="86">
        <f t="shared" si="12"/>
        <v>802421.21549999993</v>
      </c>
      <c r="P30" s="86">
        <f t="shared" si="12"/>
        <v>962135.75</v>
      </c>
      <c r="Q30" s="86">
        <f t="shared" si="12"/>
        <v>921067.875</v>
      </c>
      <c r="R30" s="98">
        <f>+SUM(R18:R29)</f>
        <v>74984916.57823965</v>
      </c>
      <c r="S30" s="98">
        <f>+SUM(S18:S29)</f>
        <v>252449219.14674026</v>
      </c>
    </row>
    <row r="32" spans="1:19" x14ac:dyDescent="0.25">
      <c r="C32" s="58">
        <v>3501810</v>
      </c>
      <c r="P32" s="3" t="s">
        <v>86</v>
      </c>
      <c r="Q32" s="74">
        <f>+R30/30</f>
        <v>2499497.219274655</v>
      </c>
    </row>
    <row r="33" spans="3:4" x14ac:dyDescent="0.25">
      <c r="C33" s="58">
        <v>1750905</v>
      </c>
      <c r="D33" s="58">
        <f>+C33*2</f>
        <v>3501810</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B2:N42"/>
  <sheetViews>
    <sheetView showGridLines="0" topLeftCell="A13" zoomScale="109" workbookViewId="0">
      <selection activeCell="D27" sqref="D27"/>
    </sheetView>
  </sheetViews>
  <sheetFormatPr baseColWidth="10" defaultColWidth="10.7109375" defaultRowHeight="15" x14ac:dyDescent="0.25"/>
  <cols>
    <col min="2" max="2" width="72" bestFit="1" customWidth="1"/>
    <col min="3" max="3" width="29.42578125" customWidth="1"/>
    <col min="4" max="4" width="13.85546875" style="1" bestFit="1" customWidth="1"/>
    <col min="5" max="5" width="14" bestFit="1" customWidth="1"/>
    <col min="6" max="6" width="14.85546875" customWidth="1"/>
    <col min="7" max="7" width="17.42578125" customWidth="1"/>
    <col min="8" max="8" width="13.7109375" style="1" bestFit="1" customWidth="1"/>
    <col min="9" max="9" width="14.42578125" customWidth="1"/>
    <col min="10" max="10" width="13.42578125" customWidth="1"/>
    <col min="11" max="11" width="14.7109375" bestFit="1" customWidth="1"/>
    <col min="12" max="12" width="11.42578125" bestFit="1" customWidth="1"/>
  </cols>
  <sheetData>
    <row r="2" spans="2:11" x14ac:dyDescent="0.25">
      <c r="E2" s="138" t="s">
        <v>5</v>
      </c>
      <c r="F2" s="138"/>
      <c r="H2" s="60">
        <v>0.1</v>
      </c>
      <c r="I2" s="67">
        <v>5.0999999999999997E-2</v>
      </c>
    </row>
    <row r="3" spans="2:11" ht="46.5" customHeight="1" x14ac:dyDescent="0.25">
      <c r="B3" s="2" t="s">
        <v>3</v>
      </c>
      <c r="C3" s="4" t="s">
        <v>6</v>
      </c>
      <c r="D3" s="4" t="s">
        <v>32</v>
      </c>
      <c r="E3" s="4" t="s">
        <v>39</v>
      </c>
      <c r="G3" s="1"/>
      <c r="H3"/>
    </row>
    <row r="4" spans="2:11" ht="3.75" customHeight="1" x14ac:dyDescent="0.25">
      <c r="B4" s="7"/>
      <c r="C4" s="8"/>
      <c r="D4" s="8"/>
      <c r="E4" s="8"/>
      <c r="G4" s="1"/>
      <c r="H4"/>
    </row>
    <row r="5" spans="2:11" x14ac:dyDescent="0.25">
      <c r="B5" s="95" t="s">
        <v>0</v>
      </c>
      <c r="C5" s="95">
        <f>C6+C7</f>
        <v>18392500</v>
      </c>
      <c r="D5" s="95">
        <f>SUM(D6:D7)</f>
        <v>613083.33333333326</v>
      </c>
      <c r="E5" s="95">
        <f>+E6+E7</f>
        <v>62096583.333333313</v>
      </c>
      <c r="G5" s="1"/>
      <c r="H5"/>
    </row>
    <row r="6" spans="2:11" x14ac:dyDescent="0.25">
      <c r="B6" s="94" t="s">
        <v>19</v>
      </c>
      <c r="C6" s="94">
        <f>+(15000000*(1+I2))</f>
        <v>15764999.999999998</v>
      </c>
      <c r="D6" s="94">
        <f>+C6/30</f>
        <v>525499.99999999988</v>
      </c>
      <c r="E6" s="95">
        <f>D6*RESUMEN!C13</f>
        <v>53075499.999999985</v>
      </c>
      <c r="G6" s="1"/>
    </row>
    <row r="7" spans="2:11" x14ac:dyDescent="0.25">
      <c r="B7" s="94" t="s">
        <v>20</v>
      </c>
      <c r="C7" s="94">
        <f>2500000*(1+I2)</f>
        <v>2627500</v>
      </c>
      <c r="D7" s="94">
        <f>+C7/30</f>
        <v>87583.333333333328</v>
      </c>
      <c r="E7" s="95">
        <f>D7*RESUMEN!C12</f>
        <v>9021083.3333333321</v>
      </c>
      <c r="G7" s="1"/>
    </row>
    <row r="8" spans="2:11" x14ac:dyDescent="0.25">
      <c r="B8" s="104" t="s">
        <v>1</v>
      </c>
      <c r="C8" s="95">
        <f>+C9</f>
        <v>0</v>
      </c>
      <c r="D8" s="95">
        <f>+C8/30</f>
        <v>0</v>
      </c>
      <c r="E8" s="95">
        <f>+E9</f>
        <v>114612863.75</v>
      </c>
      <c r="G8" s="1"/>
      <c r="H8"/>
    </row>
    <row r="9" spans="2:11" x14ac:dyDescent="0.25">
      <c r="B9" s="92" t="s">
        <v>22</v>
      </c>
      <c r="C9" s="94"/>
      <c r="D9" s="95">
        <f>+(C20+C21+C22+C23+C24+C25)*RESUMEN!C3</f>
        <v>947213.75</v>
      </c>
      <c r="E9" s="1">
        <f>+L26</f>
        <v>114612863.75</v>
      </c>
      <c r="G9" s="1"/>
      <c r="H9"/>
    </row>
    <row r="10" spans="2:11" x14ac:dyDescent="0.25">
      <c r="B10" s="105" t="s">
        <v>23</v>
      </c>
      <c r="C10" s="95">
        <f>SUM(C11:C14)</f>
        <v>21228446.448539998</v>
      </c>
      <c r="D10" s="95">
        <f>+C10/30</f>
        <v>707614.88161799998</v>
      </c>
      <c r="E10" s="95">
        <f>+E11+E12+E13</f>
        <v>58312282.666666664</v>
      </c>
      <c r="G10" s="1"/>
      <c r="H10"/>
    </row>
    <row r="11" spans="2:11" ht="113.1" customHeight="1" x14ac:dyDescent="0.25">
      <c r="B11" s="33" t="s">
        <v>161</v>
      </c>
      <c r="C11" s="132">
        <f>9160000*(1+I2)</f>
        <v>9627160</v>
      </c>
      <c r="D11" s="95">
        <f t="shared" ref="D11:D14" si="0">+C11/30</f>
        <v>320905.33333333331</v>
      </c>
      <c r="E11" s="94">
        <f>+D11*RESUMEN!C12</f>
        <v>33053249.333333332</v>
      </c>
      <c r="G11" s="1"/>
      <c r="H11" t="s">
        <v>159</v>
      </c>
    </row>
    <row r="12" spans="2:11" ht="18" customHeight="1" x14ac:dyDescent="0.25">
      <c r="B12" s="92" t="s">
        <v>38</v>
      </c>
      <c r="C12" s="94">
        <f>2500000*(1+I2)</f>
        <v>2627500</v>
      </c>
      <c r="D12" s="95">
        <f t="shared" si="0"/>
        <v>87583.333333333328</v>
      </c>
      <c r="E12" s="94">
        <f>+D12*RESUMEN!C12</f>
        <v>9021083.3333333321</v>
      </c>
      <c r="G12" s="1"/>
      <c r="H12" t="s">
        <v>160</v>
      </c>
    </row>
    <row r="13" spans="2:11" ht="32.1" customHeight="1" x14ac:dyDescent="0.25">
      <c r="B13" s="92" t="s">
        <v>103</v>
      </c>
      <c r="C13" s="94">
        <f>4500000*(1+I2)</f>
        <v>4729500</v>
      </c>
      <c r="D13" s="95">
        <f t="shared" si="0"/>
        <v>157650</v>
      </c>
      <c r="E13" s="94">
        <f>+D13*RESUMEN!C12</f>
        <v>16237950</v>
      </c>
      <c r="G13" s="1"/>
      <c r="I13" s="60"/>
    </row>
    <row r="14" spans="2:11" x14ac:dyDescent="0.25">
      <c r="B14" s="92" t="s">
        <v>111</v>
      </c>
      <c r="C14" s="94">
        <f>4038331.54*(1+I2)</f>
        <v>4244286.4485399993</v>
      </c>
      <c r="D14" s="94">
        <f t="shared" si="0"/>
        <v>141476.2149513333</v>
      </c>
      <c r="E14" s="94">
        <f>+D14*RESUMEN!C13</f>
        <v>14289097.710084664</v>
      </c>
      <c r="K14" s="69"/>
    </row>
    <row r="19" spans="2:14" x14ac:dyDescent="0.25">
      <c r="B19" s="96" t="s">
        <v>50</v>
      </c>
      <c r="C19" s="96" t="s">
        <v>51</v>
      </c>
      <c r="D19" s="97" t="s">
        <v>60</v>
      </c>
      <c r="E19" s="97" t="s">
        <v>124</v>
      </c>
      <c r="F19" s="96" t="s">
        <v>53</v>
      </c>
      <c r="G19" s="96" t="s">
        <v>54</v>
      </c>
      <c r="H19" s="96" t="s">
        <v>55</v>
      </c>
      <c r="I19" s="96" t="s">
        <v>56</v>
      </c>
      <c r="J19" s="96" t="s">
        <v>57</v>
      </c>
      <c r="K19" s="96" t="s">
        <v>58</v>
      </c>
      <c r="L19" s="96" t="s">
        <v>5</v>
      </c>
    </row>
    <row r="20" spans="2:14" x14ac:dyDescent="0.25">
      <c r="B20" s="92" t="s">
        <v>44</v>
      </c>
      <c r="C20" s="106">
        <f>4000*(1+I2)</f>
        <v>4204</v>
      </c>
      <c r="D20" s="106">
        <f>+C20*RESUMEN!$C$3</f>
        <v>147140</v>
      </c>
      <c r="E20" s="106">
        <f>+D20*$C$28</f>
        <v>2648520</v>
      </c>
      <c r="F20" s="106">
        <f>+D20*$C$29</f>
        <v>0</v>
      </c>
      <c r="G20" s="106">
        <f>+D20*$C$30</f>
        <v>0</v>
      </c>
      <c r="H20" s="106">
        <f>+D20*$C$31</f>
        <v>4119920</v>
      </c>
      <c r="I20" s="106">
        <f>+D20*$C$32</f>
        <v>4561340</v>
      </c>
      <c r="J20" s="106">
        <f>+D20*$C$33</f>
        <v>4414200</v>
      </c>
      <c r="K20" s="106">
        <f>+D20*$C$34</f>
        <v>2059960</v>
      </c>
      <c r="L20" s="106">
        <f>SUM(E20:K20)</f>
        <v>17803940</v>
      </c>
      <c r="N20" s="69" t="s">
        <v>71</v>
      </c>
    </row>
    <row r="21" spans="2:14" x14ac:dyDescent="0.25">
      <c r="B21" s="92" t="s">
        <v>45</v>
      </c>
      <c r="C21" s="106">
        <f>2650*(1+5.1%)</f>
        <v>2785.1499999999996</v>
      </c>
      <c r="D21" s="106">
        <f>+C21*RESUMEN!$C$3</f>
        <v>97480.249999999985</v>
      </c>
      <c r="E21" s="106">
        <f t="shared" ref="E21:E26" si="1">+D21*$C$28</f>
        <v>1754644.4999999998</v>
      </c>
      <c r="F21" s="106">
        <f t="shared" ref="F21:F25" si="2">+D21*$C$29</f>
        <v>0</v>
      </c>
      <c r="G21" s="106">
        <f t="shared" ref="G21:G26" si="3">+D21*$C$30</f>
        <v>0</v>
      </c>
      <c r="H21" s="106">
        <f t="shared" ref="H21:H26" si="4">+D21*$C$31</f>
        <v>2729446.9999999995</v>
      </c>
      <c r="I21" s="106">
        <f t="shared" ref="I21:I26" si="5">+D21*$C$32</f>
        <v>3021887.7499999995</v>
      </c>
      <c r="J21" s="106">
        <f t="shared" ref="J21:J26" si="6">+D21*$C$33</f>
        <v>2924407.4999999995</v>
      </c>
      <c r="K21" s="106">
        <f t="shared" ref="K21:K26" si="7">+D21*$C$34</f>
        <v>1364723.4999999998</v>
      </c>
      <c r="L21" s="106">
        <f t="shared" ref="L21:L25" si="8">SUM(E21:K21)</f>
        <v>11795110.249999998</v>
      </c>
      <c r="N21" t="s">
        <v>70</v>
      </c>
    </row>
    <row r="22" spans="2:14" x14ac:dyDescent="0.25">
      <c r="B22" s="92" t="s">
        <v>46</v>
      </c>
      <c r="C22" s="106">
        <f>8000*(1+5.1%)</f>
        <v>8408</v>
      </c>
      <c r="D22" s="106">
        <f>+C22*RESUMEN!$C$3</f>
        <v>294280</v>
      </c>
      <c r="E22" s="106">
        <f t="shared" si="1"/>
        <v>5297040</v>
      </c>
      <c r="F22" s="106">
        <f t="shared" si="2"/>
        <v>0</v>
      </c>
      <c r="G22" s="106">
        <f t="shared" si="3"/>
        <v>0</v>
      </c>
      <c r="H22" s="106">
        <f t="shared" si="4"/>
        <v>8239840</v>
      </c>
      <c r="I22" s="106">
        <f t="shared" si="5"/>
        <v>9122680</v>
      </c>
      <c r="J22" s="106">
        <f t="shared" si="6"/>
        <v>8828400</v>
      </c>
      <c r="K22" s="106">
        <f t="shared" si="7"/>
        <v>4119920</v>
      </c>
      <c r="L22" s="106">
        <f t="shared" si="8"/>
        <v>35607880</v>
      </c>
    </row>
    <row r="23" spans="2:14" x14ac:dyDescent="0.25">
      <c r="B23" s="92" t="s">
        <v>47</v>
      </c>
      <c r="C23" s="106">
        <f>2650*(1+5.1%)</f>
        <v>2785.1499999999996</v>
      </c>
      <c r="D23" s="106">
        <f>+C23*RESUMEN!$C$3</f>
        <v>97480.249999999985</v>
      </c>
      <c r="E23" s="106">
        <f t="shared" si="1"/>
        <v>1754644.4999999998</v>
      </c>
      <c r="F23" s="106">
        <f t="shared" si="2"/>
        <v>0</v>
      </c>
      <c r="G23" s="106">
        <f t="shared" si="3"/>
        <v>0</v>
      </c>
      <c r="H23" s="106">
        <f t="shared" si="4"/>
        <v>2729446.9999999995</v>
      </c>
      <c r="I23" s="106">
        <f t="shared" si="5"/>
        <v>3021887.7499999995</v>
      </c>
      <c r="J23" s="106">
        <f t="shared" si="6"/>
        <v>2924407.4999999995</v>
      </c>
      <c r="K23" s="106">
        <f t="shared" si="7"/>
        <v>1364723.4999999998</v>
      </c>
      <c r="L23" s="106">
        <f t="shared" si="8"/>
        <v>11795110.249999998</v>
      </c>
    </row>
    <row r="24" spans="2:14" x14ac:dyDescent="0.25">
      <c r="B24" s="92" t="s">
        <v>48</v>
      </c>
      <c r="C24" s="106">
        <f>6000*(1+5.1%)</f>
        <v>6306</v>
      </c>
      <c r="D24" s="106">
        <f>+C24*RESUMEN!$C$3</f>
        <v>220710</v>
      </c>
      <c r="E24" s="106">
        <f t="shared" si="1"/>
        <v>3972780</v>
      </c>
      <c r="F24" s="106">
        <f t="shared" si="2"/>
        <v>0</v>
      </c>
      <c r="G24" s="106">
        <f t="shared" si="3"/>
        <v>0</v>
      </c>
      <c r="H24" s="106">
        <f t="shared" si="4"/>
        <v>6179880</v>
      </c>
      <c r="I24" s="106">
        <f t="shared" si="5"/>
        <v>6842010</v>
      </c>
      <c r="J24" s="106">
        <f t="shared" si="6"/>
        <v>6621300</v>
      </c>
      <c r="K24" s="106">
        <f t="shared" si="7"/>
        <v>3089940</v>
      </c>
      <c r="L24" s="106">
        <f t="shared" si="8"/>
        <v>26705910</v>
      </c>
    </row>
    <row r="25" spans="2:14" x14ac:dyDescent="0.25">
      <c r="B25" s="92" t="s">
        <v>49</v>
      </c>
      <c r="C25" s="106">
        <f>2450*(1+5.1%)</f>
        <v>2574.9499999999998</v>
      </c>
      <c r="D25" s="106">
        <f>+C25*RESUMEN!$C$3</f>
        <v>90123.25</v>
      </c>
      <c r="E25" s="106">
        <f t="shared" si="1"/>
        <v>1622218.5</v>
      </c>
      <c r="F25" s="106">
        <f t="shared" si="2"/>
        <v>0</v>
      </c>
      <c r="G25" s="106">
        <f t="shared" si="3"/>
        <v>0</v>
      </c>
      <c r="H25" s="106">
        <f t="shared" si="4"/>
        <v>2523451</v>
      </c>
      <c r="I25" s="106">
        <f t="shared" si="5"/>
        <v>2793820.75</v>
      </c>
      <c r="J25" s="106">
        <f t="shared" si="6"/>
        <v>2703697.5</v>
      </c>
      <c r="K25" s="106">
        <f t="shared" si="7"/>
        <v>1261725.5</v>
      </c>
      <c r="L25" s="106">
        <f t="shared" si="8"/>
        <v>10904913.25</v>
      </c>
    </row>
    <row r="26" spans="2:14" x14ac:dyDescent="0.25">
      <c r="B26" s="92" t="s">
        <v>5</v>
      </c>
      <c r="C26" s="106"/>
      <c r="D26" s="106">
        <f>SUM(D20:D25)</f>
        <v>947213.75</v>
      </c>
      <c r="E26" s="106">
        <f t="shared" si="1"/>
        <v>17049847.5</v>
      </c>
      <c r="F26" s="106">
        <f t="shared" ref="F26" si="9">SUM(F20:F25)</f>
        <v>0</v>
      </c>
      <c r="G26" s="106">
        <f t="shared" si="3"/>
        <v>0</v>
      </c>
      <c r="H26" s="106">
        <f t="shared" si="4"/>
        <v>26521985</v>
      </c>
      <c r="I26" s="106">
        <f t="shared" si="5"/>
        <v>29363626.25</v>
      </c>
      <c r="J26" s="106">
        <f t="shared" si="6"/>
        <v>28416412.5</v>
      </c>
      <c r="K26" s="106">
        <f t="shared" si="7"/>
        <v>13260992.5</v>
      </c>
      <c r="L26" s="106">
        <f>SUM(L20:L25)</f>
        <v>114612863.75</v>
      </c>
    </row>
    <row r="27" spans="2:14" x14ac:dyDescent="0.25">
      <c r="B27" s="62" t="s">
        <v>52</v>
      </c>
      <c r="C27" s="63" t="s">
        <v>59</v>
      </c>
      <c r="D27" s="1">
        <f>30922708.16-456727-194074-82452-35030-14880-6312-2702-1135-481-203-84-44-25-5-59896-25770-11065-4755-2042-882-391-174-57-17+2</f>
        <v>30023507.16</v>
      </c>
    </row>
    <row r="28" spans="2:14" x14ac:dyDescent="0.25">
      <c r="B28" s="62" t="s">
        <v>117</v>
      </c>
      <c r="C28" s="63">
        <v>18</v>
      </c>
    </row>
    <row r="29" spans="2:14" x14ac:dyDescent="0.25">
      <c r="B29" t="s">
        <v>53</v>
      </c>
      <c r="C29" s="61">
        <v>0</v>
      </c>
      <c r="D29" s="1">
        <v>10</v>
      </c>
    </row>
    <row r="30" spans="2:14" x14ac:dyDescent="0.25">
      <c r="B30" t="s">
        <v>119</v>
      </c>
      <c r="C30" s="61">
        <v>0</v>
      </c>
      <c r="D30" s="1">
        <v>30</v>
      </c>
    </row>
    <row r="31" spans="2:14" x14ac:dyDescent="0.25">
      <c r="B31" t="s">
        <v>120</v>
      </c>
      <c r="C31" s="61">
        <v>28</v>
      </c>
      <c r="D31" s="1">
        <v>30</v>
      </c>
      <c r="I31" s="1">
        <f>+RESUMEN!E35</f>
        <v>56662590</v>
      </c>
    </row>
    <row r="32" spans="2:14" x14ac:dyDescent="0.25">
      <c r="B32" t="s">
        <v>121</v>
      </c>
      <c r="C32" s="61">
        <v>31</v>
      </c>
      <c r="D32" s="1">
        <v>30</v>
      </c>
      <c r="G32" s="1">
        <f>+RESUMEN!F33</f>
        <v>0</v>
      </c>
      <c r="I32" s="1">
        <f>+E11</f>
        <v>33053249.333333332</v>
      </c>
    </row>
    <row r="33" spans="2:9" x14ac:dyDescent="0.25">
      <c r="B33" t="s">
        <v>122</v>
      </c>
      <c r="C33" s="61">
        <v>30</v>
      </c>
      <c r="D33" s="1">
        <v>30</v>
      </c>
      <c r="G33" s="1">
        <f>+G32/6</f>
        <v>0</v>
      </c>
      <c r="I33" s="1">
        <f>+I31-I32</f>
        <v>23609340.666666668</v>
      </c>
    </row>
    <row r="34" spans="2:9" x14ac:dyDescent="0.25">
      <c r="B34" t="s">
        <v>123</v>
      </c>
      <c r="C34" s="61">
        <v>14</v>
      </c>
      <c r="D34" s="1">
        <v>27</v>
      </c>
    </row>
    <row r="35" spans="2:9" x14ac:dyDescent="0.25">
      <c r="B35" t="s">
        <v>97</v>
      </c>
      <c r="C35" s="61">
        <f>SUM(C28:C34)</f>
        <v>121</v>
      </c>
      <c r="G35" s="109">
        <v>86383.166666666672</v>
      </c>
    </row>
    <row r="36" spans="2:9" x14ac:dyDescent="0.25">
      <c r="G36">
        <v>7824.333333333333</v>
      </c>
    </row>
    <row r="37" spans="2:9" x14ac:dyDescent="0.25">
      <c r="G37">
        <v>726.66666666666663</v>
      </c>
    </row>
    <row r="38" spans="2:9" x14ac:dyDescent="0.25">
      <c r="B38" t="s">
        <v>64</v>
      </c>
      <c r="C38" s="67">
        <v>8.0000000000000002E-3</v>
      </c>
      <c r="G38">
        <v>62.166666666666664</v>
      </c>
    </row>
    <row r="39" spans="2:9" x14ac:dyDescent="0.25">
      <c r="B39" t="s">
        <v>65</v>
      </c>
      <c r="C39" s="9">
        <v>0</v>
      </c>
      <c r="G39">
        <v>1.6666666666666667</v>
      </c>
    </row>
    <row r="40" spans="2:9" x14ac:dyDescent="0.25">
      <c r="G40">
        <f>1.66666666666667</f>
        <v>1.6666666666666701</v>
      </c>
    </row>
    <row r="41" spans="2:9" x14ac:dyDescent="0.25">
      <c r="G41">
        <v>0.83333333333333337</v>
      </c>
    </row>
    <row r="42" spans="2:9" x14ac:dyDescent="0.25">
      <c r="G42">
        <v>-1.8333333333333333</v>
      </c>
    </row>
  </sheetData>
  <mergeCells count="1">
    <mergeCell ref="E2:F2"/>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S15"/>
  <sheetViews>
    <sheetView showGridLines="0" zoomScale="144" workbookViewId="0">
      <selection activeCell="D17" sqref="D17"/>
    </sheetView>
  </sheetViews>
  <sheetFormatPr baseColWidth="10" defaultColWidth="10.7109375" defaultRowHeight="15" outlineLevelCol="1" x14ac:dyDescent="0.25"/>
  <cols>
    <col min="1" max="1" width="10.7109375" style="61"/>
    <col min="2" max="2" width="31.42578125" bestFit="1" customWidth="1"/>
    <col min="3" max="3" width="14.5703125" bestFit="1" customWidth="1" outlineLevel="1"/>
    <col min="4" max="4" width="11.85546875" customWidth="1" outlineLevel="1"/>
    <col min="5" max="5" width="13.28515625" customWidth="1" outlineLevel="1"/>
    <col min="6" max="6" width="10.42578125" style="1" customWidth="1" outlineLevel="1"/>
    <col min="7" max="7" width="13.28515625" style="1" customWidth="1" outlineLevel="1"/>
    <col min="8" max="8" width="11.7109375" style="1" customWidth="1" outlineLevel="1"/>
    <col min="9" max="11" width="11.7109375" customWidth="1" outlineLevel="1"/>
    <col min="12" max="12" width="10.42578125" customWidth="1" outlineLevel="1"/>
    <col min="13" max="15" width="11.7109375" customWidth="1" outlineLevel="1"/>
    <col min="16" max="16" width="16.28515625" bestFit="1" customWidth="1"/>
    <col min="17" max="17" width="17.42578125" bestFit="1" customWidth="1"/>
    <col min="18" max="18" width="13.28515625" bestFit="1" customWidth="1"/>
    <col min="19" max="19" width="21.42578125" customWidth="1"/>
  </cols>
  <sheetData>
    <row r="2" spans="1:19" x14ac:dyDescent="0.25">
      <c r="B2" s="138" t="s">
        <v>28</v>
      </c>
      <c r="C2" s="138"/>
      <c r="D2" s="138"/>
      <c r="E2" s="138"/>
      <c r="F2" s="138"/>
      <c r="G2" s="138"/>
      <c r="H2" s="138"/>
      <c r="I2" s="138"/>
      <c r="J2" s="138"/>
    </row>
    <row r="3" spans="1:19" x14ac:dyDescent="0.25">
      <c r="B3" s="10"/>
      <c r="C3" s="10"/>
      <c r="D3" s="10"/>
      <c r="E3" s="10"/>
      <c r="F3" s="10"/>
      <c r="G3" s="10"/>
      <c r="H3" s="10"/>
      <c r="I3" s="10"/>
      <c r="J3" s="10"/>
    </row>
    <row r="4" spans="1:19" x14ac:dyDescent="0.25">
      <c r="E4" s="70">
        <v>0.20499999999999999</v>
      </c>
      <c r="F4" s="72">
        <v>5.2199999999999998E-3</v>
      </c>
      <c r="G4" s="70">
        <v>0.04</v>
      </c>
      <c r="H4" s="70">
        <v>0.03</v>
      </c>
      <c r="I4" s="70">
        <v>0.02</v>
      </c>
      <c r="J4" s="71">
        <v>8.3299999999999999E-2</v>
      </c>
      <c r="K4" s="71">
        <v>8.3299999999999999E-2</v>
      </c>
      <c r="L4" s="71">
        <v>0.01</v>
      </c>
      <c r="M4" s="71">
        <v>4.1700000000000001E-2</v>
      </c>
      <c r="N4" s="76">
        <v>0.05</v>
      </c>
      <c r="O4" s="77">
        <v>2.5000000000000001E-2</v>
      </c>
    </row>
    <row r="5" spans="1:19" s="73" customFormat="1" ht="45" x14ac:dyDescent="0.25">
      <c r="A5" s="90" t="s">
        <v>93</v>
      </c>
      <c r="B5" s="2" t="s">
        <v>95</v>
      </c>
      <c r="C5" s="89" t="s">
        <v>96</v>
      </c>
      <c r="D5" s="89" t="s">
        <v>81</v>
      </c>
      <c r="E5" s="91" t="s">
        <v>72</v>
      </c>
      <c r="F5" s="91" t="s">
        <v>73</v>
      </c>
      <c r="G5" s="91" t="s">
        <v>74</v>
      </c>
      <c r="H5" s="91" t="s">
        <v>75</v>
      </c>
      <c r="I5" s="91" t="s">
        <v>76</v>
      </c>
      <c r="J5" s="91" t="s">
        <v>77</v>
      </c>
      <c r="K5" s="2" t="s">
        <v>78</v>
      </c>
      <c r="L5" s="2" t="s">
        <v>79</v>
      </c>
      <c r="M5" s="2" t="s">
        <v>80</v>
      </c>
      <c r="N5" s="2" t="s">
        <v>83</v>
      </c>
      <c r="O5" s="2" t="s">
        <v>84</v>
      </c>
      <c r="P5" s="2" t="s">
        <v>85</v>
      </c>
      <c r="Q5" s="2" t="s">
        <v>34</v>
      </c>
      <c r="S5" s="73" t="s">
        <v>102</v>
      </c>
    </row>
    <row r="6" spans="1:19" s="3" customFormat="1" x14ac:dyDescent="0.25">
      <c r="A6" s="84">
        <v>0.4</v>
      </c>
      <c r="B6" s="92" t="s">
        <v>27</v>
      </c>
      <c r="C6" s="93">
        <v>5000000</v>
      </c>
      <c r="D6" s="93"/>
      <c r="E6" s="86">
        <f>+C6*$E$4</f>
        <v>1024999.9999999999</v>
      </c>
      <c r="F6" s="86">
        <f>+C6*$F$4</f>
        <v>26100</v>
      </c>
      <c r="G6" s="86">
        <f>+C6*$G$4</f>
        <v>200000</v>
      </c>
      <c r="H6" s="86">
        <f>+C6*$H$4</f>
        <v>150000</v>
      </c>
      <c r="I6" s="86">
        <f>+C6*$I$4</f>
        <v>100000</v>
      </c>
      <c r="J6" s="86">
        <f>+C6*$J$4</f>
        <v>416500</v>
      </c>
      <c r="K6" s="86">
        <f>+C6*$K$4</f>
        <v>416500</v>
      </c>
      <c r="L6" s="86">
        <f>+(J6*PERSONAL!$H$4*0.12)/360</f>
        <v>14022.166666666666</v>
      </c>
      <c r="M6" s="86">
        <f>+C6*$M$4</f>
        <v>208500</v>
      </c>
      <c r="N6" s="86">
        <f>+C6*$N$4</f>
        <v>250000</v>
      </c>
      <c r="O6" s="86">
        <f>+C6*$O$4</f>
        <v>125000</v>
      </c>
      <c r="P6" s="88">
        <f>+SUM(C6:O6)*A6</f>
        <v>3172648.8666666672</v>
      </c>
      <c r="Q6" s="86">
        <f>+(P6/30)*PERSONAL!$H$4</f>
        <v>10681251.184444446</v>
      </c>
    </row>
    <row r="7" spans="1:19" s="3" customFormat="1" ht="20.45" customHeight="1" x14ac:dyDescent="0.25">
      <c r="A7" s="84">
        <v>0.5</v>
      </c>
      <c r="B7" s="92" t="s">
        <v>40</v>
      </c>
      <c r="C7" s="93">
        <v>5000000</v>
      </c>
      <c r="D7" s="93"/>
      <c r="E7" s="86">
        <f>+C7*$E$4</f>
        <v>1024999.9999999999</v>
      </c>
      <c r="F7" s="86">
        <f>+C7*$F$4</f>
        <v>26100</v>
      </c>
      <c r="G7" s="86">
        <f>+C7*$G$4</f>
        <v>200000</v>
      </c>
      <c r="H7" s="86">
        <f>+C7*$H$4</f>
        <v>150000</v>
      </c>
      <c r="I7" s="86">
        <f>+C7*$I$4</f>
        <v>100000</v>
      </c>
      <c r="J7" s="86">
        <f>+C7*$J$4</f>
        <v>416500</v>
      </c>
      <c r="K7" s="86">
        <f>+C7*$K$4</f>
        <v>416500</v>
      </c>
      <c r="L7" s="86">
        <f>+(J7*PERSONAL!$H$4*0.12)/360</f>
        <v>14022.166666666666</v>
      </c>
      <c r="M7" s="86">
        <f>+C7*$M$4</f>
        <v>208500</v>
      </c>
      <c r="N7" s="86">
        <f>+C7*$N$4</f>
        <v>250000</v>
      </c>
      <c r="O7" s="86">
        <f>+C7*$O$4</f>
        <v>125000</v>
      </c>
      <c r="P7" s="88">
        <f>+SUM(C7:O7)*A7</f>
        <v>3965811.0833333335</v>
      </c>
      <c r="Q7" s="86">
        <f>+(P7/30)*PERSONAL!$H$4</f>
        <v>13351563.980555555</v>
      </c>
    </row>
    <row r="8" spans="1:19" s="3" customFormat="1" x14ac:dyDescent="0.25">
      <c r="A8" s="84">
        <v>0.5</v>
      </c>
      <c r="B8" s="92" t="s">
        <v>29</v>
      </c>
      <c r="C8" s="93">
        <v>5000000</v>
      </c>
      <c r="D8" s="93"/>
      <c r="E8" s="86">
        <f>+C8*$E$4</f>
        <v>1024999.9999999999</v>
      </c>
      <c r="F8" s="86">
        <f>+C8*$F$4</f>
        <v>26100</v>
      </c>
      <c r="G8" s="86">
        <f>+C8*$G$4</f>
        <v>200000</v>
      </c>
      <c r="H8" s="86">
        <f>+C8*$H$4</f>
        <v>150000</v>
      </c>
      <c r="I8" s="86">
        <f>+C8*$I$4</f>
        <v>100000</v>
      </c>
      <c r="J8" s="86">
        <f>+C8*$J$4</f>
        <v>416500</v>
      </c>
      <c r="K8" s="86">
        <f>+C8*$K$4</f>
        <v>416500</v>
      </c>
      <c r="L8" s="86">
        <f>+(J8*PERSONAL!$H$4*0.12)/360</f>
        <v>14022.166666666666</v>
      </c>
      <c r="M8" s="86">
        <f>+C8*$M$4</f>
        <v>208500</v>
      </c>
      <c r="N8" s="86">
        <f>+C8*$N$4</f>
        <v>250000</v>
      </c>
      <c r="O8" s="86">
        <f>+C8*$O$4</f>
        <v>125000</v>
      </c>
      <c r="P8" s="88">
        <f>+SUM(C8:O8)*A8</f>
        <v>3965811.0833333335</v>
      </c>
      <c r="Q8" s="86">
        <f>+(P8/30)*PERSONAL!$H$4</f>
        <v>13351563.980555555</v>
      </c>
    </row>
    <row r="9" spans="1:19" s="3" customFormat="1" ht="15.95" customHeight="1" x14ac:dyDescent="0.25">
      <c r="A9" s="84">
        <v>1</v>
      </c>
      <c r="B9" s="92" t="s">
        <v>100</v>
      </c>
      <c r="C9" s="93">
        <v>5000000</v>
      </c>
      <c r="D9" s="93"/>
      <c r="E9" s="86">
        <f>+C9*$E$4</f>
        <v>1024999.9999999999</v>
      </c>
      <c r="F9" s="86">
        <f>+C9*$F$4</f>
        <v>26100</v>
      </c>
      <c r="G9" s="86">
        <f>+C9*$G$4</f>
        <v>200000</v>
      </c>
      <c r="H9" s="86">
        <f>+C9*$H$4</f>
        <v>150000</v>
      </c>
      <c r="I9" s="86">
        <f>+C9*$I$4</f>
        <v>100000</v>
      </c>
      <c r="J9" s="86">
        <f>+C9*$J$4</f>
        <v>416500</v>
      </c>
      <c r="K9" s="86">
        <f>+C9*$K$4</f>
        <v>416500</v>
      </c>
      <c r="L9" s="86">
        <f>+(J9*PERSONAL!$H$4*0.12)/360</f>
        <v>14022.166666666666</v>
      </c>
      <c r="M9" s="86">
        <f>+C9*$M$4</f>
        <v>208500</v>
      </c>
      <c r="N9" s="86">
        <f>+C9*$N$4</f>
        <v>250000</v>
      </c>
      <c r="O9" s="86">
        <f>+C9*$O$4</f>
        <v>125000</v>
      </c>
      <c r="P9" s="88">
        <f>+SUM(C9:O9)*A9</f>
        <v>7931622.166666667</v>
      </c>
      <c r="Q9" s="86">
        <f>+(P9/30)*PERSONAL!$H$4</f>
        <v>26703127.96111111</v>
      </c>
      <c r="R9" s="58">
        <f>+'COSTOS DIRECTOS'!I33</f>
        <v>23609340.666666668</v>
      </c>
      <c r="S9" s="58">
        <f>+Q9-R9</f>
        <v>3093787.2944444418</v>
      </c>
    </row>
    <row r="10" spans="1:19" s="3" customFormat="1" ht="18" customHeight="1" x14ac:dyDescent="0.25">
      <c r="A10" s="84">
        <v>1</v>
      </c>
      <c r="B10" s="92" t="s">
        <v>26</v>
      </c>
      <c r="C10" s="93">
        <f>1500000*(1+5.1%)</f>
        <v>1576500</v>
      </c>
      <c r="D10" s="93"/>
      <c r="E10" s="86"/>
      <c r="F10" s="86"/>
      <c r="G10" s="86"/>
      <c r="H10" s="86"/>
      <c r="I10" s="86"/>
      <c r="J10" s="86"/>
      <c r="K10" s="86"/>
      <c r="L10" s="86"/>
      <c r="M10" s="86"/>
      <c r="N10" s="86"/>
      <c r="O10" s="86"/>
      <c r="P10" s="98">
        <v>2000000</v>
      </c>
      <c r="Q10" s="87">
        <f>+(P10/30)*PERSONAL!$H$4</f>
        <v>6733333.333333334</v>
      </c>
    </row>
    <row r="11" spans="1:19" x14ac:dyDescent="0.25">
      <c r="A11" s="139" t="s">
        <v>5</v>
      </c>
      <c r="B11" s="139"/>
      <c r="C11" s="92"/>
      <c r="D11" s="92"/>
      <c r="E11" s="94"/>
      <c r="F11" s="94"/>
      <c r="G11" s="94"/>
      <c r="H11" s="92"/>
      <c r="I11" s="92"/>
      <c r="J11" s="92"/>
      <c r="K11" s="92"/>
      <c r="L11" s="92"/>
      <c r="M11" s="92"/>
      <c r="N11" s="92"/>
      <c r="O11" s="92"/>
      <c r="P11" s="99">
        <f>+SUM(P6:P10)</f>
        <v>21035893.200000003</v>
      </c>
      <c r="Q11" s="99">
        <f>+SUM(Q6:Q10)</f>
        <v>70820840.439999998</v>
      </c>
    </row>
    <row r="12" spans="1:19" x14ac:dyDescent="0.25">
      <c r="E12" s="1"/>
      <c r="H12"/>
    </row>
    <row r="13" spans="1:19" x14ac:dyDescent="0.25">
      <c r="E13" s="1"/>
      <c r="H13"/>
      <c r="O13" t="s">
        <v>86</v>
      </c>
      <c r="P13" s="80">
        <f>+P11/30</f>
        <v>701196.44000000006</v>
      </c>
      <c r="Q13" s="1">
        <f>+Q9+'COSTOS DIRECTOS'!E11</f>
        <v>59756377.294444442</v>
      </c>
    </row>
    <row r="14" spans="1:19" x14ac:dyDescent="0.25">
      <c r="E14" s="1"/>
      <c r="H14"/>
    </row>
    <row r="15" spans="1:19" x14ac:dyDescent="0.25">
      <c r="E15" s="1"/>
      <c r="H15"/>
    </row>
  </sheetData>
  <mergeCells count="2">
    <mergeCell ref="B2:J2"/>
    <mergeCell ref="A11:B1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49"/>
  <sheetViews>
    <sheetView showGridLines="0" workbookViewId="0">
      <selection activeCell="D30" sqref="D30"/>
    </sheetView>
  </sheetViews>
  <sheetFormatPr baseColWidth="10" defaultRowHeight="15" x14ac:dyDescent="0.25"/>
  <cols>
    <col min="2" max="2" width="34.28515625" customWidth="1"/>
    <col min="3" max="3" width="20.5703125" customWidth="1"/>
    <col min="4" max="4" width="15" customWidth="1"/>
    <col min="5" max="5" width="12.7109375" bestFit="1" customWidth="1"/>
    <col min="6" max="6" width="11.42578125" bestFit="1" customWidth="1"/>
  </cols>
  <sheetData>
    <row r="2" spans="2:11" x14ac:dyDescent="0.25">
      <c r="C2" t="s">
        <v>66</v>
      </c>
      <c r="D2" s="1">
        <f>+RESUMEN!D22</f>
        <v>566625358</v>
      </c>
    </row>
    <row r="3" spans="2:11" x14ac:dyDescent="0.25">
      <c r="B3" s="92" t="s">
        <v>98</v>
      </c>
      <c r="C3" s="92" t="s">
        <v>99</v>
      </c>
      <c r="D3" s="92" t="s">
        <v>51</v>
      </c>
    </row>
    <row r="4" spans="2:11" x14ac:dyDescent="0.25">
      <c r="B4" s="92" t="s">
        <v>64</v>
      </c>
      <c r="C4" s="107">
        <v>0.01</v>
      </c>
      <c r="D4" s="94">
        <f>ROUND($D$2*C4,0)</f>
        <v>5666254</v>
      </c>
      <c r="F4" t="s">
        <v>113</v>
      </c>
      <c r="G4" s="116">
        <f>10/1000</f>
        <v>0.01</v>
      </c>
    </row>
    <row r="5" spans="2:11" x14ac:dyDescent="0.25">
      <c r="B5" s="92" t="s">
        <v>65</v>
      </c>
      <c r="C5" s="107">
        <v>0</v>
      </c>
      <c r="D5" s="94">
        <f>ROUND($D$2*C5,0)</f>
        <v>0</v>
      </c>
      <c r="F5" s="9">
        <v>0.01</v>
      </c>
      <c r="K5">
        <v>742192075</v>
      </c>
    </row>
    <row r="6" spans="2:11" x14ac:dyDescent="0.25">
      <c r="B6" s="92" t="s">
        <v>67</v>
      </c>
      <c r="C6" s="107">
        <v>4.9269065558265358E-3</v>
      </c>
      <c r="D6" s="94">
        <f>ROUND(D2*C6,0)</f>
        <v>2791710</v>
      </c>
      <c r="F6" s="68">
        <f>+D6/D2</f>
        <v>4.9269062186941513E-3</v>
      </c>
      <c r="K6">
        <v>3656711</v>
      </c>
    </row>
    <row r="7" spans="2:11" x14ac:dyDescent="0.25">
      <c r="B7" s="92" t="s">
        <v>106</v>
      </c>
      <c r="C7" s="108">
        <f>SUM(C4:C6)</f>
        <v>1.4926906555826536E-2</v>
      </c>
      <c r="D7" s="95">
        <f>SUM(D4:D6)</f>
        <v>8457964</v>
      </c>
      <c r="K7" s="68">
        <f>+K6/K5</f>
        <v>4.9269065558265358E-3</v>
      </c>
    </row>
    <row r="8" spans="2:11" x14ac:dyDescent="0.25">
      <c r="D8" s="1"/>
    </row>
    <row r="9" spans="2:11" x14ac:dyDescent="0.25">
      <c r="D9" s="1"/>
    </row>
    <row r="11" spans="2:11" x14ac:dyDescent="0.25">
      <c r="D11" s="1">
        <f>+RESUMEN!D21</f>
        <v>8333569</v>
      </c>
      <c r="E11" s="67">
        <f>+D11/D2</f>
        <v>1.4707370367988366E-2</v>
      </c>
      <c r="H11" s="68">
        <f>+E12-0.05217%+0.10127%+0.00448%+0.00021%+H15+H16+H17-H18-H19-H20-H21-H22-H23-H24+H25-H26-H27-H28-H31-H32-H33-H34-H35-H36</f>
        <v>1.5153096106457433E-2</v>
      </c>
      <c r="I11" s="68">
        <f>+E12*(1-E13)</f>
        <v>1.4930183962206786E-2</v>
      </c>
    </row>
    <row r="12" spans="2:11" x14ac:dyDescent="0.25">
      <c r="D12" s="1">
        <f>+D7</f>
        <v>8457964</v>
      </c>
      <c r="E12" s="68">
        <f>+D12/D2</f>
        <v>1.4926906959924656E-2</v>
      </c>
    </row>
    <row r="13" spans="2:11" x14ac:dyDescent="0.25">
      <c r="D13" s="1">
        <f>+D11-D12</f>
        <v>-124395</v>
      </c>
      <c r="E13" s="114">
        <f>+(D13*E11)/D11</f>
        <v>-2.1953659193628958E-4</v>
      </c>
    </row>
    <row r="15" spans="2:11" x14ac:dyDescent="0.25">
      <c r="H15" s="60">
        <v>-7.4256032828850284E-8</v>
      </c>
    </row>
    <row r="16" spans="2:11" x14ac:dyDescent="0.25">
      <c r="H16" s="60">
        <v>-1.4493029437457184E-7</v>
      </c>
    </row>
    <row r="17" spans="2:8" x14ac:dyDescent="0.25">
      <c r="H17" s="60">
        <v>-2.827451337964999E-7</v>
      </c>
    </row>
    <row r="18" spans="2:8" x14ac:dyDescent="0.25">
      <c r="H18" s="60">
        <v>-5.5248540210134102E-7</v>
      </c>
    </row>
    <row r="19" spans="2:8" x14ac:dyDescent="0.25">
      <c r="H19" s="60">
        <v>-2.5961959984950033E-8</v>
      </c>
    </row>
    <row r="20" spans="2:8" x14ac:dyDescent="0.25">
      <c r="H20" s="60">
        <v>-1.2259733048829587E-9</v>
      </c>
    </row>
    <row r="21" spans="2:8" x14ac:dyDescent="0.25">
      <c r="H21" s="60">
        <v>-2.0000010942333485E-3</v>
      </c>
    </row>
    <row r="22" spans="2:8" x14ac:dyDescent="0.25">
      <c r="H22" s="60">
        <v>-6.0623791924825675E-4</v>
      </c>
    </row>
    <row r="23" spans="2:8" ht="30" x14ac:dyDescent="0.25">
      <c r="B23" s="2" t="str">
        <f>+RESUMEN!B15</f>
        <v>CONCEPTO</v>
      </c>
      <c r="C23" s="4" t="str">
        <f>+RESUMEN!D15</f>
        <v xml:space="preserve">COSTO TOTAL </v>
      </c>
      <c r="D23" s="4" t="s">
        <v>91</v>
      </c>
      <c r="E23" s="4" t="s">
        <v>107</v>
      </c>
      <c r="F23" s="4" t="s">
        <v>109</v>
      </c>
      <c r="G23" s="60"/>
      <c r="H23" s="60">
        <v>2.3777439165992864E-3</v>
      </c>
    </row>
    <row r="24" spans="2:8" x14ac:dyDescent="0.25">
      <c r="B24" s="92" t="str">
        <f>+RESUMEN!B16</f>
        <v>ALOJAMIENTO</v>
      </c>
      <c r="C24" s="94">
        <f>+RESUMEN!D16</f>
        <v>62096583</v>
      </c>
      <c r="D24" s="94">
        <f>+C24</f>
        <v>62096583</v>
      </c>
      <c r="E24" s="94"/>
      <c r="F24" s="92"/>
      <c r="G24" s="60"/>
      <c r="H24" s="60">
        <v>1.2286096590566204E-4</v>
      </c>
    </row>
    <row r="25" spans="2:8" x14ac:dyDescent="0.25">
      <c r="B25" s="92" t="str">
        <f>+RESUMEN!B17</f>
        <v>ALIMENTACIÓN</v>
      </c>
      <c r="C25" s="94">
        <f>+RESUMEN!D17</f>
        <v>114612864</v>
      </c>
      <c r="D25" s="94">
        <f>+C25</f>
        <v>114612864</v>
      </c>
      <c r="E25" s="94"/>
      <c r="F25" s="92"/>
      <c r="G25" s="60"/>
      <c r="H25" s="60">
        <v>6.062749913719151E-6</v>
      </c>
    </row>
    <row r="26" spans="2:8" x14ac:dyDescent="0.25">
      <c r="B26" s="92" t="str">
        <f>+RESUMEN!B18</f>
        <v>ESPARCIMIENTO, ASEO Y SALUD</v>
      </c>
      <c r="C26" s="94">
        <f>+RESUMEN!D18</f>
        <v>58312283</v>
      </c>
      <c r="D26" s="94">
        <f>+C26-'COSTOS DIRECTOS'!I32</f>
        <v>25259033.666666668</v>
      </c>
      <c r="E26" s="94">
        <f>+C26-D26</f>
        <v>33053249.333333332</v>
      </c>
      <c r="F26" s="92" t="s">
        <v>110</v>
      </c>
      <c r="G26" s="60"/>
      <c r="H26" s="60">
        <v>1.1827727633805646E-5</v>
      </c>
    </row>
    <row r="27" spans="2:8" x14ac:dyDescent="0.25">
      <c r="B27" s="92" t="str">
        <f>+RESUMEN!B19</f>
        <v>COSTO PERSONAL</v>
      </c>
      <c r="C27" s="94">
        <f>+RESUMEN!D19</f>
        <v>252449219</v>
      </c>
      <c r="D27" s="94">
        <f>+C27</f>
        <v>252449219</v>
      </c>
      <c r="E27" s="94"/>
      <c r="F27" s="92"/>
      <c r="G27" s="60"/>
      <c r="H27" s="60">
        <v>5.8058444961029001E-7</v>
      </c>
    </row>
    <row r="28" spans="2:8" x14ac:dyDescent="0.25">
      <c r="B28" s="92" t="str">
        <f>+RESUMEN!B20</f>
        <v>COSTOS ADMINISTRATIVOS DE OPERACIÓN</v>
      </c>
      <c r="C28" s="94">
        <f>+RESUMEN!D20</f>
        <v>70820840</v>
      </c>
      <c r="D28" s="94">
        <f>+C28-'COSTOS DIRECTOS'!I33</f>
        <v>47211499.333333328</v>
      </c>
      <c r="E28" s="94">
        <f>+C28-D28</f>
        <v>23609340.666666672</v>
      </c>
      <c r="F28" s="92" t="s">
        <v>110</v>
      </c>
      <c r="G28" s="60"/>
      <c r="H28" s="60">
        <v>3.0882169008794454E-8</v>
      </c>
    </row>
    <row r="29" spans="2:8" x14ac:dyDescent="0.25">
      <c r="B29" s="92" t="str">
        <f>+RESUMEN!B21</f>
        <v>GASTOS INDIRECTOS ASOCIADOS A LA PUESTA EN MARCHA DEL PROYECTOS</v>
      </c>
      <c r="C29" s="94">
        <f>+RESUMEN!D21</f>
        <v>8333569</v>
      </c>
      <c r="D29" s="94">
        <f>+C29</f>
        <v>8333569</v>
      </c>
      <c r="E29" s="94"/>
      <c r="F29" s="92"/>
      <c r="G29" s="60"/>
      <c r="H29" s="60">
        <v>9.9999990855606548E-3</v>
      </c>
    </row>
    <row r="30" spans="2:8" x14ac:dyDescent="0.25">
      <c r="B30" s="105" t="str">
        <f>+RESUMEN!B22</f>
        <v xml:space="preserve">VALOR TOTAL </v>
      </c>
      <c r="C30" s="95">
        <f>+RESUMEN!D22</f>
        <v>566625358</v>
      </c>
      <c r="D30" s="95">
        <f>SUM(D24:D29)</f>
        <v>509962767.99999994</v>
      </c>
      <c r="E30" s="95">
        <f>SUM(E24:E29)</f>
        <v>56662590</v>
      </c>
      <c r="F30" s="92"/>
      <c r="G30" s="60"/>
      <c r="H30" s="60">
        <v>-9.3935521688717962E-3</v>
      </c>
    </row>
    <row r="31" spans="2:8" x14ac:dyDescent="0.25">
      <c r="B31" s="105" t="s">
        <v>108</v>
      </c>
      <c r="C31" s="105"/>
      <c r="D31" s="115">
        <f>ROUND(D30/$C$30,4)</f>
        <v>0.9</v>
      </c>
      <c r="E31" s="115">
        <f>ROUND(E30/$C$30,4)</f>
        <v>0.1</v>
      </c>
      <c r="F31" s="92"/>
      <c r="G31" s="60"/>
      <c r="H31" s="60">
        <v>3.9870511623965848E-4</v>
      </c>
    </row>
    <row r="32" spans="2:8" x14ac:dyDescent="0.25">
      <c r="H32" s="60">
        <v>1.1974977965773419E-5</v>
      </c>
    </row>
    <row r="33" spans="4:8" x14ac:dyDescent="0.25">
      <c r="D33" s="1">
        <f>+RESUMEN!G34</f>
        <v>0</v>
      </c>
      <c r="H33" s="60">
        <v>3.5617047596741387E-7</v>
      </c>
    </row>
    <row r="34" spans="4:8" x14ac:dyDescent="0.25">
      <c r="D34" s="1">
        <f>+D30-D33</f>
        <v>509962767.99999994</v>
      </c>
      <c r="H34" s="60">
        <v>8.9042650309787063E-9</v>
      </c>
    </row>
    <row r="35" spans="4:8" x14ac:dyDescent="0.25">
      <c r="H35" s="60">
        <v>2.2260662750884752E-9</v>
      </c>
    </row>
    <row r="36" spans="4:8" x14ac:dyDescent="0.25">
      <c r="H36" s="60">
        <v>-1.1130331412607659E-9</v>
      </c>
    </row>
    <row r="37" spans="4:8" x14ac:dyDescent="0.25">
      <c r="H37" s="60"/>
    </row>
    <row r="38" spans="4:8" x14ac:dyDescent="0.25">
      <c r="H38" s="60"/>
    </row>
    <row r="39" spans="4:8" x14ac:dyDescent="0.25">
      <c r="H39" s="60"/>
    </row>
    <row r="40" spans="4:8" x14ac:dyDescent="0.25">
      <c r="H40" s="60"/>
    </row>
    <row r="41" spans="4:8" x14ac:dyDescent="0.25">
      <c r="H41" s="60"/>
    </row>
    <row r="42" spans="4:8" x14ac:dyDescent="0.25">
      <c r="H42" s="60"/>
    </row>
    <row r="43" spans="4:8" x14ac:dyDescent="0.25">
      <c r="H43" s="60"/>
    </row>
    <row r="44" spans="4:8" x14ac:dyDescent="0.25">
      <c r="H44" s="60"/>
    </row>
    <row r="45" spans="4:8" x14ac:dyDescent="0.25">
      <c r="H45" s="60"/>
    </row>
    <row r="46" spans="4:8" x14ac:dyDescent="0.25">
      <c r="H46" s="60"/>
    </row>
    <row r="47" spans="4:8" x14ac:dyDescent="0.25">
      <c r="H47" s="60"/>
    </row>
    <row r="48" spans="4:8" x14ac:dyDescent="0.25">
      <c r="H48" s="60"/>
    </row>
    <row r="49" spans="8:8" x14ac:dyDescent="0.25">
      <c r="H49" s="60"/>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79B3B7A6D51D742A3DD32C333DB8296" ma:contentTypeVersion="15" ma:contentTypeDescription="Crear nuevo documento." ma:contentTypeScope="" ma:versionID="b057b606046cf283c8a1a67655847556">
  <xsd:schema xmlns:xsd="http://www.w3.org/2001/XMLSchema" xmlns:xs="http://www.w3.org/2001/XMLSchema" xmlns:p="http://schemas.microsoft.com/office/2006/metadata/properties" xmlns:ns3="087f4fec-99d3-4be9-8b27-f8fd8de0a2e9" xmlns:ns4="3b805452-7778-453f-913b-350529e6bb14" targetNamespace="http://schemas.microsoft.com/office/2006/metadata/properties" ma:root="true" ma:fieldsID="1b35f68473fb5bf1fd0ae1634e9db140" ns3:_="" ns4:_="">
    <xsd:import namespace="087f4fec-99d3-4be9-8b27-f8fd8de0a2e9"/>
    <xsd:import namespace="3b805452-7778-453f-913b-350529e6bb14"/>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4:_activity" minOccurs="0"/>
                <xsd:element ref="ns4:MediaServiceObjectDetectorVersions" minOccurs="0"/>
                <xsd:element ref="ns4:MediaServiceSystemTags" minOccurs="0"/>
                <xsd:element ref="ns4:MediaServiceSearchProperties" minOccurs="0"/>
                <xsd:element ref="ns4: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7f4fec-99d3-4be9-8b27-f8fd8de0a2e9"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SharingHintHash" ma:index="10" nillable="true" ma:displayName="Hash de la sugerencia para compartir"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b805452-7778-453f-913b-350529e6bb14"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_activity" ma:index="18" nillable="true" ma:displayName="_activity" ma:hidden="true" ma:internalName="_activity">
      <xsd:simpleType>
        <xsd:restriction base="dms:Note"/>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ystemTags" ma:index="20" nillable="true" ma:displayName="MediaServiceSystemTags" ma:hidden="true" ma:internalName="MediaServiceSystemTags" ma:readOnly="true">
      <xsd:simpleType>
        <xsd:restriction base="dms:Note"/>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LengthInSeconds" ma:index="22"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3b805452-7778-453f-913b-350529e6bb14"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52345C8-68A9-4993-92EA-1E93624B03E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7f4fec-99d3-4be9-8b27-f8fd8de0a2e9"/>
    <ds:schemaRef ds:uri="3b805452-7778-453f-913b-350529e6bb1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DC7C9A6-A2C0-4F58-9B58-9EF204D8A3DE}">
  <ds:schemaRefs>
    <ds:schemaRef ds:uri="http://schemas.openxmlformats.org/package/2006/metadata/core-properties"/>
    <ds:schemaRef ds:uri="http://purl.org/dc/dcmitype/"/>
    <ds:schemaRef ds:uri="http://schemas.microsoft.com/office/2006/documentManagement/types"/>
    <ds:schemaRef ds:uri="http://purl.org/dc/elements/1.1/"/>
    <ds:schemaRef ds:uri="http://schemas.microsoft.com/office/infopath/2007/PartnerControls"/>
    <ds:schemaRef ds:uri="3b805452-7778-453f-913b-350529e6bb14"/>
    <ds:schemaRef ds:uri="http://purl.org/dc/terms/"/>
    <ds:schemaRef ds:uri="087f4fec-99d3-4be9-8b27-f8fd8de0a2e9"/>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3D9D3E06-A39D-4D8D-AB02-C1965257A2F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1</vt:i4>
      </vt:variant>
    </vt:vector>
  </HeadingPairs>
  <TitlesOfParts>
    <vt:vector size="8" baseType="lpstr">
      <vt:lpstr>DIAS CONTABLES Y CORRIENTES 202</vt:lpstr>
      <vt:lpstr>RESUMEN</vt:lpstr>
      <vt:lpstr>Hoja1</vt:lpstr>
      <vt:lpstr>PERSONAL</vt:lpstr>
      <vt:lpstr>COSTOS DIRECTOS</vt:lpstr>
      <vt:lpstr>COSTOS ADMINISTRATIVOS</vt:lpstr>
      <vt:lpstr>INDIRECTOS</vt:lpstr>
      <vt:lpstr>RESUMEN!Área_de_impresión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Johan Esteven Valencia Romero - CT Compras</dc:creator>
  <cp:lastModifiedBy>Johan Esteven Valencia Romero - CT Compras</cp:lastModifiedBy>
  <dcterms:created xsi:type="dcterms:W3CDTF">2023-12-05T17:46:24Z</dcterms:created>
  <dcterms:modified xsi:type="dcterms:W3CDTF">2026-08-25T13:31:59Z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0x010100E79B3B7A6D51D742A3DD32C333DB8296</vt:lpwstr>
  </property>
</Properties>
</file>