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mc:AlternateContent xmlns:mc="http://schemas.openxmlformats.org/markup-compatibility/2006">
    <mc:Choice Requires="x15">
      <x15ac:absPath xmlns:x15ac="http://schemas.microsoft.com/office/spreadsheetml/2010/11/ac" url="C:\Users\dmartinez\Downloads\aseo 2026 nuevo\"/>
    </mc:Choice>
  </mc:AlternateContent>
  <xr:revisionPtr revIDLastSave="2" documentId="11_5404B5ADD421B3AB70CEBBB5E880D4725582E56C" xr6:coauthVersionLast="47" xr6:coauthVersionMax="47" xr10:uidLastSave="{5D292D2B-1129-4648-8DB4-A53490EEA4F0}"/>
  <bookViews>
    <workbookView xWindow="-120" yWindow="-120" windowWidth="19320" windowHeight="6930" firstSheet="4" activeTab="2" xr2:uid="{00000000-000D-0000-FFFF-FFFF00000000}"/>
  </bookViews>
  <sheets>
    <sheet name="INF Est Mercado" sheetId="1" state="hidden" r:id="rId1"/>
    <sheet name="Resumen Propuesta" sheetId="15" r:id="rId2"/>
    <sheet name="Formulario Económico 2026" sheetId="5" r:id="rId3"/>
    <sheet name="Dotación 2026" sheetId="6" r:id="rId4"/>
    <sheet name="Elementos aseo y cafeteria2026" sheetId="13" r:id="rId5"/>
    <sheet name="Formulario Económico 2027" sheetId="9" r:id="rId6"/>
    <sheet name="Dotacion 2027" sheetId="11" r:id="rId7"/>
    <sheet name="Elementos aseo y cafeteria2027" sheetId="14" r:id="rId8"/>
  </sheets>
  <externalReferences>
    <externalReference r:id="rId9"/>
    <externalReference r:id="rId10"/>
  </externalReferences>
  <definedNames>
    <definedName name="_xlnm._FilterDatabase" localSheetId="4" hidden="1">'Elementos aseo y cafeteria2026'!$A$2:$J$80</definedName>
    <definedName name="_xlnm._FilterDatabase" localSheetId="7" hidden="1">'Elementos aseo y cafeteria2027'!$A$2:$H$83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8" i="11" l="1"/>
  <c r="D27" i="11"/>
  <c r="D26" i="11"/>
  <c r="D25" i="11"/>
  <c r="D24" i="11"/>
  <c r="D23" i="11"/>
  <c r="D22" i="11"/>
  <c r="D29" i="11" s="1"/>
  <c r="D30" i="11" s="1"/>
  <c r="D8" i="11"/>
  <c r="D7" i="11"/>
  <c r="D6" i="11"/>
  <c r="D5" i="11"/>
  <c r="D4" i="11"/>
  <c r="D3" i="11"/>
  <c r="D9" i="11" s="1"/>
  <c r="D10" i="11" s="1"/>
  <c r="D14" i="11"/>
  <c r="G67" i="14" l="1"/>
  <c r="C26" i="9"/>
  <c r="C24" i="9"/>
  <c r="C25" i="9" s="1"/>
  <c r="B62" i="9"/>
  <c r="D16" i="6"/>
  <c r="D15" i="6"/>
  <c r="D14" i="6"/>
  <c r="D17" i="6" s="1"/>
  <c r="D18" i="6" s="1"/>
  <c r="D30" i="5"/>
  <c r="D34" i="5"/>
  <c r="G80" i="14"/>
  <c r="H80" i="14" s="1"/>
  <c r="G79" i="14"/>
  <c r="H79" i="14" s="1"/>
  <c r="G78" i="14"/>
  <c r="H78" i="14" s="1"/>
  <c r="G77" i="14"/>
  <c r="H77" i="14" s="1"/>
  <c r="G76" i="14"/>
  <c r="H76" i="14" s="1"/>
  <c r="G75" i="14"/>
  <c r="H75" i="14" s="1"/>
  <c r="G74" i="14"/>
  <c r="H74" i="14" s="1"/>
  <c r="G73" i="14"/>
  <c r="H73" i="14" s="1"/>
  <c r="G72" i="14"/>
  <c r="H72" i="14" s="1"/>
  <c r="G71" i="14"/>
  <c r="H71" i="14" s="1"/>
  <c r="G70" i="14"/>
  <c r="H70" i="14" s="1"/>
  <c r="G69" i="14"/>
  <c r="H69" i="14" s="1"/>
  <c r="G68" i="14"/>
  <c r="H68" i="14" s="1"/>
  <c r="H67" i="14"/>
  <c r="G66" i="14"/>
  <c r="H66" i="14" s="1"/>
  <c r="G65" i="14"/>
  <c r="H65" i="14" s="1"/>
  <c r="G64" i="14"/>
  <c r="H64" i="14" s="1"/>
  <c r="G63" i="14"/>
  <c r="H63" i="14" s="1"/>
  <c r="G62" i="14"/>
  <c r="H62" i="14" s="1"/>
  <c r="G61" i="14"/>
  <c r="H61" i="14" s="1"/>
  <c r="G60" i="14"/>
  <c r="H60" i="14" s="1"/>
  <c r="G59" i="14"/>
  <c r="H59" i="14" s="1"/>
  <c r="G58" i="14"/>
  <c r="H58" i="14" s="1"/>
  <c r="G57" i="14"/>
  <c r="H57" i="14" s="1"/>
  <c r="G56" i="14"/>
  <c r="H56" i="14" s="1"/>
  <c r="G55" i="14"/>
  <c r="H55" i="14" s="1"/>
  <c r="G54" i="14"/>
  <c r="H54" i="14" s="1"/>
  <c r="G53" i="14"/>
  <c r="H53" i="14" s="1"/>
  <c r="G52" i="14"/>
  <c r="H52" i="14" s="1"/>
  <c r="G51" i="14"/>
  <c r="H51" i="14" s="1"/>
  <c r="G50" i="14"/>
  <c r="H50" i="14" s="1"/>
  <c r="G49" i="14"/>
  <c r="H49" i="14" s="1"/>
  <c r="G48" i="14"/>
  <c r="H48" i="14" s="1"/>
  <c r="G47" i="14"/>
  <c r="H47" i="14" s="1"/>
  <c r="G46" i="14"/>
  <c r="H46" i="14" s="1"/>
  <c r="G45" i="14"/>
  <c r="H45" i="14" s="1"/>
  <c r="G44" i="14"/>
  <c r="H44" i="14" s="1"/>
  <c r="G43" i="14"/>
  <c r="H43" i="14" s="1"/>
  <c r="G42" i="14"/>
  <c r="H42" i="14" s="1"/>
  <c r="G41" i="14"/>
  <c r="H41" i="14" s="1"/>
  <c r="G40" i="14"/>
  <c r="H40" i="14" s="1"/>
  <c r="G39" i="14"/>
  <c r="H39" i="14" s="1"/>
  <c r="G38" i="14"/>
  <c r="H38" i="14" s="1"/>
  <c r="G37" i="14"/>
  <c r="H37" i="14" s="1"/>
  <c r="G36" i="14"/>
  <c r="H36" i="14" s="1"/>
  <c r="G35" i="14"/>
  <c r="H35" i="14" s="1"/>
  <c r="G34" i="14"/>
  <c r="H34" i="14" s="1"/>
  <c r="G33" i="14"/>
  <c r="H33" i="14" s="1"/>
  <c r="G32" i="14"/>
  <c r="H32" i="14" s="1"/>
  <c r="G31" i="14"/>
  <c r="H31" i="14" s="1"/>
  <c r="G30" i="14"/>
  <c r="H30" i="14" s="1"/>
  <c r="G29" i="14"/>
  <c r="H29" i="14" s="1"/>
  <c r="G28" i="14"/>
  <c r="H28" i="14" s="1"/>
  <c r="G27" i="14"/>
  <c r="H27" i="14" s="1"/>
  <c r="G26" i="14"/>
  <c r="H26" i="14" s="1"/>
  <c r="G25" i="14"/>
  <c r="H25" i="14" s="1"/>
  <c r="G24" i="14"/>
  <c r="H24" i="14" s="1"/>
  <c r="G23" i="14"/>
  <c r="H23" i="14" s="1"/>
  <c r="G22" i="14"/>
  <c r="H22" i="14" s="1"/>
  <c r="G21" i="14"/>
  <c r="H21" i="14" s="1"/>
  <c r="G20" i="14"/>
  <c r="H20" i="14" s="1"/>
  <c r="G19" i="14"/>
  <c r="H19" i="14" s="1"/>
  <c r="G18" i="14"/>
  <c r="H18" i="14" s="1"/>
  <c r="G17" i="14"/>
  <c r="H17" i="14" s="1"/>
  <c r="G16" i="14"/>
  <c r="H16" i="14" s="1"/>
  <c r="G15" i="14"/>
  <c r="H15" i="14" s="1"/>
  <c r="G14" i="14"/>
  <c r="H14" i="14" s="1"/>
  <c r="G13" i="14"/>
  <c r="H13" i="14" s="1"/>
  <c r="G12" i="14"/>
  <c r="H12" i="14" s="1"/>
  <c r="G11" i="14"/>
  <c r="H11" i="14" s="1"/>
  <c r="G10" i="14"/>
  <c r="H10" i="14" s="1"/>
  <c r="G9" i="14"/>
  <c r="H9" i="14" s="1"/>
  <c r="G8" i="14"/>
  <c r="H8" i="14" s="1"/>
  <c r="G7" i="14"/>
  <c r="H7" i="14" s="1"/>
  <c r="G6" i="14"/>
  <c r="H6" i="14" s="1"/>
  <c r="G5" i="14"/>
  <c r="H5" i="14" s="1"/>
  <c r="G4" i="14"/>
  <c r="H4" i="14" s="1"/>
  <c r="G3" i="14"/>
  <c r="H3" i="14" s="1"/>
  <c r="G78" i="13"/>
  <c r="H78" i="13" s="1"/>
  <c r="G77" i="13"/>
  <c r="H77" i="13" s="1"/>
  <c r="G76" i="13"/>
  <c r="H76" i="13" s="1"/>
  <c r="G75" i="13"/>
  <c r="H75" i="13" s="1"/>
  <c r="G74" i="13"/>
  <c r="H74" i="13" s="1"/>
  <c r="G73" i="13"/>
  <c r="H73" i="13" s="1"/>
  <c r="G72" i="13"/>
  <c r="H72" i="13" s="1"/>
  <c r="G71" i="13"/>
  <c r="H71" i="13" s="1"/>
  <c r="G70" i="13"/>
  <c r="H70" i="13" s="1"/>
  <c r="G69" i="13"/>
  <c r="H69" i="13" s="1"/>
  <c r="G68" i="13"/>
  <c r="H68" i="13" s="1"/>
  <c r="G67" i="13"/>
  <c r="H67" i="13" s="1"/>
  <c r="G66" i="13"/>
  <c r="H66" i="13" s="1"/>
  <c r="G65" i="13"/>
  <c r="H65" i="13" s="1"/>
  <c r="G64" i="13"/>
  <c r="H64" i="13" s="1"/>
  <c r="G63" i="13"/>
  <c r="H63" i="13" s="1"/>
  <c r="G62" i="13"/>
  <c r="H62" i="13" s="1"/>
  <c r="G61" i="13"/>
  <c r="H61" i="13" s="1"/>
  <c r="G60" i="13"/>
  <c r="H60" i="13" s="1"/>
  <c r="G59" i="13"/>
  <c r="H59" i="13" s="1"/>
  <c r="G58" i="13"/>
  <c r="H58" i="13" s="1"/>
  <c r="G57" i="13"/>
  <c r="H57" i="13" s="1"/>
  <c r="G56" i="13"/>
  <c r="H56" i="13" s="1"/>
  <c r="G55" i="13"/>
  <c r="H55" i="13" s="1"/>
  <c r="G54" i="13"/>
  <c r="H54" i="13" s="1"/>
  <c r="G53" i="13"/>
  <c r="H53" i="13" s="1"/>
  <c r="G52" i="13"/>
  <c r="H52" i="13" s="1"/>
  <c r="G51" i="13"/>
  <c r="H51" i="13" s="1"/>
  <c r="G50" i="13"/>
  <c r="H50" i="13" s="1"/>
  <c r="G49" i="13"/>
  <c r="H49" i="13" s="1"/>
  <c r="G48" i="13"/>
  <c r="H48" i="13" s="1"/>
  <c r="G47" i="13"/>
  <c r="H47" i="13" s="1"/>
  <c r="G46" i="13"/>
  <c r="H46" i="13" s="1"/>
  <c r="G45" i="13"/>
  <c r="H45" i="13" s="1"/>
  <c r="G44" i="13"/>
  <c r="H44" i="13" s="1"/>
  <c r="G43" i="13"/>
  <c r="H43" i="13" s="1"/>
  <c r="G42" i="13"/>
  <c r="H42" i="13" s="1"/>
  <c r="G41" i="13"/>
  <c r="H41" i="13" s="1"/>
  <c r="G40" i="13"/>
  <c r="H40" i="13" s="1"/>
  <c r="G39" i="13"/>
  <c r="H39" i="13" s="1"/>
  <c r="G38" i="13"/>
  <c r="H38" i="13" s="1"/>
  <c r="G37" i="13"/>
  <c r="H37" i="13" s="1"/>
  <c r="G36" i="13"/>
  <c r="H36" i="13" s="1"/>
  <c r="G35" i="13"/>
  <c r="H35" i="13" s="1"/>
  <c r="G34" i="13"/>
  <c r="H34" i="13" s="1"/>
  <c r="G33" i="13"/>
  <c r="H33" i="13" s="1"/>
  <c r="G32" i="13"/>
  <c r="H32" i="13" s="1"/>
  <c r="G31" i="13"/>
  <c r="H31" i="13" s="1"/>
  <c r="G30" i="13"/>
  <c r="H30" i="13" s="1"/>
  <c r="G29" i="13"/>
  <c r="H29" i="13" s="1"/>
  <c r="G28" i="13"/>
  <c r="H28" i="13" s="1"/>
  <c r="G27" i="13"/>
  <c r="H27" i="13" s="1"/>
  <c r="G26" i="13"/>
  <c r="H26" i="13" s="1"/>
  <c r="G25" i="13"/>
  <c r="H25" i="13" s="1"/>
  <c r="G24" i="13"/>
  <c r="H24" i="13" s="1"/>
  <c r="G23" i="13"/>
  <c r="H23" i="13" s="1"/>
  <c r="G22" i="13"/>
  <c r="H22" i="13" s="1"/>
  <c r="G21" i="13"/>
  <c r="H21" i="13" s="1"/>
  <c r="G20" i="13"/>
  <c r="H20" i="13" s="1"/>
  <c r="G19" i="13"/>
  <c r="H19" i="13" s="1"/>
  <c r="G18" i="13"/>
  <c r="H18" i="13" s="1"/>
  <c r="G17" i="13"/>
  <c r="H17" i="13" s="1"/>
  <c r="G16" i="13"/>
  <c r="H16" i="13" s="1"/>
  <c r="G15" i="13"/>
  <c r="H15" i="13" s="1"/>
  <c r="G14" i="13"/>
  <c r="H14" i="13" s="1"/>
  <c r="G13" i="13"/>
  <c r="H13" i="13" s="1"/>
  <c r="G12" i="13"/>
  <c r="H12" i="13" s="1"/>
  <c r="G11" i="13"/>
  <c r="H11" i="13" s="1"/>
  <c r="G10" i="13"/>
  <c r="H10" i="13" s="1"/>
  <c r="G9" i="13"/>
  <c r="H9" i="13" s="1"/>
  <c r="G8" i="13"/>
  <c r="H8" i="13" s="1"/>
  <c r="G7" i="13"/>
  <c r="H7" i="13" s="1"/>
  <c r="G6" i="13"/>
  <c r="H6" i="13" s="1"/>
  <c r="G5" i="13"/>
  <c r="H5" i="13" s="1"/>
  <c r="G4" i="13"/>
  <c r="H4" i="13" s="1"/>
  <c r="G3" i="13"/>
  <c r="H3" i="13" s="1"/>
  <c r="F67" i="9"/>
  <c r="E62" i="9"/>
  <c r="L73" i="9" s="1"/>
  <c r="D16" i="11"/>
  <c r="D15" i="11"/>
  <c r="D17" i="11" s="1"/>
  <c r="D18" i="11"/>
  <c r="D34" i="11" s="1"/>
  <c r="B52" i="9"/>
  <c r="E52" i="9" s="1"/>
  <c r="B51" i="9"/>
  <c r="E61" i="5"/>
  <c r="H72" i="5" s="1"/>
  <c r="F68" i="9"/>
  <c r="L74" i="9" s="1"/>
  <c r="E51" i="9"/>
  <c r="H21" i="9"/>
  <c r="G20" i="9"/>
  <c r="B20" i="9"/>
  <c r="G18" i="9"/>
  <c r="B18" i="9"/>
  <c r="G17" i="9"/>
  <c r="B17" i="9"/>
  <c r="G15" i="9"/>
  <c r="B15" i="9"/>
  <c r="G14" i="9"/>
  <c r="G13" i="9"/>
  <c r="B13" i="9"/>
  <c r="G11" i="9"/>
  <c r="B11" i="9"/>
  <c r="G10" i="9"/>
  <c r="G9" i="9"/>
  <c r="B9" i="9"/>
  <c r="B7" i="9"/>
  <c r="G6" i="9"/>
  <c r="B6" i="9"/>
  <c r="G5" i="9"/>
  <c r="B5" i="9"/>
  <c r="D28" i="6"/>
  <c r="D27" i="6"/>
  <c r="D26" i="6"/>
  <c r="D25" i="6"/>
  <c r="D24" i="6"/>
  <c r="D23" i="6"/>
  <c r="D22" i="6"/>
  <c r="D8" i="6"/>
  <c r="D7" i="6"/>
  <c r="D6" i="6"/>
  <c r="D5" i="6"/>
  <c r="D4" i="6"/>
  <c r="D3" i="6"/>
  <c r="D9" i="6" s="1"/>
  <c r="D10" i="6" s="1"/>
  <c r="B30" i="5"/>
  <c r="C30" i="5"/>
  <c r="C34" i="5"/>
  <c r="B34" i="5"/>
  <c r="H81" i="14" l="1"/>
  <c r="B57" i="9" s="1"/>
  <c r="L79" i="9"/>
  <c r="L78" i="9"/>
  <c r="H77" i="5"/>
  <c r="D37" i="5"/>
  <c r="D36" i="5"/>
  <c r="D35" i="5"/>
  <c r="D33" i="5"/>
  <c r="D32" i="5"/>
  <c r="D31" i="5"/>
  <c r="B32" i="5"/>
  <c r="C32" i="5"/>
  <c r="H79" i="13"/>
  <c r="B56" i="5" s="1"/>
  <c r="E57" i="9"/>
  <c r="L72" i="9" s="1"/>
  <c r="C35" i="9"/>
  <c r="D35" i="9"/>
  <c r="C31" i="9"/>
  <c r="B31" i="9"/>
  <c r="D31" i="9" s="1"/>
  <c r="B37" i="9"/>
  <c r="D37" i="9" s="1"/>
  <c r="C34" i="9"/>
  <c r="C38" i="9"/>
  <c r="B35" i="9"/>
  <c r="B34" i="9"/>
  <c r="D34" i="9" s="1"/>
  <c r="C33" i="9"/>
  <c r="L77" i="9" l="1"/>
  <c r="L84" i="9"/>
  <c r="H82" i="5"/>
  <c r="L83" i="9"/>
  <c r="D40" i="5"/>
  <c r="D39" i="5"/>
  <c r="D38" i="5"/>
  <c r="D41" i="5" s="1"/>
  <c r="D42" i="5" s="1"/>
  <c r="B48" i="5" s="1"/>
  <c r="E48" i="5" s="1"/>
  <c r="B33" i="9"/>
  <c r="D33" i="9" s="1"/>
  <c r="B36" i="9"/>
  <c r="D36" i="9" s="1"/>
  <c r="B38" i="9"/>
  <c r="D38" i="9" s="1"/>
  <c r="C32" i="9"/>
  <c r="C41" i="9" s="1"/>
  <c r="B32" i="9"/>
  <c r="D32" i="9" s="1"/>
  <c r="C36" i="9"/>
  <c r="C37" i="9"/>
  <c r="C40" i="9"/>
  <c r="C39" i="9"/>
  <c r="B31" i="5"/>
  <c r="E67" i="5"/>
  <c r="H73" i="5" s="1"/>
  <c r="L82" i="9" l="1"/>
  <c r="H78" i="5"/>
  <c r="B39" i="9"/>
  <c r="B40" i="9"/>
  <c r="D40" i="9" s="1"/>
  <c r="B41" i="9"/>
  <c r="D41" i="9" s="1"/>
  <c r="B42" i="9"/>
  <c r="D39" i="9"/>
  <c r="D42" i="9" s="1"/>
  <c r="D43" i="9" s="1"/>
  <c r="B49" i="9" s="1"/>
  <c r="E49" i="9" s="1"/>
  <c r="C42" i="9"/>
  <c r="C43" i="9" s="1"/>
  <c r="B50" i="9" s="1"/>
  <c r="E50" i="9" s="1"/>
  <c r="H83" i="5" l="1"/>
  <c r="B43" i="9"/>
  <c r="B48" i="9" s="1"/>
  <c r="E48" i="9" s="1"/>
  <c r="D29" i="6"/>
  <c r="D30" i="6" s="1"/>
  <c r="D34" i="6"/>
  <c r="C37" i="5"/>
  <c r="B36" i="5"/>
  <c r="E53" i="9" l="1"/>
  <c r="L71" i="9" s="1"/>
  <c r="B35" i="5"/>
  <c r="C33" i="5"/>
  <c r="B33" i="5"/>
  <c r="C36" i="5"/>
  <c r="B37" i="5"/>
  <c r="L76" i="9" l="1"/>
  <c r="L80" i="9" s="1"/>
  <c r="L75" i="9"/>
  <c r="E50" i="5"/>
  <c r="L81" i="9" l="1"/>
  <c r="L85" i="9" s="1"/>
  <c r="D4" i="15" s="1"/>
  <c r="H69" i="1"/>
  <c r="H68" i="1"/>
  <c r="H67" i="1"/>
  <c r="E61" i="1"/>
  <c r="K66" i="1" s="1"/>
  <c r="B55" i="1"/>
  <c r="E55" i="1" s="1"/>
  <c r="K65" i="1" s="1"/>
  <c r="B49" i="1"/>
  <c r="E49" i="1" s="1"/>
  <c r="E48" i="1"/>
  <c r="C25" i="1"/>
  <c r="C33" i="1" s="1"/>
  <c r="B25" i="1"/>
  <c r="B31" i="1" s="1"/>
  <c r="G21" i="1"/>
  <c r="F20" i="1"/>
  <c r="B20" i="1"/>
  <c r="F18" i="1"/>
  <c r="B18" i="1"/>
  <c r="F17" i="1"/>
  <c r="B17" i="1"/>
  <c r="F15" i="1"/>
  <c r="B15" i="1"/>
  <c r="F14" i="1"/>
  <c r="F13" i="1"/>
  <c r="B13" i="1"/>
  <c r="F11" i="1"/>
  <c r="B11" i="1"/>
  <c r="F10" i="1"/>
  <c r="F9" i="1"/>
  <c r="B9" i="1"/>
  <c r="B7" i="1"/>
  <c r="F6" i="1"/>
  <c r="B6" i="1"/>
  <c r="F5" i="1"/>
  <c r="B5" i="1"/>
  <c r="B27" i="1" l="1"/>
  <c r="B34" i="1" s="1"/>
  <c r="B29" i="1"/>
  <c r="B30" i="1"/>
  <c r="B33" i="1"/>
  <c r="K68" i="1"/>
  <c r="K72" i="1" s="1"/>
  <c r="C27" i="1"/>
  <c r="C30" i="1"/>
  <c r="K69" i="1"/>
  <c r="K73" i="1" s="1"/>
  <c r="C29" i="1"/>
  <c r="C31" i="1"/>
  <c r="E56" i="5" l="1"/>
  <c r="H71" i="5" s="1"/>
  <c r="B36" i="1"/>
  <c r="B35" i="1"/>
  <c r="B37" i="1"/>
  <c r="B38" i="1" s="1"/>
  <c r="B46" i="1" s="1"/>
  <c r="E46" i="1" s="1"/>
  <c r="C36" i="1"/>
  <c r="C35" i="1"/>
  <c r="C34" i="1"/>
  <c r="H76" i="5" l="1"/>
  <c r="H81" i="5" s="1"/>
  <c r="B45" i="1"/>
  <c r="E45" i="1" s="1"/>
  <c r="C37" i="1"/>
  <c r="C38" i="1" s="1"/>
  <c r="B47" i="1" s="1"/>
  <c r="E47" i="1" s="1"/>
  <c r="E50" i="1" l="1"/>
  <c r="K64" i="1" s="1"/>
  <c r="K67" i="1" s="1"/>
  <c r="K71" i="1" s="1"/>
  <c r="K70" i="1" l="1"/>
  <c r="K74" i="1"/>
  <c r="B51" i="5" l="1"/>
  <c r="E51" i="5" s="1"/>
  <c r="C31" i="5" l="1"/>
  <c r="B20" i="5"/>
  <c r="B18" i="5"/>
  <c r="B17" i="5"/>
  <c r="B15" i="5"/>
  <c r="B13" i="5"/>
  <c r="B11" i="5"/>
  <c r="B9" i="5"/>
  <c r="B7" i="5"/>
  <c r="B6" i="5"/>
  <c r="B5" i="5"/>
  <c r="C40" i="5" l="1"/>
  <c r="C38" i="5"/>
  <c r="C39" i="5"/>
  <c r="B39" i="5"/>
  <c r="B40" i="5"/>
  <c r="B38" i="5"/>
  <c r="B41" i="5" s="1"/>
  <c r="C35" i="5"/>
  <c r="C41" i="5" l="1"/>
  <c r="C42" i="5" s="1"/>
  <c r="B49" i="5" s="1"/>
  <c r="E49" i="5" s="1"/>
  <c r="B42" i="5"/>
  <c r="B47" i="5" s="1"/>
  <c r="E47" i="5" l="1"/>
  <c r="E52" i="5" l="1"/>
  <c r="H70" i="5" s="1"/>
  <c r="H75" i="5" l="1"/>
  <c r="H74" i="5"/>
  <c r="H80" i="5" l="1"/>
  <c r="H84" i="5" s="1"/>
  <c r="D3" i="15" s="1"/>
  <c r="D5" i="15" s="1"/>
  <c r="H79" i="5"/>
</calcChain>
</file>

<file path=xl/sharedStrings.xml><?xml version="1.0" encoding="utf-8"?>
<sst xmlns="http://schemas.openxmlformats.org/spreadsheetml/2006/main" count="880" uniqueCount="370">
  <si>
    <t>PROMEDIOS</t>
  </si>
  <si>
    <r>
      <rPr>
        <b/>
        <sz val="11"/>
        <color theme="1"/>
        <rFont val="Calibri"/>
        <family val="2"/>
        <scheme val="minor"/>
      </rPr>
      <t xml:space="preserve">Objeto: Prestación del servicio de aseo, oficios varios, mantenimientos y otros para INDEPORTES ANTIOQUIA </t>
    </r>
    <r>
      <rPr>
        <sz val="11"/>
        <color theme="1"/>
        <rFont val="Calibri"/>
        <family val="2"/>
        <scheme val="minor"/>
      </rPr>
      <t xml:space="preserve">
</t>
    </r>
  </si>
  <si>
    <t>CUADRO DE TURNOS</t>
  </si>
  <si>
    <t>HORAS al dia LUNES SABADO</t>
  </si>
  <si>
    <t>DIAS LUNES A SABADO</t>
  </si>
  <si>
    <t>HORAS DOMINGO</t>
  </si>
  <si>
    <t>DIAS
DOMINGO</t>
  </si>
  <si>
    <t>TOTAL HORA SEMANA</t>
  </si>
  <si>
    <t>NUMERO DE
PERSONAS</t>
  </si>
  <si>
    <t>Casa Sede Jaques de Bedout Villa</t>
  </si>
  <si>
    <t xml:space="preserve">Servicio de aseo </t>
  </si>
  <si>
    <t>Servicio de oficios varios</t>
  </si>
  <si>
    <t xml:space="preserve">Recepcionista </t>
  </si>
  <si>
    <t>Villa Deportiva</t>
  </si>
  <si>
    <t>Servicio de camareras</t>
  </si>
  <si>
    <t>Servicio de camareras dominicales y festivos</t>
  </si>
  <si>
    <t>Neiva 80</t>
  </si>
  <si>
    <t>Villa Nautica - Guatapé</t>
  </si>
  <si>
    <t>CEDEP Urabá - Apartadó</t>
  </si>
  <si>
    <t>TOTAL REQUERIMIENTO DE PERSONAL</t>
  </si>
  <si>
    <t>SALARIO Y PRESTACIONES SOCIALES CAMARERIA, ASEO, RECEPCIONISTA, OFICIOS VARIOS</t>
  </si>
  <si>
    <t xml:space="preserve">ASEO, CAMARERIA Y RECEPCIONISTA </t>
  </si>
  <si>
    <t xml:space="preserve">OFICIOS VARIOS </t>
  </si>
  <si>
    <t>Concepto</t>
  </si>
  <si>
    <t>Valor</t>
  </si>
  <si>
    <t>SALARIO CAMARERIA, ASEO, RECEPCIONISTA</t>
  </si>
  <si>
    <t>Diligenciar</t>
  </si>
  <si>
    <t>Subsidio de transporte</t>
  </si>
  <si>
    <t>LEGAL</t>
  </si>
  <si>
    <t>Total Ingresos empleados</t>
  </si>
  <si>
    <t>Aportes en salud (ley 1607 de 2012)</t>
  </si>
  <si>
    <t>Aportes en pensiones</t>
  </si>
  <si>
    <t xml:space="preserve">ARL GRADO DE ACUERDO CON LAS EXIGENCIAS DE LEY PARA EL OFICIO </t>
  </si>
  <si>
    <t>Caja de compensación familiar (ley 1607 de 2012)</t>
  </si>
  <si>
    <t>Sena + ICBF (Ley 1607 de 2012)</t>
  </si>
  <si>
    <t>Vacaciones</t>
  </si>
  <si>
    <t>Prima de servicios</t>
  </si>
  <si>
    <t>Cesantias</t>
  </si>
  <si>
    <t>Intereses a la cesantia</t>
  </si>
  <si>
    <t>Total Prestaciones y obligaciones sociales</t>
  </si>
  <si>
    <t>Costo Laboral total</t>
  </si>
  <si>
    <t xml:space="preserve">COSTOS VIGENCIA 2024 Desde 1 de junio al 31 de Diciembre de 2024 </t>
  </si>
  <si>
    <t>CONCEPTO</t>
  </si>
  <si>
    <t>VALOR MES / UNITARIO</t>
  </si>
  <si>
    <t>CANTIDAD</t>
  </si>
  <si>
    <t>MESES</t>
  </si>
  <si>
    <t>VALOR TOTAL</t>
  </si>
  <si>
    <t>PERSONAL DE ASEO CAMARERIA Y RECEPCION</t>
  </si>
  <si>
    <t xml:space="preserve">RECEPCIONISTA </t>
  </si>
  <si>
    <t>Recargos Dominigos, Festivos y
horas nocturnas</t>
  </si>
  <si>
    <t>Se toma el valor establecido solo pro 1 oferente, dado que los otros dos no cotizaron este item.</t>
  </si>
  <si>
    <t>DOTACION ASEO Y CAMARERIA</t>
  </si>
  <si>
    <t>TOTAL COSTOS DIRECTOS</t>
  </si>
  <si>
    <t>COSTOS VIGENCIA 2024 SERVICIO DE LIMPIEZA ARCHIVO CENTRAL</t>
  </si>
  <si>
    <t>VALOR UNITARIO</t>
  </si>
  <si>
    <t>CANTIDAD REQUERIDA</t>
  </si>
  <si>
    <t>SERVICIO DE LIMPIEZA ARCHIVO CENTRAL</t>
  </si>
  <si>
    <t>Se toma el promedio de 2 proveedores que cotizaron este servicio</t>
  </si>
  <si>
    <t>MANTENIMENTOS GENERALES - MENORES X VIGENCIA</t>
  </si>
  <si>
    <t>VALOR</t>
  </si>
  <si>
    <t>VIGENCIA (7 meses)</t>
  </si>
  <si>
    <t>No se puede modificar</t>
  </si>
  <si>
    <t>SUBTOTAL 1  REQUERIMIENTO DE PERSONAL</t>
  </si>
  <si>
    <t>SUBTOTAL 2  SERVICIO DE LIMPIEZA ARCHIVO CENTRAL</t>
  </si>
  <si>
    <t>SUBTOTAL 3  MANTENIMIENTO GENERALES BOLSA</t>
  </si>
  <si>
    <t>Administración y utilidad 1 (AU 1): Pago de honorarios personal requerido.
(Teniendo en cuenta el Articulo 462-1 ley 1706 del 2012) (%)</t>
  </si>
  <si>
    <t>Administración y utilidad 2 (AU 2): SERVICIO DE LIMPIEZA ARCHIVO CENTRAL(%)</t>
  </si>
  <si>
    <t>Administración y utilidad 3 (AU 3): Mantenimientos Generales.(%)</t>
  </si>
  <si>
    <t xml:space="preserve">VALOR TOTAL ANTES DE IVA </t>
  </si>
  <si>
    <t>IVA SOBRE AU 1 %</t>
  </si>
  <si>
    <t>IVA MANTENIMIENTO + AU 2 %</t>
  </si>
  <si>
    <t>IVA MANTENIMIENTO + AU 3 %</t>
  </si>
  <si>
    <t>VALOR TOTAL PRESUPUESTO</t>
  </si>
  <si>
    <t xml:space="preserve">Valor </t>
  </si>
  <si>
    <t>Costo 2026</t>
  </si>
  <si>
    <t>Costo 2027</t>
  </si>
  <si>
    <t>Valor total</t>
  </si>
  <si>
    <t>Instrucciones de diligenciamiento</t>
  </si>
  <si>
    <t>La información consolidada se trae de las otras  6 hojas de este archivo</t>
  </si>
  <si>
    <t>Antes de iniciar el diligenciamiento del formulario económico, es indispensable completar en su totalidad las hojas correspondientes a Dotación 2026, Dotación 2027, Elementos de Aseo y Cafeteria 2026 y Elementos de aseo y Cafeteria 2027</t>
  </si>
  <si>
    <t>Este paso es requisito previo y garantiza la correcta consolidación de la información en los Formularios Ecónomicos</t>
  </si>
  <si>
    <t>Una vez diligenciadas las hojas Dotación 2026, Dotación 2027, Elementos de Aseo y Cafeteria 2026 y Elementos de aseo y Cafeteria 2027 de acuerdo a las instrucciones de cada hoja acceda a los formularios economicos de los años 2026 y 2027</t>
  </si>
  <si>
    <t>En el Formulario economico 2026 y 2027 es obligatorio completar todos los campos requeridos, asegurándose de ingresar la información de manera clara y precisa de acuerdo a las instrucciones alli consignadas</t>
  </si>
  <si>
    <t>Antes de finalizar, realice una revisión general de toda la información diligenciada para evitar inconsistencias o errores.</t>
  </si>
  <si>
    <t>FORMULARIO ECONÓMICO</t>
  </si>
  <si>
    <r>
      <rPr>
        <b/>
        <sz val="11"/>
        <color theme="1"/>
        <rFont val="Calibri"/>
        <family val="2"/>
        <scheme val="minor"/>
      </rPr>
      <t xml:space="preserve">
"</t>
    </r>
    <r>
      <rPr>
        <sz val="11"/>
        <color theme="1"/>
        <rFont val="Calibri"/>
        <family val="2"/>
        <scheme val="minor"/>
      </rPr>
      <t xml:space="preserve">Contratación de una empresa que suministre el personal necesario para la prestación de los servicios de Aseo, oficios varios, mantenimientos, recepcionista, camarería, según corresponda, en las instalaciones de indeportes Antioquia y sus diferentes sedes ”
</t>
    </r>
  </si>
  <si>
    <t>SMMLV 2026</t>
  </si>
  <si>
    <t>Auxilio de Transporte</t>
  </si>
  <si>
    <t>SALARIO Y PRESTACIONES SOCIALES CAMARERIA, ASEO Y OFICIOS VARIOS.</t>
  </si>
  <si>
    <t>ASEO, CAFETERÍA Y CAMARERÍA</t>
  </si>
  <si>
    <t>OFICIOS VARIOS</t>
  </si>
  <si>
    <t>RECEPCIÓN</t>
  </si>
  <si>
    <t>Instrucciones</t>
  </si>
  <si>
    <t>Salario personal servicio de aseo, camarería,  oficios varios y supernumerarios</t>
  </si>
  <si>
    <r>
      <rPr>
        <b/>
        <sz val="10"/>
        <color rgb="FFFF0000"/>
        <rFont val="Calibri"/>
        <scheme val="minor"/>
      </rPr>
      <t xml:space="preserve">Diligenciar estas Celdas.  B29, C29 y D29. </t>
    </r>
    <r>
      <rPr>
        <sz val="10"/>
        <color rgb="FFFF0000"/>
        <rFont val="Calibri"/>
        <scheme val="minor"/>
      </rPr>
      <t>Teniendo en cuenta que el salario para el caso del personal de aseo, camareria y recepción no puede ser inferior a 1.1 smmlv y para el personal de oficios varios no puede ser inferior a 1.2 smmlv</t>
    </r>
  </si>
  <si>
    <t>Celdas formuladas, No modificar</t>
  </si>
  <si>
    <t>Esta fila se encuentra formulada.  Sin embargo, en caso de aplicar alguna exoneracion diligenciar según corresponda.</t>
  </si>
  <si>
    <t>ARL Grado de acuerdo con las exigecias de ley para el oficio</t>
  </si>
  <si>
    <t>Esta fila se encuentra formulada.  Sin embargo, en caso de aplicar alguna exoneracion dilirenciar según corresponda.</t>
  </si>
  <si>
    <t>Intereses a la cesantías</t>
  </si>
  <si>
    <t>Total  Aportes Parafiscales y Prestaciones Sociales</t>
  </si>
  <si>
    <t>Costo Laboral Total</t>
  </si>
  <si>
    <t>COSTOS VIGENCIA 2026 (octubre a diciembre de 2026)</t>
  </si>
  <si>
    <r>
      <rPr>
        <b/>
        <sz val="10"/>
        <color rgb="FFFF0000"/>
        <rFont val="Calibri"/>
        <scheme val="minor"/>
      </rPr>
      <t xml:space="preserve">Celdas formuladas, No modificar.  
</t>
    </r>
    <r>
      <rPr>
        <sz val="10"/>
        <color rgb="FFFF0000"/>
        <rFont val="Calibri"/>
        <scheme val="minor"/>
      </rPr>
      <t>Diligenciar, las celdas sombreadas correspondientes a valor unitario IVA Incluido en la hoja "Dotación 2026", el cual trae la sumatoria a la celda B51</t>
    </r>
  </si>
  <si>
    <t xml:space="preserve">PERSONAL DE ASEO CAMARERIA </t>
  </si>
  <si>
    <t>OFICIOS VARIOS SERVICIOS GENERALES</t>
  </si>
  <si>
    <t>RECARGOS Y HORAS EXTRAS</t>
  </si>
  <si>
    <t>COSTOS VIGENCIA 2026 BOLSA PARA ELEMENTOS DE ASEO Y CAFETERÍA</t>
  </si>
  <si>
    <r>
      <rPr>
        <b/>
        <sz val="10"/>
        <color rgb="FFFF0000"/>
        <rFont val="Calibri"/>
        <scheme val="minor"/>
      </rPr>
      <t xml:space="preserve">Celdas formuladas, No modificar.  
</t>
    </r>
    <r>
      <rPr>
        <sz val="10"/>
        <color rgb="FFFF0000"/>
        <rFont val="Calibri"/>
        <scheme val="minor"/>
      </rPr>
      <t>Diligenciar, las celdas sombreadas correspondientes a valor unitario en la hoja Elementos aseo y cafeteria 2026, el cual trae la sumatoria a la celda B56</t>
    </r>
  </si>
  <si>
    <t>Elementos de aseo y cafetería</t>
  </si>
  <si>
    <t>COSTOS VIGENCIA 2026 SERVICIO DE LIMPIEZA ARCHIVO CENTRAL</t>
  </si>
  <si>
    <r>
      <t xml:space="preserve">SERVICIO DE LIMPIEZA ARCHIVO CENTRAL (Incluye mano de obra, materiales y equipos requeridos para ello)
</t>
    </r>
    <r>
      <rPr>
        <sz val="8"/>
        <rFont val="Arial"/>
        <family val="2"/>
      </rPr>
      <t xml:space="preserve">La aspiradora recomendada debe ser con filtro de agua - hidrofiltro, con cepillo redondo de cerda suave o boquilla recubierta en bayetilla o liencillo blanco limpio, debe estar sujeta con una banda elástica. Los trapos deben ser bayetilla. </t>
    </r>
  </si>
  <si>
    <r>
      <rPr>
        <b/>
        <sz val="10"/>
        <color rgb="FFFF0000"/>
        <rFont val="Calibri"/>
        <scheme val="minor"/>
      </rPr>
      <t xml:space="preserve">Celdas formuladas, No modificar.  
</t>
    </r>
    <r>
      <rPr>
        <sz val="10"/>
        <color rgb="FFFF0000"/>
        <rFont val="Calibri"/>
        <scheme val="minor"/>
      </rPr>
      <t>Diligenciar el valor unitario del servicio de limpieza archivo central, Celda B64.  Las demás celdad no se deben modificar</t>
    </r>
  </si>
  <si>
    <t>VIGENCIA (3 meses)</t>
  </si>
  <si>
    <t>Valor fijo inmodificable</t>
  </si>
  <si>
    <t>SUBTOTAL 1:  REQUERIMIENTO DE PERSONAL</t>
  </si>
  <si>
    <t>SUBTOTAL 2:  ELEMENTOS DE ASEO Y CAFETERÍA</t>
  </si>
  <si>
    <t>SUBTOTAL 3:  SERVICIO DE LIMPIEZA ARCHIVO CENTRAL</t>
  </si>
  <si>
    <t>SUBTOTAL 4:  MANTENIMIENTO GENERALES BOLSA</t>
  </si>
  <si>
    <t>SUBTOTAL ANTES DE IVA Y AU</t>
  </si>
  <si>
    <t xml:space="preserve">Administración y utilidad 1 (AU 1): Pago de honorarios personal requerido.
(Teniendo en cuenta el Articulo 462-1 ley 1706 del 2012) (%). </t>
  </si>
  <si>
    <t>Diligenciar solo los porcentajes de Administración y Utilidad (AU) asociados a cada subtotal.  CeldasG78, G79, G80 y G81.  Teniendo en cuenta que el porcentaje  de la Celda G78 debe estar acorde a lo establecido en el Articulo 462-1 ley 1706 del 2012, esto es, no puede ser inferior al 10%.  Las otras tres Celdas no tienen dicha restricción.</t>
  </si>
  <si>
    <t>Administración y utilidad 2 (AU 2) Elementos de Aseo y Cafetería (%)</t>
  </si>
  <si>
    <t>Administración y utilidad 3 (AU 3): Servicio  Limpieza Archivo Central (%)</t>
  </si>
  <si>
    <t>Administración y utilidad 4 (AU 4): Mantenimientos Generales.(%)</t>
  </si>
  <si>
    <t>IVA SUBTOTAL  1</t>
  </si>
  <si>
    <t xml:space="preserve">IVA SUBTOTAL  2 </t>
  </si>
  <si>
    <t>IVA SUBTOTAL  3</t>
  </si>
  <si>
    <t>IVA SUBTOTAL  4</t>
  </si>
  <si>
    <t xml:space="preserve">DOTACIÓN PERSONAL ASEO, CAFETERÍA, RECEPCIÓN Y CAMARERÍA </t>
  </si>
  <si>
    <t>CANT</t>
  </si>
  <si>
    <t>DESCRIPCIÓN</t>
  </si>
  <si>
    <t>VALOR UNITARIO IVA INCLUIDO</t>
  </si>
  <si>
    <t>SUBTOTAL</t>
  </si>
  <si>
    <t>Uniforme Anti fluido bordado</t>
  </si>
  <si>
    <t>Par de Botas de caucho PVC, resistente a hidrocarburos, forro en poliéster, con aditivo antihongos</t>
  </si>
  <si>
    <t>Par de Zapatos en cuero con zuela antideslizante</t>
  </si>
  <si>
    <t>Mascarilla para polvo , tapabocas x 10 unid</t>
  </si>
  <si>
    <t>Gafa en policarbonato, protección UV y protección al impacto</t>
  </si>
  <si>
    <t>Par de Guantes con resistencia a productos químicos, elaborado en látex natural de bajo amonio, fácil agarre.</t>
  </si>
  <si>
    <t>SUBTOTAL UNITARIO IVA INCLUIDO</t>
  </si>
  <si>
    <t xml:space="preserve">TOTAL </t>
  </si>
  <si>
    <t>DOTACIÓN PERSONAL RECEPCION</t>
  </si>
  <si>
    <t>Camiseta tipo polo</t>
  </si>
  <si>
    <t>Pantalon tipo drill</t>
  </si>
  <si>
    <t>Zapatos tipo tennis color negro</t>
  </si>
  <si>
    <t>DOTACIÓN PERSONAL DE OFICIOS VARIOS SERVICIOS GENERALES</t>
  </si>
  <si>
    <t>Descripción</t>
  </si>
  <si>
    <t xml:space="preserve"> VALOR UNITARIO IVA INCLUIDO</t>
  </si>
  <si>
    <t>Par de Botas de caucho, PVC, resistente a hidrocarburos, forro en poliéster, con aditivo antihongos</t>
  </si>
  <si>
    <t>par de Botas de seguridad Dieléctrica Decker punta de acero resistente a hidrocarburos</t>
  </si>
  <si>
    <t>Overol Drill, 100% algodón, Manga Larga bordado</t>
  </si>
  <si>
    <t xml:space="preserve">Protector oído tipo copa </t>
  </si>
  <si>
    <t>Par de Guantes carnaza</t>
  </si>
  <si>
    <t xml:space="preserve">SUBTOTAL UNITARIO IVA INCLUIDO </t>
  </si>
  <si>
    <t>Total 1 dotación</t>
  </si>
  <si>
    <t>Diligenciar las celdas sombreadas con los valores unitarios incluido IVA</t>
  </si>
  <si>
    <t>No.</t>
  </si>
  <si>
    <t>Descripcion</t>
  </si>
  <si>
    <t>Caracteristicas</t>
  </si>
  <si>
    <t>Und medida</t>
  </si>
  <si>
    <t>Cant.</t>
  </si>
  <si>
    <t>Vlr unit.</t>
  </si>
  <si>
    <t>IVA</t>
  </si>
  <si>
    <t>Subtotal por artículo</t>
  </si>
  <si>
    <t>ALCOHOL DESINFECTANTE AL 70%</t>
  </si>
  <si>
    <t>Alcohol desinfectante con mínimo 3 meses de garantía por defectos de fabricación a partir de la fecha de entrega. La fecha de vencimiento no puede ser menor a 6 meses a partir la fecha de entrega.</t>
  </si>
  <si>
    <t>Tarro (700 ml)</t>
  </si>
  <si>
    <t>AMBIENTADOR EN AEROSOL</t>
  </si>
  <si>
    <t>Ambientador de repuesto, de aerosol automático de  250 ML, Accesorio aseo, químicos para mantener el aire aromatizado y neutralizar olores, tipo ambientador, aerosol automático. Las fragancias:  fantasía floral, lavanda, manzana y canela.</t>
  </si>
  <si>
    <t>Und (250 ml)</t>
  </si>
  <si>
    <t>AROMATICAS SABORES SURTIDA</t>
  </si>
  <si>
    <t>Infusiones naturales libres de cafeína, hechas con ingredientes frutales, en diferentes surtidos de bebidas a base de frutos rojos, amarillos, verdes y naranjados, mezcla herbal, sabores a miel o jengibre, etc., empacadas en cajas que contienen 20 bolsas:</t>
  </si>
  <si>
    <t>Caja (20 unidades)</t>
  </si>
  <si>
    <t>AZUCAR BLANCA</t>
  </si>
  <si>
    <t xml:space="preserve">Azúcar blanca refinada natural en bolsas de paquete por 200 sobres de cinco (5) gramos.
- Empaque elaborado en materiales atóxicos
- Debe cumplir con Resolución 810 de 2021 sobre rotulado y etiquetado nutricional y las normas que la modifiquen.  La fecha </t>
  </si>
  <si>
    <t xml:space="preserve">   Paquete  
(200 sobres de 5 grs)</t>
  </si>
  <si>
    <t>BALDE PLASTICO</t>
  </si>
  <si>
    <t xml:space="preserve">Balde plástico capacidad 12 litros </t>
  </si>
  <si>
    <t>Und</t>
  </si>
  <si>
    <t>BOLSA DE BASURA BLANCA DE 55 X 55</t>
  </si>
  <si>
    <t xml:space="preserve">Bolsas plásticas de color blanco, con medidas de 55x55 CALIBRE 1.5, paquete de bolsas por 10 unidades, que se encuentren libres de átomos de cloro, con la respectiva certificación para cumplir norma sanitaria </t>
  </si>
  <si>
    <t xml:space="preserve">   Paquete (10 unidades)</t>
  </si>
  <si>
    <t>BOLSA DE BASURA BLANCA DE 65 X 90</t>
  </si>
  <si>
    <t>Bolsas plásticas de color blanco con medidas de 65x90 cm, CALIBRE 1.6, para canecas de 20 litros. Paquete de bolsas por 10 unidades, que se encuentren libres de átomos de cloro, con la respectiva certificación para cumplir norma sanitaria,</t>
  </si>
  <si>
    <t>BOLSA DE BASURA BLANCA DE 80 X 110</t>
  </si>
  <si>
    <t xml:space="preserve">Bolsas plástica de color blanca con medidas de 80x110 CALIBRE 1.6, paquete de bolsas por 10 unidades, que se encuentren libres de átomos de cloro, con la respectiva certificación para cumplir norma sanitaria </t>
  </si>
  <si>
    <t>BOLSA DE BASURA NEGRA 65X90 PAQUETE X 10</t>
  </si>
  <si>
    <t xml:space="preserve">Bolsas plásticas de color negro con medidas de 65x90 CALIBRE 1.6, para canecas de 20 litros. Paquete de bolsas por 10 unidades, que se encuentren libres de átomos de cloro, con la respectiva certificación para cumplir norma sanitaria </t>
  </si>
  <si>
    <t>BOLSA DE BASURA NEGRA 80X 110 PAQUETE X 10 UNDS.</t>
  </si>
  <si>
    <t xml:space="preserve">Bolsas plásticas de color negro con medidas de 80x110 CALIBRE 1.6 (PUNTO ECOLÓGICO), paquete de bolsas por 10 unidades, que se encuentren libres de átomos de cloro, con la respectiva certificación para cumplir norma sanitaria </t>
  </si>
  <si>
    <t>BOLSA DE BASURA NEGRA DE 55 X 55</t>
  </si>
  <si>
    <t xml:space="preserve">Bolsas plásticas de color negro con medidas de 55x55 CALIBRE 1.5, paquete de bolsas por 10 unidades, que se encuentren libres de átomos de cloro, con la respectiva certificación para cumplir norma sanitaria </t>
  </si>
  <si>
    <t>BOLSA DE BASURA PARA CONTENEDORES 100 X 120 CMS.</t>
  </si>
  <si>
    <t>Bolsas plásticas de color blanco y negro, Tamaño 120cms de ancho x 110cms de largo Paquete por 10 unidades. Calibre 1.6</t>
  </si>
  <si>
    <t>BOLSA PARA BASURA PEQUEÑA DE 40 X 50</t>
  </si>
  <si>
    <t>Bolsa para pasura de 40x50 color blanca.</t>
  </si>
  <si>
    <t>Bolsa para pasura de 40x50 negra.</t>
  </si>
  <si>
    <t>Bolsa para pasura de 40x50 color verde.</t>
  </si>
  <si>
    <t>Bolsa para pasura de 40x50 color roja riesgo biologico</t>
  </si>
  <si>
    <t>BOLSA PARA BASURA VERDE CALIBRE 1.6  (65 X 90 CMS.) PQUETE X 10</t>
  </si>
  <si>
    <t xml:space="preserve">Bolsas plásticas de color verde con medidas de 65x90 cm, CALIBRE 1.6, para canecas de 20 litros. Paquete de bolsas por 10 unidades, que se encuentren libres de átomos de cloro, con la respectiva certificación para cumplir norma sanitaria. </t>
  </si>
  <si>
    <t>BOLSAS DE BASURA ROJAS 80X110 CALIBRE 1,6 PQUETE X 10</t>
  </si>
  <si>
    <t xml:space="preserve">Bolsas plásticas de color rojo, con letreros de riesgos con medidas de 80x110 calibre 1.5, paquete de bolsas por 10 unidades, que se encuentren libres de átomos de cloro, con la respectiva certificación para cumplir norma sanitaria </t>
  </si>
  <si>
    <t>BOLSAS DE BASURA VERDES 55X55 CALIBRE 8</t>
  </si>
  <si>
    <t xml:space="preserve">Bolsas plásticas de color verde, con medidas de 55x55 CALIBRE 1.5, paquete de bolsas por 10 unidades, que se encuentren libres de átomos de cloro, con la respectiva certificación para cumplir norma sanitaria </t>
  </si>
  <si>
    <t>BOLSAS DE BASURA VERDES 80X110 CALIBRE 1,6 PQUETE X 10</t>
  </si>
  <si>
    <t xml:space="preserve">Bolsas plásticas de color verde con medidas de 80x110 CALIBRE 1.6, paquete de bolsas por 10 unidades, que se encuentren libres de átomos de cloro, con la respectiva certificación para cumplir norma sanitaria </t>
  </si>
  <si>
    <t>BOLSAS ROJAS PEQUEÑA CALIBRE 1.4  (55 X 55 CMS.)  LABORATORIO</t>
  </si>
  <si>
    <t xml:space="preserve">Bolsas plásticas de color rojo con letreros de riesgos con medidas de 55x55 CALIBRE 1.5, paquete de bolsas por 10 unidades, que se encuentren libres de átomos de cloro, con la respectiva certificación para cumplir norma sanitaria </t>
  </si>
  <si>
    <t>BOMBA PARA DESTAQUEAR</t>
  </si>
  <si>
    <t>Uso en zona Sanitaria.</t>
  </si>
  <si>
    <t>CAFÉ</t>
  </si>
  <si>
    <t>Café granulado molido y tostado tipo medio en empaque laminado y metalizado de 2.500 gramos cada paquete. Mezcla de café con cáscara de café tostado y molido. - Debe cumplir con Resolución 810 de 2021 sobre rotulado y etiquetado nutricional y las normas q</t>
  </si>
  <si>
    <t>Paquete (2500 gramos).</t>
  </si>
  <si>
    <t>CANECA BLANCA PEDAL 20 LTS.</t>
  </si>
  <si>
    <t>canecas blancas de pedal con leyenda para residuos aprovechables de 20 litros</t>
  </si>
  <si>
    <t>CANECA NEGRA PEDAL 20 LTS.</t>
  </si>
  <si>
    <t>canecas negras de pedal con leyenda para residuos no aprovechables por 20 litros</t>
  </si>
  <si>
    <t>CEPILLO DE MANO</t>
  </si>
  <si>
    <t>Cepillo tipo plancha, para lavar a mano, trabajo pesado</t>
  </si>
  <si>
    <t>CREMA FROTEX</t>
  </si>
  <si>
    <t>Limpiador desengrasante en crema, pastosa de textura suave y homogénea en color blanco .-- Con agente(s) tensoactivo(s) principal(es) con efecto limpiador y desengrasante en una
concentración mínima del 10%-  con capacidad de 250 cc
La fecha de fabricació</t>
  </si>
  <si>
    <t xml:space="preserve"> Tarro
(250 ml.)</t>
  </si>
  <si>
    <t>CUCHARA PLASTICA</t>
  </si>
  <si>
    <r>
      <t>Cuchara</t>
    </r>
    <r>
      <rPr>
        <sz val="10"/>
        <color indexed="10"/>
        <rFont val="Arial"/>
        <family val="2"/>
      </rPr>
      <t xml:space="preserve"> </t>
    </r>
    <r>
      <rPr>
        <sz val="10"/>
        <rFont val="Arial"/>
        <family val="2"/>
      </rPr>
      <t>pequeña</t>
    </r>
    <r>
      <rPr>
        <sz val="10"/>
        <color indexed="10"/>
        <rFont val="Arial"/>
        <family val="2"/>
      </rPr>
      <t xml:space="preserve"> </t>
    </r>
    <r>
      <rPr>
        <sz val="10"/>
        <rFont val="Arial"/>
        <family val="2"/>
      </rPr>
      <t>fabricada en bagazo de caña.  Es 100% reciclable. Paquete por 100 unidades.</t>
    </r>
  </si>
  <si>
    <t xml:space="preserve">   Paquete (100 unidades)</t>
  </si>
  <si>
    <t xml:space="preserve">DESENGRASANTE DOMÉSTICO-INDUSTRIAL X 500 ml. (pisos, cocina, parrillas y motores) DE ALTA CONCENTRACIÓN </t>
  </si>
  <si>
    <t xml:space="preserve">Desengrasante Biodegradable - Disponible en múltiples fragancias - Limpia y desengrasa todos los metales, plásticos, gomas, vidrio, cerámica y madera. El producto remueve eficazmente la grasa, aceite, resina, hollín, cera, nicotina, suciedad de insectos, </t>
  </si>
  <si>
    <t xml:space="preserve"> Tarro
(500 ml.)</t>
  </si>
  <si>
    <t xml:space="preserve">DESINFECTANTE AMONIO CUATERNARIO 5A GENERACIÓN </t>
  </si>
  <si>
    <t xml:space="preserve">Amonio cuaternario de quinta generación Desinfectante, virucida, bactericida y fungicida. Amonio cuaternario de quinta generación, Para superficies de consultorios médicos, odontológicos, fisioterapia, zonas comunes y áreas administrativas. Este producto </t>
  </si>
  <si>
    <t>Tarro (galón de 3.750 ml)</t>
  </si>
  <si>
    <t>DETERGENTE EN POLVO</t>
  </si>
  <si>
    <t>Detergente en polvo multiuso en presentación por 1000 gramos cada bolsa--Con agente tensoactivo de mínimo 60% de biodegradabilidad
-Con efecto limpiador de mínimo 9% Polvo, en bolsa plástica o recipiente plástico.</t>
  </si>
  <si>
    <t>Paquete  
(bolsa de 1.000 gramos)</t>
  </si>
  <si>
    <t>DETERGENTE LIQUIDO MULTIUSOS</t>
  </si>
  <si>
    <t>Detergente liquido poder limpiador desinfectante para todas las superficies por 3.8 litros
La fecha de fabricación del producto no debe ser superior a un año.</t>
  </si>
  <si>
    <t>DETERGENTE LÍQUIDO MULTIUSOS BIDON DE 5 GALONES (20 Litros)</t>
  </si>
  <si>
    <t>Detergente liquido concentrado con contenido de surfactantes remoción efectiva de la suciedad, galón por 20 litros
-Con agente(s) tensoactivo(s) de mínimo 60% de
biodegradabilidad
-Con efecto limpiador de mínimo 9%. 
La fecha de fabricación del producto n</t>
  </si>
  <si>
    <t>Tarro (20 Litros)</t>
  </si>
  <si>
    <t>DULCEABRIGO X METRO</t>
  </si>
  <si>
    <t xml:space="preserve">Tela suave de dulce abrigo resistente para la limpieza,  1 metro por 70 cm  cada una, tela bayetilla, color blanco. </t>
  </si>
  <si>
    <t>ESCOBA CARRETERA</t>
  </si>
  <si>
    <t>Escoba cerda largas y dura para barrer carretera o en exterior</t>
  </si>
  <si>
    <t>ESCOBA PARA TECHO</t>
  </si>
  <si>
    <t>Escoba para limpieza de techo con cabo mínimo de 2 metros.</t>
  </si>
  <si>
    <t>ESCOBA PLASTICA</t>
  </si>
  <si>
    <t>Escoba para interiores con mango en madera, tamaño mínimo 1,60 cms. Material Pet 100% reciclable</t>
  </si>
  <si>
    <t>ESCOBILLÓN DE BAÑO EN PLÁSTICO CON BASE</t>
  </si>
  <si>
    <t>Escobillón de baño con cerdas de polipropileno resistentes y
duraderas. Base de plástico. Base y cepillo de limpieza de inodoro. Se mantiene estable y es resistente a los olores.</t>
  </si>
  <si>
    <t>ESCOBILLON LIMPIA TUBO CAFETERA</t>
  </si>
  <si>
    <t>Escobillón para limpieza del tubo de cafetera.</t>
  </si>
  <si>
    <t>ESPONJA LAVAPLATOS DOBLE USO  (AMARILLA Y VERDE)</t>
  </si>
  <si>
    <t>Esponja lavaplatos para todo tipo de superficies, laminada amarilla y fibra abrasiva verde de uso general  - Doble uso (material de esponjilla blanda y abrasiva), Tamaño de 7 cm de largo por 10 cm de ancho</t>
  </si>
  <si>
    <t>ESPONJA SABRA</t>
  </si>
  <si>
    <t>Esponja lavaplatos para todo tipo de superficies, de fibra abrasiva verde de uso general  - Esponja multiusos en la cocina para lavar olla y sartenes, vajillas y cubiertos.</t>
  </si>
  <si>
    <t>FILTRO ELIMINADOR DE OLORES REJILLA PARA ORINALES</t>
  </si>
  <si>
    <t xml:space="preserve">Filtro rejilla para urinarios anti salpicaduras con fragancia.
La fecha de fabricación del producto no debe ser superior a  seis meses </t>
  </si>
  <si>
    <t>FILTRO TELA CAFETERA</t>
  </si>
  <si>
    <t>Filtro en tela para cafetera tamaño grande.</t>
  </si>
  <si>
    <t>GEL ANTIBACTERIAL</t>
  </si>
  <si>
    <t>Gel antibacerial. La fecha de vencimiento no puede ser menor a 6 meses a partir la fecha de entrega.</t>
  </si>
  <si>
    <t>Tarro (500 ml)</t>
  </si>
  <si>
    <t>GUANTE DOMESTICO</t>
  </si>
  <si>
    <t xml:space="preserve">Guantes de uso doméstico  Tallas S, M , L o talla 7,8,9 y 10 por par Color amarillo. Guante domestico de látex natural resistente a productos químicos - Tipo doméstico, Elaborados en látex, Calibre igual a 18. - Por par en color negro calibre igual a 22. </t>
  </si>
  <si>
    <t>Paquete (2 unidades)</t>
  </si>
  <si>
    <t>HARAGÁN DE LIMPIEZA</t>
  </si>
  <si>
    <t>Haragán de Limpieza, Mango combinado de metal y plástico; banda en PVC</t>
  </si>
  <si>
    <t>HIPOCLORITO DE SODIO-BLANQUEADOR AL 5.25%</t>
  </si>
  <si>
    <t>Hipoclorito al 5.25 % Solución acuosa, clara, ligeramente amarilla, olor característico penetrante e irritante. Fuertemente oxidante; dependiendo del PH de la solución se presenta disociado en forma de cloro activo, ácido hipocloroso HOCl y/o ión hipoclor</t>
  </si>
  <si>
    <t>INSECTICIDA</t>
  </si>
  <si>
    <t>Veneno en aerosol para insectos voladores y rastreros en aerosol. La fecha de fabricación del producto no debe ser superior a seis meses.</t>
  </si>
  <si>
    <t>Tarro (400 ml)</t>
  </si>
  <si>
    <t>JABON AZUL POR PASTA</t>
  </si>
  <si>
    <t>Jabón en barra azul para uso de aseo general por 300 gr cada unidad. 
La fecha de fabricación del producto no debe ser superior a un año</t>
  </si>
  <si>
    <t>Und
(300 gramos)</t>
  </si>
  <si>
    <t>JABON LAVAPLATOS</t>
  </si>
  <si>
    <t>Jabón loza liquido lavaplatos detergente arranca grasa por 500 cc cada unidad con dispensador -- Con agente(s) tensoactivo(s) principal(es) con efecto limpiador y desengrasante en una concentración mínima del 8%.
- Disponible en mínimo (2) dos fragancias</t>
  </si>
  <si>
    <t>JABON LIQUIDO PARA MANOS</t>
  </si>
  <si>
    <t xml:space="preserve">Jabón líquido manos por (1) litro, con dispensador, con propiedades desinfectantes y humectantes.
Con agente limpiador en una concentración mínima del 6%, con agente humectante en una concentración, mínima del 3%, pH entre 5 y 8, disponible en mínimo (3) </t>
  </si>
  <si>
    <t xml:space="preserve"> Tarro
(1 litro)</t>
  </si>
  <si>
    <t>JUEGO DE POCILLO Y PLATO PARA TINTO</t>
  </si>
  <si>
    <t>Juegos de Pocillos tinteros con plato capacidad de 6 onzas.</t>
  </si>
  <si>
    <t xml:space="preserve">  Paquete       (juego de 1 plato y 1 pocillo)</t>
  </si>
  <si>
    <t>LIMPIA VIDRIOS CON MANGO EXTENSIBLE DE 1.20 MTS.</t>
  </si>
  <si>
    <t>Limpia vidrios con mango extensible de 1.20 mts.</t>
  </si>
  <si>
    <t>LIMPIADOR FABULOSO AMBIENTADOR 500 ML.</t>
  </si>
  <si>
    <t>Desinfectante limpieador de pisos con fragancia  litro (1.000 c.c.)</t>
  </si>
  <si>
    <t>LIMPIAVIDRIOS TIPO PISTOLA DE 500 ML.</t>
  </si>
  <si>
    <t>Limpiavidrios envase con atomizador tipo pistola de 500 cc cada unidad.- Con agente(s) principal(es) con efecto limpiador y desengrasante en una concentración mínima del 4%.
- Disponible mínimo en cuatro (4) fragancias.
La fecha de fabricación del product</t>
  </si>
  <si>
    <t>MEZCLADORES DE MADERA PQUETE X 500 UNDS.</t>
  </si>
  <si>
    <t>Mezcladores o agitadores en madera desechable.</t>
  </si>
  <si>
    <t xml:space="preserve">   Paquete (500 unidades)</t>
  </si>
  <si>
    <t>PAÑITOS HUMEDOS</t>
  </si>
  <si>
    <t>Paños húmedos.</t>
  </si>
  <si>
    <t>PAÑO ABSORBENTE  MICROFIBRA</t>
  </si>
  <si>
    <t>Paño absorbente microfibra de 38cmm por 25cms cada uno. - Material que no libera motas o pelusas, Interfoliado, Reutilizable</t>
  </si>
  <si>
    <t>PAÑUELO FACIAL COLOR BLANCO CAJA X 70</t>
  </si>
  <si>
    <t>Pañuelo facial color blanco doble hoja caja por 70 pañuelos de 21.5 por 14 cm, cada uno.</t>
  </si>
  <si>
    <t>Caja (min 70 uds)</t>
  </si>
  <si>
    <t>PAPEL HIGIENICO BLANCO</t>
  </si>
  <si>
    <t>Papel higiénico pequeño blanco triple hoja  en formato rollo de 30 a 50 mts.</t>
  </si>
  <si>
    <t xml:space="preserve">       Paca
(24 rollos por paca)</t>
  </si>
  <si>
    <t xml:space="preserve">PAPEL HIGIENICO INSTITUCIONAL </t>
  </si>
  <si>
    <t>Papel higiénico institucional ecológico hoja sencilla por 400mts mínimo cada unidad.-- Rollo con longitud mínima de 400 metros, Hoja sencilla de color natural, Sin fragancia</t>
  </si>
  <si>
    <t>Rollo (400 metros)</t>
  </si>
  <si>
    <t>PAPELERA 12 LT PEDAL BLANCO</t>
  </si>
  <si>
    <t>canecas blancas de pedal con leyenda para residuos aprovechables de 12 litros</t>
  </si>
  <si>
    <t>PUNTO ECOLOGICO</t>
  </si>
  <si>
    <t>Punto ecológico con estructura metálica reforzada, pintura electrostática, banner con símbolos de los diferentes tipos de residuos, con 3 papeleras de 60 litros en plástico de alta resistencia colores blanco, negro y verde.</t>
  </si>
  <si>
    <t>RASTRILLO</t>
  </si>
  <si>
    <t>Rastrillo con mango madera, mínimo de 21 dientes altura 5,6 centímetros  ancho 44,1 Centímetros longitud 1,5 Metros</t>
  </si>
  <si>
    <t>RECOGEDOR DE BASURA</t>
  </si>
  <si>
    <t>Recogedor ecológico con mango de madera de 90 cm, alto de base 8 cm,24 cm de profundidad de la base.</t>
  </si>
  <si>
    <t>REPUESTO MOPA *60CMS PARA HARAGÁN</t>
  </si>
  <si>
    <t>Repuesto mopa 60cms para haragán</t>
  </si>
  <si>
    <t>SECADOR DE LOZA TELA TOALLA</t>
  </si>
  <si>
    <t>Secador de loza tela toalla- En tela de toalla fileteada, Color blanco sin estampado
-Tamaño mínimo de 100 cm de largo por 70 cm de ancho</t>
  </si>
  <si>
    <t>SERVILLETA DE 25CMS. DE LARGO X 15 CMS. DE ANCHO PQUETE POR 320 UNDS.</t>
  </si>
  <si>
    <t>Servilletas color blanco tipo cafetería de 25cm de largo por 15 de ancho paquete por 300 unidades.- Tipo cafetería, Color blanco</t>
  </si>
  <si>
    <t xml:space="preserve">   Paquete (300 unidades)</t>
  </si>
  <si>
    <t>SUAVIZANTE DE ROPA CON FRANGANCIA</t>
  </si>
  <si>
    <t>Producto especializado para perfumar las prendas con aroma de larga duración y microcápsula de perfume. Suaviza y desenredar las fibras; mejora la textura; que contiene suaves ingredientes activos biodegradables que prolongan la vida de los tejidos.</t>
  </si>
  <si>
    <t>TERMO PARA CAFÉ</t>
  </si>
  <si>
    <t>Termo Para Cafe Bebidas Calientes Y Frias De 2 Litros ena cero inoxidable.</t>
  </si>
  <si>
    <t>TOALLA PAPEL EN ROLLO PARA MANOS</t>
  </si>
  <si>
    <t>Toalla de manos natural, de tres capas, absorbente con
perforaciones para permitir un fácil
desprendimiento de las hojas; biodegradable; paquete por 6 rollos y . por rollo
en húmedo y seco apropiadas para su uso.</t>
  </si>
  <si>
    <t>Rollo (120 metros)</t>
  </si>
  <si>
    <t>TOALLA PAPEL Z DISPENSADOR</t>
  </si>
  <si>
    <t>Toalla papel para manos, ecológicas tipo servilleta, Hoja doble doblada en Z papel sólido cuadrada. Por 150 unidades el paquete, en bolsa. Su doblado en Z permitir un fácil dispensado.Acolchamax con Tecnología pixel y micro cámaras de aire entre sus 3 hoj</t>
  </si>
  <si>
    <t xml:space="preserve">   Paquete (150 unidades)</t>
  </si>
  <si>
    <t>TRAPERO</t>
  </si>
  <si>
    <t>Trapero en trenza en mecha de algodón mango de madera con soporte mínimo de 1.60 cm dada una.-- Elaborado con hilaza de algodón natural
- Mecha con peso mínimo 250 gr y extensión mínima de 32 cm de largo.</t>
  </si>
  <si>
    <t>VASO DE VIDRIO</t>
  </si>
  <si>
    <t>Vaso elaborado en vidrio de 12 onzas cada uno. Cilíndrico</t>
  </si>
  <si>
    <t>VASO DESECHABLE GRANDE PQUETE X 50 UNIDS.</t>
  </si>
  <si>
    <t>Vaso en papel cartón desechable de 7 onzas paquete por 50 unidades   Es 100% reciclable y puede ser usado como recurso energetico o para convertirlo en otro tipo de papel. 
Composición 100% Papel Polyboard, Gramaje 225 g/m² (gramos por metro cuadrado</t>
  </si>
  <si>
    <t xml:space="preserve">   Paquete (50 unidades)</t>
  </si>
  <si>
    <t>VASO DESECHABLE PEQUEÑO</t>
  </si>
  <si>
    <t>Vaso en papel cartón desechable de 4 onzas paquete por 50 unidades</t>
  </si>
  <si>
    <t>Subtotales</t>
  </si>
  <si>
    <t>Diligenciar las celdas sombreadas con los valores unitarios antes de IVA</t>
  </si>
  <si>
    <t xml:space="preserve">incremento </t>
  </si>
  <si>
    <t>Salario proyectado 2027</t>
  </si>
  <si>
    <t>OFICIOS VARIOS Y SUPERNUMERARIOS</t>
  </si>
  <si>
    <t>COSTOS VIGENCIA 2027 (Enero a diciembre)</t>
  </si>
  <si>
    <r>
      <rPr>
        <b/>
        <sz val="10"/>
        <color rgb="FFFF0000"/>
        <rFont val="Calibri"/>
        <scheme val="minor"/>
      </rPr>
      <t>Celdas formuladas, No modificar.</t>
    </r>
    <r>
      <rPr>
        <sz val="10"/>
        <color rgb="FFFF0000"/>
        <rFont val="Calibri"/>
        <scheme val="minor"/>
      </rPr>
      <t xml:space="preserve">  
Diligenciar, las celdas sombreadas correspondientes a valor unitario IVA Incluido en la hoja "Dotación 2027", el cual trae la sumatoria a la celda B52</t>
    </r>
  </si>
  <si>
    <t>COSTOS VIGENCIA 2027 BOLSA PARA ELEMENTOS DE ASEO Y CAFETERÍA</t>
  </si>
  <si>
    <r>
      <rPr>
        <b/>
        <sz val="10"/>
        <color rgb="FFFF0000"/>
        <rFont val="Calibri"/>
        <scheme val="minor"/>
      </rPr>
      <t xml:space="preserve">Celdas formuladas, No modificar. </t>
    </r>
    <r>
      <rPr>
        <sz val="10"/>
        <color rgb="FFFF0000"/>
        <rFont val="Calibri"/>
        <scheme val="minor"/>
      </rPr>
      <t xml:space="preserve"> 
Diligenciar, las celdas sombreadas correspondientes a valor unitario en la hoja Elementos aseo y cafeteria 2026, el cual trae la sumatoria a la celda B57</t>
    </r>
  </si>
  <si>
    <r>
      <rPr>
        <b/>
        <sz val="10"/>
        <color rgb="FFFF0000"/>
        <rFont val="Calibri"/>
        <scheme val="minor"/>
      </rPr>
      <t xml:space="preserve">Celdas formuladas, No modificar.  
</t>
    </r>
    <r>
      <rPr>
        <sz val="10"/>
        <color rgb="FFFF0000"/>
        <rFont val="Calibri"/>
        <scheme val="minor"/>
      </rPr>
      <t>Diligenciar el valor unitario del servicio de limpieza archivo central, Celda B62.  Las demás celdad no se deben modificar</t>
    </r>
  </si>
  <si>
    <t>SEDES INDEPORTES ANTIOQUIA</t>
  </si>
  <si>
    <t>PRINCIPAL</t>
  </si>
  <si>
    <t>VIGENCIA (12 meses)</t>
  </si>
  <si>
    <t>VILLA DEPORTIVA</t>
  </si>
  <si>
    <t>NEIVA 80</t>
  </si>
  <si>
    <t>VILLA NAUTICA</t>
  </si>
  <si>
    <t>APARTADO</t>
  </si>
  <si>
    <t>Diligenciar solo los porcentajes de Administración y Utilidad (AU) asociados a cada subtotal.  Celdas I76, I77, I78 e I79.  Teniendo en cuenta que el porcentaje  de la Celda I76 debe estar acorde a lo establecido en el Articulo 462-1 ley 1706 del 2012, esto es, no puede ser inferior al 10%.  Las otras tres Celdas no tienen dicha restricción.</t>
  </si>
  <si>
    <t xml:space="preserve">DOTACIÓN PERSONAL ASEO, CAFETERÍA, Y CAMARERÍA </t>
  </si>
  <si>
    <t>ACEITE MINERAL</t>
  </si>
  <si>
    <t>Aceite cistal, Galon de 1.9 litros, de baja toxicidad 100% aceite mineral refinado para lubricacion, sin peroxido y no corrocivo para metales</t>
  </si>
  <si>
    <t>BANDEJA  RECTANGULAR  EN ACERO INOXIDABLE</t>
  </si>
  <si>
    <t>Bandeja con asas  en acero inoxidable de 45 x 35 cms</t>
  </si>
  <si>
    <t xml:space="preserve">Bolsas plásticas de color rojo, con letreros para riesgo biologicos con medidas de 65x90 calibre 1.5, paquete de bolsas por 10 unidades, que se encuentren libres de átomos de cloro, con la respectiva certificación para cumplir norma sanitaria </t>
  </si>
  <si>
    <t xml:space="preserve">Bolsas plásticas de color rojo con medidas de 55x55 CALIBRE 1.5, paquete de bolsas por 10 unidades, que se encuentren libres de átomos de cloro, con la respectiva certificación para cumplir norma sanitaria </t>
  </si>
  <si>
    <r>
      <rPr>
        <sz val="10"/>
        <color rgb="FF000000"/>
        <rFont val="Arial"/>
      </rPr>
      <t>Cuchara</t>
    </r>
    <r>
      <rPr>
        <sz val="10"/>
        <color rgb="FFFF0000"/>
        <rFont val="Arial"/>
      </rPr>
      <t xml:space="preserve"> </t>
    </r>
    <r>
      <rPr>
        <sz val="10"/>
        <color rgb="FF000000"/>
        <rFont val="Arial"/>
      </rPr>
      <t>pequeña</t>
    </r>
    <r>
      <rPr>
        <sz val="10"/>
        <color rgb="FFFF0000"/>
        <rFont val="Arial"/>
      </rPr>
      <t xml:space="preserve"> </t>
    </r>
    <r>
      <rPr>
        <sz val="10"/>
        <color rgb="FF000000"/>
        <rFont val="Arial"/>
      </rPr>
      <t>fabricada en bagazo de caña.  Es 100% reciclable. Paquete por 100 unidades.</t>
    </r>
  </si>
  <si>
    <t>ESPONJA  ABRASIVA</t>
  </si>
  <si>
    <t>LIMPIADOR  Y DESINFECTANTE AMBIENTADOR 500 ML.</t>
  </si>
  <si>
    <t>REPUESTO MOPA * 60CMS PARA HARAGÁN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</si>
</sst>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quot;$&quot;\ #,##0;[Red]\-&quot;$&quot;\ #,##0"/>
    <numFmt numFmtId="165" formatCode="&quot;$&quot;\ #,##0.00;[Red]\-&quot;$&quot;\ #,##0.00"/>
    <numFmt numFmtId="166" formatCode="_-&quot;$&quot;\ * #,##0.00_-;\-&quot;$&quot;\ * #,##0.00_-;_-&quot;$&quot;\ * &quot;-&quot;??_-;_-@_-"/>
    <numFmt numFmtId="167" formatCode="_-&quot;$&quot;* #,##0_-;\-&quot;$&quot;* #,##0_-;_-&quot;$&quot;* &quot;-&quot;_-;_-@_-"/>
    <numFmt numFmtId="168" formatCode="_-&quot;$&quot;* #,##0.00_-;\-&quot;$&quot;* #,##0.00_-;_-&quot;$&quot;* &quot;-&quot;??_-;_-@_-"/>
    <numFmt numFmtId="169" formatCode="0.0"/>
    <numFmt numFmtId="170" formatCode="&quot;$&quot;\ #,##0.00"/>
    <numFmt numFmtId="171" formatCode="_-&quot;$&quot;\ * #,##0_-;\-&quot;$&quot;\ * #,##0_-;_-&quot;$&quot;\ * &quot;-&quot;??_-;_-@_-"/>
    <numFmt numFmtId="172" formatCode="0.0%"/>
    <numFmt numFmtId="173" formatCode="0.000"/>
    <numFmt numFmtId="174" formatCode="_-* #,##0_-;\-* #,##0_-;_-* &quot;-&quot;??_-;_-@_-"/>
    <numFmt numFmtId="175" formatCode="_-[$$-240A]\ * #,##0.00_-;\-[$$-240A]\ * #,##0.00_-;_-[$$-240A]\ * &quot;-&quot;??_-;_-@_-"/>
  </numFmts>
  <fonts count="60">
    <font>
      <sz val="11"/>
      <color theme="1"/>
      <name val="Calibri"/>
      <family val="2"/>
      <scheme val="minor"/>
    </font>
    <font>
      <sz val="11"/>
      <color theme="1"/>
      <name val="Calibri"/>
      <family val="2"/>
      <scheme val="minor"/>
    </font>
    <font>
      <b/>
      <sz val="11"/>
      <color theme="1"/>
      <name val="Calibri"/>
      <family val="2"/>
      <scheme val="minor"/>
    </font>
    <font>
      <b/>
      <sz val="20"/>
      <color theme="1"/>
      <name val="Arial"/>
      <family val="2"/>
    </font>
    <font>
      <sz val="10"/>
      <name val="Arial"/>
      <family val="2"/>
    </font>
    <font>
      <b/>
      <sz val="10"/>
      <name val="Arial"/>
      <family val="2"/>
    </font>
    <font>
      <b/>
      <sz val="10"/>
      <color theme="1"/>
      <name val="Arial"/>
      <family val="2"/>
    </font>
    <font>
      <b/>
      <i/>
      <u/>
      <sz val="14"/>
      <color theme="1"/>
      <name val="Arial"/>
      <family val="2"/>
    </font>
    <font>
      <sz val="10"/>
      <color theme="1"/>
      <name val="Arial"/>
      <family val="2"/>
    </font>
    <font>
      <i/>
      <sz val="10"/>
      <color theme="1"/>
      <name val="Arial"/>
      <family val="2"/>
    </font>
    <font>
      <b/>
      <i/>
      <u/>
      <sz val="10"/>
      <name val="Arial"/>
      <family val="2"/>
    </font>
    <font>
      <b/>
      <sz val="11"/>
      <color theme="1"/>
      <name val="Arial"/>
      <family val="2"/>
    </font>
    <font>
      <b/>
      <u val="singleAccounting"/>
      <sz val="11"/>
      <color theme="1"/>
      <name val="Calibri"/>
      <family val="2"/>
      <scheme val="minor"/>
    </font>
    <font>
      <sz val="28"/>
      <color theme="1"/>
      <name val="Calibri"/>
      <family val="2"/>
      <scheme val="minor"/>
    </font>
    <font>
      <sz val="12"/>
      <color theme="1"/>
      <name val="Calibri"/>
      <family val="2"/>
      <scheme val="minor"/>
    </font>
    <font>
      <b/>
      <i/>
      <sz val="14"/>
      <color theme="1"/>
      <name val="Calibri"/>
      <family val="2"/>
      <scheme val="minor"/>
    </font>
    <font>
      <b/>
      <sz val="12"/>
      <color theme="1"/>
      <name val="Calibri"/>
      <family val="2"/>
      <scheme val="minor"/>
    </font>
    <font>
      <b/>
      <i/>
      <u/>
      <sz val="11"/>
      <color theme="1"/>
      <name val="Calibri"/>
      <family val="2"/>
      <scheme val="minor"/>
    </font>
    <font>
      <b/>
      <sz val="14"/>
      <color theme="1"/>
      <name val="Calibri"/>
      <family val="2"/>
      <scheme val="minor"/>
    </font>
    <font>
      <b/>
      <i/>
      <u val="singleAccounting"/>
      <sz val="14"/>
      <color theme="1"/>
      <name val="Calibri"/>
      <family val="2"/>
      <scheme val="minor"/>
    </font>
    <font>
      <sz val="14"/>
      <color theme="1"/>
      <name val="Calibri"/>
      <family val="2"/>
      <scheme val="minor"/>
    </font>
    <font>
      <b/>
      <sz val="10"/>
      <color rgb="FFFF0000"/>
      <name val="Arial"/>
      <family val="2"/>
    </font>
    <font>
      <sz val="11"/>
      <color rgb="FFFF0000"/>
      <name val="Calibri"/>
      <family val="2"/>
      <scheme val="minor"/>
    </font>
    <font>
      <b/>
      <sz val="11"/>
      <color rgb="FFFF0000"/>
      <name val="Calibri"/>
      <family val="2"/>
      <scheme val="minor"/>
    </font>
    <font>
      <b/>
      <i/>
      <u/>
      <sz val="8"/>
      <color rgb="FF000000"/>
      <name val="Arial"/>
      <family val="2"/>
    </font>
    <font>
      <b/>
      <sz val="8"/>
      <color rgb="FF000000"/>
      <name val="Arial"/>
      <family val="2"/>
    </font>
    <font>
      <b/>
      <u/>
      <sz val="8"/>
      <color theme="1"/>
      <name val="Arial"/>
      <family val="2"/>
    </font>
    <font>
      <sz val="8"/>
      <color rgb="FF000000"/>
      <name val="Arial"/>
      <family val="2"/>
    </font>
    <font>
      <b/>
      <sz val="8"/>
      <color theme="1"/>
      <name val="Arial"/>
      <family val="2"/>
    </font>
    <font>
      <b/>
      <sz val="8"/>
      <name val="Arial"/>
      <family val="2"/>
    </font>
    <font>
      <sz val="10"/>
      <color rgb="FFFF0000"/>
      <name val="Calibri"/>
      <family val="2"/>
      <scheme val="minor"/>
    </font>
    <font>
      <sz val="8"/>
      <name val="Arial"/>
      <family val="2"/>
    </font>
    <font>
      <sz val="8"/>
      <color rgb="FFFF0000"/>
      <name val="Calibri"/>
      <family val="2"/>
      <scheme val="minor"/>
    </font>
    <font>
      <b/>
      <sz val="10"/>
      <color rgb="FFFF0000"/>
      <name val="Calibri"/>
      <family val="2"/>
      <scheme val="minor"/>
    </font>
    <font>
      <sz val="10"/>
      <name val="Arial"/>
    </font>
    <font>
      <sz val="12"/>
      <color indexed="8"/>
      <name val="Calibri"/>
      <family val="2"/>
    </font>
    <font>
      <sz val="10"/>
      <color indexed="8"/>
      <name val="Arial"/>
      <family val="2"/>
    </font>
    <font>
      <sz val="10"/>
      <color indexed="10"/>
      <name val="Arial"/>
      <family val="2"/>
    </font>
    <font>
      <sz val="11"/>
      <color indexed="8"/>
      <name val="Calibri"/>
      <family val="2"/>
    </font>
    <font>
      <sz val="11"/>
      <name val="Calibri"/>
      <family val="2"/>
    </font>
    <font>
      <b/>
      <sz val="11"/>
      <name val="Arial"/>
      <family val="2"/>
    </font>
    <font>
      <sz val="11"/>
      <color rgb="FF000000"/>
      <name val="Arial Narrow"/>
      <family val="2"/>
    </font>
    <font>
      <b/>
      <sz val="11"/>
      <color rgb="FF000000"/>
      <name val="Arial Narrow"/>
      <family val="2"/>
    </font>
    <font>
      <b/>
      <sz val="10"/>
      <name val="Arial"/>
    </font>
    <font>
      <b/>
      <i/>
      <u/>
      <sz val="8"/>
      <color rgb="FF000000"/>
      <name val="Arial"/>
    </font>
    <font>
      <b/>
      <sz val="8"/>
      <color rgb="FF000000"/>
      <name val="Arial"/>
    </font>
    <font>
      <b/>
      <u/>
      <sz val="8"/>
      <color theme="1"/>
      <name val="Arial"/>
    </font>
    <font>
      <sz val="8"/>
      <color rgb="FF000000"/>
      <name val="Arial"/>
    </font>
    <font>
      <b/>
      <sz val="8"/>
      <color theme="1"/>
      <name val="Arial"/>
    </font>
    <font>
      <b/>
      <sz val="8"/>
      <name val="Arial"/>
    </font>
    <font>
      <sz val="10"/>
      <color rgb="FF000000"/>
      <name val="Arial"/>
    </font>
    <font>
      <b/>
      <sz val="12"/>
      <name val="Arial"/>
      <family val="2"/>
    </font>
    <font>
      <sz val="10"/>
      <color rgb="FFFF0000"/>
      <name val="Arial"/>
    </font>
    <font>
      <b/>
      <sz val="8"/>
      <color theme="1"/>
      <name val="Calibri"/>
      <family val="2"/>
      <scheme val="minor"/>
    </font>
    <font>
      <b/>
      <u/>
      <sz val="12"/>
      <color theme="1"/>
      <name val="Calibri"/>
      <family val="2"/>
      <scheme val="minor"/>
    </font>
    <font>
      <b/>
      <sz val="10"/>
      <color rgb="FFFF0000"/>
      <name val="Calibri"/>
      <scheme val="minor"/>
    </font>
    <font>
      <sz val="10"/>
      <color rgb="FFFF0000"/>
      <name val="Calibri"/>
      <scheme val="minor"/>
    </font>
    <font>
      <b/>
      <sz val="11"/>
      <color theme="0"/>
      <name val="Calibri"/>
      <family val="2"/>
      <scheme val="minor"/>
    </font>
    <font>
      <sz val="11"/>
      <color theme="0"/>
      <name val="Calibri"/>
      <family val="2"/>
      <scheme val="minor"/>
    </font>
    <font>
      <b/>
      <sz val="11"/>
      <color rgb="FF000000"/>
      <name val="Calibri"/>
      <family val="2"/>
      <scheme val="minor"/>
    </font>
  </fonts>
  <fills count="1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bgColor indexed="64"/>
      </patternFill>
    </fill>
    <fill>
      <patternFill patternType="solid">
        <fgColor rgb="FFD9D9D9"/>
        <bgColor indexed="64"/>
      </patternFill>
    </fill>
    <fill>
      <patternFill patternType="solid">
        <fgColor theme="2" tint="-9.9978637043366805E-2"/>
        <bgColor indexed="64"/>
      </patternFill>
    </fill>
    <fill>
      <patternFill patternType="solid">
        <fgColor indexed="9"/>
        <bgColor indexed="64"/>
      </patternFill>
    </fill>
    <fill>
      <patternFill patternType="solid">
        <fgColor theme="6" tint="0.59999389629810485"/>
        <bgColor indexed="64"/>
      </patternFill>
    </fill>
  </fills>
  <borders count="62">
    <border>
      <left/>
      <right/>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indexed="64"/>
      </left>
      <right style="thin">
        <color indexed="64"/>
      </right>
      <top style="medium">
        <color rgb="FF000000"/>
      </top>
      <bottom style="thin">
        <color indexed="64"/>
      </bottom>
      <diagonal/>
    </border>
    <border>
      <left style="medium">
        <color indexed="64"/>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top style="thin">
        <color indexed="64"/>
      </top>
      <bottom style="medium">
        <color rgb="FF000000"/>
      </bottom>
      <diagonal/>
    </border>
    <border>
      <left style="medium">
        <color indexed="64"/>
      </left>
      <right style="thin">
        <color indexed="64"/>
      </right>
      <top style="thin">
        <color indexed="64"/>
      </top>
      <bottom style="medium">
        <color rgb="FF000000"/>
      </bottom>
      <diagonal/>
    </border>
    <border>
      <left style="medium">
        <color indexed="64"/>
      </left>
      <right style="medium">
        <color rgb="FF000000"/>
      </right>
      <top style="thin">
        <color indexed="64"/>
      </top>
      <bottom style="medium">
        <color rgb="FF000000"/>
      </bottom>
      <diagonal/>
    </border>
    <border>
      <left style="medium">
        <color rgb="FF000000"/>
      </left>
      <right/>
      <top/>
      <bottom/>
      <diagonal/>
    </border>
    <border>
      <left style="thin">
        <color indexed="64"/>
      </left>
      <right/>
      <top style="thin">
        <color indexed="64"/>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rgb="FF000000"/>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167" fontId="1" fillId="0" borderId="0" applyFont="0" applyFill="0" applyBorder="0" applyAlignment="0" applyProtection="0"/>
    <xf numFmtId="0" fontId="34" fillId="0" borderId="0"/>
  </cellStyleXfs>
  <cellXfs count="343">
    <xf numFmtId="0" fontId="0" fillId="0" borderId="0" xfId="0"/>
    <xf numFmtId="0" fontId="0" fillId="0" borderId="0" xfId="0" applyAlignment="1">
      <alignment horizontal="center"/>
    </xf>
    <xf numFmtId="0" fontId="0" fillId="0" borderId="0" xfId="0" applyAlignment="1">
      <alignment wrapText="1"/>
    </xf>
    <xf numFmtId="0" fontId="5" fillId="0" borderId="3" xfId="3" applyFont="1" applyBorder="1" applyAlignment="1">
      <alignment wrapText="1"/>
    </xf>
    <xf numFmtId="0" fontId="5" fillId="0" borderId="3" xfId="3" applyFont="1" applyBorder="1" applyAlignment="1">
      <alignment horizontal="center" wrapText="1"/>
    </xf>
    <xf numFmtId="0" fontId="5" fillId="0" borderId="0" xfId="3" applyFont="1" applyAlignment="1">
      <alignment wrapText="1"/>
    </xf>
    <xf numFmtId="0" fontId="5" fillId="2" borderId="3" xfId="3" applyFont="1" applyFill="1" applyBorder="1"/>
    <xf numFmtId="0" fontId="5" fillId="2" borderId="3" xfId="3" applyFont="1" applyFill="1" applyBorder="1" applyAlignment="1">
      <alignment horizontal="center" wrapText="1"/>
    </xf>
    <xf numFmtId="0" fontId="5" fillId="0" borderId="0" xfId="3" applyFont="1" applyAlignment="1">
      <alignment horizontal="center"/>
    </xf>
    <xf numFmtId="0" fontId="4" fillId="0" borderId="3" xfId="3" applyBorder="1"/>
    <xf numFmtId="0" fontId="4" fillId="0" borderId="3" xfId="3" applyBorder="1" applyAlignment="1">
      <alignment horizontal="center" vertical="center"/>
    </xf>
    <xf numFmtId="0" fontId="4" fillId="0" borderId="0" xfId="3" applyAlignment="1">
      <alignment wrapText="1"/>
    </xf>
    <xf numFmtId="167" fontId="0" fillId="0" borderId="0" xfId="4" applyFont="1" applyFill="1" applyBorder="1" applyAlignment="1">
      <alignment horizontal="center" vertical="center"/>
    </xf>
    <xf numFmtId="168" fontId="0" fillId="0" borderId="0" xfId="4" applyNumberFormat="1" applyFont="1" applyBorder="1" applyAlignment="1">
      <alignment horizontal="center" vertical="center"/>
    </xf>
    <xf numFmtId="169" fontId="4" fillId="0" borderId="3" xfId="3" applyNumberFormat="1" applyBorder="1" applyAlignment="1">
      <alignment horizontal="center" vertical="center"/>
    </xf>
    <xf numFmtId="0" fontId="4" fillId="0" borderId="0" xfId="3"/>
    <xf numFmtId="167" fontId="0" fillId="0" borderId="0" xfId="4" applyFont="1" applyBorder="1" applyAlignment="1">
      <alignment horizontal="center" vertical="center"/>
    </xf>
    <xf numFmtId="167" fontId="2" fillId="0" borderId="0" xfId="4" applyFont="1" applyFill="1" applyBorder="1" applyAlignment="1">
      <alignment horizontal="center" vertical="center"/>
    </xf>
    <xf numFmtId="167" fontId="2" fillId="0" borderId="0" xfId="4" applyFont="1" applyBorder="1" applyAlignment="1">
      <alignment horizontal="center" vertical="center"/>
    </xf>
    <xf numFmtId="1" fontId="4" fillId="0" borderId="3" xfId="3" applyNumberFormat="1" applyBorder="1" applyAlignment="1">
      <alignment horizontal="center" vertical="center"/>
    </xf>
    <xf numFmtId="0" fontId="6" fillId="0" borderId="0" xfId="0" applyFont="1" applyAlignment="1">
      <alignment horizontal="center" vertical="center"/>
    </xf>
    <xf numFmtId="0" fontId="7" fillId="0" borderId="3" xfId="3" applyFont="1" applyBorder="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4" fillId="0" borderId="0" xfId="3" applyAlignment="1">
      <alignment horizontal="left"/>
    </xf>
    <xf numFmtId="0" fontId="4" fillId="0" borderId="0" xfId="3" applyAlignment="1">
      <alignment horizontal="left" wrapText="1"/>
    </xf>
    <xf numFmtId="0" fontId="5" fillId="0" borderId="0" xfId="3" applyFont="1" applyAlignment="1">
      <alignment horizontal="left"/>
    </xf>
    <xf numFmtId="0" fontId="5" fillId="0" borderId="0" xfId="3" applyFont="1" applyAlignment="1">
      <alignment horizontal="left" wrapText="1"/>
    </xf>
    <xf numFmtId="0" fontId="4" fillId="2" borderId="3" xfId="3" applyFill="1" applyBorder="1" applyAlignment="1">
      <alignment horizontal="center"/>
    </xf>
    <xf numFmtId="0" fontId="4" fillId="2" borderId="3" xfId="3" applyFill="1" applyBorder="1"/>
    <xf numFmtId="0" fontId="5" fillId="2" borderId="3" xfId="3" applyFont="1" applyFill="1" applyBorder="1" applyAlignment="1">
      <alignment horizontal="center"/>
    </xf>
    <xf numFmtId="167" fontId="0" fillId="0" borderId="0" xfId="4" applyFont="1"/>
    <xf numFmtId="0" fontId="5" fillId="3" borderId="4" xfId="3" applyFont="1" applyFill="1" applyBorder="1" applyAlignment="1">
      <alignment wrapText="1"/>
    </xf>
    <xf numFmtId="0" fontId="5" fillId="3" borderId="5"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0" borderId="7" xfId="3" applyFont="1" applyBorder="1" applyAlignment="1">
      <alignment horizontal="center" wrapText="1"/>
    </xf>
    <xf numFmtId="0" fontId="5" fillId="0" borderId="8" xfId="3" applyFont="1" applyBorder="1" applyAlignment="1">
      <alignment horizontal="center"/>
    </xf>
    <xf numFmtId="0" fontId="5" fillId="0" borderId="9" xfId="3" applyFont="1" applyBorder="1" applyAlignment="1">
      <alignment horizontal="center"/>
    </xf>
    <xf numFmtId="0" fontId="4" fillId="0" borderId="7" xfId="3" applyBorder="1" applyAlignment="1">
      <alignment vertical="center" wrapText="1"/>
    </xf>
    <xf numFmtId="170" fontId="5" fillId="2" borderId="8" xfId="3" applyNumberFormat="1" applyFont="1" applyFill="1" applyBorder="1" applyAlignment="1">
      <alignment horizontal="right"/>
    </xf>
    <xf numFmtId="170" fontId="5" fillId="2" borderId="9" xfId="3" applyNumberFormat="1" applyFont="1" applyFill="1" applyBorder="1" applyAlignment="1">
      <alignment horizontal="right"/>
    </xf>
    <xf numFmtId="0" fontId="2" fillId="0" borderId="0" xfId="0" applyFont="1"/>
    <xf numFmtId="167" fontId="0" fillId="0" borderId="0" xfId="0" applyNumberFormat="1"/>
    <xf numFmtId="0" fontId="4" fillId="0" borderId="7" xfId="3" applyBorder="1" applyAlignment="1">
      <alignment wrapText="1"/>
    </xf>
    <xf numFmtId="170" fontId="5" fillId="0" borderId="8" xfId="3" applyNumberFormat="1" applyFont="1" applyBorder="1" applyAlignment="1">
      <alignment horizontal="right"/>
    </xf>
    <xf numFmtId="170" fontId="5" fillId="0" borderId="9" xfId="3" applyNumberFormat="1" applyFont="1" applyBorder="1" applyAlignment="1">
      <alignment horizontal="right"/>
    </xf>
    <xf numFmtId="0" fontId="4" fillId="0" borderId="7" xfId="3" applyBorder="1" applyAlignment="1">
      <alignment horizontal="left" wrapText="1"/>
    </xf>
    <xf numFmtId="0" fontId="5" fillId="0" borderId="7" xfId="3" applyFont="1" applyBorder="1" applyAlignment="1">
      <alignment horizontal="left" wrapText="1"/>
    </xf>
    <xf numFmtId="0" fontId="5" fillId="0" borderId="10" xfId="3" applyFont="1" applyBorder="1" applyAlignment="1">
      <alignment horizontal="left" wrapText="1"/>
    </xf>
    <xf numFmtId="0" fontId="5" fillId="0" borderId="3" xfId="3" applyFont="1" applyBorder="1" applyAlignment="1">
      <alignment vertical="center"/>
    </xf>
    <xf numFmtId="0" fontId="5" fillId="0" borderId="3" xfId="3" applyFont="1" applyBorder="1" applyAlignment="1">
      <alignment horizontal="center" vertical="center" wrapText="1"/>
    </xf>
    <xf numFmtId="0" fontId="5" fillId="0" borderId="3" xfId="3" applyFont="1" applyBorder="1" applyAlignment="1">
      <alignment horizontal="center" vertical="center"/>
    </xf>
    <xf numFmtId="0" fontId="4" fillId="0" borderId="3" xfId="3" applyBorder="1" applyAlignment="1">
      <alignment wrapText="1"/>
    </xf>
    <xf numFmtId="167" fontId="4" fillId="0" borderId="3" xfId="4" applyFont="1" applyFill="1" applyBorder="1" applyAlignment="1">
      <alignment horizontal="center"/>
    </xf>
    <xf numFmtId="2" fontId="4" fillId="0" borderId="3" xfId="3" applyNumberFormat="1" applyBorder="1" applyAlignment="1">
      <alignment horizontal="center"/>
    </xf>
    <xf numFmtId="2" fontId="4" fillId="4" borderId="3" xfId="3" applyNumberFormat="1" applyFill="1" applyBorder="1" applyAlignment="1">
      <alignment horizontal="center" vertical="center"/>
    </xf>
    <xf numFmtId="167" fontId="4" fillId="0" borderId="3" xfId="4" applyFont="1" applyBorder="1" applyAlignment="1">
      <alignment horizontal="center" vertical="center"/>
    </xf>
    <xf numFmtId="2" fontId="4" fillId="0" borderId="3" xfId="3" applyNumberFormat="1" applyBorder="1" applyAlignment="1">
      <alignment horizontal="center" vertical="center"/>
    </xf>
    <xf numFmtId="167" fontId="4" fillId="0" borderId="3" xfId="4" applyFont="1" applyFill="1" applyBorder="1" applyAlignment="1">
      <alignment horizontal="center" vertical="center"/>
    </xf>
    <xf numFmtId="0" fontId="5" fillId="0" borderId="3" xfId="3" applyFont="1" applyBorder="1"/>
    <xf numFmtId="0" fontId="5" fillId="0" borderId="3" xfId="3" applyFont="1" applyBorder="1" applyAlignment="1">
      <alignment horizontal="center"/>
    </xf>
    <xf numFmtId="167" fontId="5" fillId="0" borderId="3" xfId="4" applyFont="1" applyBorder="1" applyAlignment="1">
      <alignment horizontal="center" vertical="center"/>
    </xf>
    <xf numFmtId="0" fontId="4" fillId="0" borderId="3" xfId="3" applyBorder="1" applyAlignment="1">
      <alignment vertical="center" wrapText="1"/>
    </xf>
    <xf numFmtId="171" fontId="0" fillId="4" borderId="3" xfId="1" applyNumberFormat="1" applyFont="1" applyFill="1" applyBorder="1"/>
    <xf numFmtId="171" fontId="2" fillId="0" borderId="3" xfId="0" applyNumberFormat="1" applyFont="1" applyBorder="1"/>
    <xf numFmtId="167" fontId="12" fillId="5" borderId="3" xfId="4" applyFont="1" applyFill="1" applyBorder="1"/>
    <xf numFmtId="167" fontId="2" fillId="6" borderId="3" xfId="4" applyFont="1" applyFill="1" applyBorder="1"/>
    <xf numFmtId="167" fontId="14" fillId="8" borderId="3" xfId="4" applyFont="1" applyFill="1" applyBorder="1" applyAlignment="1">
      <alignment vertical="center"/>
    </xf>
    <xf numFmtId="0" fontId="0" fillId="0" borderId="0" xfId="0" applyAlignment="1">
      <alignment vertical="center"/>
    </xf>
    <xf numFmtId="0" fontId="0" fillId="0" borderId="0" xfId="0" applyAlignment="1">
      <alignment horizontal="center" vertical="center"/>
    </xf>
    <xf numFmtId="167" fontId="16" fillId="9" borderId="3" xfId="4" applyFont="1" applyFill="1" applyBorder="1"/>
    <xf numFmtId="167" fontId="14" fillId="8" borderId="3" xfId="4" applyFont="1" applyFill="1" applyBorder="1"/>
    <xf numFmtId="167" fontId="19" fillId="9" borderId="3" xfId="0" applyNumberFormat="1" applyFont="1" applyFill="1" applyBorder="1"/>
    <xf numFmtId="170" fontId="21" fillId="2" borderId="8" xfId="3" applyNumberFormat="1" applyFont="1" applyFill="1" applyBorder="1" applyAlignment="1">
      <alignment horizontal="right"/>
    </xf>
    <xf numFmtId="170" fontId="21" fillId="2" borderId="9" xfId="3" applyNumberFormat="1" applyFont="1" applyFill="1" applyBorder="1" applyAlignment="1">
      <alignment horizontal="right"/>
    </xf>
    <xf numFmtId="170" fontId="5" fillId="9" borderId="11" xfId="3" applyNumberFormat="1" applyFont="1" applyFill="1" applyBorder="1" applyAlignment="1">
      <alignment horizontal="right"/>
    </xf>
    <xf numFmtId="170" fontId="5" fillId="9" borderId="12" xfId="3" applyNumberFormat="1" applyFont="1" applyFill="1" applyBorder="1" applyAlignment="1">
      <alignment horizontal="right"/>
    </xf>
    <xf numFmtId="167" fontId="0" fillId="0" borderId="0" xfId="0" applyNumberFormat="1" applyAlignment="1">
      <alignment horizontal="center"/>
    </xf>
    <xf numFmtId="172" fontId="0" fillId="0" borderId="0" xfId="2" applyNumberFormat="1" applyFont="1"/>
    <xf numFmtId="10" fontId="0" fillId="0" borderId="0" xfId="2" applyNumberFormat="1" applyFont="1"/>
    <xf numFmtId="166" fontId="0" fillId="0" borderId="0" xfId="1" applyFont="1" applyFill="1"/>
    <xf numFmtId="166" fontId="0" fillId="0" borderId="0" xfId="1" applyFont="1"/>
    <xf numFmtId="170" fontId="0" fillId="0" borderId="0" xfId="0" applyNumberFormat="1"/>
    <xf numFmtId="0" fontId="23" fillId="0" borderId="0" xfId="0" applyFont="1" applyAlignment="1">
      <alignment horizontal="center" vertical="center"/>
    </xf>
    <xf numFmtId="0" fontId="25" fillId="0" borderId="17" xfId="0" applyFont="1" applyBorder="1" applyAlignment="1">
      <alignment horizontal="center" vertical="center"/>
    </xf>
    <xf numFmtId="0" fontId="24" fillId="0" borderId="18" xfId="0" applyFont="1" applyBorder="1" applyAlignment="1">
      <alignment horizontal="center" vertical="center"/>
    </xf>
    <xf numFmtId="0" fontId="26" fillId="0" borderId="18" xfId="0" applyFont="1" applyBorder="1" applyAlignment="1">
      <alignment horizontal="center" vertical="center" wrapText="1"/>
    </xf>
    <xf numFmtId="0" fontId="26" fillId="0" borderId="18" xfId="0" applyFont="1" applyBorder="1" applyAlignment="1">
      <alignment horizontal="center" vertical="center"/>
    </xf>
    <xf numFmtId="0" fontId="27" fillId="0" borderId="17" xfId="0" applyFont="1" applyBorder="1" applyAlignment="1">
      <alignment vertical="center" wrapText="1"/>
    </xf>
    <xf numFmtId="0" fontId="27" fillId="0" borderId="18" xfId="0" applyFont="1" applyBorder="1" applyAlignment="1">
      <alignment horizontal="center" vertical="center" wrapText="1"/>
    </xf>
    <xf numFmtId="165" fontId="28" fillId="0" borderId="18" xfId="0" applyNumberFormat="1" applyFont="1" applyBorder="1" applyAlignment="1">
      <alignment horizontal="center" vertical="center"/>
    </xf>
    <xf numFmtId="0" fontId="27" fillId="0" borderId="19" xfId="0" applyFont="1" applyBorder="1" applyAlignment="1">
      <alignment vertical="center" wrapText="1"/>
    </xf>
    <xf numFmtId="0" fontId="27" fillId="0" borderId="20" xfId="0" applyFont="1" applyBorder="1" applyAlignment="1">
      <alignment horizontal="center" vertical="center" wrapText="1"/>
    </xf>
    <xf numFmtId="165" fontId="0" fillId="0" borderId="0" xfId="0" applyNumberFormat="1"/>
    <xf numFmtId="165" fontId="29" fillId="0" borderId="17" xfId="0" applyNumberFormat="1" applyFont="1" applyBorder="1" applyAlignment="1">
      <alignment horizontal="center" vertical="center"/>
    </xf>
    <xf numFmtId="165" fontId="25" fillId="0" borderId="24" xfId="0" applyNumberFormat="1" applyFont="1" applyBorder="1" applyAlignment="1">
      <alignment horizontal="center" vertical="center"/>
    </xf>
    <xf numFmtId="0" fontId="0" fillId="3" borderId="0" xfId="0" applyFill="1"/>
    <xf numFmtId="165" fontId="25" fillId="0" borderId="20" xfId="0" applyNumberFormat="1" applyFont="1" applyBorder="1" applyAlignment="1">
      <alignment horizontal="center" vertical="center"/>
    </xf>
    <xf numFmtId="0" fontId="18" fillId="12" borderId="0" xfId="0" applyFont="1" applyFill="1"/>
    <xf numFmtId="165" fontId="18" fillId="12" borderId="0" xfId="0" applyNumberFormat="1" applyFont="1" applyFill="1"/>
    <xf numFmtId="165" fontId="28" fillId="2" borderId="18" xfId="0" applyNumberFormat="1" applyFont="1" applyFill="1" applyBorder="1" applyAlignment="1">
      <alignment horizontal="center" vertical="center"/>
    </xf>
    <xf numFmtId="167" fontId="4" fillId="2" borderId="3" xfId="4" applyFont="1" applyFill="1" applyBorder="1" applyAlignment="1">
      <alignment horizontal="center" vertical="center"/>
    </xf>
    <xf numFmtId="0" fontId="30" fillId="0" borderId="0" xfId="0" applyFont="1" applyAlignment="1">
      <alignment horizontal="center" vertical="center" wrapText="1"/>
    </xf>
    <xf numFmtId="173" fontId="4" fillId="0" borderId="3" xfId="3" applyNumberFormat="1" applyBorder="1" applyAlignment="1">
      <alignment horizontal="center" vertical="center"/>
    </xf>
    <xf numFmtId="0" fontId="5" fillId="0" borderId="3" xfId="5" applyFont="1" applyBorder="1" applyAlignment="1">
      <alignment horizontal="centerContinuous" vertical="center"/>
    </xf>
    <xf numFmtId="0" fontId="5" fillId="0" borderId="3" xfId="5" applyFont="1" applyBorder="1" applyAlignment="1">
      <alignment horizontal="centerContinuous" vertical="center" wrapText="1"/>
    </xf>
    <xf numFmtId="0" fontId="5" fillId="0" borderId="3" xfId="5" applyFont="1" applyBorder="1" applyAlignment="1">
      <alignment horizontal="center" vertical="center" wrapText="1"/>
    </xf>
    <xf numFmtId="0" fontId="34" fillId="0" borderId="0" xfId="5"/>
    <xf numFmtId="0" fontId="34" fillId="0" borderId="3" xfId="5" applyBorder="1" applyAlignment="1">
      <alignment horizontal="center" vertical="center"/>
    </xf>
    <xf numFmtId="0" fontId="34" fillId="0" borderId="3" xfId="5" applyBorder="1" applyAlignment="1">
      <alignment vertical="center" wrapText="1"/>
    </xf>
    <xf numFmtId="0" fontId="4" fillId="0" borderId="3" xfId="5" applyFont="1" applyBorder="1" applyAlignment="1">
      <alignment horizontal="center" vertical="center" wrapText="1"/>
    </xf>
    <xf numFmtId="170" fontId="34" fillId="0" borderId="3" xfId="5" applyNumberFormat="1" applyBorder="1" applyAlignment="1">
      <alignment vertical="center"/>
    </xf>
    <xf numFmtId="0" fontId="4" fillId="0" borderId="3" xfId="5" applyFont="1" applyBorder="1" applyAlignment="1">
      <alignment vertical="center" wrapText="1"/>
    </xf>
    <xf numFmtId="0" fontId="4" fillId="0" borderId="3" xfId="5" applyFont="1" applyBorder="1" applyAlignment="1">
      <alignment horizontal="left" vertical="center" wrapText="1"/>
    </xf>
    <xf numFmtId="0" fontId="36" fillId="13" borderId="3" xfId="5" applyFont="1" applyFill="1" applyBorder="1" applyAlignment="1">
      <alignment vertical="center" wrapText="1"/>
    </xf>
    <xf numFmtId="0" fontId="4" fillId="0" borderId="3" xfId="5" applyFont="1" applyBorder="1" applyAlignment="1">
      <alignment horizontal="justify" vertical="center" wrapText="1"/>
    </xf>
    <xf numFmtId="0" fontId="4" fillId="0" borderId="3" xfId="3" applyBorder="1" applyAlignment="1">
      <alignment horizontal="left" vertical="center" wrapText="1"/>
    </xf>
    <xf numFmtId="0" fontId="4" fillId="0" borderId="30" xfId="5" applyFont="1" applyBorder="1" applyAlignment="1">
      <alignment vertical="center" wrapText="1"/>
    </xf>
    <xf numFmtId="0" fontId="4" fillId="0" borderId="30" xfId="5" applyFont="1" applyBorder="1" applyAlignment="1">
      <alignment horizontal="left" vertical="center" wrapText="1"/>
    </xf>
    <xf numFmtId="0" fontId="38" fillId="0" borderId="3" xfId="5" applyFont="1" applyBorder="1" applyAlignment="1">
      <alignment vertical="center" wrapText="1"/>
    </xf>
    <xf numFmtId="0" fontId="38" fillId="0" borderId="3" xfId="5" applyFont="1" applyBorder="1" applyAlignment="1">
      <alignment horizontal="center" vertical="center" wrapText="1"/>
    </xf>
    <xf numFmtId="0" fontId="39" fillId="0" borderId="3" xfId="5" applyFont="1" applyBorder="1" applyAlignment="1">
      <alignment vertical="center" wrapText="1"/>
    </xf>
    <xf numFmtId="0" fontId="4" fillId="0" borderId="3" xfId="5" applyFont="1" applyBorder="1" applyAlignment="1">
      <alignment vertical="center"/>
    </xf>
    <xf numFmtId="0" fontId="34" fillId="0" borderId="0" xfId="5" applyAlignment="1">
      <alignment vertical="center"/>
    </xf>
    <xf numFmtId="170" fontId="34" fillId="0" borderId="0" xfId="5" applyNumberFormat="1" applyAlignment="1">
      <alignment vertical="center"/>
    </xf>
    <xf numFmtId="170" fontId="5" fillId="0" borderId="3" xfId="5" applyNumberFormat="1" applyFont="1" applyBorder="1" applyAlignment="1">
      <alignment vertical="center"/>
    </xf>
    <xf numFmtId="170" fontId="4" fillId="0" borderId="3" xfId="5" applyNumberFormat="1" applyFont="1" applyBorder="1" applyAlignment="1">
      <alignment vertical="center"/>
    </xf>
    <xf numFmtId="170" fontId="34" fillId="0" borderId="0" xfId="5" applyNumberFormat="1"/>
    <xf numFmtId="0" fontId="0" fillId="3" borderId="0" xfId="0" applyFill="1" applyAlignment="1">
      <alignment vertical="center"/>
    </xf>
    <xf numFmtId="0" fontId="0" fillId="3" borderId="0" xfId="0" applyFill="1" applyAlignment="1">
      <alignment horizontal="center" vertical="center"/>
    </xf>
    <xf numFmtId="0" fontId="5" fillId="0" borderId="0" xfId="3" applyFont="1"/>
    <xf numFmtId="167" fontId="5" fillId="0" borderId="0" xfId="4" applyFont="1" applyBorder="1" applyAlignment="1">
      <alignment horizontal="center" vertical="center"/>
    </xf>
    <xf numFmtId="171" fontId="2" fillId="0" borderId="3" xfId="1" applyNumberFormat="1" applyFont="1" applyFill="1" applyBorder="1"/>
    <xf numFmtId="170" fontId="5" fillId="0" borderId="8" xfId="3" applyNumberFormat="1" applyFont="1" applyBorder="1" applyAlignment="1">
      <alignment horizontal="right" vertical="center"/>
    </xf>
    <xf numFmtId="170" fontId="5" fillId="0" borderId="9" xfId="3" applyNumberFormat="1" applyFont="1" applyBorder="1" applyAlignment="1">
      <alignment horizontal="right" vertical="center"/>
    </xf>
    <xf numFmtId="0" fontId="4" fillId="0" borderId="7" xfId="3" applyBorder="1" applyAlignment="1">
      <alignment horizontal="left" vertical="center" wrapText="1"/>
    </xf>
    <xf numFmtId="0" fontId="5" fillId="0" borderId="7" xfId="3" applyFont="1" applyBorder="1" applyAlignment="1">
      <alignment horizontal="left" vertical="center" wrapText="1"/>
    </xf>
    <xf numFmtId="166" fontId="2" fillId="0" borderId="0" xfId="0" applyNumberFormat="1" applyFont="1"/>
    <xf numFmtId="166" fontId="0" fillId="0" borderId="0" xfId="1" applyFont="1" applyAlignment="1">
      <alignment vertical="center"/>
    </xf>
    <xf numFmtId="164" fontId="0" fillId="0" borderId="0" xfId="0" applyNumberFormat="1" applyAlignment="1">
      <alignment horizontal="center" vertical="center"/>
    </xf>
    <xf numFmtId="166" fontId="0" fillId="0" borderId="0" xfId="0" applyNumberFormat="1" applyAlignment="1">
      <alignment vertical="center"/>
    </xf>
    <xf numFmtId="0" fontId="43" fillId="3" borderId="5" xfId="3" applyFont="1" applyFill="1" applyBorder="1" applyAlignment="1">
      <alignment horizontal="center" vertical="center" wrapText="1"/>
    </xf>
    <xf numFmtId="0" fontId="43" fillId="0" borderId="8" xfId="3" applyFont="1" applyBorder="1" applyAlignment="1">
      <alignment horizontal="center"/>
    </xf>
    <xf numFmtId="170" fontId="43" fillId="0" borderId="8" xfId="3" applyNumberFormat="1" applyFont="1" applyBorder="1" applyAlignment="1">
      <alignment horizontal="right" vertical="center"/>
    </xf>
    <xf numFmtId="0" fontId="45" fillId="0" borderId="17" xfId="0" applyFont="1" applyBorder="1" applyAlignment="1">
      <alignment horizontal="center" vertical="center"/>
    </xf>
    <xf numFmtId="0" fontId="44" fillId="0" borderId="18" xfId="0" applyFont="1" applyBorder="1" applyAlignment="1">
      <alignment horizontal="center" vertical="center"/>
    </xf>
    <xf numFmtId="0" fontId="46" fillId="0" borderId="18" xfId="0" applyFont="1" applyBorder="1" applyAlignment="1">
      <alignment horizontal="center" vertical="center" wrapText="1"/>
    </xf>
    <xf numFmtId="0" fontId="46" fillId="0" borderId="18" xfId="0" applyFont="1" applyBorder="1" applyAlignment="1">
      <alignment horizontal="center" vertical="center"/>
    </xf>
    <xf numFmtId="0" fontId="47" fillId="0" borderId="17" xfId="0" applyFont="1" applyBorder="1" applyAlignment="1">
      <alignment vertical="center" wrapText="1"/>
    </xf>
    <xf numFmtId="0" fontId="47" fillId="0" borderId="18" xfId="0" applyFont="1" applyBorder="1" applyAlignment="1">
      <alignment horizontal="center" vertical="center" wrapText="1"/>
    </xf>
    <xf numFmtId="165" fontId="48" fillId="2" borderId="18" xfId="0" applyNumberFormat="1" applyFont="1" applyFill="1" applyBorder="1" applyAlignment="1">
      <alignment horizontal="center" vertical="center"/>
    </xf>
    <xf numFmtId="165" fontId="48" fillId="0" borderId="18" xfId="0" applyNumberFormat="1" applyFont="1" applyBorder="1" applyAlignment="1">
      <alignment horizontal="center" vertical="center"/>
    </xf>
    <xf numFmtId="0" fontId="47" fillId="0" borderId="19" xfId="0" applyFont="1" applyBorder="1" applyAlignment="1">
      <alignment vertical="center" wrapText="1"/>
    </xf>
    <xf numFmtId="0" fontId="47" fillId="0" borderId="20" xfId="0" applyFont="1" applyBorder="1" applyAlignment="1">
      <alignment horizontal="center" vertical="center" wrapText="1"/>
    </xf>
    <xf numFmtId="165" fontId="49" fillId="0" borderId="17" xfId="0" applyNumberFormat="1" applyFont="1" applyBorder="1" applyAlignment="1">
      <alignment horizontal="center" vertical="center"/>
    </xf>
    <xf numFmtId="165" fontId="45" fillId="0" borderId="24" xfId="0" applyNumberFormat="1" applyFont="1" applyBorder="1" applyAlignment="1">
      <alignment horizontal="center" vertical="center"/>
    </xf>
    <xf numFmtId="165" fontId="45" fillId="0" borderId="20" xfId="0" applyNumberFormat="1" applyFont="1" applyBorder="1" applyAlignment="1">
      <alignment horizontal="center" vertical="center"/>
    </xf>
    <xf numFmtId="0" fontId="34" fillId="0" borderId="3" xfId="5" applyBorder="1" applyAlignment="1">
      <alignment horizontal="center" vertical="center" wrapText="1"/>
    </xf>
    <xf numFmtId="0" fontId="34" fillId="0" borderId="3" xfId="5" applyBorder="1" applyAlignment="1">
      <alignment vertical="center"/>
    </xf>
    <xf numFmtId="0" fontId="2" fillId="0" borderId="0" xfId="0" applyFont="1" applyAlignment="1">
      <alignment horizontal="right"/>
    </xf>
    <xf numFmtId="165" fontId="45" fillId="0" borderId="0" xfId="0" applyNumberFormat="1" applyFont="1" applyAlignment="1">
      <alignment horizontal="center" vertical="center"/>
    </xf>
    <xf numFmtId="4" fontId="0" fillId="0" borderId="0" xfId="0" applyNumberFormat="1"/>
    <xf numFmtId="10" fontId="34" fillId="0" borderId="0" xfId="5" applyNumberFormat="1"/>
    <xf numFmtId="165" fontId="34" fillId="0" borderId="0" xfId="5" applyNumberFormat="1"/>
    <xf numFmtId="0" fontId="0" fillId="0" borderId="3" xfId="0" applyBorder="1" applyAlignment="1">
      <alignment wrapText="1"/>
    </xf>
    <xf numFmtId="0" fontId="4" fillId="0" borderId="0" xfId="5" applyFont="1"/>
    <xf numFmtId="170" fontId="34" fillId="0" borderId="3" xfId="1" applyNumberFormat="1" applyFont="1" applyBorder="1" applyAlignment="1">
      <alignment vertical="center"/>
    </xf>
    <xf numFmtId="170" fontId="4" fillId="0" borderId="3" xfId="1" applyNumberFormat="1" applyFont="1" applyBorder="1" applyAlignment="1">
      <alignment vertical="center"/>
    </xf>
    <xf numFmtId="0" fontId="8" fillId="10" borderId="3" xfId="5" applyFont="1" applyFill="1" applyBorder="1" applyAlignment="1">
      <alignment vertical="center" wrapText="1"/>
    </xf>
    <xf numFmtId="0" fontId="8" fillId="13" borderId="3" xfId="5" applyFont="1" applyFill="1" applyBorder="1" applyAlignment="1">
      <alignment vertical="center" wrapText="1"/>
    </xf>
    <xf numFmtId="0" fontId="0" fillId="0" borderId="3" xfId="0" applyBorder="1"/>
    <xf numFmtId="0" fontId="4" fillId="0" borderId="30" xfId="5" applyFont="1" applyBorder="1" applyAlignment="1">
      <alignment horizontal="center" vertical="center" wrapText="1"/>
    </xf>
    <xf numFmtId="0" fontId="4" fillId="0" borderId="32" xfId="5" applyFont="1" applyBorder="1" applyAlignment="1">
      <alignment vertical="center" wrapText="1"/>
    </xf>
    <xf numFmtId="0" fontId="4" fillId="0" borderId="32" xfId="5" applyFont="1" applyBorder="1" applyAlignment="1">
      <alignment horizontal="left" vertical="center" wrapText="1"/>
    </xf>
    <xf numFmtId="170" fontId="34" fillId="0" borderId="0" xfId="1" applyNumberFormat="1" applyFont="1" applyBorder="1" applyAlignment="1">
      <alignment vertical="center"/>
    </xf>
    <xf numFmtId="166" fontId="4" fillId="0" borderId="0" xfId="1" applyFont="1" applyBorder="1"/>
    <xf numFmtId="170" fontId="4" fillId="0" borderId="0" xfId="5" applyNumberFormat="1" applyFont="1"/>
    <xf numFmtId="170" fontId="5" fillId="0" borderId="0" xfId="5" applyNumberFormat="1" applyFont="1" applyAlignment="1">
      <alignment vertical="center"/>
    </xf>
    <xf numFmtId="0" fontId="5" fillId="0" borderId="0" xfId="5" applyFont="1"/>
    <xf numFmtId="166" fontId="34" fillId="0" borderId="0" xfId="1" applyFont="1" applyBorder="1"/>
    <xf numFmtId="0" fontId="22" fillId="0" borderId="0" xfId="0" applyFont="1" applyAlignment="1">
      <alignment horizontal="center" vertical="center"/>
    </xf>
    <xf numFmtId="9" fontId="18" fillId="10" borderId="3" xfId="0" applyNumberFormat="1" applyFont="1" applyFill="1" applyBorder="1" applyAlignment="1">
      <alignment horizontal="center"/>
    </xf>
    <xf numFmtId="172" fontId="13" fillId="2" borderId="3" xfId="2" applyNumberFormat="1" applyFont="1" applyFill="1" applyBorder="1" applyAlignment="1" applyProtection="1">
      <alignment horizontal="center" vertical="center"/>
      <protection locked="0"/>
    </xf>
    <xf numFmtId="0" fontId="10" fillId="3" borderId="3" xfId="3" applyFont="1" applyFill="1" applyBorder="1" applyAlignment="1">
      <alignment vertical="center"/>
    </xf>
    <xf numFmtId="165" fontId="42" fillId="7" borderId="37" xfId="0" applyNumberFormat="1" applyFont="1" applyFill="1" applyBorder="1" applyAlignment="1">
      <alignment wrapText="1"/>
    </xf>
    <xf numFmtId="165" fontId="42" fillId="7" borderId="35" xfId="0" applyNumberFormat="1" applyFont="1" applyFill="1" applyBorder="1" applyAlignment="1">
      <alignment wrapText="1"/>
    </xf>
    <xf numFmtId="0" fontId="42" fillId="7" borderId="26" xfId="0" applyFont="1" applyFill="1" applyBorder="1" applyAlignment="1">
      <alignment horizontal="left"/>
    </xf>
    <xf numFmtId="0" fontId="2" fillId="7" borderId="36" xfId="0" applyFont="1" applyFill="1" applyBorder="1" applyAlignment="1">
      <alignment horizontal="left" vertical="center"/>
    </xf>
    <xf numFmtId="0" fontId="40" fillId="0" borderId="0" xfId="3" applyFont="1"/>
    <xf numFmtId="0" fontId="40" fillId="0" borderId="0" xfId="3" applyFont="1" applyAlignment="1">
      <alignment horizontal="center"/>
    </xf>
    <xf numFmtId="167" fontId="40" fillId="0" borderId="0" xfId="4" applyFont="1" applyBorder="1" applyAlignment="1">
      <alignment horizontal="center" vertical="center"/>
    </xf>
    <xf numFmtId="0" fontId="5" fillId="0" borderId="41" xfId="3" applyFont="1" applyBorder="1" applyAlignment="1">
      <alignment vertical="center"/>
    </xf>
    <xf numFmtId="0" fontId="5" fillId="0" borderId="42" xfId="3" applyFont="1" applyBorder="1" applyAlignment="1">
      <alignment horizontal="center" vertical="center"/>
    </xf>
    <xf numFmtId="0" fontId="4" fillId="0" borderId="41" xfId="3" applyBorder="1" applyAlignment="1">
      <alignment wrapText="1"/>
    </xf>
    <xf numFmtId="167" fontId="4" fillId="0" borderId="42" xfId="4" applyFont="1" applyBorder="1" applyAlignment="1">
      <alignment horizontal="center" vertical="center"/>
    </xf>
    <xf numFmtId="0" fontId="4" fillId="0" borderId="41" xfId="3" applyBorder="1"/>
    <xf numFmtId="167" fontId="4" fillId="0" borderId="42" xfId="4" applyFont="1" applyFill="1" applyBorder="1" applyAlignment="1">
      <alignment horizontal="center" vertical="center"/>
    </xf>
    <xf numFmtId="0" fontId="40" fillId="0" borderId="43" xfId="3" applyFont="1" applyBorder="1"/>
    <xf numFmtId="0" fontId="40" fillId="0" borderId="44" xfId="3" applyFont="1" applyBorder="1" applyAlignment="1">
      <alignment horizontal="center"/>
    </xf>
    <xf numFmtId="0" fontId="40" fillId="0" borderId="44" xfId="3" applyFont="1" applyBorder="1"/>
    <xf numFmtId="167" fontId="40" fillId="0" borderId="45" xfId="4" applyFont="1" applyBorder="1" applyAlignment="1">
      <alignment horizontal="center" vertical="center"/>
    </xf>
    <xf numFmtId="0" fontId="5" fillId="3" borderId="46" xfId="3" applyFont="1" applyFill="1" applyBorder="1" applyAlignment="1">
      <alignment horizontal="center" vertical="center" wrapText="1"/>
    </xf>
    <xf numFmtId="0" fontId="5" fillId="3" borderId="47" xfId="3" applyFont="1" applyFill="1" applyBorder="1" applyAlignment="1">
      <alignment horizontal="center" vertical="center" wrapText="1"/>
    </xf>
    <xf numFmtId="0" fontId="5" fillId="0" borderId="48" xfId="3" applyFont="1" applyBorder="1" applyAlignment="1">
      <alignment horizontal="center" wrapText="1"/>
    </xf>
    <xf numFmtId="0" fontId="5" fillId="0" borderId="49" xfId="3" applyFont="1" applyBorder="1" applyAlignment="1">
      <alignment horizontal="center"/>
    </xf>
    <xf numFmtId="0" fontId="4" fillId="0" borderId="48" xfId="3" applyBorder="1" applyAlignment="1">
      <alignment vertical="center" wrapText="1"/>
    </xf>
    <xf numFmtId="170" fontId="5" fillId="0" borderId="49" xfId="3" applyNumberFormat="1" applyFont="1" applyBorder="1" applyAlignment="1">
      <alignment horizontal="right" vertical="center"/>
    </xf>
    <xf numFmtId="170" fontId="43" fillId="0" borderId="49" xfId="3" applyNumberFormat="1" applyFont="1" applyBorder="1" applyAlignment="1">
      <alignment horizontal="right" vertical="center"/>
    </xf>
    <xf numFmtId="0" fontId="4" fillId="0" borderId="48" xfId="3" applyBorder="1" applyAlignment="1">
      <alignment horizontal="left" vertical="center" wrapText="1"/>
    </xf>
    <xf numFmtId="0" fontId="5" fillId="0" borderId="48" xfId="3" applyFont="1" applyBorder="1" applyAlignment="1">
      <alignment horizontal="left" vertical="center" wrapText="1"/>
    </xf>
    <xf numFmtId="0" fontId="4" fillId="0" borderId="43" xfId="3" applyBorder="1" applyAlignment="1">
      <alignment vertical="center" wrapText="1"/>
    </xf>
    <xf numFmtId="167" fontId="4" fillId="2" borderId="44" xfId="4" applyFont="1" applyFill="1" applyBorder="1" applyAlignment="1">
      <alignment horizontal="center" vertical="center"/>
    </xf>
    <xf numFmtId="2" fontId="4" fillId="0" borderId="44" xfId="3" applyNumberFormat="1" applyBorder="1" applyAlignment="1">
      <alignment horizontal="center" vertical="center"/>
    </xf>
    <xf numFmtId="167" fontId="4" fillId="0" borderId="45" xfId="4" applyFont="1" applyBorder="1" applyAlignment="1">
      <alignment horizontal="center" vertical="center"/>
    </xf>
    <xf numFmtId="0" fontId="5" fillId="0" borderId="3" xfId="3" applyFont="1" applyBorder="1" applyAlignment="1">
      <alignment vertical="center" wrapText="1"/>
    </xf>
    <xf numFmtId="0" fontId="53" fillId="0" borderId="0" xfId="0" applyFont="1" applyAlignment="1">
      <alignment horizontal="center" vertical="center"/>
    </xf>
    <xf numFmtId="167" fontId="2" fillId="5" borderId="3" xfId="4" applyFont="1" applyFill="1" applyBorder="1"/>
    <xf numFmtId="167" fontId="54" fillId="9" borderId="3" xfId="4" applyFont="1" applyFill="1" applyBorder="1"/>
    <xf numFmtId="0" fontId="5" fillId="0" borderId="50" xfId="3" applyFont="1" applyBorder="1" applyAlignment="1">
      <alignment horizontal="left" wrapText="1"/>
    </xf>
    <xf numFmtId="170" fontId="5" fillId="0" borderId="51" xfId="3" applyNumberFormat="1" applyFont="1" applyBorder="1" applyAlignment="1">
      <alignment horizontal="right"/>
    </xf>
    <xf numFmtId="170" fontId="5" fillId="0" borderId="52" xfId="3" applyNumberFormat="1" applyFont="1" applyBorder="1" applyAlignment="1">
      <alignment horizontal="right"/>
    </xf>
    <xf numFmtId="170" fontId="5" fillId="3" borderId="8" xfId="3" applyNumberFormat="1" applyFont="1" applyFill="1" applyBorder="1" applyAlignment="1">
      <alignment horizontal="right" vertical="center"/>
    </xf>
    <xf numFmtId="170" fontId="5" fillId="3" borderId="49" xfId="3" applyNumberFormat="1" applyFont="1" applyFill="1" applyBorder="1" applyAlignment="1">
      <alignment horizontal="right" vertical="center"/>
    </xf>
    <xf numFmtId="0" fontId="5" fillId="3" borderId="38" xfId="3" applyFont="1" applyFill="1" applyBorder="1" applyAlignment="1">
      <alignment vertical="center" wrapText="1"/>
    </xf>
    <xf numFmtId="0" fontId="55" fillId="0" borderId="0" xfId="0" applyFont="1" applyAlignment="1">
      <alignment vertical="center" wrapText="1"/>
    </xf>
    <xf numFmtId="170" fontId="34" fillId="0" borderId="0" xfId="5" applyNumberFormat="1" applyAlignment="1">
      <alignment horizontal="center" vertical="center"/>
    </xf>
    <xf numFmtId="0" fontId="4" fillId="0" borderId="3" xfId="5" applyFont="1" applyBorder="1" applyAlignment="1">
      <alignment horizontal="center" vertical="center"/>
    </xf>
    <xf numFmtId="0" fontId="34" fillId="0" borderId="0" xfId="5" applyAlignment="1">
      <alignment horizontal="center" vertical="center"/>
    </xf>
    <xf numFmtId="0" fontId="41" fillId="0" borderId="0" xfId="0" applyFont="1"/>
    <xf numFmtId="165" fontId="41" fillId="0" borderId="0" xfId="0" applyNumberFormat="1" applyFont="1" applyAlignment="1">
      <alignment wrapText="1"/>
    </xf>
    <xf numFmtId="165" fontId="42" fillId="0" borderId="0" xfId="0" applyNumberFormat="1" applyFont="1"/>
    <xf numFmtId="9" fontId="42" fillId="7" borderId="35" xfId="0" applyNumberFormat="1" applyFont="1" applyFill="1" applyBorder="1" applyAlignment="1">
      <alignment wrapText="1"/>
    </xf>
    <xf numFmtId="0" fontId="4" fillId="0" borderId="30" xfId="5" applyFont="1" applyBorder="1" applyAlignment="1">
      <alignment horizontal="center" vertical="center"/>
    </xf>
    <xf numFmtId="0" fontId="4" fillId="0" borderId="32" xfId="5" applyFont="1" applyBorder="1" applyAlignment="1">
      <alignment horizontal="center" vertical="center"/>
    </xf>
    <xf numFmtId="167" fontId="22" fillId="0" borderId="0" xfId="0" applyNumberFormat="1" applyFont="1"/>
    <xf numFmtId="0" fontId="22" fillId="0" borderId="0" xfId="0" applyFont="1"/>
    <xf numFmtId="170" fontId="34" fillId="2" borderId="3" xfId="5" applyNumberFormat="1" applyFill="1" applyBorder="1" applyAlignment="1">
      <alignment vertical="center"/>
    </xf>
    <xf numFmtId="9" fontId="0" fillId="0" borderId="0" xfId="0" applyNumberFormat="1"/>
    <xf numFmtId="170" fontId="34" fillId="0" borderId="3" xfId="1" applyNumberFormat="1" applyFont="1" applyFill="1" applyBorder="1" applyAlignment="1">
      <alignment vertical="center"/>
    </xf>
    <xf numFmtId="170" fontId="34" fillId="2" borderId="33" xfId="5" applyNumberFormat="1" applyFill="1" applyBorder="1" applyAlignment="1">
      <alignment vertical="center"/>
    </xf>
    <xf numFmtId="0" fontId="57" fillId="0" borderId="0" xfId="0" applyFont="1"/>
    <xf numFmtId="0" fontId="58" fillId="0" borderId="0" xfId="0" applyFont="1"/>
    <xf numFmtId="174" fontId="58" fillId="0" borderId="0" xfId="0" applyNumberFormat="1" applyFont="1"/>
    <xf numFmtId="0" fontId="0" fillId="0" borderId="32" xfId="0" applyBorder="1"/>
    <xf numFmtId="175" fontId="0" fillId="0" borderId="32" xfId="0" applyNumberFormat="1" applyBorder="1"/>
    <xf numFmtId="0" fontId="2" fillId="2" borderId="32" xfId="0" applyFont="1" applyFill="1" applyBorder="1" applyAlignment="1">
      <alignment horizontal="center" vertical="center"/>
    </xf>
    <xf numFmtId="0" fontId="2" fillId="2" borderId="32" xfId="0" applyFont="1" applyFill="1" applyBorder="1"/>
    <xf numFmtId="175" fontId="2" fillId="2" borderId="32" xfId="0" applyNumberFormat="1" applyFont="1" applyFill="1" applyBorder="1"/>
    <xf numFmtId="0" fontId="56" fillId="0" borderId="0" xfId="0" applyFont="1" applyAlignment="1">
      <alignment horizontal="center" vertical="center" wrapText="1"/>
    </xf>
    <xf numFmtId="0" fontId="56" fillId="0" borderId="0" xfId="0" applyFont="1" applyAlignment="1">
      <alignment horizontal="left" vertical="center" wrapText="1"/>
    </xf>
    <xf numFmtId="0" fontId="4" fillId="0" borderId="32" xfId="3" applyBorder="1"/>
    <xf numFmtId="2" fontId="4" fillId="0" borderId="32" xfId="3" applyNumberFormat="1" applyBorder="1" applyAlignment="1">
      <alignment horizontal="center"/>
    </xf>
    <xf numFmtId="173" fontId="4" fillId="0" borderId="32" xfId="3" applyNumberFormat="1" applyBorder="1" applyAlignment="1">
      <alignment horizontal="center" vertical="center"/>
    </xf>
    <xf numFmtId="167" fontId="4" fillId="0" borderId="32" xfId="4" applyFont="1" applyBorder="1" applyAlignment="1">
      <alignment horizontal="center" vertical="center"/>
    </xf>
    <xf numFmtId="0" fontId="5" fillId="0" borderId="55" xfId="3" applyFont="1" applyBorder="1" applyAlignment="1">
      <alignment vertical="center"/>
    </xf>
    <xf numFmtId="0" fontId="5" fillId="0" borderId="30" xfId="3" applyFont="1" applyBorder="1" applyAlignment="1">
      <alignment horizontal="center" vertical="center" wrapText="1"/>
    </xf>
    <xf numFmtId="0" fontId="5" fillId="0" borderId="30" xfId="3" applyFont="1" applyBorder="1" applyAlignment="1">
      <alignment horizontal="center" vertical="center"/>
    </xf>
    <xf numFmtId="0" fontId="5" fillId="0" borderId="56" xfId="3" applyFont="1" applyBorder="1" applyAlignment="1">
      <alignment horizontal="center" vertical="center"/>
    </xf>
    <xf numFmtId="0" fontId="4" fillId="0" borderId="57" xfId="3" applyBorder="1"/>
    <xf numFmtId="167" fontId="4" fillId="0" borderId="58" xfId="4" applyFont="1" applyFill="1" applyBorder="1" applyAlignment="1">
      <alignment horizontal="center"/>
    </xf>
    <xf numFmtId="2" fontId="4" fillId="0" borderId="58" xfId="3" applyNumberFormat="1" applyBorder="1" applyAlignment="1">
      <alignment horizontal="center"/>
    </xf>
    <xf numFmtId="173" fontId="4" fillId="0" borderId="58" xfId="3" applyNumberFormat="1" applyBorder="1" applyAlignment="1">
      <alignment horizontal="center" vertical="center"/>
    </xf>
    <xf numFmtId="167" fontId="4" fillId="0" borderId="59" xfId="4" applyFont="1" applyBorder="1" applyAlignment="1">
      <alignment horizontal="center" vertical="center"/>
    </xf>
    <xf numFmtId="167" fontId="4" fillId="0" borderId="60" xfId="4" applyFont="1" applyFill="1" applyBorder="1" applyAlignment="1">
      <alignment horizontal="center"/>
    </xf>
    <xf numFmtId="0" fontId="4" fillId="0" borderId="61" xfId="3" applyBorder="1"/>
    <xf numFmtId="171" fontId="2" fillId="4" borderId="3" xfId="1" applyNumberFormat="1" applyFont="1" applyFill="1" applyBorder="1"/>
    <xf numFmtId="0" fontId="22" fillId="4" borderId="0" xfId="0" applyFont="1" applyFill="1"/>
    <xf numFmtId="0" fontId="0" fillId="4" borderId="0" xfId="0" applyFill="1"/>
    <xf numFmtId="0" fontId="33" fillId="0" borderId="13" xfId="0" applyFont="1" applyBorder="1" applyAlignment="1">
      <alignment vertical="center" wrapText="1"/>
    </xf>
    <xf numFmtId="170" fontId="5" fillId="3" borderId="9" xfId="3" applyNumberFormat="1" applyFont="1" applyFill="1" applyBorder="1" applyAlignment="1">
      <alignment horizontal="right" vertical="center"/>
    </xf>
    <xf numFmtId="170" fontId="43" fillId="3" borderId="8" xfId="3" applyNumberFormat="1" applyFont="1" applyFill="1" applyBorder="1" applyAlignment="1">
      <alignment horizontal="right" vertical="center"/>
    </xf>
    <xf numFmtId="0" fontId="33" fillId="0" borderId="0" xfId="0" applyFont="1" applyAlignment="1">
      <alignment vertical="center" wrapText="1"/>
    </xf>
    <xf numFmtId="170" fontId="5" fillId="0" borderId="11" xfId="3" applyNumberFormat="1" applyFont="1" applyBorder="1" applyAlignment="1">
      <alignment horizontal="right"/>
    </xf>
    <xf numFmtId="170" fontId="5" fillId="0" borderId="12" xfId="3" applyNumberFormat="1" applyFont="1" applyBorder="1" applyAlignment="1">
      <alignment horizontal="right"/>
    </xf>
    <xf numFmtId="170" fontId="43" fillId="0" borderId="11" xfId="3" applyNumberFormat="1" applyFont="1" applyBorder="1" applyAlignment="1">
      <alignment horizontal="right"/>
    </xf>
    <xf numFmtId="0" fontId="35" fillId="0" borderId="3" xfId="5" applyFont="1" applyBorder="1" applyAlignment="1">
      <alignment vertical="center" wrapText="1"/>
    </xf>
    <xf numFmtId="0" fontId="51" fillId="0" borderId="3" xfId="5" applyFont="1" applyBorder="1" applyAlignment="1">
      <alignment horizontal="center"/>
    </xf>
    <xf numFmtId="0" fontId="7" fillId="0" borderId="3" xfId="3" applyFont="1" applyBorder="1" applyAlignment="1">
      <alignment horizontal="center" vertical="center" wrapText="1"/>
    </xf>
    <xf numFmtId="10" fontId="13" fillId="7" borderId="3" xfId="0" applyNumberFormat="1" applyFont="1" applyFill="1" applyBorder="1" applyAlignment="1" applyProtection="1">
      <alignment horizontal="center" vertical="center"/>
      <protection locked="0"/>
    </xf>
    <xf numFmtId="0" fontId="3" fillId="0" borderId="0" xfId="0" applyFont="1" applyAlignment="1">
      <alignment horizontal="center" wrapText="1"/>
    </xf>
    <xf numFmtId="0" fontId="0" fillId="0" borderId="1" xfId="0" applyBorder="1" applyAlignment="1">
      <alignment horizontal="center" wrapText="1"/>
    </xf>
    <xf numFmtId="0" fontId="0" fillId="0" borderId="2" xfId="0" applyBorder="1" applyAlignment="1">
      <alignment horizontal="center" wrapText="1"/>
    </xf>
    <xf numFmtId="0" fontId="10" fillId="0" borderId="3" xfId="3" applyFont="1" applyBorder="1" applyAlignment="1">
      <alignment horizontal="center"/>
    </xf>
    <xf numFmtId="0" fontId="11" fillId="5" borderId="3" xfId="3" applyFont="1" applyFill="1" applyBorder="1" applyAlignment="1">
      <alignment horizontal="center" vertical="center" wrapText="1"/>
    </xf>
    <xf numFmtId="0" fontId="11" fillId="6" borderId="3" xfId="0" applyFont="1" applyFill="1" applyBorder="1" applyAlignment="1">
      <alignment horizontal="center" vertical="center"/>
    </xf>
    <xf numFmtId="10" fontId="13" fillId="7" borderId="3" xfId="2" applyNumberFormat="1" applyFont="1" applyFill="1" applyBorder="1" applyAlignment="1" applyProtection="1">
      <alignment horizontal="center" vertical="center"/>
      <protection locked="0"/>
    </xf>
    <xf numFmtId="167" fontId="15" fillId="9" borderId="3" xfId="0" applyNumberFormat="1" applyFont="1" applyFill="1" applyBorder="1" applyAlignment="1">
      <alignment horizontal="center"/>
    </xf>
    <xf numFmtId="0" fontId="20" fillId="0" borderId="0" xfId="0" applyFont="1" applyAlignment="1">
      <alignment horizontal="center"/>
    </xf>
    <xf numFmtId="0" fontId="16" fillId="0" borderId="0" xfId="0" applyFont="1" applyAlignment="1">
      <alignment horizontal="center"/>
    </xf>
    <xf numFmtId="0" fontId="2" fillId="0" borderId="0" xfId="0" applyFont="1" applyAlignment="1">
      <alignment horizontal="center"/>
    </xf>
    <xf numFmtId="0" fontId="17" fillId="0" borderId="3" xfId="0" applyFont="1" applyBorder="1" applyAlignment="1">
      <alignment horizontal="center"/>
    </xf>
    <xf numFmtId="9" fontId="18" fillId="10" borderId="3" xfId="0" applyNumberFormat="1" applyFont="1" applyFill="1" applyBorder="1" applyAlignment="1">
      <alignment horizontal="center"/>
    </xf>
    <xf numFmtId="0" fontId="59" fillId="2" borderId="0" xfId="0" applyFont="1" applyFill="1" applyAlignment="1">
      <alignment horizontal="center"/>
    </xf>
    <xf numFmtId="0" fontId="0" fillId="0" borderId="2" xfId="0" applyBorder="1" applyAlignment="1">
      <alignment horizontal="center"/>
    </xf>
    <xf numFmtId="0" fontId="10" fillId="2" borderId="38" xfId="3" applyFont="1" applyFill="1" applyBorder="1" applyAlignment="1">
      <alignment horizontal="center" vertical="center"/>
    </xf>
    <xf numFmtId="0" fontId="10" fillId="2" borderId="39" xfId="3" applyFont="1" applyFill="1" applyBorder="1" applyAlignment="1">
      <alignment horizontal="center" vertical="center"/>
    </xf>
    <xf numFmtId="0" fontId="10" fillId="2" borderId="40" xfId="3" applyFont="1" applyFill="1" applyBorder="1" applyAlignment="1">
      <alignment horizontal="center" vertical="center"/>
    </xf>
    <xf numFmtId="0" fontId="56" fillId="0" borderId="53" xfId="0" applyFont="1" applyBorder="1" applyAlignment="1">
      <alignment horizontal="left" vertical="center" wrapText="1"/>
    </xf>
    <xf numFmtId="0" fontId="30" fillId="0" borderId="53" xfId="0" applyFont="1" applyBorder="1" applyAlignment="1">
      <alignment horizontal="left" vertical="center" wrapText="1"/>
    </xf>
    <xf numFmtId="0" fontId="33" fillId="0" borderId="13" xfId="0" applyFont="1" applyBorder="1" applyAlignment="1">
      <alignment horizontal="center" vertical="center" wrapText="1"/>
    </xf>
    <xf numFmtId="0" fontId="32" fillId="0" borderId="29" xfId="0" applyFont="1" applyBorder="1" applyAlignment="1">
      <alignment horizontal="center" vertical="center" wrapText="1"/>
    </xf>
    <xf numFmtId="0" fontId="2" fillId="0" borderId="21" xfId="0" applyFont="1" applyBorder="1" applyAlignment="1">
      <alignment horizontal="right"/>
    </xf>
    <xf numFmtId="0" fontId="2" fillId="0" borderId="22" xfId="0" applyFont="1" applyBorder="1" applyAlignment="1">
      <alignment horizontal="right"/>
    </xf>
    <xf numFmtId="0" fontId="2" fillId="0" borderId="23" xfId="0" applyFont="1" applyBorder="1" applyAlignment="1">
      <alignment horizontal="right"/>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28" fillId="0" borderId="14" xfId="0" applyFont="1" applyBorder="1" applyAlignment="1">
      <alignment horizontal="right" vertical="center"/>
    </xf>
    <xf numFmtId="0" fontId="28" fillId="0" borderId="15" xfId="0" applyFont="1" applyBorder="1" applyAlignment="1">
      <alignment horizontal="right" vertical="center"/>
    </xf>
    <xf numFmtId="0" fontId="28" fillId="0" borderId="16" xfId="0" applyFont="1" applyBorder="1" applyAlignment="1">
      <alignment horizontal="right" vertical="center"/>
    </xf>
    <xf numFmtId="0" fontId="24" fillId="11" borderId="14" xfId="0" applyFont="1" applyFill="1" applyBorder="1" applyAlignment="1">
      <alignment horizontal="center" vertical="center"/>
    </xf>
    <xf numFmtId="0" fontId="24" fillId="11" borderId="15" xfId="0" applyFont="1" applyFill="1" applyBorder="1" applyAlignment="1">
      <alignment horizontal="center" vertical="center"/>
    </xf>
    <xf numFmtId="0" fontId="24" fillId="11" borderId="25" xfId="0" applyFont="1" applyFill="1" applyBorder="1" applyAlignment="1">
      <alignment horizontal="center" vertical="center"/>
    </xf>
    <xf numFmtId="0" fontId="28" fillId="0" borderId="26" xfId="0" applyFont="1" applyBorder="1" applyAlignment="1">
      <alignment horizontal="right" vertical="center"/>
    </xf>
    <xf numFmtId="0" fontId="28" fillId="0" borderId="27" xfId="0" applyFont="1" applyBorder="1" applyAlignment="1">
      <alignment horizontal="right" vertical="center"/>
    </xf>
    <xf numFmtId="0" fontId="28" fillId="0" borderId="28" xfId="0" applyFont="1" applyBorder="1" applyAlignment="1">
      <alignment horizontal="right" vertical="center"/>
    </xf>
    <xf numFmtId="0" fontId="44" fillId="11" borderId="14" xfId="0" applyFont="1" applyFill="1" applyBorder="1" applyAlignment="1">
      <alignment horizontal="center" vertical="center" wrapText="1"/>
    </xf>
    <xf numFmtId="0" fontId="44" fillId="11" borderId="15" xfId="0" applyFont="1" applyFill="1" applyBorder="1" applyAlignment="1">
      <alignment horizontal="center" vertical="center" wrapText="1"/>
    </xf>
    <xf numFmtId="0" fontId="44" fillId="11" borderId="16" xfId="0" applyFont="1" applyFill="1" applyBorder="1" applyAlignment="1">
      <alignment horizontal="center" vertical="center" wrapText="1"/>
    </xf>
    <xf numFmtId="0" fontId="48" fillId="0" borderId="14" xfId="0" applyFont="1" applyBorder="1" applyAlignment="1">
      <alignment horizontal="right" vertical="center"/>
    </xf>
    <xf numFmtId="0" fontId="48" fillId="0" borderId="15" xfId="0" applyFont="1" applyBorder="1" applyAlignment="1">
      <alignment horizontal="right" vertical="center"/>
    </xf>
    <xf numFmtId="0" fontId="48" fillId="0" borderId="16" xfId="0" applyFont="1" applyBorder="1" applyAlignment="1">
      <alignment horizontal="right" vertical="center"/>
    </xf>
    <xf numFmtId="172" fontId="13" fillId="2" borderId="31" xfId="2" applyNumberFormat="1" applyFont="1" applyFill="1" applyBorder="1" applyAlignment="1" applyProtection="1">
      <alignment horizontal="center" vertical="center"/>
      <protection locked="0"/>
    </xf>
    <xf numFmtId="172" fontId="13" fillId="2" borderId="34" xfId="2" applyNumberFormat="1" applyFont="1" applyFill="1" applyBorder="1" applyAlignment="1" applyProtection="1">
      <alignment horizontal="center" vertical="center"/>
      <protection locked="0"/>
    </xf>
    <xf numFmtId="172" fontId="13" fillId="2" borderId="33" xfId="2" applyNumberFormat="1" applyFont="1" applyFill="1" applyBorder="1" applyAlignment="1" applyProtection="1">
      <alignment horizontal="center" vertical="center"/>
      <protection locked="0"/>
    </xf>
    <xf numFmtId="0" fontId="32" fillId="0" borderId="29" xfId="0" applyFont="1" applyBorder="1" applyAlignment="1">
      <alignment horizontal="left" vertical="center" wrapText="1"/>
    </xf>
    <xf numFmtId="0" fontId="10" fillId="3" borderId="3" xfId="3" applyFont="1" applyFill="1" applyBorder="1" applyAlignment="1">
      <alignment horizontal="center" vertical="center"/>
    </xf>
    <xf numFmtId="0" fontId="10" fillId="3" borderId="31" xfId="3" applyFont="1" applyFill="1" applyBorder="1" applyAlignment="1">
      <alignment horizontal="center" vertical="center"/>
    </xf>
    <xf numFmtId="0" fontId="10" fillId="3" borderId="34" xfId="3" applyFont="1" applyFill="1" applyBorder="1" applyAlignment="1">
      <alignment horizontal="center" vertical="center"/>
    </xf>
    <xf numFmtId="0" fontId="10" fillId="3" borderId="33" xfId="3" applyFont="1" applyFill="1" applyBorder="1" applyAlignment="1">
      <alignment horizontal="center" vertical="center"/>
    </xf>
    <xf numFmtId="0" fontId="10" fillId="3" borderId="38" xfId="3" applyFont="1" applyFill="1" applyBorder="1" applyAlignment="1">
      <alignment horizontal="center"/>
    </xf>
    <xf numFmtId="0" fontId="10" fillId="3" borderId="39" xfId="3" applyFont="1" applyFill="1" applyBorder="1" applyAlignment="1">
      <alignment horizontal="center"/>
    </xf>
    <xf numFmtId="0" fontId="10" fillId="3" borderId="40" xfId="3" applyFont="1" applyFill="1" applyBorder="1" applyAlignment="1">
      <alignment horizontal="center"/>
    </xf>
    <xf numFmtId="0" fontId="30" fillId="0" borderId="0" xfId="0" applyFont="1" applyAlignment="1">
      <alignment horizontal="left" vertical="center" wrapText="1"/>
    </xf>
    <xf numFmtId="0" fontId="56" fillId="0" borderId="54" xfId="0" applyFont="1" applyBorder="1" applyAlignment="1">
      <alignment horizontal="left" vertical="center" wrapText="1"/>
    </xf>
    <xf numFmtId="0" fontId="30" fillId="0" borderId="29" xfId="0" applyFont="1" applyBorder="1" applyAlignment="1">
      <alignment horizontal="left" vertical="center" wrapText="1"/>
    </xf>
    <xf numFmtId="0" fontId="44" fillId="11" borderId="14" xfId="0" applyFont="1" applyFill="1" applyBorder="1" applyAlignment="1">
      <alignment horizontal="center" vertical="center"/>
    </xf>
    <xf numFmtId="0" fontId="44" fillId="11" borderId="15" xfId="0" applyFont="1" applyFill="1" applyBorder="1" applyAlignment="1">
      <alignment horizontal="center" vertical="center"/>
    </xf>
    <xf numFmtId="0" fontId="44" fillId="11" borderId="25" xfId="0" applyFont="1" applyFill="1" applyBorder="1" applyAlignment="1">
      <alignment horizontal="center" vertical="center"/>
    </xf>
    <xf numFmtId="0" fontId="48" fillId="0" borderId="26" xfId="0" applyFont="1" applyBorder="1" applyAlignment="1">
      <alignment horizontal="right" vertical="center"/>
    </xf>
    <xf numFmtId="0" fontId="48" fillId="0" borderId="27" xfId="0" applyFont="1" applyBorder="1" applyAlignment="1">
      <alignment horizontal="right" vertical="center"/>
    </xf>
    <xf numFmtId="0" fontId="48" fillId="0" borderId="28" xfId="0" applyFont="1" applyBorder="1" applyAlignment="1">
      <alignment horizontal="right" vertical="center"/>
    </xf>
    <xf numFmtId="0" fontId="51" fillId="14" borderId="3" xfId="5" applyFont="1" applyFill="1" applyBorder="1" applyAlignment="1">
      <alignment horizontal="center" vertical="center"/>
    </xf>
  </cellXfs>
  <cellStyles count="6">
    <cellStyle name="Moneda" xfId="1" builtinId="4"/>
    <cellStyle name="Moneda [0] 3" xfId="4" xr:uid="{00000000-0005-0000-0000-000001000000}"/>
    <cellStyle name="Normal" xfId="0" builtinId="0"/>
    <cellStyle name="Normal 2" xfId="3" xr:uid="{00000000-0005-0000-0000-000003000000}"/>
    <cellStyle name="Normal 3" xfId="5" xr:uid="{00000000-0005-0000-0000-000004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s/dmartinez/OneDrive%20-%20INDEPORTES%20ANTIOQUIA/Documentos/2024/GCO/PROCESOS/ADMINISTRATIVA/PERSONAL%20DE%20ASEO/PARA%20REVISAR/Consolidado%20cotizaciones_estudio%20de%20Mercado%20Aseo.xlsx" TargetMode="External"/><Relationship Id="rId2" Type="http://schemas.microsoft.com/office/2019/04/relationships/externalLinkLongPath" Target="/Users/dmartinez/OneDrive%20-%20INDEPORTES%20ANTIOQUIA/Documentos/2024/GCO/PROCESOS/ADMINISTRATIVA/PERSONAL%20DE%20ASEO/PARA%20REVISAR/Consolidado%20cotizaciones_estudio%20de%20Mercado%20Aseo.xlsx?F09948EC" TargetMode="External"/><Relationship Id="rId1" Type="http://schemas.openxmlformats.org/officeDocument/2006/relationships/externalLinkPath" Target="file:///\\F09948EC\Consolidado%20cotizaciones_estudio%20de%20Mercado%20Aseo.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ers/dmartinez/OneDrive%20-%20INDEPORTES%20ANTIOQUIA/Documentos/2024/GCO/PROCESOS/ADMINISTRATIVA/PERSONAL%20DE%20ASEO/PARA%20REVISAR/Cotizaciones%20recibidas/Asear/PRESUPUESTO%207%20MESES%20JUN-DIC_2024%20INDEPORTES.xlsx" TargetMode="External"/><Relationship Id="rId2" Type="http://schemas.microsoft.com/office/2019/04/relationships/externalLinkLongPath" Target="/Users/dmartinez/OneDrive%20-%20INDEPORTES%20ANTIOQUIA/Documentos/2024/GCO/PROCESOS/ADMINISTRATIVA/PERSONAL%20DE%20ASEO/PARA%20REVISAR/Cotizaciones%20recibidas/Asear/PRESUPUESTO%207%20MESES%20JUN-DIC_2024%20INDEPORTES.xlsx?1AE100F2" TargetMode="External"/><Relationship Id="rId1" Type="http://schemas.openxmlformats.org/officeDocument/2006/relationships/externalLinkPath" Target="file:///\\1AE100F2\PRESUPUESTO%207%20MESES%20JUN-DIC_2024%20INDEPOR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oveedor 1-Asear"/>
      <sheetName val="Proveedor 2- Seiso"/>
      <sheetName val="Proveedor 3 - GrupoColba"/>
      <sheetName val="Promedios"/>
      <sheetName val="Estudio mercado"/>
    </sheetNames>
    <sheetDataSet>
      <sheetData sheetId="0">
        <row r="25">
          <cell r="B25">
            <v>1442223</v>
          </cell>
          <cell r="C25">
            <v>1513724</v>
          </cell>
        </row>
        <row r="55">
          <cell r="B55">
            <v>2500000</v>
          </cell>
        </row>
        <row r="67">
          <cell r="H67">
            <v>0.1</v>
          </cell>
          <cell r="I67">
            <v>0</v>
          </cell>
          <cell r="J67">
            <v>0</v>
          </cell>
        </row>
        <row r="68">
          <cell r="H68">
            <v>0.1</v>
          </cell>
          <cell r="I68">
            <v>0</v>
          </cell>
          <cell r="J68">
            <v>0</v>
          </cell>
        </row>
        <row r="69">
          <cell r="H69">
            <v>0.1</v>
          </cell>
          <cell r="I69">
            <v>0</v>
          </cell>
          <cell r="J69">
            <v>0</v>
          </cell>
        </row>
      </sheetData>
      <sheetData sheetId="1">
        <row r="25">
          <cell r="B25">
            <v>1300000</v>
          </cell>
          <cell r="C25">
            <v>1950000</v>
          </cell>
        </row>
        <row r="55">
          <cell r="B55">
            <v>7500000</v>
          </cell>
        </row>
        <row r="67">
          <cell r="H67">
            <v>0.15</v>
          </cell>
          <cell r="I67">
            <v>0</v>
          </cell>
          <cell r="J67">
            <v>0</v>
          </cell>
        </row>
        <row r="68">
          <cell r="H68">
            <v>0.15</v>
          </cell>
          <cell r="I68">
            <v>0</v>
          </cell>
          <cell r="J68">
            <v>0</v>
          </cell>
        </row>
        <row r="69">
          <cell r="H69">
            <v>0.15</v>
          </cell>
          <cell r="I69">
            <v>0</v>
          </cell>
          <cell r="J69">
            <v>0</v>
          </cell>
        </row>
      </sheetData>
      <sheetData sheetId="2">
        <row r="25">
          <cell r="B25">
            <v>1300000</v>
          </cell>
          <cell r="C25">
            <v>1300000</v>
          </cell>
        </row>
        <row r="67">
          <cell r="H67">
            <v>0.1</v>
          </cell>
          <cell r="I67">
            <v>0</v>
          </cell>
          <cell r="J67">
            <v>0</v>
          </cell>
        </row>
        <row r="68">
          <cell r="H68">
            <v>0.1</v>
          </cell>
          <cell r="I68">
            <v>0</v>
          </cell>
          <cell r="J68">
            <v>0</v>
          </cell>
        </row>
        <row r="69">
          <cell r="H69">
            <v>0.1</v>
          </cell>
          <cell r="I69">
            <v>0</v>
          </cell>
          <cell r="J69">
            <v>0</v>
          </cell>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E 7 meses"/>
      <sheetName val="DOTACION"/>
    </sheetNames>
    <sheetDataSet>
      <sheetData sheetId="0"/>
      <sheetData sheetId="1">
        <row r="33">
          <cell r="D33">
            <v>11150848</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0"/>
  <sheetViews>
    <sheetView topLeftCell="A34" workbookViewId="0">
      <selection activeCell="A71" sqref="A71:G71"/>
    </sheetView>
  </sheetViews>
  <sheetFormatPr defaultColWidth="11.42578125" defaultRowHeight="15"/>
  <cols>
    <col min="1" max="1" width="40" style="2" customWidth="1"/>
    <col min="2" max="2" width="18.42578125" customWidth="1"/>
    <col min="3" max="3" width="16" customWidth="1"/>
    <col min="4" max="4" width="24.85546875" customWidth="1"/>
    <col min="5" max="5" width="21.42578125" bestFit="1" customWidth="1"/>
    <col min="6" max="6" width="18.7109375" customWidth="1"/>
    <col min="7" max="7" width="18.5703125" customWidth="1"/>
    <col min="8" max="8" width="16.42578125" bestFit="1" customWidth="1"/>
    <col min="9" max="9" width="18.5703125" bestFit="1" customWidth="1"/>
    <col min="10" max="10" width="8.7109375" customWidth="1"/>
    <col min="11" max="11" width="22" customWidth="1"/>
    <col min="12" max="12" width="18.5703125" customWidth="1"/>
    <col min="13" max="13" width="14" style="1" customWidth="1"/>
    <col min="14" max="14" width="22" bestFit="1" customWidth="1"/>
    <col min="15" max="15" width="21.5703125" customWidth="1"/>
    <col min="16" max="16" width="13.5703125" bestFit="1" customWidth="1"/>
    <col min="17" max="17" width="15.140625" bestFit="1" customWidth="1"/>
  </cols>
  <sheetData>
    <row r="1" spans="1:16" ht="27" customHeight="1">
      <c r="A1" s="279" t="s">
        <v>0</v>
      </c>
      <c r="B1" s="279"/>
      <c r="C1" s="279"/>
      <c r="D1" s="279"/>
      <c r="E1" s="279"/>
      <c r="F1" s="279"/>
      <c r="G1" s="279"/>
    </row>
    <row r="2" spans="1:16" ht="37.5" customHeight="1">
      <c r="A2" s="280" t="s">
        <v>1</v>
      </c>
      <c r="B2" s="281"/>
      <c r="C2" s="281"/>
      <c r="D2" s="281"/>
      <c r="E2" s="281"/>
      <c r="F2" s="281"/>
      <c r="G2" s="281"/>
      <c r="H2" s="2"/>
      <c r="I2" s="2"/>
      <c r="J2" s="2"/>
      <c r="K2" s="2"/>
      <c r="L2" s="2"/>
      <c r="M2" s="2"/>
      <c r="N2" s="2"/>
      <c r="O2" s="2"/>
      <c r="P2" s="2"/>
    </row>
    <row r="3" spans="1:16" ht="32.25" customHeight="1">
      <c r="A3" s="3" t="s">
        <v>2</v>
      </c>
      <c r="B3" s="4" t="s">
        <v>3</v>
      </c>
      <c r="C3" s="4" t="s">
        <v>4</v>
      </c>
      <c r="D3" s="4" t="s">
        <v>5</v>
      </c>
      <c r="E3" s="4" t="s">
        <v>6</v>
      </c>
      <c r="F3" s="4" t="s">
        <v>7</v>
      </c>
      <c r="G3" s="4" t="s">
        <v>8</v>
      </c>
      <c r="H3" s="5"/>
      <c r="I3" s="5"/>
      <c r="J3" s="5"/>
      <c r="K3" s="5"/>
      <c r="M3"/>
    </row>
    <row r="4" spans="1:16">
      <c r="A4" s="6" t="s">
        <v>9</v>
      </c>
      <c r="B4" s="7"/>
      <c r="C4" s="7"/>
      <c r="D4" s="7"/>
      <c r="E4" s="7"/>
      <c r="F4" s="7"/>
      <c r="G4" s="7"/>
      <c r="H4" s="8"/>
      <c r="I4" s="8"/>
      <c r="J4" s="8"/>
      <c r="K4" s="8"/>
      <c r="M4"/>
    </row>
    <row r="5" spans="1:16">
      <c r="A5" s="9" t="s">
        <v>10</v>
      </c>
      <c r="B5" s="10">
        <f>47/5</f>
        <v>9.4</v>
      </c>
      <c r="C5" s="10">
        <v>5</v>
      </c>
      <c r="D5" s="10">
        <v>0</v>
      </c>
      <c r="E5" s="10">
        <v>0</v>
      </c>
      <c r="F5" s="10">
        <f>47*8</f>
        <v>376</v>
      </c>
      <c r="G5" s="10">
        <v>8</v>
      </c>
      <c r="H5" s="11"/>
      <c r="I5" s="12"/>
      <c r="J5" s="11"/>
      <c r="K5" s="13"/>
      <c r="M5"/>
    </row>
    <row r="6" spans="1:16">
      <c r="A6" s="9" t="s">
        <v>11</v>
      </c>
      <c r="B6" s="10">
        <f>47/5</f>
        <v>9.4</v>
      </c>
      <c r="C6" s="10">
        <v>5</v>
      </c>
      <c r="D6" s="10">
        <v>0</v>
      </c>
      <c r="E6" s="10">
        <v>0</v>
      </c>
      <c r="F6" s="10">
        <f>47*2</f>
        <v>94</v>
      </c>
      <c r="G6" s="10">
        <v>2</v>
      </c>
      <c r="H6" s="11"/>
      <c r="I6" s="12"/>
      <c r="J6" s="11"/>
      <c r="K6" s="13"/>
      <c r="M6"/>
    </row>
    <row r="7" spans="1:16">
      <c r="A7" s="2" t="s">
        <v>12</v>
      </c>
      <c r="B7" s="14">
        <f>47/5</f>
        <v>9.4</v>
      </c>
      <c r="C7" s="1">
        <v>5</v>
      </c>
      <c r="D7" s="1">
        <v>0</v>
      </c>
      <c r="E7" s="1">
        <v>0</v>
      </c>
      <c r="F7" s="10">
        <v>47</v>
      </c>
      <c r="G7" s="10">
        <v>1</v>
      </c>
      <c r="H7" s="15"/>
      <c r="I7" s="12"/>
      <c r="J7" s="11"/>
      <c r="K7" s="16"/>
      <c r="M7"/>
    </row>
    <row r="8" spans="1:16">
      <c r="A8" s="6" t="s">
        <v>13</v>
      </c>
      <c r="B8" s="7"/>
      <c r="C8" s="7"/>
      <c r="D8" s="7"/>
      <c r="E8" s="7"/>
      <c r="F8" s="7"/>
      <c r="G8" s="7"/>
      <c r="H8" s="15"/>
      <c r="I8" s="17"/>
      <c r="J8" s="11"/>
      <c r="K8" s="18"/>
      <c r="M8"/>
    </row>
    <row r="9" spans="1:16">
      <c r="A9" s="9" t="s">
        <v>14</v>
      </c>
      <c r="B9" s="14">
        <f>47/6</f>
        <v>7.833333333333333</v>
      </c>
      <c r="C9" s="10">
        <v>6</v>
      </c>
      <c r="D9" s="10">
        <v>0</v>
      </c>
      <c r="E9" s="10">
        <v>0</v>
      </c>
      <c r="F9" s="10">
        <f>47*4</f>
        <v>188</v>
      </c>
      <c r="G9" s="10">
        <v>4</v>
      </c>
      <c r="H9" s="15"/>
      <c r="I9" s="12"/>
      <c r="J9" s="11"/>
      <c r="K9" s="12"/>
      <c r="M9"/>
    </row>
    <row r="10" spans="1:16">
      <c r="A10" s="9" t="s">
        <v>15</v>
      </c>
      <c r="B10" s="10">
        <v>0</v>
      </c>
      <c r="C10" s="10">
        <v>0</v>
      </c>
      <c r="D10" s="10">
        <v>7</v>
      </c>
      <c r="E10" s="10">
        <v>1</v>
      </c>
      <c r="F10" s="10">
        <f>D10</f>
        <v>7</v>
      </c>
      <c r="G10" s="19"/>
      <c r="H10" s="15"/>
      <c r="I10" s="12"/>
      <c r="J10" s="11"/>
      <c r="K10" s="12"/>
      <c r="M10"/>
    </row>
    <row r="11" spans="1:16">
      <c r="A11" s="9" t="s">
        <v>11</v>
      </c>
      <c r="B11" s="14">
        <f>47/6</f>
        <v>7.833333333333333</v>
      </c>
      <c r="C11" s="10">
        <v>6</v>
      </c>
      <c r="D11" s="10">
        <v>0</v>
      </c>
      <c r="E11" s="10">
        <v>0</v>
      </c>
      <c r="F11" s="10">
        <f>47*2</f>
        <v>94</v>
      </c>
      <c r="G11" s="10">
        <v>2</v>
      </c>
      <c r="H11" s="15"/>
      <c r="I11" s="12"/>
      <c r="J11" s="11"/>
      <c r="K11" s="12"/>
      <c r="M11"/>
    </row>
    <row r="12" spans="1:16" s="15" customFormat="1">
      <c r="A12" s="6" t="s">
        <v>16</v>
      </c>
      <c r="B12" s="7"/>
      <c r="C12" s="7"/>
      <c r="D12" s="7"/>
      <c r="E12" s="7"/>
      <c r="F12" s="7"/>
      <c r="G12" s="7"/>
      <c r="H12" s="11"/>
      <c r="I12" s="12"/>
      <c r="J12" s="11"/>
      <c r="K12" s="12"/>
      <c r="L12"/>
    </row>
    <row r="13" spans="1:16">
      <c r="A13" s="9" t="s">
        <v>14</v>
      </c>
      <c r="B13" s="14">
        <f>47/6</f>
        <v>7.833333333333333</v>
      </c>
      <c r="C13" s="10">
        <v>6</v>
      </c>
      <c r="D13" s="10">
        <v>0</v>
      </c>
      <c r="E13" s="10">
        <v>0</v>
      </c>
      <c r="F13" s="10">
        <f>47*2</f>
        <v>94</v>
      </c>
      <c r="G13" s="10">
        <v>2</v>
      </c>
      <c r="H13" s="11"/>
      <c r="I13" s="12"/>
      <c r="J13" s="11"/>
      <c r="K13" s="12"/>
      <c r="M13"/>
      <c r="N13" s="20"/>
    </row>
    <row r="14" spans="1:16" ht="18.75">
      <c r="A14" s="9" t="s">
        <v>15</v>
      </c>
      <c r="B14" s="10">
        <v>0</v>
      </c>
      <c r="C14" s="10">
        <v>0</v>
      </c>
      <c r="D14" s="10">
        <v>7</v>
      </c>
      <c r="E14" s="10">
        <v>1</v>
      </c>
      <c r="F14" s="10">
        <f>D14</f>
        <v>7</v>
      </c>
      <c r="G14" s="21"/>
      <c r="H14" s="15"/>
      <c r="I14" s="12"/>
      <c r="J14" s="11"/>
      <c r="K14" s="12"/>
      <c r="M14"/>
      <c r="N14" s="22"/>
    </row>
    <row r="15" spans="1:16">
      <c r="A15" s="9" t="s">
        <v>11</v>
      </c>
      <c r="B15" s="14">
        <f>47/6</f>
        <v>7.833333333333333</v>
      </c>
      <c r="C15" s="10">
        <v>6</v>
      </c>
      <c r="D15" s="10">
        <v>0</v>
      </c>
      <c r="E15" s="10">
        <v>0</v>
      </c>
      <c r="F15" s="10">
        <f>47</f>
        <v>47</v>
      </c>
      <c r="G15" s="10">
        <v>1</v>
      </c>
      <c r="H15" s="15"/>
      <c r="I15" s="12"/>
      <c r="J15" s="11"/>
      <c r="K15" s="12"/>
      <c r="M15"/>
      <c r="N15" s="23"/>
    </row>
    <row r="16" spans="1:16">
      <c r="A16" s="6" t="s">
        <v>17</v>
      </c>
      <c r="B16" s="7"/>
      <c r="C16" s="7"/>
      <c r="D16" s="7"/>
      <c r="E16" s="7"/>
      <c r="F16" s="7"/>
      <c r="G16" s="7"/>
      <c r="H16" s="15"/>
      <c r="I16" s="12"/>
      <c r="J16" s="11"/>
      <c r="K16" s="12"/>
      <c r="M16"/>
      <c r="N16" s="23"/>
    </row>
    <row r="17" spans="1:16">
      <c r="A17" s="9" t="s">
        <v>11</v>
      </c>
      <c r="B17" s="14">
        <f>47/6</f>
        <v>7.833333333333333</v>
      </c>
      <c r="C17" s="10">
        <v>6</v>
      </c>
      <c r="D17" s="10">
        <v>0</v>
      </c>
      <c r="E17" s="10">
        <v>0</v>
      </c>
      <c r="F17" s="10">
        <f>47</f>
        <v>47</v>
      </c>
      <c r="G17" s="10">
        <v>1</v>
      </c>
      <c r="H17" s="24"/>
      <c r="I17" s="12"/>
      <c r="J17" s="25"/>
      <c r="K17" s="12"/>
      <c r="M17"/>
    </row>
    <row r="18" spans="1:16">
      <c r="A18" s="9" t="s">
        <v>10</v>
      </c>
      <c r="B18" s="14">
        <f>47/6</f>
        <v>7.833333333333333</v>
      </c>
      <c r="C18" s="10">
        <v>6</v>
      </c>
      <c r="D18" s="10">
        <v>0</v>
      </c>
      <c r="E18" s="10">
        <v>0</v>
      </c>
      <c r="F18" s="10">
        <f>47</f>
        <v>47</v>
      </c>
      <c r="G18" s="10">
        <v>1</v>
      </c>
      <c r="H18" s="26"/>
      <c r="I18" s="17"/>
      <c r="J18" s="11"/>
      <c r="K18" s="17"/>
      <c r="M18"/>
    </row>
    <row r="19" spans="1:16">
      <c r="A19" s="6" t="s">
        <v>18</v>
      </c>
      <c r="B19" s="7"/>
      <c r="C19" s="7"/>
      <c r="D19" s="7"/>
      <c r="E19" s="7"/>
      <c r="F19" s="7"/>
      <c r="G19" s="7"/>
      <c r="H19" s="26"/>
      <c r="I19" s="18"/>
      <c r="J19" s="27"/>
      <c r="K19" s="18"/>
      <c r="M19"/>
    </row>
    <row r="20" spans="1:16">
      <c r="A20" s="9" t="s">
        <v>10</v>
      </c>
      <c r="B20" s="14">
        <f>47/6</f>
        <v>7.833333333333333</v>
      </c>
      <c r="C20" s="10">
        <v>6</v>
      </c>
      <c r="D20" s="10">
        <v>0</v>
      </c>
      <c r="E20" s="10">
        <v>0</v>
      </c>
      <c r="F20" s="10">
        <f>47</f>
        <v>47</v>
      </c>
      <c r="G20" s="10">
        <v>1</v>
      </c>
      <c r="M20"/>
    </row>
    <row r="21" spans="1:16">
      <c r="A21" s="6" t="s">
        <v>19</v>
      </c>
      <c r="B21" s="28"/>
      <c r="C21" s="29"/>
      <c r="D21" s="7"/>
      <c r="E21" s="7"/>
      <c r="F21" s="29"/>
      <c r="G21" s="30">
        <f>G5+G6+G7+G9+G11+G13+G15+G17+G18+G20</f>
        <v>23</v>
      </c>
      <c r="H21" s="8"/>
      <c r="I21" s="8"/>
      <c r="J21" s="8"/>
      <c r="K21" s="8"/>
      <c r="M21"/>
      <c r="P21" s="31"/>
    </row>
    <row r="22" spans="1:16" ht="15.75" thickBot="1">
      <c r="H22" s="15"/>
      <c r="I22" s="17"/>
      <c r="J22" s="11"/>
      <c r="K22" s="18"/>
      <c r="M22"/>
    </row>
    <row r="23" spans="1:16" ht="56.25" customHeight="1">
      <c r="A23" s="32" t="s">
        <v>20</v>
      </c>
      <c r="B23" s="33" t="s">
        <v>21</v>
      </c>
      <c r="C23" s="34" t="s">
        <v>22</v>
      </c>
      <c r="M23"/>
    </row>
    <row r="24" spans="1:16">
      <c r="A24" s="35" t="s">
        <v>23</v>
      </c>
      <c r="B24" s="36" t="s">
        <v>24</v>
      </c>
      <c r="C24" s="37" t="s">
        <v>24</v>
      </c>
      <c r="M24"/>
    </row>
    <row r="25" spans="1:16" ht="25.5">
      <c r="A25" s="38" t="s">
        <v>25</v>
      </c>
      <c r="B25" s="73">
        <f>AVERAGE('[1]Proveedor 1-Asear'!B25,'[1]Proveedor 2- Seiso'!B25,'[1]Proveedor 3 - GrupoColba'!B25)</f>
        <v>1347407.6666666667</v>
      </c>
      <c r="C25" s="74">
        <f>AVERAGE('[1]Proveedor 1-Asear'!C25,'[1]Proveedor 2- Seiso'!C25,'[1]Proveedor 3 - GrupoColba'!C25)</f>
        <v>1587908</v>
      </c>
      <c r="D25" s="41" t="s">
        <v>26</v>
      </c>
      <c r="E25" s="79"/>
      <c r="F25" s="78"/>
      <c r="G25" s="80"/>
      <c r="H25" s="81"/>
      <c r="I25" s="42"/>
      <c r="K25" s="82"/>
      <c r="M25"/>
    </row>
    <row r="26" spans="1:16">
      <c r="A26" s="43" t="s">
        <v>27</v>
      </c>
      <c r="B26" s="39">
        <v>162000</v>
      </c>
      <c r="C26" s="40">
        <v>162000</v>
      </c>
      <c r="D26" s="41" t="s">
        <v>28</v>
      </c>
      <c r="M26"/>
    </row>
    <row r="27" spans="1:16">
      <c r="A27" s="43" t="s">
        <v>29</v>
      </c>
      <c r="B27" s="44">
        <f>SUM(B25:B26)</f>
        <v>1509407.6666666667</v>
      </c>
      <c r="C27" s="45">
        <f>SUM(C25:C26)</f>
        <v>1749908</v>
      </c>
      <c r="M27"/>
    </row>
    <row r="28" spans="1:16">
      <c r="A28" s="43" t="s">
        <v>30</v>
      </c>
      <c r="B28" s="44">
        <v>0</v>
      </c>
      <c r="C28" s="45">
        <v>0</v>
      </c>
      <c r="M28"/>
    </row>
    <row r="29" spans="1:16">
      <c r="A29" s="43" t="s">
        <v>31</v>
      </c>
      <c r="B29" s="44">
        <f>B25*12%</f>
        <v>161688.92000000001</v>
      </c>
      <c r="C29" s="45">
        <f>C25*12%</f>
        <v>190548.96</v>
      </c>
      <c r="M29"/>
    </row>
    <row r="30" spans="1:16" ht="26.25">
      <c r="A30" s="43" t="s">
        <v>32</v>
      </c>
      <c r="B30" s="44">
        <f>B25*1.044%</f>
        <v>14066.936040000001</v>
      </c>
      <c r="C30" s="45">
        <f>C25*6.96%</f>
        <v>110518.39679999999</v>
      </c>
      <c r="M30"/>
    </row>
    <row r="31" spans="1:16" ht="26.25">
      <c r="A31" s="43" t="s">
        <v>33</v>
      </c>
      <c r="B31" s="44">
        <f>B25*4%</f>
        <v>53896.306666666671</v>
      </c>
      <c r="C31" s="45">
        <f>C25*4%</f>
        <v>63516.32</v>
      </c>
      <c r="M31"/>
    </row>
    <row r="32" spans="1:16">
      <c r="A32" s="43" t="s">
        <v>34</v>
      </c>
      <c r="B32" s="44"/>
      <c r="C32" s="45"/>
      <c r="M32"/>
    </row>
    <row r="33" spans="1:13">
      <c r="A33" s="43" t="s">
        <v>35</v>
      </c>
      <c r="B33" s="44">
        <f>B25*4.17%</f>
        <v>56186.899700000002</v>
      </c>
      <c r="C33" s="45">
        <f>C25*4.17%</f>
        <v>66215.763600000006</v>
      </c>
      <c r="M33"/>
    </row>
    <row r="34" spans="1:13">
      <c r="A34" s="43" t="s">
        <v>36</v>
      </c>
      <c r="B34" s="44">
        <f>B27*8.33%</f>
        <v>125733.65863333334</v>
      </c>
      <c r="C34" s="45">
        <f>C27*8.33%</f>
        <v>145767.3364</v>
      </c>
      <c r="M34"/>
    </row>
    <row r="35" spans="1:13">
      <c r="A35" s="43" t="s">
        <v>37</v>
      </c>
      <c r="B35" s="44">
        <f>B27*8.33%</f>
        <v>125733.65863333334</v>
      </c>
      <c r="C35" s="45">
        <f>C27*8.33%</f>
        <v>145767.3364</v>
      </c>
      <c r="M35"/>
    </row>
    <row r="36" spans="1:13">
      <c r="A36" s="46" t="s">
        <v>38</v>
      </c>
      <c r="B36" s="44">
        <f>B27*1%</f>
        <v>15094.076666666668</v>
      </c>
      <c r="C36" s="45">
        <f>C27*1%</f>
        <v>17499.080000000002</v>
      </c>
      <c r="M36"/>
    </row>
    <row r="37" spans="1:13">
      <c r="A37" s="47" t="s">
        <v>39</v>
      </c>
      <c r="B37" s="44">
        <f>SUM(B29:B36)</f>
        <v>552400.45634000003</v>
      </c>
      <c r="C37" s="45">
        <f>SUM(C29:C36)</f>
        <v>739833.19319999998</v>
      </c>
      <c r="M37"/>
    </row>
    <row r="38" spans="1:13" ht="15.75" thickBot="1">
      <c r="A38" s="48" t="s">
        <v>40</v>
      </c>
      <c r="B38" s="75">
        <f>B37+B27</f>
        <v>2061808.1230066668</v>
      </c>
      <c r="C38" s="76">
        <f>C37+C27</f>
        <v>2489741.1932000001</v>
      </c>
      <c r="M38"/>
    </row>
    <row r="39" spans="1:13">
      <c r="F39" s="15"/>
      <c r="G39" s="17"/>
      <c r="H39" s="15"/>
      <c r="I39" s="17"/>
      <c r="J39" s="11"/>
      <c r="K39" s="18"/>
      <c r="M39"/>
    </row>
    <row r="43" spans="1:13">
      <c r="A43" s="282" t="s">
        <v>41</v>
      </c>
      <c r="B43" s="282"/>
      <c r="C43" s="282"/>
      <c r="D43" s="282"/>
      <c r="E43" s="282"/>
    </row>
    <row r="44" spans="1:13" ht="25.5">
      <c r="A44" s="49" t="s">
        <v>42</v>
      </c>
      <c r="B44" s="50" t="s">
        <v>43</v>
      </c>
      <c r="C44" s="51" t="s">
        <v>44</v>
      </c>
      <c r="D44" s="51" t="s">
        <v>45</v>
      </c>
      <c r="E44" s="51" t="s">
        <v>46</v>
      </c>
    </row>
    <row r="45" spans="1:13" ht="26.25">
      <c r="A45" s="52" t="s">
        <v>47</v>
      </c>
      <c r="B45" s="53">
        <f>+B38</f>
        <v>2061808.1230066668</v>
      </c>
      <c r="C45" s="54">
        <v>16</v>
      </c>
      <c r="D45" s="55">
        <v>7</v>
      </c>
      <c r="E45" s="56">
        <f>+B45*C45*D45</f>
        <v>230922509.77674669</v>
      </c>
    </row>
    <row r="46" spans="1:13">
      <c r="A46" s="52" t="s">
        <v>48</v>
      </c>
      <c r="B46" s="53">
        <f>+B38</f>
        <v>2061808.1230066668</v>
      </c>
      <c r="C46" s="57">
        <v>1</v>
      </c>
      <c r="D46" s="55">
        <v>7</v>
      </c>
      <c r="E46" s="56">
        <f>+B46*C46*D46</f>
        <v>14432656.861046668</v>
      </c>
    </row>
    <row r="47" spans="1:13">
      <c r="A47" s="9" t="s">
        <v>22</v>
      </c>
      <c r="B47" s="53">
        <f>+C38</f>
        <v>2489741.1932000001</v>
      </c>
      <c r="C47" s="54">
        <v>6</v>
      </c>
      <c r="D47" s="55">
        <v>7</v>
      </c>
      <c r="E47" s="56">
        <f>+B47*C47*D47</f>
        <v>104569130.11440001</v>
      </c>
    </row>
    <row r="48" spans="1:13" ht="26.25">
      <c r="A48" s="52" t="s">
        <v>49</v>
      </c>
      <c r="B48" s="58">
        <v>539894</v>
      </c>
      <c r="C48" s="57">
        <v>1</v>
      </c>
      <c r="D48" s="55">
        <v>7</v>
      </c>
      <c r="E48" s="58">
        <f>+B48*C48*D48</f>
        <v>3779258</v>
      </c>
      <c r="F48" s="68" t="s">
        <v>50</v>
      </c>
    </row>
    <row r="49" spans="1:11">
      <c r="A49" s="9" t="s">
        <v>51</v>
      </c>
      <c r="B49" s="58">
        <f>+[2]DOTACION!D33</f>
        <v>11150848</v>
      </c>
      <c r="C49" s="54">
        <v>1</v>
      </c>
      <c r="D49" s="55">
        <v>2</v>
      </c>
      <c r="E49" s="58">
        <f>+B49*C49*D49</f>
        <v>22301696</v>
      </c>
    </row>
    <row r="50" spans="1:11">
      <c r="A50" s="59" t="s">
        <v>52</v>
      </c>
      <c r="B50" s="60"/>
      <c r="C50" s="59"/>
      <c r="D50" s="59"/>
      <c r="E50" s="61">
        <f>+SUM(E45:E49)</f>
        <v>376005250.75219339</v>
      </c>
    </row>
    <row r="53" spans="1:11">
      <c r="A53" s="282" t="s">
        <v>53</v>
      </c>
      <c r="B53" s="282"/>
      <c r="C53" s="282"/>
      <c r="D53" s="282"/>
      <c r="E53" s="282"/>
    </row>
    <row r="54" spans="1:11">
      <c r="A54" s="49" t="s">
        <v>42</v>
      </c>
      <c r="B54" s="50" t="s">
        <v>54</v>
      </c>
      <c r="C54" s="51" t="s">
        <v>44</v>
      </c>
      <c r="D54" s="51" t="s">
        <v>55</v>
      </c>
      <c r="E54" s="51" t="s">
        <v>46</v>
      </c>
    </row>
    <row r="55" spans="1:11" ht="25.5">
      <c r="A55" s="62" t="s">
        <v>56</v>
      </c>
      <c r="B55" s="58">
        <f>AVERAGE('[1]Proveedor 1-Asear'!B55,'[1]Proveedor 2- Seiso'!B55)</f>
        <v>5000000</v>
      </c>
      <c r="C55" s="57">
        <v>1</v>
      </c>
      <c r="D55" s="57">
        <v>3</v>
      </c>
      <c r="E55" s="56">
        <f>+B55*C55*D55</f>
        <v>15000000</v>
      </c>
      <c r="F55" t="s">
        <v>57</v>
      </c>
    </row>
    <row r="59" spans="1:11" ht="39">
      <c r="D59" s="3" t="s">
        <v>58</v>
      </c>
      <c r="E59" s="60" t="s">
        <v>59</v>
      </c>
    </row>
    <row r="60" spans="1:11">
      <c r="D60" s="59" t="s">
        <v>60</v>
      </c>
      <c r="E60" s="63">
        <v>39026855.83974196</v>
      </c>
      <c r="F60" s="41" t="s">
        <v>61</v>
      </c>
    </row>
    <row r="61" spans="1:11">
      <c r="D61" s="59" t="s">
        <v>46</v>
      </c>
      <c r="E61" s="64">
        <f>E60</f>
        <v>39026855.83974196</v>
      </c>
    </row>
    <row r="64" spans="1:11" ht="17.25">
      <c r="A64" s="283" t="s">
        <v>62</v>
      </c>
      <c r="B64" s="283"/>
      <c r="C64" s="283"/>
      <c r="D64" s="283"/>
      <c r="E64" s="283"/>
      <c r="F64" s="283"/>
      <c r="G64" s="283"/>
      <c r="H64" s="283"/>
      <c r="I64" s="283"/>
      <c r="J64" s="283"/>
      <c r="K64" s="65">
        <f>E50</f>
        <v>376005250.75219339</v>
      </c>
    </row>
    <row r="65" spans="1:13">
      <c r="A65" s="284" t="s">
        <v>63</v>
      </c>
      <c r="B65" s="284"/>
      <c r="C65" s="284"/>
      <c r="D65" s="284"/>
      <c r="E65" s="284"/>
      <c r="F65" s="284"/>
      <c r="G65" s="284"/>
      <c r="H65" s="284"/>
      <c r="I65" s="284"/>
      <c r="J65" s="284"/>
      <c r="K65" s="66">
        <f>E55</f>
        <v>15000000</v>
      </c>
    </row>
    <row r="66" spans="1:13">
      <c r="A66" s="284" t="s">
        <v>64</v>
      </c>
      <c r="B66" s="284"/>
      <c r="C66" s="284"/>
      <c r="D66" s="284"/>
      <c r="E66" s="284"/>
      <c r="F66" s="284"/>
      <c r="G66" s="284"/>
      <c r="H66" s="284"/>
      <c r="I66" s="284"/>
      <c r="J66" s="284"/>
      <c r="K66" s="66">
        <f>E61</f>
        <v>39026855.83974196</v>
      </c>
    </row>
    <row r="67" spans="1:13" s="68" customFormat="1" ht="36">
      <c r="A67" s="277" t="s">
        <v>65</v>
      </c>
      <c r="B67" s="277"/>
      <c r="C67" s="277"/>
      <c r="D67" s="277"/>
      <c r="E67" s="277"/>
      <c r="F67" s="277"/>
      <c r="G67" s="277"/>
      <c r="H67" s="285">
        <f>AVERAGE('[1]Proveedor 1-Asear'!H67:J67,'[1]Proveedor 2- Seiso'!H67:J67,'[1]Proveedor 3 - GrupoColba'!H67:J67)</f>
        <v>3.888888888888889E-2</v>
      </c>
      <c r="I67" s="285"/>
      <c r="J67" s="285"/>
      <c r="K67" s="67">
        <f>+K64*H67</f>
        <v>14622426.418140855</v>
      </c>
      <c r="M67" s="69"/>
    </row>
    <row r="68" spans="1:13" s="68" customFormat="1" ht="36">
      <c r="A68" s="277" t="s">
        <v>66</v>
      </c>
      <c r="B68" s="277"/>
      <c r="C68" s="277"/>
      <c r="D68" s="277"/>
      <c r="E68" s="277"/>
      <c r="F68" s="277"/>
      <c r="G68" s="277"/>
      <c r="H68" s="278">
        <f>AVERAGE('[1]Proveedor 1-Asear'!H68:J68,'[1]Proveedor 2- Seiso'!H68:J68,'[1]Proveedor 3 - GrupoColba'!H68:J68)</f>
        <v>3.888888888888889E-2</v>
      </c>
      <c r="I68" s="278"/>
      <c r="J68" s="278"/>
      <c r="K68" s="67">
        <f>+K65*H68</f>
        <v>583333.33333333337</v>
      </c>
      <c r="M68" s="69"/>
    </row>
    <row r="69" spans="1:13" s="68" customFormat="1" ht="36">
      <c r="A69" s="277" t="s">
        <v>67</v>
      </c>
      <c r="B69" s="277"/>
      <c r="C69" s="277"/>
      <c r="D69" s="277"/>
      <c r="E69" s="277"/>
      <c r="F69" s="277"/>
      <c r="G69" s="277"/>
      <c r="H69" s="278">
        <f>AVERAGE('[1]Proveedor 1-Asear'!H69:J69,'[1]Proveedor 2- Seiso'!H69:J69,'[1]Proveedor 3 - GrupoColba'!H69:J69)</f>
        <v>3.888888888888889E-2</v>
      </c>
      <c r="I69" s="278"/>
      <c r="J69" s="278"/>
      <c r="K69" s="67">
        <f>+K66*H69</f>
        <v>1517711.0604344097</v>
      </c>
      <c r="M69" s="69"/>
    </row>
    <row r="70" spans="1:13" ht="18.75">
      <c r="A70" s="286" t="s">
        <v>68</v>
      </c>
      <c r="B70" s="286"/>
      <c r="C70" s="286"/>
      <c r="D70" s="286"/>
      <c r="E70" s="286"/>
      <c r="F70" s="286"/>
      <c r="G70" s="286"/>
      <c r="H70" s="286"/>
      <c r="I70" s="286"/>
      <c r="J70" s="286"/>
      <c r="K70" s="70">
        <f>+K64+K65+K66+K67+K68+K69</f>
        <v>446755577.40384388</v>
      </c>
    </row>
    <row r="71" spans="1:13" ht="18.75">
      <c r="A71" s="290" t="s">
        <v>69</v>
      </c>
      <c r="B71" s="290"/>
      <c r="C71" s="290"/>
      <c r="D71" s="290"/>
      <c r="E71" s="290"/>
      <c r="F71" s="290"/>
      <c r="G71" s="290"/>
      <c r="H71" s="291">
        <v>0.19</v>
      </c>
      <c r="I71" s="291"/>
      <c r="J71" s="291"/>
      <c r="K71" s="71">
        <f>+(K67)*H71</f>
        <v>2778261.0194467623</v>
      </c>
    </row>
    <row r="72" spans="1:13" ht="18.75">
      <c r="A72" s="290" t="s">
        <v>70</v>
      </c>
      <c r="B72" s="290"/>
      <c r="C72" s="290"/>
      <c r="D72" s="290"/>
      <c r="E72" s="290"/>
      <c r="F72" s="290"/>
      <c r="G72" s="290"/>
      <c r="H72" s="291">
        <v>0.19</v>
      </c>
      <c r="I72" s="291"/>
      <c r="J72" s="291"/>
      <c r="K72" s="71">
        <f>+(K65+K68)*H72</f>
        <v>2960833.3333333335</v>
      </c>
    </row>
    <row r="73" spans="1:13" ht="18.75">
      <c r="A73" s="290" t="s">
        <v>71</v>
      </c>
      <c r="B73" s="290"/>
      <c r="C73" s="290"/>
      <c r="D73" s="290"/>
      <c r="E73" s="290"/>
      <c r="F73" s="290"/>
      <c r="G73" s="290"/>
      <c r="H73" s="291">
        <v>0.19</v>
      </c>
      <c r="I73" s="291"/>
      <c r="J73" s="291"/>
      <c r="K73" s="71">
        <f>+(K66+K69)*H73</f>
        <v>7703467.71103351</v>
      </c>
    </row>
    <row r="74" spans="1:13" ht="21">
      <c r="A74" s="286" t="s">
        <v>72</v>
      </c>
      <c r="B74" s="286"/>
      <c r="C74" s="286"/>
      <c r="D74" s="286"/>
      <c r="E74" s="286"/>
      <c r="F74" s="286"/>
      <c r="G74" s="286"/>
      <c r="H74" s="286"/>
      <c r="I74" s="286"/>
      <c r="J74" s="286"/>
      <c r="K74" s="72">
        <f>+K64+K65+K66+K67+K68+K69+K71+K72+K73</f>
        <v>460198139.46765751</v>
      </c>
      <c r="M74" s="77"/>
    </row>
    <row r="76" spans="1:13">
      <c r="K76" s="41"/>
    </row>
    <row r="78" spans="1:13" ht="18.75">
      <c r="C78" s="287"/>
      <c r="D78" s="287"/>
      <c r="E78" s="287"/>
    </row>
    <row r="79" spans="1:13" ht="15.75">
      <c r="C79" s="288"/>
      <c r="D79" s="288"/>
      <c r="E79" s="288"/>
    </row>
    <row r="80" spans="1:13">
      <c r="C80" s="289"/>
      <c r="D80" s="289"/>
      <c r="E80" s="289"/>
    </row>
  </sheetData>
  <protectedRanges>
    <protectedRange sqref="H67:H69" name="Rango1_1"/>
  </protectedRanges>
  <mergeCells count="24">
    <mergeCell ref="A74:J74"/>
    <mergeCell ref="C78:E78"/>
    <mergeCell ref="C79:E79"/>
    <mergeCell ref="C80:E80"/>
    <mergeCell ref="A70:J70"/>
    <mergeCell ref="A71:G71"/>
    <mergeCell ref="H71:J71"/>
    <mergeCell ref="A72:G72"/>
    <mergeCell ref="H72:J72"/>
    <mergeCell ref="A73:G73"/>
    <mergeCell ref="H73:J73"/>
    <mergeCell ref="A69:G69"/>
    <mergeCell ref="H69:J69"/>
    <mergeCell ref="A1:G1"/>
    <mergeCell ref="A2:G2"/>
    <mergeCell ref="A43:E43"/>
    <mergeCell ref="A53:E53"/>
    <mergeCell ref="A64:J64"/>
    <mergeCell ref="A65:J65"/>
    <mergeCell ref="A66:J66"/>
    <mergeCell ref="A67:G67"/>
    <mergeCell ref="H67:J67"/>
    <mergeCell ref="A68:G68"/>
    <mergeCell ref="H68:J6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13"/>
  <sheetViews>
    <sheetView workbookViewId="0">
      <selection activeCell="D23" sqref="D23"/>
    </sheetView>
  </sheetViews>
  <sheetFormatPr defaultColWidth="9.140625" defaultRowHeight="15"/>
  <cols>
    <col min="2" max="2" width="4.28515625" customWidth="1"/>
    <col min="3" max="3" width="16.28515625" customWidth="1"/>
    <col min="4" max="4" width="34.140625" customWidth="1"/>
  </cols>
  <sheetData>
    <row r="2" spans="2:4">
      <c r="C2" s="245" t="s">
        <v>23</v>
      </c>
      <c r="D2" s="245" t="s">
        <v>73</v>
      </c>
    </row>
    <row r="3" spans="2:4">
      <c r="C3" s="243" t="s">
        <v>74</v>
      </c>
      <c r="D3" s="244">
        <f>+'Formulario Económico 2026'!H84</f>
        <v>66516132.594000004</v>
      </c>
    </row>
    <row r="4" spans="2:4">
      <c r="C4" s="243" t="s">
        <v>75</v>
      </c>
      <c r="D4" s="244">
        <f>+'Formulario Económico 2027'!L85</f>
        <v>173129810.62239999</v>
      </c>
    </row>
    <row r="5" spans="2:4">
      <c r="C5" s="246" t="s">
        <v>76</v>
      </c>
      <c r="D5" s="247">
        <f>SUM(D3:D4)</f>
        <v>239645943.2164</v>
      </c>
    </row>
    <row r="7" spans="2:4">
      <c r="C7" s="292" t="s">
        <v>77</v>
      </c>
      <c r="D7" s="292"/>
    </row>
    <row r="8" spans="2:4">
      <c r="B8" s="41">
        <v>1</v>
      </c>
      <c r="C8" t="s">
        <v>78</v>
      </c>
    </row>
    <row r="9" spans="2:4">
      <c r="B9" s="41">
        <v>2</v>
      </c>
      <c r="C9" t="s">
        <v>79</v>
      </c>
    </row>
    <row r="10" spans="2:4">
      <c r="B10" s="41">
        <v>3</v>
      </c>
      <c r="C10" t="s">
        <v>80</v>
      </c>
    </row>
    <row r="11" spans="2:4">
      <c r="B11" s="41">
        <v>4</v>
      </c>
      <c r="C11" t="s">
        <v>81</v>
      </c>
    </row>
    <row r="12" spans="2:4">
      <c r="B12" s="41">
        <v>5</v>
      </c>
      <c r="C12" t="s">
        <v>82</v>
      </c>
    </row>
    <row r="13" spans="2:4">
      <c r="B13" s="41">
        <v>6</v>
      </c>
      <c r="C13" t="s">
        <v>83</v>
      </c>
    </row>
  </sheetData>
  <mergeCells count="1">
    <mergeCell ref="C7: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84"/>
  <sheetViews>
    <sheetView tabSelected="1" topLeftCell="A60" zoomScale="90" zoomScaleNormal="90" workbookViewId="0">
      <selection activeCell="D67" sqref="D67"/>
    </sheetView>
  </sheetViews>
  <sheetFormatPr defaultColWidth="11.42578125" defaultRowHeight="15"/>
  <cols>
    <col min="1" max="1" width="40" style="2" customWidth="1"/>
    <col min="2" max="2" width="21.140625" customWidth="1"/>
    <col min="3" max="3" width="20.5703125" customWidth="1"/>
    <col min="4" max="4" width="19.5703125" customWidth="1"/>
    <col min="5" max="5" width="34.7109375" bestFit="1" customWidth="1"/>
    <col min="6" max="6" width="27.28515625" customWidth="1"/>
    <col min="7" max="7" width="16.42578125" bestFit="1" customWidth="1"/>
    <col min="8" max="8" width="32.85546875" bestFit="1" customWidth="1"/>
    <col min="9" max="9" width="27" customWidth="1"/>
    <col min="10" max="10" width="14" style="1" customWidth="1"/>
    <col min="11" max="11" width="22" bestFit="1" customWidth="1"/>
    <col min="12" max="12" width="21.5703125" customWidth="1"/>
    <col min="13" max="13" width="13.5703125" bestFit="1" customWidth="1"/>
    <col min="14" max="14" width="15.140625" bestFit="1" customWidth="1"/>
  </cols>
  <sheetData>
    <row r="1" spans="1:13" ht="27" customHeight="1">
      <c r="A1" s="279" t="s">
        <v>84</v>
      </c>
      <c r="B1" s="279"/>
      <c r="C1" s="279"/>
      <c r="D1" s="279"/>
      <c r="E1" s="279"/>
      <c r="F1" s="279"/>
      <c r="G1" s="279"/>
      <c r="H1" s="279"/>
    </row>
    <row r="2" spans="1:13" ht="60" hidden="1" customHeight="1">
      <c r="A2" s="280" t="s">
        <v>85</v>
      </c>
      <c r="B2" s="281"/>
      <c r="C2" s="281"/>
      <c r="D2" s="281"/>
      <c r="E2" s="281"/>
      <c r="F2" s="281"/>
      <c r="G2" s="2"/>
      <c r="H2" s="2"/>
      <c r="I2" s="2"/>
      <c r="J2" s="2"/>
      <c r="K2" s="2"/>
      <c r="L2" s="2"/>
      <c r="M2" s="2"/>
    </row>
    <row r="3" spans="1:13" ht="72" hidden="1" customHeight="1">
      <c r="A3" s="3" t="s">
        <v>2</v>
      </c>
      <c r="B3" s="4" t="s">
        <v>3</v>
      </c>
      <c r="C3" s="4" t="s">
        <v>4</v>
      </c>
      <c r="D3" s="4"/>
      <c r="E3" s="4" t="s">
        <v>5</v>
      </c>
      <c r="F3" s="4" t="s">
        <v>6</v>
      </c>
      <c r="G3" s="5"/>
      <c r="H3" s="5"/>
      <c r="J3"/>
    </row>
    <row r="4" spans="1:13" hidden="1">
      <c r="A4" s="6" t="s">
        <v>9</v>
      </c>
      <c r="B4" s="7"/>
      <c r="C4" s="7"/>
      <c r="D4" s="7"/>
      <c r="E4" s="7"/>
      <c r="F4" s="7"/>
      <c r="G4" s="8"/>
      <c r="H4" s="8"/>
      <c r="J4"/>
    </row>
    <row r="5" spans="1:13" hidden="1">
      <c r="A5" s="9" t="s">
        <v>10</v>
      </c>
      <c r="B5" s="10">
        <f>47/5</f>
        <v>9.4</v>
      </c>
      <c r="C5" s="10">
        <v>5</v>
      </c>
      <c r="D5" s="10"/>
      <c r="E5" s="10">
        <v>0</v>
      </c>
      <c r="F5" s="10">
        <v>0</v>
      </c>
      <c r="G5" s="11"/>
      <c r="H5" s="13"/>
      <c r="J5"/>
    </row>
    <row r="6" spans="1:13" hidden="1">
      <c r="A6" s="9" t="s">
        <v>11</v>
      </c>
      <c r="B6" s="10">
        <f>47/5</f>
        <v>9.4</v>
      </c>
      <c r="C6" s="10">
        <v>5</v>
      </c>
      <c r="D6" s="10"/>
      <c r="E6" s="10">
        <v>0</v>
      </c>
      <c r="F6" s="10">
        <v>0</v>
      </c>
      <c r="G6" s="11"/>
      <c r="H6" s="13"/>
      <c r="J6"/>
    </row>
    <row r="7" spans="1:13" hidden="1">
      <c r="A7" s="2" t="s">
        <v>12</v>
      </c>
      <c r="B7" s="14">
        <f>47/5</f>
        <v>9.4</v>
      </c>
      <c r="C7" s="1">
        <v>5</v>
      </c>
      <c r="D7" s="1"/>
      <c r="E7" s="1">
        <v>0</v>
      </c>
      <c r="F7" s="1">
        <v>0</v>
      </c>
      <c r="G7" s="15"/>
      <c r="H7" s="16"/>
      <c r="J7"/>
    </row>
    <row r="8" spans="1:13" hidden="1">
      <c r="A8" s="6" t="s">
        <v>13</v>
      </c>
      <c r="B8" s="7"/>
      <c r="C8" s="7"/>
      <c r="D8" s="7"/>
      <c r="E8" s="7"/>
      <c r="F8" s="7"/>
      <c r="G8" s="15"/>
      <c r="H8" s="18"/>
      <c r="J8"/>
    </row>
    <row r="9" spans="1:13" hidden="1">
      <c r="A9" s="9" t="s">
        <v>14</v>
      </c>
      <c r="B9" s="14">
        <f>47/6</f>
        <v>7.833333333333333</v>
      </c>
      <c r="C9" s="10">
        <v>6</v>
      </c>
      <c r="D9" s="10"/>
      <c r="E9" s="10">
        <v>0</v>
      </c>
      <c r="F9" s="10">
        <v>0</v>
      </c>
      <c r="G9" s="15"/>
      <c r="H9" s="12"/>
      <c r="J9"/>
    </row>
    <row r="10" spans="1:13" hidden="1">
      <c r="A10" s="9" t="s">
        <v>15</v>
      </c>
      <c r="B10" s="10">
        <v>0</v>
      </c>
      <c r="C10" s="10">
        <v>0</v>
      </c>
      <c r="D10" s="10"/>
      <c r="E10" s="10">
        <v>7</v>
      </c>
      <c r="F10" s="10">
        <v>1</v>
      </c>
      <c r="G10" s="15"/>
      <c r="H10" s="12"/>
      <c r="J10"/>
    </row>
    <row r="11" spans="1:13" hidden="1">
      <c r="A11" s="9" t="s">
        <v>11</v>
      </c>
      <c r="B11" s="14">
        <f>47/6</f>
        <v>7.833333333333333</v>
      </c>
      <c r="C11" s="10">
        <v>6</v>
      </c>
      <c r="D11" s="10"/>
      <c r="E11" s="10">
        <v>0</v>
      </c>
      <c r="F11" s="10">
        <v>0</v>
      </c>
      <c r="G11" s="15"/>
      <c r="H11" s="12"/>
      <c r="J11"/>
    </row>
    <row r="12" spans="1:13" s="15" customFormat="1" hidden="1">
      <c r="A12" s="6" t="s">
        <v>16</v>
      </c>
      <c r="B12" s="7"/>
      <c r="C12" s="7"/>
      <c r="D12" s="7"/>
      <c r="E12" s="7"/>
      <c r="F12" s="7"/>
      <c r="G12" s="11"/>
      <c r="H12" s="12"/>
      <c r="I12"/>
    </row>
    <row r="13" spans="1:13" hidden="1">
      <c r="A13" s="9" t="s">
        <v>14</v>
      </c>
      <c r="B13" s="14">
        <f>47/6</f>
        <v>7.833333333333333</v>
      </c>
      <c r="C13" s="10">
        <v>6</v>
      </c>
      <c r="D13" s="10"/>
      <c r="E13" s="10">
        <v>0</v>
      </c>
      <c r="F13" s="10">
        <v>0</v>
      </c>
      <c r="G13" s="11"/>
      <c r="H13" s="12"/>
      <c r="J13"/>
      <c r="K13" s="20"/>
    </row>
    <row r="14" spans="1:13" hidden="1">
      <c r="A14" s="9" t="s">
        <v>15</v>
      </c>
      <c r="B14" s="10">
        <v>0</v>
      </c>
      <c r="C14" s="10">
        <v>0</v>
      </c>
      <c r="D14" s="10"/>
      <c r="E14" s="10">
        <v>7</v>
      </c>
      <c r="F14" s="10">
        <v>1</v>
      </c>
      <c r="G14" s="15"/>
      <c r="H14" s="12"/>
      <c r="J14"/>
      <c r="K14" s="22"/>
    </row>
    <row r="15" spans="1:13" hidden="1">
      <c r="A15" s="9" t="s">
        <v>11</v>
      </c>
      <c r="B15" s="14">
        <f>47/6</f>
        <v>7.833333333333333</v>
      </c>
      <c r="C15" s="10">
        <v>6</v>
      </c>
      <c r="D15" s="10"/>
      <c r="E15" s="10">
        <v>0</v>
      </c>
      <c r="F15" s="10">
        <v>0</v>
      </c>
      <c r="G15" s="15"/>
      <c r="H15" s="12"/>
      <c r="J15"/>
      <c r="K15" s="23"/>
    </row>
    <row r="16" spans="1:13" hidden="1">
      <c r="A16" s="6" t="s">
        <v>17</v>
      </c>
      <c r="B16" s="7"/>
      <c r="C16" s="7"/>
      <c r="D16" s="7"/>
      <c r="E16" s="7"/>
      <c r="F16" s="7"/>
      <c r="G16" s="15"/>
      <c r="H16" s="12"/>
      <c r="J16"/>
      <c r="K16" s="23"/>
    </row>
    <row r="17" spans="1:13" hidden="1">
      <c r="A17" s="9" t="s">
        <v>11</v>
      </c>
      <c r="B17" s="14">
        <f>47/6</f>
        <v>7.833333333333333</v>
      </c>
      <c r="C17" s="10">
        <v>6</v>
      </c>
      <c r="D17" s="10"/>
      <c r="E17" s="10">
        <v>0</v>
      </c>
      <c r="F17" s="10">
        <v>0</v>
      </c>
      <c r="G17" s="24"/>
      <c r="H17" s="12"/>
      <c r="J17"/>
    </row>
    <row r="18" spans="1:13" hidden="1">
      <c r="A18" s="9" t="s">
        <v>10</v>
      </c>
      <c r="B18" s="14">
        <f>47/6</f>
        <v>7.833333333333333</v>
      </c>
      <c r="C18" s="10">
        <v>6</v>
      </c>
      <c r="D18" s="10"/>
      <c r="E18" s="10">
        <v>0</v>
      </c>
      <c r="F18" s="10">
        <v>0</v>
      </c>
      <c r="G18" s="26"/>
      <c r="H18" s="17"/>
      <c r="J18"/>
    </row>
    <row r="19" spans="1:13" hidden="1">
      <c r="A19" s="6" t="s">
        <v>18</v>
      </c>
      <c r="B19" s="7"/>
      <c r="C19" s="7"/>
      <c r="D19" s="7"/>
      <c r="E19" s="7"/>
      <c r="F19" s="7"/>
      <c r="G19" s="26"/>
      <c r="H19" s="18"/>
      <c r="J19"/>
    </row>
    <row r="20" spans="1:13" hidden="1">
      <c r="A20" s="9" t="s">
        <v>10</v>
      </c>
      <c r="B20" s="14">
        <f>47/6</f>
        <v>7.833333333333333</v>
      </c>
      <c r="C20" s="10">
        <v>6</v>
      </c>
      <c r="D20" s="10"/>
      <c r="E20" s="10">
        <v>0</v>
      </c>
      <c r="F20" s="10">
        <v>0</v>
      </c>
      <c r="J20"/>
    </row>
    <row r="21" spans="1:13" hidden="1">
      <c r="A21" s="6" t="s">
        <v>19</v>
      </c>
      <c r="B21" s="28"/>
      <c r="C21" s="29"/>
      <c r="D21" s="29"/>
      <c r="E21" s="7"/>
      <c r="F21" s="7"/>
      <c r="G21" s="8"/>
      <c r="H21" s="8"/>
      <c r="J21"/>
      <c r="M21" s="31"/>
    </row>
    <row r="22" spans="1:13">
      <c r="G22" s="15"/>
      <c r="H22" s="18"/>
      <c r="J22"/>
    </row>
    <row r="23" spans="1:13" ht="16.5">
      <c r="A23" s="186" t="s">
        <v>86</v>
      </c>
      <c r="B23" s="185">
        <v>1750905</v>
      </c>
      <c r="G23" s="15"/>
      <c r="H23" s="18"/>
      <c r="J23"/>
    </row>
    <row r="24" spans="1:13" ht="16.5">
      <c r="A24" s="187" t="s">
        <v>87</v>
      </c>
      <c r="B24" s="184">
        <v>249095</v>
      </c>
      <c r="G24" s="15"/>
      <c r="H24" s="18"/>
      <c r="J24"/>
    </row>
    <row r="25" spans="1:13">
      <c r="G25" s="15"/>
      <c r="H25" s="18"/>
      <c r="J25"/>
    </row>
    <row r="26" spans="1:13">
      <c r="G26" s="15"/>
      <c r="H26" s="18"/>
      <c r="J26"/>
    </row>
    <row r="27" spans="1:13" s="68" customFormat="1" ht="43.5" customHeight="1">
      <c r="A27" s="223" t="s">
        <v>88</v>
      </c>
      <c r="B27" s="201" t="s">
        <v>89</v>
      </c>
      <c r="C27" s="201" t="s">
        <v>90</v>
      </c>
      <c r="D27" s="202" t="s">
        <v>91</v>
      </c>
      <c r="E27" s="83" t="s">
        <v>92</v>
      </c>
    </row>
    <row r="28" spans="1:13">
      <c r="A28" s="203" t="s">
        <v>23</v>
      </c>
      <c r="B28" s="36" t="s">
        <v>24</v>
      </c>
      <c r="C28" s="36" t="s">
        <v>24</v>
      </c>
      <c r="D28" s="204" t="s">
        <v>24</v>
      </c>
      <c r="J28"/>
    </row>
    <row r="29" spans="1:13" ht="93" customHeight="1">
      <c r="A29" s="205" t="s">
        <v>93</v>
      </c>
      <c r="B29" s="221"/>
      <c r="C29" s="221"/>
      <c r="D29" s="222"/>
      <c r="E29" s="224" t="s">
        <v>94</v>
      </c>
      <c r="F29" s="79"/>
      <c r="H29" s="82"/>
      <c r="J29"/>
    </row>
    <row r="30" spans="1:13" s="68" customFormat="1" ht="25.5" customHeight="1">
      <c r="A30" s="205" t="s">
        <v>27</v>
      </c>
      <c r="B30" s="133">
        <f>+B24</f>
        <v>249095</v>
      </c>
      <c r="C30" s="133">
        <f>+B24</f>
        <v>249095</v>
      </c>
      <c r="D30" s="206">
        <f>+B24</f>
        <v>249095</v>
      </c>
      <c r="E30" s="299" t="s">
        <v>95</v>
      </c>
    </row>
    <row r="31" spans="1:13" s="68" customFormat="1" ht="25.5" customHeight="1">
      <c r="A31" s="205" t="s">
        <v>29</v>
      </c>
      <c r="B31" s="133">
        <f>SUM(B29:B30)</f>
        <v>249095</v>
      </c>
      <c r="C31" s="133">
        <f>SUM(C29:C30)</f>
        <v>249095</v>
      </c>
      <c r="D31" s="206">
        <f>SUM(D29:D30)</f>
        <v>249095</v>
      </c>
      <c r="E31" s="299"/>
    </row>
    <row r="32" spans="1:13" s="68" customFormat="1" ht="62.25" customHeight="1">
      <c r="A32" s="38" t="s">
        <v>30</v>
      </c>
      <c r="B32" s="221">
        <f>+B29*8.5%</f>
        <v>0</v>
      </c>
      <c r="C32" s="221">
        <f>+C29*8.5%</f>
        <v>0</v>
      </c>
      <c r="D32" s="270">
        <f>+D29*8.5%</f>
        <v>0</v>
      </c>
      <c r="E32" s="268" t="s">
        <v>96</v>
      </c>
    </row>
    <row r="33" spans="1:10" s="68" customFormat="1" ht="25.5" customHeight="1">
      <c r="A33" s="205" t="s">
        <v>31</v>
      </c>
      <c r="B33" s="133">
        <f>B29*12%</f>
        <v>0</v>
      </c>
      <c r="C33" s="133">
        <f>C29*12%</f>
        <v>0</v>
      </c>
      <c r="D33" s="206">
        <f>D29*12%</f>
        <v>0</v>
      </c>
      <c r="E33" s="299" t="s">
        <v>95</v>
      </c>
    </row>
    <row r="34" spans="1:10" s="68" customFormat="1" ht="25.5" customHeight="1">
      <c r="A34" s="205" t="s">
        <v>97</v>
      </c>
      <c r="B34" s="133">
        <f>B29*1.044%</f>
        <v>0</v>
      </c>
      <c r="C34" s="133">
        <f>C29*4.35%</f>
        <v>0</v>
      </c>
      <c r="D34" s="207">
        <f>D29*0.522%</f>
        <v>0</v>
      </c>
      <c r="E34" s="299"/>
    </row>
    <row r="35" spans="1:10" s="68" customFormat="1" ht="25.5" customHeight="1">
      <c r="A35" s="205" t="s">
        <v>33</v>
      </c>
      <c r="B35" s="133">
        <f>B29*4%</f>
        <v>0</v>
      </c>
      <c r="C35" s="133">
        <f>C29*4%</f>
        <v>0</v>
      </c>
      <c r="D35" s="206">
        <f>D29*4%</f>
        <v>0</v>
      </c>
      <c r="E35" s="299"/>
    </row>
    <row r="36" spans="1:10" s="68" customFormat="1" ht="63" customHeight="1">
      <c r="A36" s="38" t="s">
        <v>34</v>
      </c>
      <c r="B36" s="221">
        <f>B29*5%</f>
        <v>0</v>
      </c>
      <c r="C36" s="221">
        <f>C29*5%</f>
        <v>0</v>
      </c>
      <c r="D36" s="270">
        <f>D29*5%</f>
        <v>0</v>
      </c>
      <c r="E36" s="268" t="s">
        <v>98</v>
      </c>
    </row>
    <row r="37" spans="1:10" s="68" customFormat="1" ht="25.5" customHeight="1">
      <c r="A37" s="205" t="s">
        <v>35</v>
      </c>
      <c r="B37" s="133">
        <f>B29*4.17%</f>
        <v>0</v>
      </c>
      <c r="C37" s="133">
        <f>C29*4.17%</f>
        <v>0</v>
      </c>
      <c r="D37" s="206">
        <f>D29*4.17%</f>
        <v>0</v>
      </c>
      <c r="E37" s="299" t="s">
        <v>95</v>
      </c>
    </row>
    <row r="38" spans="1:10" s="68" customFormat="1" ht="25.5" customHeight="1">
      <c r="A38" s="205" t="s">
        <v>36</v>
      </c>
      <c r="B38" s="133">
        <f>B31*8.33%</f>
        <v>20749.613499999999</v>
      </c>
      <c r="C38" s="133">
        <f>C31*8.33%</f>
        <v>20749.613499999999</v>
      </c>
      <c r="D38" s="206">
        <f>D31*8.33%</f>
        <v>20749.613499999999</v>
      </c>
      <c r="E38" s="299"/>
    </row>
    <row r="39" spans="1:10" s="68" customFormat="1" ht="25.5" customHeight="1">
      <c r="A39" s="205" t="s">
        <v>37</v>
      </c>
      <c r="B39" s="133">
        <f>B31*8.33%</f>
        <v>20749.613499999999</v>
      </c>
      <c r="C39" s="133">
        <f>C31*8.33%</f>
        <v>20749.613499999999</v>
      </c>
      <c r="D39" s="206">
        <f>D31*8.33%</f>
        <v>20749.613499999999</v>
      </c>
      <c r="E39" s="299"/>
    </row>
    <row r="40" spans="1:10" s="68" customFormat="1" ht="25.5" customHeight="1">
      <c r="A40" s="208" t="s">
        <v>99</v>
      </c>
      <c r="B40" s="133">
        <f>B31*1%</f>
        <v>2490.9500000000003</v>
      </c>
      <c r="C40" s="133">
        <f>C31*1%</f>
        <v>2490.9500000000003</v>
      </c>
      <c r="D40" s="206">
        <f>D31*1%</f>
        <v>2490.9500000000003</v>
      </c>
      <c r="E40" s="299"/>
    </row>
    <row r="41" spans="1:10" s="68" customFormat="1" ht="25.5" customHeight="1">
      <c r="A41" s="209" t="s">
        <v>100</v>
      </c>
      <c r="B41" s="133">
        <f>SUM(B32:B40)</f>
        <v>43990.176999999996</v>
      </c>
      <c r="C41" s="133">
        <f>SUM(C32:C40)</f>
        <v>43990.176999999996</v>
      </c>
      <c r="D41" s="206">
        <f>SUM(D32:D40)</f>
        <v>43990.176999999996</v>
      </c>
      <c r="E41" s="299"/>
    </row>
    <row r="42" spans="1:10">
      <c r="A42" s="218" t="s">
        <v>101</v>
      </c>
      <c r="B42" s="219">
        <f>B41+B31</f>
        <v>293085.17700000003</v>
      </c>
      <c r="C42" s="219">
        <f>C41+C31</f>
        <v>293085.17700000003</v>
      </c>
      <c r="D42" s="220">
        <f>D41+D31</f>
        <v>293085.17700000003</v>
      </c>
      <c r="E42" s="271"/>
      <c r="J42"/>
    </row>
    <row r="45" spans="1:10" s="68" customFormat="1" ht="21" customHeight="1">
      <c r="A45" s="294" t="s">
        <v>102</v>
      </c>
      <c r="B45" s="295"/>
      <c r="C45" s="295"/>
      <c r="D45" s="295"/>
      <c r="E45" s="296"/>
      <c r="F45" s="102"/>
      <c r="J45" s="69"/>
    </row>
    <row r="46" spans="1:10" ht="42.75" customHeight="1">
      <c r="A46" s="191" t="s">
        <v>42</v>
      </c>
      <c r="B46" s="50" t="s">
        <v>43</v>
      </c>
      <c r="C46" s="51" t="s">
        <v>44</v>
      </c>
      <c r="D46" s="51" t="s">
        <v>45</v>
      </c>
      <c r="E46" s="192" t="s">
        <v>46</v>
      </c>
      <c r="F46" s="297" t="s">
        <v>103</v>
      </c>
    </row>
    <row r="47" spans="1:10">
      <c r="A47" s="193" t="s">
        <v>104</v>
      </c>
      <c r="B47" s="53">
        <f>+B42</f>
        <v>293085.17700000003</v>
      </c>
      <c r="C47" s="54">
        <v>16</v>
      </c>
      <c r="D47" s="103">
        <v>3</v>
      </c>
      <c r="E47" s="194">
        <f>+B47*C47*D47</f>
        <v>14068088.496000001</v>
      </c>
      <c r="F47" s="298"/>
    </row>
    <row r="48" spans="1:10">
      <c r="A48" s="193" t="s">
        <v>91</v>
      </c>
      <c r="B48" s="53">
        <f>+D42</f>
        <v>293085.17700000003</v>
      </c>
      <c r="C48" s="54">
        <v>1</v>
      </c>
      <c r="D48" s="103">
        <v>3</v>
      </c>
      <c r="E48" s="194">
        <f>+B48*C48*D48</f>
        <v>879255.53100000008</v>
      </c>
      <c r="F48" s="298"/>
    </row>
    <row r="49" spans="1:10">
      <c r="A49" s="195" t="s">
        <v>105</v>
      </c>
      <c r="B49" s="53">
        <f>+C42</f>
        <v>293085.17700000003</v>
      </c>
      <c r="C49" s="54">
        <v>7</v>
      </c>
      <c r="D49" s="103">
        <v>3</v>
      </c>
      <c r="E49" s="194">
        <f>+B49*C49*D49</f>
        <v>6154788.7170000002</v>
      </c>
      <c r="F49" s="298"/>
    </row>
    <row r="50" spans="1:10">
      <c r="A50" s="193" t="s">
        <v>106</v>
      </c>
      <c r="B50" s="53">
        <v>1200000</v>
      </c>
      <c r="C50" s="57">
        <v>1</v>
      </c>
      <c r="D50" s="103">
        <v>3</v>
      </c>
      <c r="E50" s="196">
        <f>+B50*C50*D50</f>
        <v>3600000</v>
      </c>
      <c r="F50" s="298"/>
    </row>
    <row r="51" spans="1:10">
      <c r="A51" s="195" t="s">
        <v>51</v>
      </c>
      <c r="B51" s="53">
        <f>+'Dotación 2026'!D34</f>
        <v>0</v>
      </c>
      <c r="C51" s="54">
        <v>1</v>
      </c>
      <c r="D51" s="103">
        <v>3</v>
      </c>
      <c r="E51" s="196">
        <f>+B51*C51</f>
        <v>0</v>
      </c>
      <c r="F51" s="298"/>
    </row>
    <row r="52" spans="1:10">
      <c r="A52" s="197" t="s">
        <v>52</v>
      </c>
      <c r="B52" s="198"/>
      <c r="C52" s="199"/>
      <c r="D52" s="199"/>
      <c r="E52" s="200">
        <f>+SUM(E47:E51)</f>
        <v>24702132.744000003</v>
      </c>
      <c r="F52" s="102"/>
    </row>
    <row r="53" spans="1:10">
      <c r="A53" s="188"/>
      <c r="B53" s="189"/>
      <c r="C53" s="188"/>
      <c r="D53" s="188"/>
      <c r="E53" s="188"/>
      <c r="F53" s="190"/>
    </row>
    <row r="54" spans="1:10">
      <c r="A54" s="294" t="s">
        <v>107</v>
      </c>
      <c r="B54" s="295"/>
      <c r="C54" s="295"/>
      <c r="D54" s="295"/>
      <c r="E54" s="296"/>
    </row>
    <row r="55" spans="1:10" ht="32.25" customHeight="1">
      <c r="A55" s="191" t="s">
        <v>42</v>
      </c>
      <c r="B55" s="50" t="s">
        <v>54</v>
      </c>
      <c r="C55" s="51" t="s">
        <v>44</v>
      </c>
      <c r="D55" s="50" t="s">
        <v>55</v>
      </c>
      <c r="E55" s="192" t="s">
        <v>46</v>
      </c>
      <c r="F55" s="297" t="s">
        <v>108</v>
      </c>
    </row>
    <row r="56" spans="1:10" ht="81" customHeight="1">
      <c r="A56" s="210" t="s">
        <v>109</v>
      </c>
      <c r="B56" s="211">
        <f>'Elementos aseo y cafeteria2026'!H79</f>
        <v>0</v>
      </c>
      <c r="C56" s="212">
        <v>1</v>
      </c>
      <c r="D56" s="212">
        <v>1</v>
      </c>
      <c r="E56" s="213">
        <f>+B56*C56*D56</f>
        <v>0</v>
      </c>
      <c r="F56" s="298"/>
    </row>
    <row r="58" spans="1:10" ht="15.75" customHeight="1"/>
    <row r="59" spans="1:10" s="68" customFormat="1" ht="16.5" customHeight="1">
      <c r="A59" s="294" t="s">
        <v>110</v>
      </c>
      <c r="B59" s="295"/>
      <c r="C59" s="295"/>
      <c r="D59" s="295"/>
      <c r="E59" s="296"/>
      <c r="F59"/>
      <c r="J59" s="69"/>
    </row>
    <row r="60" spans="1:10" ht="25.5" customHeight="1">
      <c r="A60" s="191" t="s">
        <v>42</v>
      </c>
      <c r="B60" s="50" t="s">
        <v>54</v>
      </c>
      <c r="C60" s="51" t="s">
        <v>44</v>
      </c>
      <c r="D60" s="50" t="s">
        <v>55</v>
      </c>
      <c r="E60" s="192" t="s">
        <v>46</v>
      </c>
    </row>
    <row r="61" spans="1:10" ht="107.25">
      <c r="A61" s="210" t="s">
        <v>111</v>
      </c>
      <c r="B61" s="211"/>
      <c r="C61" s="212">
        <v>1</v>
      </c>
      <c r="D61" s="212">
        <v>1</v>
      </c>
      <c r="E61" s="213">
        <f>+B61*C61*D61</f>
        <v>0</v>
      </c>
      <c r="F61" s="248" t="s">
        <v>112</v>
      </c>
    </row>
    <row r="64" spans="1:10">
      <c r="D64" s="293" t="s">
        <v>58</v>
      </c>
      <c r="E64" s="293"/>
    </row>
    <row r="65" spans="1:13">
      <c r="D65" s="214"/>
      <c r="E65" s="51" t="s">
        <v>59</v>
      </c>
    </row>
    <row r="66" spans="1:13">
      <c r="D66" s="59" t="s">
        <v>113</v>
      </c>
      <c r="E66" s="265">
        <v>35137815</v>
      </c>
      <c r="F66" s="266" t="s">
        <v>114</v>
      </c>
    </row>
    <row r="67" spans="1:13">
      <c r="D67" s="59" t="s">
        <v>46</v>
      </c>
      <c r="E67" s="265">
        <f>+E66</f>
        <v>35137815</v>
      </c>
      <c r="F67" s="267"/>
    </row>
    <row r="70" spans="1:13">
      <c r="A70" s="283" t="s">
        <v>115</v>
      </c>
      <c r="B70" s="283"/>
      <c r="C70" s="283"/>
      <c r="D70" s="283"/>
      <c r="E70" s="283"/>
      <c r="F70" s="283"/>
      <c r="G70" s="283"/>
      <c r="H70" s="216">
        <f>+E52</f>
        <v>24702132.744000003</v>
      </c>
      <c r="K70" s="42"/>
    </row>
    <row r="71" spans="1:13">
      <c r="A71" s="284" t="s">
        <v>116</v>
      </c>
      <c r="B71" s="284"/>
      <c r="C71" s="284"/>
      <c r="D71" s="284"/>
      <c r="E71" s="284"/>
      <c r="F71" s="284"/>
      <c r="G71" s="284"/>
      <c r="H71" s="66">
        <f>+E56</f>
        <v>0</v>
      </c>
      <c r="K71" s="1"/>
    </row>
    <row r="72" spans="1:13">
      <c r="A72" s="284" t="s">
        <v>117</v>
      </c>
      <c r="B72" s="284"/>
      <c r="C72" s="284"/>
      <c r="D72" s="284"/>
      <c r="E72" s="284"/>
      <c r="F72" s="284"/>
      <c r="G72" s="284"/>
      <c r="H72" s="66">
        <f>+E61</f>
        <v>0</v>
      </c>
      <c r="K72" s="1"/>
    </row>
    <row r="73" spans="1:13">
      <c r="A73" s="284" t="s">
        <v>118</v>
      </c>
      <c r="B73" s="284"/>
      <c r="C73" s="284"/>
      <c r="D73" s="284"/>
      <c r="E73" s="284"/>
      <c r="F73" s="284"/>
      <c r="G73" s="284"/>
      <c r="H73" s="66">
        <f>E67</f>
        <v>35137815</v>
      </c>
      <c r="K73" s="1"/>
      <c r="L73" s="42"/>
      <c r="M73" s="42"/>
    </row>
    <row r="74" spans="1:13" ht="18.75">
      <c r="A74" s="286" t="s">
        <v>119</v>
      </c>
      <c r="B74" s="286"/>
      <c r="C74" s="286"/>
      <c r="D74" s="286"/>
      <c r="E74" s="286"/>
      <c r="F74" s="286"/>
      <c r="G74" s="286"/>
      <c r="H74" s="217">
        <f>+H70+H71+H72+H73</f>
        <v>59839947.744000003</v>
      </c>
      <c r="K74" s="69"/>
      <c r="L74" s="138"/>
      <c r="M74" s="140"/>
    </row>
    <row r="75" spans="1:13" s="68" customFormat="1" ht="36" customHeight="1">
      <c r="A75" s="277" t="s">
        <v>120</v>
      </c>
      <c r="B75" s="277"/>
      <c r="C75" s="277"/>
      <c r="D75" s="277"/>
      <c r="E75" s="277"/>
      <c r="F75" s="277"/>
      <c r="G75" s="182"/>
      <c r="H75" s="67">
        <f>+H70*G75</f>
        <v>0</v>
      </c>
      <c r="I75" s="300" t="s">
        <v>121</v>
      </c>
      <c r="K75" s="69"/>
      <c r="L75" s="138"/>
    </row>
    <row r="76" spans="1:13" s="68" customFormat="1" ht="36">
      <c r="A76" s="277" t="s">
        <v>122</v>
      </c>
      <c r="B76" s="277"/>
      <c r="C76" s="277"/>
      <c r="D76" s="277"/>
      <c r="E76" s="277"/>
      <c r="F76" s="277"/>
      <c r="G76" s="182"/>
      <c r="H76" s="67">
        <f>+H71*G76</f>
        <v>0</v>
      </c>
      <c r="I76" s="300"/>
      <c r="K76" s="139"/>
    </row>
    <row r="77" spans="1:13" s="68" customFormat="1" ht="36" customHeight="1">
      <c r="A77" s="277" t="s">
        <v>123</v>
      </c>
      <c r="B77" s="277"/>
      <c r="C77" s="277"/>
      <c r="D77" s="277"/>
      <c r="E77" s="277"/>
      <c r="F77" s="277"/>
      <c r="G77" s="182"/>
      <c r="H77" s="67">
        <f>+H72*G77</f>
        <v>0</v>
      </c>
      <c r="I77" s="300"/>
      <c r="K77" s="139"/>
    </row>
    <row r="78" spans="1:13" s="68" customFormat="1" ht="36" customHeight="1">
      <c r="A78" s="277" t="s">
        <v>124</v>
      </c>
      <c r="B78" s="277"/>
      <c r="C78" s="277"/>
      <c r="D78" s="277"/>
      <c r="E78" s="277"/>
      <c r="F78" s="277"/>
      <c r="G78" s="182"/>
      <c r="H78" s="67">
        <f>+H73*G78</f>
        <v>0</v>
      </c>
      <c r="I78" s="300"/>
      <c r="K78" s="1"/>
      <c r="L78"/>
      <c r="M78"/>
    </row>
    <row r="79" spans="1:13" ht="18.75">
      <c r="A79" s="286" t="s">
        <v>68</v>
      </c>
      <c r="B79" s="286"/>
      <c r="C79" s="286"/>
      <c r="D79" s="286"/>
      <c r="E79" s="286"/>
      <c r="F79" s="286"/>
      <c r="G79" s="286"/>
      <c r="H79" s="217">
        <f>+H70+H71+H72+H73+H75+H76+H77+H78</f>
        <v>59839947.744000003</v>
      </c>
      <c r="K79" s="1"/>
    </row>
    <row r="80" spans="1:13" ht="18.75">
      <c r="A80" s="290" t="s">
        <v>125</v>
      </c>
      <c r="B80" s="290"/>
      <c r="C80" s="290"/>
      <c r="D80" s="290"/>
      <c r="E80" s="290"/>
      <c r="F80" s="290"/>
      <c r="G80" s="181">
        <v>0.19</v>
      </c>
      <c r="H80" s="71">
        <f>+(H75)*G80</f>
        <v>0</v>
      </c>
      <c r="I80" s="42"/>
      <c r="K80" s="1"/>
    </row>
    <row r="81" spans="1:10" ht="18.75">
      <c r="A81" s="290" t="s">
        <v>126</v>
      </c>
      <c r="B81" s="290"/>
      <c r="C81" s="290"/>
      <c r="D81" s="290"/>
      <c r="E81" s="290"/>
      <c r="F81" s="290"/>
      <c r="G81" s="181">
        <v>0.19</v>
      </c>
      <c r="H81" s="71">
        <f>+(H76)*G81</f>
        <v>0</v>
      </c>
      <c r="I81" s="42"/>
    </row>
    <row r="82" spans="1:10" ht="18.75">
      <c r="A82" s="290" t="s">
        <v>127</v>
      </c>
      <c r="B82" s="290"/>
      <c r="C82" s="290"/>
      <c r="D82" s="290"/>
      <c r="E82" s="290"/>
      <c r="F82" s="290"/>
      <c r="G82" s="181">
        <v>0.19</v>
      </c>
      <c r="H82" s="71">
        <f>+(H72+H77)*G82</f>
        <v>0</v>
      </c>
      <c r="I82" s="42"/>
    </row>
    <row r="83" spans="1:10" ht="18.75">
      <c r="A83" s="290" t="s">
        <v>128</v>
      </c>
      <c r="B83" s="290"/>
      <c r="C83" s="290"/>
      <c r="D83" s="290"/>
      <c r="E83" s="290"/>
      <c r="F83" s="290"/>
      <c r="G83" s="181">
        <v>0.19</v>
      </c>
      <c r="H83" s="71">
        <f>+(H73+H78)*G83</f>
        <v>6676184.8499999996</v>
      </c>
      <c r="I83" s="42"/>
    </row>
    <row r="84" spans="1:10" ht="21">
      <c r="A84" s="286" t="s">
        <v>72</v>
      </c>
      <c r="B84" s="286"/>
      <c r="C84" s="286"/>
      <c r="D84" s="286"/>
      <c r="E84" s="286"/>
      <c r="F84" s="286"/>
      <c r="G84" s="286"/>
      <c r="H84" s="72">
        <f>+H70+H71+H72+H73+H75+H76+H77+H78+H80+H81+H82+H83</f>
        <v>66516132.594000004</v>
      </c>
      <c r="I84" s="234"/>
      <c r="J84" s="77"/>
    </row>
  </sheetData>
  <protectedRanges>
    <protectedRange sqref="G75:G78" name="Rango1"/>
  </protectedRanges>
  <mergeCells count="27">
    <mergeCell ref="I75:I78"/>
    <mergeCell ref="E37:E41"/>
    <mergeCell ref="A84:G84"/>
    <mergeCell ref="A79:G79"/>
    <mergeCell ref="A80:F80"/>
    <mergeCell ref="A81:F81"/>
    <mergeCell ref="A82:F82"/>
    <mergeCell ref="A77:F77"/>
    <mergeCell ref="A78:F78"/>
    <mergeCell ref="A83:F83"/>
    <mergeCell ref="A76:F76"/>
    <mergeCell ref="A1:H1"/>
    <mergeCell ref="D64:E64"/>
    <mergeCell ref="A71:G71"/>
    <mergeCell ref="A73:G73"/>
    <mergeCell ref="A75:F75"/>
    <mergeCell ref="A74:G74"/>
    <mergeCell ref="A72:G72"/>
    <mergeCell ref="A2:F2"/>
    <mergeCell ref="A70:G70"/>
    <mergeCell ref="A45:E45"/>
    <mergeCell ref="A54:E54"/>
    <mergeCell ref="A59:E59"/>
    <mergeCell ref="F46:F51"/>
    <mergeCell ref="F55:F56"/>
    <mergeCell ref="E30:E31"/>
    <mergeCell ref="E33:E3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36"/>
  <sheetViews>
    <sheetView workbookViewId="0">
      <selection activeCell="C14" sqref="C14"/>
    </sheetView>
  </sheetViews>
  <sheetFormatPr defaultColWidth="11.42578125" defaultRowHeight="15"/>
  <cols>
    <col min="1" max="1" width="42.28515625" customWidth="1"/>
    <col min="3" max="3" width="22.28515625" customWidth="1"/>
    <col min="4" max="4" width="20.7109375" customWidth="1"/>
  </cols>
  <sheetData>
    <row r="1" spans="1:5" ht="21.75" customHeight="1" thickBot="1">
      <c r="A1" s="304" t="s">
        <v>129</v>
      </c>
      <c r="B1" s="305"/>
      <c r="C1" s="305"/>
      <c r="D1" s="306"/>
      <c r="E1" s="215" t="s">
        <v>130</v>
      </c>
    </row>
    <row r="2" spans="1:5" ht="23.25" thickBot="1">
      <c r="A2" s="84" t="s">
        <v>131</v>
      </c>
      <c r="B2" s="85" t="s">
        <v>44</v>
      </c>
      <c r="C2" s="86" t="s">
        <v>132</v>
      </c>
      <c r="D2" s="87" t="s">
        <v>133</v>
      </c>
    </row>
    <row r="3" spans="1:5" ht="15.75" thickBot="1">
      <c r="A3" s="88" t="s">
        <v>134</v>
      </c>
      <c r="B3" s="89">
        <v>2</v>
      </c>
      <c r="C3" s="100"/>
      <c r="D3" s="90">
        <f t="shared" ref="D3:D8" si="0">(C3*B3)</f>
        <v>0</v>
      </c>
    </row>
    <row r="4" spans="1:5" ht="23.25" thickBot="1">
      <c r="A4" s="88" t="s">
        <v>135</v>
      </c>
      <c r="B4" s="89">
        <v>1</v>
      </c>
      <c r="C4" s="100"/>
      <c r="D4" s="90">
        <f t="shared" si="0"/>
        <v>0</v>
      </c>
    </row>
    <row r="5" spans="1:5" ht="15.75" thickBot="1">
      <c r="A5" s="88" t="s">
        <v>136</v>
      </c>
      <c r="B5" s="89">
        <v>1</v>
      </c>
      <c r="C5" s="100"/>
      <c r="D5" s="90">
        <f t="shared" si="0"/>
        <v>0</v>
      </c>
    </row>
    <row r="6" spans="1:5" ht="15.75" thickBot="1">
      <c r="A6" s="88" t="s">
        <v>137</v>
      </c>
      <c r="B6" s="89">
        <v>2</v>
      </c>
      <c r="C6" s="100"/>
      <c r="D6" s="90">
        <f t="shared" si="0"/>
        <v>0</v>
      </c>
    </row>
    <row r="7" spans="1:5" ht="23.25" thickBot="1">
      <c r="A7" s="88" t="s">
        <v>138</v>
      </c>
      <c r="B7" s="89">
        <v>1</v>
      </c>
      <c r="C7" s="100"/>
      <c r="D7" s="90">
        <f t="shared" si="0"/>
        <v>0</v>
      </c>
    </row>
    <row r="8" spans="1:5" ht="23.25" thickBot="1">
      <c r="A8" s="91" t="s">
        <v>139</v>
      </c>
      <c r="B8" s="92">
        <v>1</v>
      </c>
      <c r="C8" s="100"/>
      <c r="D8" s="90">
        <f t="shared" si="0"/>
        <v>0</v>
      </c>
      <c r="E8" s="93"/>
    </row>
    <row r="9" spans="1:5" ht="15.75" thickBot="1">
      <c r="A9" s="307" t="s">
        <v>140</v>
      </c>
      <c r="B9" s="308"/>
      <c r="C9" s="309"/>
      <c r="D9" s="94">
        <f>SUM(D3:D8)</f>
        <v>0</v>
      </c>
    </row>
    <row r="10" spans="1:5">
      <c r="A10" s="301" t="s">
        <v>141</v>
      </c>
      <c r="B10" s="302"/>
      <c r="C10" s="303"/>
      <c r="D10" s="95">
        <f>D9*E10</f>
        <v>0</v>
      </c>
      <c r="E10" s="96">
        <v>16</v>
      </c>
    </row>
    <row r="11" spans="1:5">
      <c r="A11" s="159"/>
      <c r="B11" s="159"/>
      <c r="C11" s="159"/>
      <c r="D11" s="160"/>
    </row>
    <row r="12" spans="1:5">
      <c r="A12" s="316" t="s">
        <v>142</v>
      </c>
      <c r="B12" s="317"/>
      <c r="C12" s="317"/>
      <c r="D12" s="318"/>
    </row>
    <row r="13" spans="1:5" ht="22.5">
      <c r="A13" s="144" t="s">
        <v>131</v>
      </c>
      <c r="B13" s="145" t="s">
        <v>44</v>
      </c>
      <c r="C13" s="146" t="s">
        <v>132</v>
      </c>
      <c r="D13" s="147" t="s">
        <v>133</v>
      </c>
    </row>
    <row r="14" spans="1:5">
      <c r="A14" s="148" t="s">
        <v>143</v>
      </c>
      <c r="B14" s="149">
        <v>2</v>
      </c>
      <c r="C14" s="150"/>
      <c r="D14" s="151">
        <f>(C14*B14)</f>
        <v>0</v>
      </c>
    </row>
    <row r="15" spans="1:5">
      <c r="A15" s="148" t="s">
        <v>144</v>
      </c>
      <c r="B15" s="149">
        <v>2</v>
      </c>
      <c r="C15" s="150"/>
      <c r="D15" s="151">
        <f>(C15*B15)</f>
        <v>0</v>
      </c>
    </row>
    <row r="16" spans="1:5">
      <c r="A16" s="148" t="s">
        <v>145</v>
      </c>
      <c r="B16" s="149">
        <v>1</v>
      </c>
      <c r="C16" s="150"/>
      <c r="D16" s="151">
        <f>(C16*B16)</f>
        <v>0</v>
      </c>
    </row>
    <row r="17" spans="1:5">
      <c r="A17" s="319" t="s">
        <v>140</v>
      </c>
      <c r="B17" s="320"/>
      <c r="C17" s="321"/>
      <c r="D17" s="154">
        <f>SUM(D14:D16)</f>
        <v>0</v>
      </c>
    </row>
    <row r="18" spans="1:5">
      <c r="A18" s="301" t="s">
        <v>141</v>
      </c>
      <c r="B18" s="302"/>
      <c r="C18" s="303"/>
      <c r="D18" s="155">
        <f>D17*E18</f>
        <v>0</v>
      </c>
      <c r="E18" s="96">
        <v>1</v>
      </c>
    </row>
    <row r="20" spans="1:5" ht="15.75" thickBot="1">
      <c r="A20" s="310" t="s">
        <v>146</v>
      </c>
      <c r="B20" s="311"/>
      <c r="C20" s="311"/>
      <c r="D20" s="312"/>
    </row>
    <row r="21" spans="1:5" ht="23.25" customHeight="1" thickBot="1">
      <c r="A21" s="84" t="s">
        <v>147</v>
      </c>
      <c r="B21" s="85" t="s">
        <v>44</v>
      </c>
      <c r="C21" s="86" t="s">
        <v>148</v>
      </c>
      <c r="D21" s="87" t="s">
        <v>133</v>
      </c>
    </row>
    <row r="22" spans="1:5" ht="23.25" thickBot="1">
      <c r="A22" s="88" t="s">
        <v>149</v>
      </c>
      <c r="B22" s="89">
        <v>1</v>
      </c>
      <c r="C22" s="100"/>
      <c r="D22" s="90">
        <f t="shared" ref="D22:D28" si="1">(C22*B22)</f>
        <v>0</v>
      </c>
    </row>
    <row r="23" spans="1:5" ht="23.25" thickBot="1">
      <c r="A23" s="88" t="s">
        <v>150</v>
      </c>
      <c r="B23" s="89">
        <v>1</v>
      </c>
      <c r="C23" s="100"/>
      <c r="D23" s="90">
        <f t="shared" si="1"/>
        <v>0</v>
      </c>
    </row>
    <row r="24" spans="1:5" ht="15.75" thickBot="1">
      <c r="A24" s="88" t="s">
        <v>151</v>
      </c>
      <c r="B24" s="89">
        <v>2</v>
      </c>
      <c r="C24" s="100"/>
      <c r="D24" s="90">
        <f t="shared" si="1"/>
        <v>0</v>
      </c>
      <c r="E24" s="93"/>
    </row>
    <row r="25" spans="1:5" ht="23.25" thickBot="1">
      <c r="A25" s="88" t="s">
        <v>138</v>
      </c>
      <c r="B25" s="89">
        <v>1</v>
      </c>
      <c r="C25" s="100"/>
      <c r="D25" s="90">
        <f t="shared" si="1"/>
        <v>0</v>
      </c>
    </row>
    <row r="26" spans="1:5" ht="15.75" thickBot="1">
      <c r="A26" s="88" t="s">
        <v>137</v>
      </c>
      <c r="B26" s="89">
        <v>2</v>
      </c>
      <c r="C26" s="100"/>
      <c r="D26" s="90">
        <f t="shared" si="1"/>
        <v>0</v>
      </c>
    </row>
    <row r="27" spans="1:5" ht="15.75" thickBot="1">
      <c r="A27" s="88" t="s">
        <v>152</v>
      </c>
      <c r="B27" s="89">
        <v>1</v>
      </c>
      <c r="C27" s="100"/>
      <c r="D27" s="90">
        <f t="shared" si="1"/>
        <v>0</v>
      </c>
    </row>
    <row r="28" spans="1:5" ht="15.75" thickBot="1">
      <c r="A28" s="91" t="s">
        <v>153</v>
      </c>
      <c r="B28" s="92">
        <v>2</v>
      </c>
      <c r="C28" s="100"/>
      <c r="D28" s="90">
        <f t="shared" si="1"/>
        <v>0</v>
      </c>
    </row>
    <row r="29" spans="1:5" ht="15.75" thickBot="1">
      <c r="A29" s="313" t="s">
        <v>154</v>
      </c>
      <c r="B29" s="314"/>
      <c r="C29" s="315"/>
      <c r="D29" s="97">
        <f>SUM(D22:D28)</f>
        <v>0</v>
      </c>
    </row>
    <row r="30" spans="1:5" ht="15.75" thickBot="1">
      <c r="A30" s="301" t="s">
        <v>141</v>
      </c>
      <c r="B30" s="302"/>
      <c r="C30" s="303"/>
      <c r="D30" s="95">
        <f>D29*E30</f>
        <v>0</v>
      </c>
      <c r="E30" s="96">
        <v>7</v>
      </c>
    </row>
    <row r="34" spans="1:4" ht="18.75">
      <c r="A34" s="98" t="s">
        <v>155</v>
      </c>
      <c r="B34" s="98"/>
      <c r="C34" s="98"/>
      <c r="D34" s="99">
        <f>+D10+D30+D18</f>
        <v>0</v>
      </c>
    </row>
    <row r="36" spans="1:4">
      <c r="A36" s="235" t="s">
        <v>156</v>
      </c>
    </row>
  </sheetData>
  <mergeCells count="9">
    <mergeCell ref="A30:C30"/>
    <mergeCell ref="A1:D1"/>
    <mergeCell ref="A9:C9"/>
    <mergeCell ref="A10:C10"/>
    <mergeCell ref="A20:D20"/>
    <mergeCell ref="A29:C29"/>
    <mergeCell ref="A12:D12"/>
    <mergeCell ref="A17:C17"/>
    <mergeCell ref="A18:C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80"/>
  <sheetViews>
    <sheetView zoomScale="79" zoomScaleNormal="79" workbookViewId="0">
      <pane xSplit="1" ySplit="2" topLeftCell="B7" activePane="bottomRight" state="frozen"/>
      <selection pane="bottomRight" activeCell="C3" sqref="C3"/>
      <selection pane="bottomLeft" activeCell="A2" sqref="A2"/>
      <selection pane="topRight" activeCell="B1" sqref="B1"/>
    </sheetView>
  </sheetViews>
  <sheetFormatPr defaultColWidth="11.42578125" defaultRowHeight="31.5" customHeight="1"/>
  <cols>
    <col min="1" max="1" width="5" style="107" customWidth="1"/>
    <col min="2" max="2" width="41.5703125" style="123" customWidth="1"/>
    <col min="3" max="3" width="48" style="107" customWidth="1"/>
    <col min="4" max="4" width="15.5703125" style="107" customWidth="1"/>
    <col min="5" max="5" width="9" style="227" customWidth="1"/>
    <col min="6" max="6" width="12.5703125" style="124" bestFit="1" customWidth="1"/>
    <col min="7" max="7" width="12.140625" style="124" customWidth="1"/>
    <col min="8" max="8" width="19.42578125" style="124" bestFit="1" customWidth="1"/>
    <col min="9" max="9" width="16" style="107" bestFit="1" customWidth="1"/>
    <col min="10" max="10" width="20.28515625" style="107" customWidth="1"/>
    <col min="11" max="11" width="17.140625" style="107" customWidth="1"/>
    <col min="12" max="243" width="11.42578125" style="107"/>
    <col min="244" max="244" width="5" style="107" customWidth="1"/>
    <col min="245" max="245" width="32.140625" style="107" customWidth="1"/>
    <col min="246" max="246" width="0" style="107" hidden="1" customWidth="1"/>
    <col min="247" max="247" width="17.140625" style="107" customWidth="1"/>
    <col min="248" max="250" width="11.42578125" style="107"/>
    <col min="251" max="251" width="14.140625" style="107" customWidth="1"/>
    <col min="252" max="253" width="15.42578125" style="107" customWidth="1"/>
    <col min="254" max="499" width="11.42578125" style="107"/>
    <col min="500" max="500" width="5" style="107" customWidth="1"/>
    <col min="501" max="501" width="32.140625" style="107" customWidth="1"/>
    <col min="502" max="502" width="0" style="107" hidden="1" customWidth="1"/>
    <col min="503" max="503" width="17.140625" style="107" customWidth="1"/>
    <col min="504" max="506" width="11.42578125" style="107"/>
    <col min="507" max="507" width="14.140625" style="107" customWidth="1"/>
    <col min="508" max="509" width="15.42578125" style="107" customWidth="1"/>
    <col min="510" max="755" width="11.42578125" style="107"/>
    <col min="756" max="756" width="5" style="107" customWidth="1"/>
    <col min="757" max="757" width="32.140625" style="107" customWidth="1"/>
    <col min="758" max="758" width="0" style="107" hidden="1" customWidth="1"/>
    <col min="759" max="759" width="17.140625" style="107" customWidth="1"/>
    <col min="760" max="762" width="11.42578125" style="107"/>
    <col min="763" max="763" width="14.140625" style="107" customWidth="1"/>
    <col min="764" max="765" width="15.42578125" style="107" customWidth="1"/>
    <col min="766" max="1011" width="11.42578125" style="107"/>
    <col min="1012" max="1012" width="5" style="107" customWidth="1"/>
    <col min="1013" max="1013" width="32.140625" style="107" customWidth="1"/>
    <col min="1014" max="1014" width="0" style="107" hidden="1" customWidth="1"/>
    <col min="1015" max="1015" width="17.140625" style="107" customWidth="1"/>
    <col min="1016" max="1018" width="11.42578125" style="107"/>
    <col min="1019" max="1019" width="14.140625" style="107" customWidth="1"/>
    <col min="1020" max="1021" width="15.42578125" style="107" customWidth="1"/>
    <col min="1022" max="1267" width="11.42578125" style="107"/>
    <col min="1268" max="1268" width="5" style="107" customWidth="1"/>
    <col min="1269" max="1269" width="32.140625" style="107" customWidth="1"/>
    <col min="1270" max="1270" width="0" style="107" hidden="1" customWidth="1"/>
    <col min="1271" max="1271" width="17.140625" style="107" customWidth="1"/>
    <col min="1272" max="1274" width="11.42578125" style="107"/>
    <col min="1275" max="1275" width="14.140625" style="107" customWidth="1"/>
    <col min="1276" max="1277" width="15.42578125" style="107" customWidth="1"/>
    <col min="1278" max="1523" width="11.42578125" style="107"/>
    <col min="1524" max="1524" width="5" style="107" customWidth="1"/>
    <col min="1525" max="1525" width="32.140625" style="107" customWidth="1"/>
    <col min="1526" max="1526" width="0" style="107" hidden="1" customWidth="1"/>
    <col min="1527" max="1527" width="17.140625" style="107" customWidth="1"/>
    <col min="1528" max="1530" width="11.42578125" style="107"/>
    <col min="1531" max="1531" width="14.140625" style="107" customWidth="1"/>
    <col min="1532" max="1533" width="15.42578125" style="107" customWidth="1"/>
    <col min="1534" max="1779" width="11.42578125" style="107"/>
    <col min="1780" max="1780" width="5" style="107" customWidth="1"/>
    <col min="1781" max="1781" width="32.140625" style="107" customWidth="1"/>
    <col min="1782" max="1782" width="0" style="107" hidden="1" customWidth="1"/>
    <col min="1783" max="1783" width="17.140625" style="107" customWidth="1"/>
    <col min="1784" max="1786" width="11.42578125" style="107"/>
    <col min="1787" max="1787" width="14.140625" style="107" customWidth="1"/>
    <col min="1788" max="1789" width="15.42578125" style="107" customWidth="1"/>
    <col min="1790" max="2035" width="11.42578125" style="107"/>
    <col min="2036" max="2036" width="5" style="107" customWidth="1"/>
    <col min="2037" max="2037" width="32.140625" style="107" customWidth="1"/>
    <col min="2038" max="2038" width="0" style="107" hidden="1" customWidth="1"/>
    <col min="2039" max="2039" width="17.140625" style="107" customWidth="1"/>
    <col min="2040" max="2042" width="11.42578125" style="107"/>
    <col min="2043" max="2043" width="14.140625" style="107" customWidth="1"/>
    <col min="2044" max="2045" width="15.42578125" style="107" customWidth="1"/>
    <col min="2046" max="2291" width="11.42578125" style="107"/>
    <col min="2292" max="2292" width="5" style="107" customWidth="1"/>
    <col min="2293" max="2293" width="32.140625" style="107" customWidth="1"/>
    <col min="2294" max="2294" width="0" style="107" hidden="1" customWidth="1"/>
    <col min="2295" max="2295" width="17.140625" style="107" customWidth="1"/>
    <col min="2296" max="2298" width="11.42578125" style="107"/>
    <col min="2299" max="2299" width="14.140625" style="107" customWidth="1"/>
    <col min="2300" max="2301" width="15.42578125" style="107" customWidth="1"/>
    <col min="2302" max="2547" width="11.42578125" style="107"/>
    <col min="2548" max="2548" width="5" style="107" customWidth="1"/>
    <col min="2549" max="2549" width="32.140625" style="107" customWidth="1"/>
    <col min="2550" max="2550" width="0" style="107" hidden="1" customWidth="1"/>
    <col min="2551" max="2551" width="17.140625" style="107" customWidth="1"/>
    <col min="2552" max="2554" width="11.42578125" style="107"/>
    <col min="2555" max="2555" width="14.140625" style="107" customWidth="1"/>
    <col min="2556" max="2557" width="15.42578125" style="107" customWidth="1"/>
    <col min="2558" max="2803" width="11.42578125" style="107"/>
    <col min="2804" max="2804" width="5" style="107" customWidth="1"/>
    <col min="2805" max="2805" width="32.140625" style="107" customWidth="1"/>
    <col min="2806" max="2806" width="0" style="107" hidden="1" customWidth="1"/>
    <col min="2807" max="2807" width="17.140625" style="107" customWidth="1"/>
    <col min="2808" max="2810" width="11.42578125" style="107"/>
    <col min="2811" max="2811" width="14.140625" style="107" customWidth="1"/>
    <col min="2812" max="2813" width="15.42578125" style="107" customWidth="1"/>
    <col min="2814" max="3059" width="11.42578125" style="107"/>
    <col min="3060" max="3060" width="5" style="107" customWidth="1"/>
    <col min="3061" max="3061" width="32.140625" style="107" customWidth="1"/>
    <col min="3062" max="3062" width="0" style="107" hidden="1" customWidth="1"/>
    <col min="3063" max="3063" width="17.140625" style="107" customWidth="1"/>
    <col min="3064" max="3066" width="11.42578125" style="107"/>
    <col min="3067" max="3067" width="14.140625" style="107" customWidth="1"/>
    <col min="3068" max="3069" width="15.42578125" style="107" customWidth="1"/>
    <col min="3070" max="3315" width="11.42578125" style="107"/>
    <col min="3316" max="3316" width="5" style="107" customWidth="1"/>
    <col min="3317" max="3317" width="32.140625" style="107" customWidth="1"/>
    <col min="3318" max="3318" width="0" style="107" hidden="1" customWidth="1"/>
    <col min="3319" max="3319" width="17.140625" style="107" customWidth="1"/>
    <col min="3320" max="3322" width="11.42578125" style="107"/>
    <col min="3323" max="3323" width="14.140625" style="107" customWidth="1"/>
    <col min="3324" max="3325" width="15.42578125" style="107" customWidth="1"/>
    <col min="3326" max="3571" width="11.42578125" style="107"/>
    <col min="3572" max="3572" width="5" style="107" customWidth="1"/>
    <col min="3573" max="3573" width="32.140625" style="107" customWidth="1"/>
    <col min="3574" max="3574" width="0" style="107" hidden="1" customWidth="1"/>
    <col min="3575" max="3575" width="17.140625" style="107" customWidth="1"/>
    <col min="3576" max="3578" width="11.42578125" style="107"/>
    <col min="3579" max="3579" width="14.140625" style="107" customWidth="1"/>
    <col min="3580" max="3581" width="15.42578125" style="107" customWidth="1"/>
    <col min="3582" max="3827" width="11.42578125" style="107"/>
    <col min="3828" max="3828" width="5" style="107" customWidth="1"/>
    <col min="3829" max="3829" width="32.140625" style="107" customWidth="1"/>
    <col min="3830" max="3830" width="0" style="107" hidden="1" customWidth="1"/>
    <col min="3831" max="3831" width="17.140625" style="107" customWidth="1"/>
    <col min="3832" max="3834" width="11.42578125" style="107"/>
    <col min="3835" max="3835" width="14.140625" style="107" customWidth="1"/>
    <col min="3836" max="3837" width="15.42578125" style="107" customWidth="1"/>
    <col min="3838" max="4083" width="11.42578125" style="107"/>
    <col min="4084" max="4084" width="5" style="107" customWidth="1"/>
    <col min="4085" max="4085" width="32.140625" style="107" customWidth="1"/>
    <col min="4086" max="4086" width="0" style="107" hidden="1" customWidth="1"/>
    <col min="4087" max="4087" width="17.140625" style="107" customWidth="1"/>
    <col min="4088" max="4090" width="11.42578125" style="107"/>
    <col min="4091" max="4091" width="14.140625" style="107" customWidth="1"/>
    <col min="4092" max="4093" width="15.42578125" style="107" customWidth="1"/>
    <col min="4094" max="4339" width="11.42578125" style="107"/>
    <col min="4340" max="4340" width="5" style="107" customWidth="1"/>
    <col min="4341" max="4341" width="32.140625" style="107" customWidth="1"/>
    <col min="4342" max="4342" width="0" style="107" hidden="1" customWidth="1"/>
    <col min="4343" max="4343" width="17.140625" style="107" customWidth="1"/>
    <col min="4344" max="4346" width="11.42578125" style="107"/>
    <col min="4347" max="4347" width="14.140625" style="107" customWidth="1"/>
    <col min="4348" max="4349" width="15.42578125" style="107" customWidth="1"/>
    <col min="4350" max="4595" width="11.42578125" style="107"/>
    <col min="4596" max="4596" width="5" style="107" customWidth="1"/>
    <col min="4597" max="4597" width="32.140625" style="107" customWidth="1"/>
    <col min="4598" max="4598" width="0" style="107" hidden="1" customWidth="1"/>
    <col min="4599" max="4599" width="17.140625" style="107" customWidth="1"/>
    <col min="4600" max="4602" width="11.42578125" style="107"/>
    <col min="4603" max="4603" width="14.140625" style="107" customWidth="1"/>
    <col min="4604" max="4605" width="15.42578125" style="107" customWidth="1"/>
    <col min="4606" max="4851" width="11.42578125" style="107"/>
    <col min="4852" max="4852" width="5" style="107" customWidth="1"/>
    <col min="4853" max="4853" width="32.140625" style="107" customWidth="1"/>
    <col min="4854" max="4854" width="0" style="107" hidden="1" customWidth="1"/>
    <col min="4855" max="4855" width="17.140625" style="107" customWidth="1"/>
    <col min="4856" max="4858" width="11.42578125" style="107"/>
    <col min="4859" max="4859" width="14.140625" style="107" customWidth="1"/>
    <col min="4860" max="4861" width="15.42578125" style="107" customWidth="1"/>
    <col min="4862" max="5107" width="11.42578125" style="107"/>
    <col min="5108" max="5108" width="5" style="107" customWidth="1"/>
    <col min="5109" max="5109" width="32.140625" style="107" customWidth="1"/>
    <col min="5110" max="5110" width="0" style="107" hidden="1" customWidth="1"/>
    <col min="5111" max="5111" width="17.140625" style="107" customWidth="1"/>
    <col min="5112" max="5114" width="11.42578125" style="107"/>
    <col min="5115" max="5115" width="14.140625" style="107" customWidth="1"/>
    <col min="5116" max="5117" width="15.42578125" style="107" customWidth="1"/>
    <col min="5118" max="5363" width="11.42578125" style="107"/>
    <col min="5364" max="5364" width="5" style="107" customWidth="1"/>
    <col min="5365" max="5365" width="32.140625" style="107" customWidth="1"/>
    <col min="5366" max="5366" width="0" style="107" hidden="1" customWidth="1"/>
    <col min="5367" max="5367" width="17.140625" style="107" customWidth="1"/>
    <col min="5368" max="5370" width="11.42578125" style="107"/>
    <col min="5371" max="5371" width="14.140625" style="107" customWidth="1"/>
    <col min="5372" max="5373" width="15.42578125" style="107" customWidth="1"/>
    <col min="5374" max="5619" width="11.42578125" style="107"/>
    <col min="5620" max="5620" width="5" style="107" customWidth="1"/>
    <col min="5621" max="5621" width="32.140625" style="107" customWidth="1"/>
    <col min="5622" max="5622" width="0" style="107" hidden="1" customWidth="1"/>
    <col min="5623" max="5623" width="17.140625" style="107" customWidth="1"/>
    <col min="5624" max="5626" width="11.42578125" style="107"/>
    <col min="5627" max="5627" width="14.140625" style="107" customWidth="1"/>
    <col min="5628" max="5629" width="15.42578125" style="107" customWidth="1"/>
    <col min="5630" max="5875" width="11.42578125" style="107"/>
    <col min="5876" max="5876" width="5" style="107" customWidth="1"/>
    <col min="5877" max="5877" width="32.140625" style="107" customWidth="1"/>
    <col min="5878" max="5878" width="0" style="107" hidden="1" customWidth="1"/>
    <col min="5879" max="5879" width="17.140625" style="107" customWidth="1"/>
    <col min="5880" max="5882" width="11.42578125" style="107"/>
    <col min="5883" max="5883" width="14.140625" style="107" customWidth="1"/>
    <col min="5884" max="5885" width="15.42578125" style="107" customWidth="1"/>
    <col min="5886" max="6131" width="11.42578125" style="107"/>
    <col min="6132" max="6132" width="5" style="107" customWidth="1"/>
    <col min="6133" max="6133" width="32.140625" style="107" customWidth="1"/>
    <col min="6134" max="6134" width="0" style="107" hidden="1" customWidth="1"/>
    <col min="6135" max="6135" width="17.140625" style="107" customWidth="1"/>
    <col min="6136" max="6138" width="11.42578125" style="107"/>
    <col min="6139" max="6139" width="14.140625" style="107" customWidth="1"/>
    <col min="6140" max="6141" width="15.42578125" style="107" customWidth="1"/>
    <col min="6142" max="6387" width="11.42578125" style="107"/>
    <col min="6388" max="6388" width="5" style="107" customWidth="1"/>
    <col min="6389" max="6389" width="32.140625" style="107" customWidth="1"/>
    <col min="6390" max="6390" width="0" style="107" hidden="1" customWidth="1"/>
    <col min="6391" max="6391" width="17.140625" style="107" customWidth="1"/>
    <col min="6392" max="6394" width="11.42578125" style="107"/>
    <col min="6395" max="6395" width="14.140625" style="107" customWidth="1"/>
    <col min="6396" max="6397" width="15.42578125" style="107" customWidth="1"/>
    <col min="6398" max="6643" width="11.42578125" style="107"/>
    <col min="6644" max="6644" width="5" style="107" customWidth="1"/>
    <col min="6645" max="6645" width="32.140625" style="107" customWidth="1"/>
    <col min="6646" max="6646" width="0" style="107" hidden="1" customWidth="1"/>
    <col min="6647" max="6647" width="17.140625" style="107" customWidth="1"/>
    <col min="6648" max="6650" width="11.42578125" style="107"/>
    <col min="6651" max="6651" width="14.140625" style="107" customWidth="1"/>
    <col min="6652" max="6653" width="15.42578125" style="107" customWidth="1"/>
    <col min="6654" max="6899" width="11.42578125" style="107"/>
    <col min="6900" max="6900" width="5" style="107" customWidth="1"/>
    <col min="6901" max="6901" width="32.140625" style="107" customWidth="1"/>
    <col min="6902" max="6902" width="0" style="107" hidden="1" customWidth="1"/>
    <col min="6903" max="6903" width="17.140625" style="107" customWidth="1"/>
    <col min="6904" max="6906" width="11.42578125" style="107"/>
    <col min="6907" max="6907" width="14.140625" style="107" customWidth="1"/>
    <col min="6908" max="6909" width="15.42578125" style="107" customWidth="1"/>
    <col min="6910" max="7155" width="11.42578125" style="107"/>
    <col min="7156" max="7156" width="5" style="107" customWidth="1"/>
    <col min="7157" max="7157" width="32.140625" style="107" customWidth="1"/>
    <col min="7158" max="7158" width="0" style="107" hidden="1" customWidth="1"/>
    <col min="7159" max="7159" width="17.140625" style="107" customWidth="1"/>
    <col min="7160" max="7162" width="11.42578125" style="107"/>
    <col min="7163" max="7163" width="14.140625" style="107" customWidth="1"/>
    <col min="7164" max="7165" width="15.42578125" style="107" customWidth="1"/>
    <col min="7166" max="7411" width="11.42578125" style="107"/>
    <col min="7412" max="7412" width="5" style="107" customWidth="1"/>
    <col min="7413" max="7413" width="32.140625" style="107" customWidth="1"/>
    <col min="7414" max="7414" width="0" style="107" hidden="1" customWidth="1"/>
    <col min="7415" max="7415" width="17.140625" style="107" customWidth="1"/>
    <col min="7416" max="7418" width="11.42578125" style="107"/>
    <col min="7419" max="7419" width="14.140625" style="107" customWidth="1"/>
    <col min="7420" max="7421" width="15.42578125" style="107" customWidth="1"/>
    <col min="7422" max="7667" width="11.42578125" style="107"/>
    <col min="7668" max="7668" width="5" style="107" customWidth="1"/>
    <col min="7669" max="7669" width="32.140625" style="107" customWidth="1"/>
    <col min="7670" max="7670" width="0" style="107" hidden="1" customWidth="1"/>
    <col min="7671" max="7671" width="17.140625" style="107" customWidth="1"/>
    <col min="7672" max="7674" width="11.42578125" style="107"/>
    <col min="7675" max="7675" width="14.140625" style="107" customWidth="1"/>
    <col min="7676" max="7677" width="15.42578125" style="107" customWidth="1"/>
    <col min="7678" max="7923" width="11.42578125" style="107"/>
    <col min="7924" max="7924" width="5" style="107" customWidth="1"/>
    <col min="7925" max="7925" width="32.140625" style="107" customWidth="1"/>
    <col min="7926" max="7926" width="0" style="107" hidden="1" customWidth="1"/>
    <col min="7927" max="7927" width="17.140625" style="107" customWidth="1"/>
    <col min="7928" max="7930" width="11.42578125" style="107"/>
    <col min="7931" max="7931" width="14.140625" style="107" customWidth="1"/>
    <col min="7932" max="7933" width="15.42578125" style="107" customWidth="1"/>
    <col min="7934" max="8179" width="11.42578125" style="107"/>
    <col min="8180" max="8180" width="5" style="107" customWidth="1"/>
    <col min="8181" max="8181" width="32.140625" style="107" customWidth="1"/>
    <col min="8182" max="8182" width="0" style="107" hidden="1" customWidth="1"/>
    <col min="8183" max="8183" width="17.140625" style="107" customWidth="1"/>
    <col min="8184" max="8186" width="11.42578125" style="107"/>
    <col min="8187" max="8187" width="14.140625" style="107" customWidth="1"/>
    <col min="8188" max="8189" width="15.42578125" style="107" customWidth="1"/>
    <col min="8190" max="8435" width="11.42578125" style="107"/>
    <col min="8436" max="8436" width="5" style="107" customWidth="1"/>
    <col min="8437" max="8437" width="32.140625" style="107" customWidth="1"/>
    <col min="8438" max="8438" width="0" style="107" hidden="1" customWidth="1"/>
    <col min="8439" max="8439" width="17.140625" style="107" customWidth="1"/>
    <col min="8440" max="8442" width="11.42578125" style="107"/>
    <col min="8443" max="8443" width="14.140625" style="107" customWidth="1"/>
    <col min="8444" max="8445" width="15.42578125" style="107" customWidth="1"/>
    <col min="8446" max="8691" width="11.42578125" style="107"/>
    <col min="8692" max="8692" width="5" style="107" customWidth="1"/>
    <col min="8693" max="8693" width="32.140625" style="107" customWidth="1"/>
    <col min="8694" max="8694" width="0" style="107" hidden="1" customWidth="1"/>
    <col min="8695" max="8695" width="17.140625" style="107" customWidth="1"/>
    <col min="8696" max="8698" width="11.42578125" style="107"/>
    <col min="8699" max="8699" width="14.140625" style="107" customWidth="1"/>
    <col min="8700" max="8701" width="15.42578125" style="107" customWidth="1"/>
    <col min="8702" max="8947" width="11.42578125" style="107"/>
    <col min="8948" max="8948" width="5" style="107" customWidth="1"/>
    <col min="8949" max="8949" width="32.140625" style="107" customWidth="1"/>
    <col min="8950" max="8950" width="0" style="107" hidden="1" customWidth="1"/>
    <col min="8951" max="8951" width="17.140625" style="107" customWidth="1"/>
    <col min="8952" max="8954" width="11.42578125" style="107"/>
    <col min="8955" max="8955" width="14.140625" style="107" customWidth="1"/>
    <col min="8956" max="8957" width="15.42578125" style="107" customWidth="1"/>
    <col min="8958" max="9203" width="11.42578125" style="107"/>
    <col min="9204" max="9204" width="5" style="107" customWidth="1"/>
    <col min="9205" max="9205" width="32.140625" style="107" customWidth="1"/>
    <col min="9206" max="9206" width="0" style="107" hidden="1" customWidth="1"/>
    <col min="9207" max="9207" width="17.140625" style="107" customWidth="1"/>
    <col min="9208" max="9210" width="11.42578125" style="107"/>
    <col min="9211" max="9211" width="14.140625" style="107" customWidth="1"/>
    <col min="9212" max="9213" width="15.42578125" style="107" customWidth="1"/>
    <col min="9214" max="9459" width="11.42578125" style="107"/>
    <col min="9460" max="9460" width="5" style="107" customWidth="1"/>
    <col min="9461" max="9461" width="32.140625" style="107" customWidth="1"/>
    <col min="9462" max="9462" width="0" style="107" hidden="1" customWidth="1"/>
    <col min="9463" max="9463" width="17.140625" style="107" customWidth="1"/>
    <col min="9464" max="9466" width="11.42578125" style="107"/>
    <col min="9467" max="9467" width="14.140625" style="107" customWidth="1"/>
    <col min="9468" max="9469" width="15.42578125" style="107" customWidth="1"/>
    <col min="9470" max="9715" width="11.42578125" style="107"/>
    <col min="9716" max="9716" width="5" style="107" customWidth="1"/>
    <col min="9717" max="9717" width="32.140625" style="107" customWidth="1"/>
    <col min="9718" max="9718" width="0" style="107" hidden="1" customWidth="1"/>
    <col min="9719" max="9719" width="17.140625" style="107" customWidth="1"/>
    <col min="9720" max="9722" width="11.42578125" style="107"/>
    <col min="9723" max="9723" width="14.140625" style="107" customWidth="1"/>
    <col min="9724" max="9725" width="15.42578125" style="107" customWidth="1"/>
    <col min="9726" max="9971" width="11.42578125" style="107"/>
    <col min="9972" max="9972" width="5" style="107" customWidth="1"/>
    <col min="9973" max="9973" width="32.140625" style="107" customWidth="1"/>
    <col min="9974" max="9974" width="0" style="107" hidden="1" customWidth="1"/>
    <col min="9975" max="9975" width="17.140625" style="107" customWidth="1"/>
    <col min="9976" max="9978" width="11.42578125" style="107"/>
    <col min="9979" max="9979" width="14.140625" style="107" customWidth="1"/>
    <col min="9980" max="9981" width="15.42578125" style="107" customWidth="1"/>
    <col min="9982" max="10227" width="11.42578125" style="107"/>
    <col min="10228" max="10228" width="5" style="107" customWidth="1"/>
    <col min="10229" max="10229" width="32.140625" style="107" customWidth="1"/>
    <col min="10230" max="10230" width="0" style="107" hidden="1" customWidth="1"/>
    <col min="10231" max="10231" width="17.140625" style="107" customWidth="1"/>
    <col min="10232" max="10234" width="11.42578125" style="107"/>
    <col min="10235" max="10235" width="14.140625" style="107" customWidth="1"/>
    <col min="10236" max="10237" width="15.42578125" style="107" customWidth="1"/>
    <col min="10238" max="10483" width="11.42578125" style="107"/>
    <col min="10484" max="10484" width="5" style="107" customWidth="1"/>
    <col min="10485" max="10485" width="32.140625" style="107" customWidth="1"/>
    <col min="10486" max="10486" width="0" style="107" hidden="1" customWidth="1"/>
    <col min="10487" max="10487" width="17.140625" style="107" customWidth="1"/>
    <col min="10488" max="10490" width="11.42578125" style="107"/>
    <col min="10491" max="10491" width="14.140625" style="107" customWidth="1"/>
    <col min="10492" max="10493" width="15.42578125" style="107" customWidth="1"/>
    <col min="10494" max="10739" width="11.42578125" style="107"/>
    <col min="10740" max="10740" width="5" style="107" customWidth="1"/>
    <col min="10741" max="10741" width="32.140625" style="107" customWidth="1"/>
    <col min="10742" max="10742" width="0" style="107" hidden="1" customWidth="1"/>
    <col min="10743" max="10743" width="17.140625" style="107" customWidth="1"/>
    <col min="10744" max="10746" width="11.42578125" style="107"/>
    <col min="10747" max="10747" width="14.140625" style="107" customWidth="1"/>
    <col min="10748" max="10749" width="15.42578125" style="107" customWidth="1"/>
    <col min="10750" max="10995" width="11.42578125" style="107"/>
    <col min="10996" max="10996" width="5" style="107" customWidth="1"/>
    <col min="10997" max="10997" width="32.140625" style="107" customWidth="1"/>
    <col min="10998" max="10998" width="0" style="107" hidden="1" customWidth="1"/>
    <col min="10999" max="10999" width="17.140625" style="107" customWidth="1"/>
    <col min="11000" max="11002" width="11.42578125" style="107"/>
    <col min="11003" max="11003" width="14.140625" style="107" customWidth="1"/>
    <col min="11004" max="11005" width="15.42578125" style="107" customWidth="1"/>
    <col min="11006" max="11251" width="11.42578125" style="107"/>
    <col min="11252" max="11252" width="5" style="107" customWidth="1"/>
    <col min="11253" max="11253" width="32.140625" style="107" customWidth="1"/>
    <col min="11254" max="11254" width="0" style="107" hidden="1" customWidth="1"/>
    <col min="11255" max="11255" width="17.140625" style="107" customWidth="1"/>
    <col min="11256" max="11258" width="11.42578125" style="107"/>
    <col min="11259" max="11259" width="14.140625" style="107" customWidth="1"/>
    <col min="11260" max="11261" width="15.42578125" style="107" customWidth="1"/>
    <col min="11262" max="11507" width="11.42578125" style="107"/>
    <col min="11508" max="11508" width="5" style="107" customWidth="1"/>
    <col min="11509" max="11509" width="32.140625" style="107" customWidth="1"/>
    <col min="11510" max="11510" width="0" style="107" hidden="1" customWidth="1"/>
    <col min="11511" max="11511" width="17.140625" style="107" customWidth="1"/>
    <col min="11512" max="11514" width="11.42578125" style="107"/>
    <col min="11515" max="11515" width="14.140625" style="107" customWidth="1"/>
    <col min="11516" max="11517" width="15.42578125" style="107" customWidth="1"/>
    <col min="11518" max="11763" width="11.42578125" style="107"/>
    <col min="11764" max="11764" width="5" style="107" customWidth="1"/>
    <col min="11765" max="11765" width="32.140625" style="107" customWidth="1"/>
    <col min="11766" max="11766" width="0" style="107" hidden="1" customWidth="1"/>
    <col min="11767" max="11767" width="17.140625" style="107" customWidth="1"/>
    <col min="11768" max="11770" width="11.42578125" style="107"/>
    <col min="11771" max="11771" width="14.140625" style="107" customWidth="1"/>
    <col min="11772" max="11773" width="15.42578125" style="107" customWidth="1"/>
    <col min="11774" max="12019" width="11.42578125" style="107"/>
    <col min="12020" max="12020" width="5" style="107" customWidth="1"/>
    <col min="12021" max="12021" width="32.140625" style="107" customWidth="1"/>
    <col min="12022" max="12022" width="0" style="107" hidden="1" customWidth="1"/>
    <col min="12023" max="12023" width="17.140625" style="107" customWidth="1"/>
    <col min="12024" max="12026" width="11.42578125" style="107"/>
    <col min="12027" max="12027" width="14.140625" style="107" customWidth="1"/>
    <col min="12028" max="12029" width="15.42578125" style="107" customWidth="1"/>
    <col min="12030" max="12275" width="11.42578125" style="107"/>
    <col min="12276" max="12276" width="5" style="107" customWidth="1"/>
    <col min="12277" max="12277" width="32.140625" style="107" customWidth="1"/>
    <col min="12278" max="12278" width="0" style="107" hidden="1" customWidth="1"/>
    <col min="12279" max="12279" width="17.140625" style="107" customWidth="1"/>
    <col min="12280" max="12282" width="11.42578125" style="107"/>
    <col min="12283" max="12283" width="14.140625" style="107" customWidth="1"/>
    <col min="12284" max="12285" width="15.42578125" style="107" customWidth="1"/>
    <col min="12286" max="12531" width="11.42578125" style="107"/>
    <col min="12532" max="12532" width="5" style="107" customWidth="1"/>
    <col min="12533" max="12533" width="32.140625" style="107" customWidth="1"/>
    <col min="12534" max="12534" width="0" style="107" hidden="1" customWidth="1"/>
    <col min="12535" max="12535" width="17.140625" style="107" customWidth="1"/>
    <col min="12536" max="12538" width="11.42578125" style="107"/>
    <col min="12539" max="12539" width="14.140625" style="107" customWidth="1"/>
    <col min="12540" max="12541" width="15.42578125" style="107" customWidth="1"/>
    <col min="12542" max="12787" width="11.42578125" style="107"/>
    <col min="12788" max="12788" width="5" style="107" customWidth="1"/>
    <col min="12789" max="12789" width="32.140625" style="107" customWidth="1"/>
    <col min="12790" max="12790" width="0" style="107" hidden="1" customWidth="1"/>
    <col min="12791" max="12791" width="17.140625" style="107" customWidth="1"/>
    <col min="12792" max="12794" width="11.42578125" style="107"/>
    <col min="12795" max="12795" width="14.140625" style="107" customWidth="1"/>
    <col min="12796" max="12797" width="15.42578125" style="107" customWidth="1"/>
    <col min="12798" max="13043" width="11.42578125" style="107"/>
    <col min="13044" max="13044" width="5" style="107" customWidth="1"/>
    <col min="13045" max="13045" width="32.140625" style="107" customWidth="1"/>
    <col min="13046" max="13046" width="0" style="107" hidden="1" customWidth="1"/>
    <col min="13047" max="13047" width="17.140625" style="107" customWidth="1"/>
    <col min="13048" max="13050" width="11.42578125" style="107"/>
    <col min="13051" max="13051" width="14.140625" style="107" customWidth="1"/>
    <col min="13052" max="13053" width="15.42578125" style="107" customWidth="1"/>
    <col min="13054" max="13299" width="11.42578125" style="107"/>
    <col min="13300" max="13300" width="5" style="107" customWidth="1"/>
    <col min="13301" max="13301" width="32.140625" style="107" customWidth="1"/>
    <col min="13302" max="13302" width="0" style="107" hidden="1" customWidth="1"/>
    <col min="13303" max="13303" width="17.140625" style="107" customWidth="1"/>
    <col min="13304" max="13306" width="11.42578125" style="107"/>
    <col min="13307" max="13307" width="14.140625" style="107" customWidth="1"/>
    <col min="13308" max="13309" width="15.42578125" style="107" customWidth="1"/>
    <col min="13310" max="13555" width="11.42578125" style="107"/>
    <col min="13556" max="13556" width="5" style="107" customWidth="1"/>
    <col min="13557" max="13557" width="32.140625" style="107" customWidth="1"/>
    <col min="13558" max="13558" width="0" style="107" hidden="1" customWidth="1"/>
    <col min="13559" max="13559" width="17.140625" style="107" customWidth="1"/>
    <col min="13560" max="13562" width="11.42578125" style="107"/>
    <col min="13563" max="13563" width="14.140625" style="107" customWidth="1"/>
    <col min="13564" max="13565" width="15.42578125" style="107" customWidth="1"/>
    <col min="13566" max="13811" width="11.42578125" style="107"/>
    <col min="13812" max="13812" width="5" style="107" customWidth="1"/>
    <col min="13813" max="13813" width="32.140625" style="107" customWidth="1"/>
    <col min="13814" max="13814" width="0" style="107" hidden="1" customWidth="1"/>
    <col min="13815" max="13815" width="17.140625" style="107" customWidth="1"/>
    <col min="13816" max="13818" width="11.42578125" style="107"/>
    <col min="13819" max="13819" width="14.140625" style="107" customWidth="1"/>
    <col min="13820" max="13821" width="15.42578125" style="107" customWidth="1"/>
    <col min="13822" max="14067" width="11.42578125" style="107"/>
    <col min="14068" max="14068" width="5" style="107" customWidth="1"/>
    <col min="14069" max="14069" width="32.140625" style="107" customWidth="1"/>
    <col min="14070" max="14070" width="0" style="107" hidden="1" customWidth="1"/>
    <col min="14071" max="14071" width="17.140625" style="107" customWidth="1"/>
    <col min="14072" max="14074" width="11.42578125" style="107"/>
    <col min="14075" max="14075" width="14.140625" style="107" customWidth="1"/>
    <col min="14076" max="14077" width="15.42578125" style="107" customWidth="1"/>
    <col min="14078" max="14323" width="11.42578125" style="107"/>
    <col min="14324" max="14324" width="5" style="107" customWidth="1"/>
    <col min="14325" max="14325" width="32.140625" style="107" customWidth="1"/>
    <col min="14326" max="14326" width="0" style="107" hidden="1" customWidth="1"/>
    <col min="14327" max="14327" width="17.140625" style="107" customWidth="1"/>
    <col min="14328" max="14330" width="11.42578125" style="107"/>
    <col min="14331" max="14331" width="14.140625" style="107" customWidth="1"/>
    <col min="14332" max="14333" width="15.42578125" style="107" customWidth="1"/>
    <col min="14334" max="14579" width="11.42578125" style="107"/>
    <col min="14580" max="14580" width="5" style="107" customWidth="1"/>
    <col min="14581" max="14581" width="32.140625" style="107" customWidth="1"/>
    <col min="14582" max="14582" width="0" style="107" hidden="1" customWidth="1"/>
    <col min="14583" max="14583" width="17.140625" style="107" customWidth="1"/>
    <col min="14584" max="14586" width="11.42578125" style="107"/>
    <col min="14587" max="14587" width="14.140625" style="107" customWidth="1"/>
    <col min="14588" max="14589" width="15.42578125" style="107" customWidth="1"/>
    <col min="14590" max="14835" width="11.42578125" style="107"/>
    <col min="14836" max="14836" width="5" style="107" customWidth="1"/>
    <col min="14837" max="14837" width="32.140625" style="107" customWidth="1"/>
    <col min="14838" max="14838" width="0" style="107" hidden="1" customWidth="1"/>
    <col min="14839" max="14839" width="17.140625" style="107" customWidth="1"/>
    <col min="14840" max="14842" width="11.42578125" style="107"/>
    <col min="14843" max="14843" width="14.140625" style="107" customWidth="1"/>
    <col min="14844" max="14845" width="15.42578125" style="107" customWidth="1"/>
    <col min="14846" max="15091" width="11.42578125" style="107"/>
    <col min="15092" max="15092" width="5" style="107" customWidth="1"/>
    <col min="15093" max="15093" width="32.140625" style="107" customWidth="1"/>
    <col min="15094" max="15094" width="0" style="107" hidden="1" customWidth="1"/>
    <col min="15095" max="15095" width="17.140625" style="107" customWidth="1"/>
    <col min="15096" max="15098" width="11.42578125" style="107"/>
    <col min="15099" max="15099" width="14.140625" style="107" customWidth="1"/>
    <col min="15100" max="15101" width="15.42578125" style="107" customWidth="1"/>
    <col min="15102" max="15347" width="11.42578125" style="107"/>
    <col min="15348" max="15348" width="5" style="107" customWidth="1"/>
    <col min="15349" max="15349" width="32.140625" style="107" customWidth="1"/>
    <col min="15350" max="15350" width="0" style="107" hidden="1" customWidth="1"/>
    <col min="15351" max="15351" width="17.140625" style="107" customWidth="1"/>
    <col min="15352" max="15354" width="11.42578125" style="107"/>
    <col min="15355" max="15355" width="14.140625" style="107" customWidth="1"/>
    <col min="15356" max="15357" width="15.42578125" style="107" customWidth="1"/>
    <col min="15358" max="15603" width="11.42578125" style="107"/>
    <col min="15604" max="15604" width="5" style="107" customWidth="1"/>
    <col min="15605" max="15605" width="32.140625" style="107" customWidth="1"/>
    <col min="15606" max="15606" width="0" style="107" hidden="1" customWidth="1"/>
    <col min="15607" max="15607" width="17.140625" style="107" customWidth="1"/>
    <col min="15608" max="15610" width="11.42578125" style="107"/>
    <col min="15611" max="15611" width="14.140625" style="107" customWidth="1"/>
    <col min="15612" max="15613" width="15.42578125" style="107" customWidth="1"/>
    <col min="15614" max="15859" width="11.42578125" style="107"/>
    <col min="15860" max="15860" width="5" style="107" customWidth="1"/>
    <col min="15861" max="15861" width="32.140625" style="107" customWidth="1"/>
    <col min="15862" max="15862" width="0" style="107" hidden="1" customWidth="1"/>
    <col min="15863" max="15863" width="17.140625" style="107" customWidth="1"/>
    <col min="15864" max="15866" width="11.42578125" style="107"/>
    <col min="15867" max="15867" width="14.140625" style="107" customWidth="1"/>
    <col min="15868" max="15869" width="15.42578125" style="107" customWidth="1"/>
    <col min="15870" max="16115" width="11.42578125" style="107"/>
    <col min="16116" max="16116" width="5" style="107" customWidth="1"/>
    <col min="16117" max="16117" width="32.140625" style="107" customWidth="1"/>
    <col min="16118" max="16118" width="0" style="107" hidden="1" customWidth="1"/>
    <col min="16119" max="16119" width="17.140625" style="107" customWidth="1"/>
    <col min="16120" max="16122" width="11.42578125" style="107"/>
    <col min="16123" max="16123" width="14.140625" style="107" customWidth="1"/>
    <col min="16124" max="16125" width="15.42578125" style="107" customWidth="1"/>
    <col min="16126" max="16384" width="11.42578125" style="107"/>
  </cols>
  <sheetData>
    <row r="1" spans="1:11" ht="15.75">
      <c r="C1" s="162"/>
      <c r="E1" s="225"/>
      <c r="F1" s="276">
        <v>2026</v>
      </c>
      <c r="G1" s="276"/>
      <c r="H1" s="276"/>
      <c r="I1" s="127"/>
      <c r="J1" s="163"/>
      <c r="K1" s="163"/>
    </row>
    <row r="2" spans="1:11" ht="34.15" customHeight="1">
      <c r="A2" s="104" t="s">
        <v>157</v>
      </c>
      <c r="B2" s="105" t="s">
        <v>158</v>
      </c>
      <c r="C2" s="105" t="s">
        <v>159</v>
      </c>
      <c r="D2" s="105" t="s">
        <v>160</v>
      </c>
      <c r="E2" s="106" t="s">
        <v>161</v>
      </c>
      <c r="F2" s="105" t="s">
        <v>162</v>
      </c>
      <c r="G2" s="106" t="s">
        <v>163</v>
      </c>
      <c r="H2" s="105" t="s">
        <v>164</v>
      </c>
      <c r="K2" s="163"/>
    </row>
    <row r="3" spans="1:11" ht="54" customHeight="1">
      <c r="A3" s="108">
        <v>1</v>
      </c>
      <c r="B3" s="109" t="s">
        <v>165</v>
      </c>
      <c r="C3" s="112" t="s">
        <v>166</v>
      </c>
      <c r="D3" s="110" t="s">
        <v>167</v>
      </c>
      <c r="E3" s="108">
        <v>40</v>
      </c>
      <c r="F3" s="236"/>
      <c r="G3" s="111">
        <f>+ROUND(F3*0.19,0)</f>
        <v>0</v>
      </c>
      <c r="H3" s="111">
        <f t="shared" ref="H3:H34" si="0">(F3+G3)*E3</f>
        <v>0</v>
      </c>
      <c r="I3" s="127"/>
      <c r="J3" s="127"/>
    </row>
    <row r="4" spans="1:11" ht="31.5" customHeight="1">
      <c r="A4" s="108">
        <v>2</v>
      </c>
      <c r="B4" s="112" t="s">
        <v>168</v>
      </c>
      <c r="C4" s="275" t="s">
        <v>169</v>
      </c>
      <c r="D4" s="110" t="s">
        <v>170</v>
      </c>
      <c r="E4" s="108">
        <v>15</v>
      </c>
      <c r="F4" s="236"/>
      <c r="G4" s="111">
        <f>+ROUND(F4*0.19,0)</f>
        <v>0</v>
      </c>
      <c r="H4" s="111">
        <f t="shared" si="0"/>
        <v>0</v>
      </c>
      <c r="I4" s="127"/>
      <c r="J4" s="127"/>
    </row>
    <row r="5" spans="1:11" ht="31.5" customHeight="1">
      <c r="A5" s="108">
        <v>3</v>
      </c>
      <c r="B5" s="112" t="s">
        <v>171</v>
      </c>
      <c r="C5" s="113" t="s">
        <v>172</v>
      </c>
      <c r="D5" s="110" t="s">
        <v>173</v>
      </c>
      <c r="E5" s="226">
        <v>550</v>
      </c>
      <c r="F5" s="236"/>
      <c r="G5" s="111">
        <f>+ROUND(F5*0.19,0)</f>
        <v>0</v>
      </c>
      <c r="H5" s="111">
        <f t="shared" si="0"/>
        <v>0</v>
      </c>
      <c r="I5" s="127"/>
      <c r="J5" s="127"/>
    </row>
    <row r="6" spans="1:11" ht="31.5" customHeight="1">
      <c r="A6" s="108">
        <v>4</v>
      </c>
      <c r="B6" s="112" t="s">
        <v>174</v>
      </c>
      <c r="C6" s="113" t="s">
        <v>175</v>
      </c>
      <c r="D6" s="110" t="s">
        <v>176</v>
      </c>
      <c r="E6" s="226">
        <v>448</v>
      </c>
      <c r="F6" s="236"/>
      <c r="G6" s="111">
        <f>+ROUND(F6*0.05,0)</f>
        <v>0</v>
      </c>
      <c r="H6" s="111">
        <f t="shared" si="0"/>
        <v>0</v>
      </c>
      <c r="I6" s="127"/>
      <c r="J6" s="127"/>
    </row>
    <row r="7" spans="1:11" ht="31.5" customHeight="1">
      <c r="A7" s="108">
        <v>5</v>
      </c>
      <c r="B7" s="112" t="s">
        <v>177</v>
      </c>
      <c r="C7" s="113" t="s">
        <v>178</v>
      </c>
      <c r="D7" s="110" t="s">
        <v>179</v>
      </c>
      <c r="E7" s="108">
        <v>15</v>
      </c>
      <c r="F7" s="236"/>
      <c r="G7" s="111">
        <f t="shared" ref="G7:G24" si="1">+ROUND(F7*0.19,0)</f>
        <v>0</v>
      </c>
      <c r="H7" s="111">
        <f t="shared" si="0"/>
        <v>0</v>
      </c>
      <c r="I7" s="127"/>
      <c r="J7" s="127"/>
    </row>
    <row r="8" spans="1:11" ht="31.5" customHeight="1">
      <c r="A8" s="108">
        <v>6</v>
      </c>
      <c r="B8" s="112" t="s">
        <v>180</v>
      </c>
      <c r="C8" s="113" t="s">
        <v>181</v>
      </c>
      <c r="D8" s="110" t="s">
        <v>182</v>
      </c>
      <c r="E8" s="108">
        <v>100</v>
      </c>
      <c r="F8" s="236"/>
      <c r="G8" s="111">
        <f t="shared" si="1"/>
        <v>0</v>
      </c>
      <c r="H8" s="111">
        <f t="shared" si="0"/>
        <v>0</v>
      </c>
      <c r="I8" s="127"/>
      <c r="J8" s="127"/>
    </row>
    <row r="9" spans="1:11" ht="31.5" customHeight="1">
      <c r="A9" s="108">
        <v>7</v>
      </c>
      <c r="B9" s="112" t="s">
        <v>183</v>
      </c>
      <c r="C9" s="115" t="s">
        <v>184</v>
      </c>
      <c r="D9" s="110" t="s">
        <v>182</v>
      </c>
      <c r="E9" s="108">
        <v>500</v>
      </c>
      <c r="F9" s="236"/>
      <c r="G9" s="111">
        <f t="shared" si="1"/>
        <v>0</v>
      </c>
      <c r="H9" s="111">
        <f t="shared" si="0"/>
        <v>0</v>
      </c>
      <c r="I9" s="127"/>
      <c r="J9" s="127"/>
    </row>
    <row r="10" spans="1:11" ht="31.5" customHeight="1">
      <c r="A10" s="108">
        <v>8</v>
      </c>
      <c r="B10" s="112" t="s">
        <v>185</v>
      </c>
      <c r="C10" s="112" t="s">
        <v>186</v>
      </c>
      <c r="D10" s="110" t="s">
        <v>182</v>
      </c>
      <c r="E10" s="108">
        <v>100</v>
      </c>
      <c r="F10" s="236"/>
      <c r="G10" s="111">
        <f t="shared" si="1"/>
        <v>0</v>
      </c>
      <c r="H10" s="111">
        <f t="shared" si="0"/>
        <v>0</v>
      </c>
      <c r="I10" s="127"/>
      <c r="J10" s="127"/>
    </row>
    <row r="11" spans="1:11" ht="31.5" customHeight="1">
      <c r="A11" s="108">
        <v>9</v>
      </c>
      <c r="B11" s="109" t="s">
        <v>187</v>
      </c>
      <c r="C11" s="115" t="s">
        <v>188</v>
      </c>
      <c r="D11" s="110" t="s">
        <v>182</v>
      </c>
      <c r="E11" s="108">
        <v>100</v>
      </c>
      <c r="F11" s="236"/>
      <c r="G11" s="111">
        <f t="shared" si="1"/>
        <v>0</v>
      </c>
      <c r="H11" s="111">
        <f t="shared" si="0"/>
        <v>0</v>
      </c>
      <c r="I11" s="127"/>
      <c r="J11" s="127"/>
    </row>
    <row r="12" spans="1:11" ht="31.5" customHeight="1">
      <c r="A12" s="108">
        <v>10</v>
      </c>
      <c r="B12" s="109" t="s">
        <v>189</v>
      </c>
      <c r="C12" s="115" t="s">
        <v>190</v>
      </c>
      <c r="D12" s="110" t="s">
        <v>182</v>
      </c>
      <c r="E12" s="108">
        <v>100</v>
      </c>
      <c r="F12" s="236"/>
      <c r="G12" s="111">
        <f t="shared" si="1"/>
        <v>0</v>
      </c>
      <c r="H12" s="111">
        <f t="shared" si="0"/>
        <v>0</v>
      </c>
      <c r="I12" s="127"/>
      <c r="J12" s="127"/>
    </row>
    <row r="13" spans="1:11" ht="31.5" customHeight="1">
      <c r="A13" s="108">
        <v>11</v>
      </c>
      <c r="B13" s="112" t="s">
        <v>191</v>
      </c>
      <c r="C13" s="113" t="s">
        <v>192</v>
      </c>
      <c r="D13" s="110" t="s">
        <v>182</v>
      </c>
      <c r="E13" s="108">
        <v>100</v>
      </c>
      <c r="F13" s="236"/>
      <c r="G13" s="111">
        <f t="shared" si="1"/>
        <v>0</v>
      </c>
      <c r="H13" s="111">
        <f t="shared" si="0"/>
        <v>0</v>
      </c>
      <c r="I13" s="127"/>
      <c r="J13" s="127"/>
    </row>
    <row r="14" spans="1:11" ht="31.5" customHeight="1">
      <c r="A14" s="108">
        <v>12</v>
      </c>
      <c r="B14" s="112" t="s">
        <v>193</v>
      </c>
      <c r="C14" s="112" t="s">
        <v>194</v>
      </c>
      <c r="D14" s="110" t="s">
        <v>182</v>
      </c>
      <c r="E14" s="108">
        <v>30</v>
      </c>
      <c r="F14" s="236"/>
      <c r="G14" s="111">
        <f t="shared" si="1"/>
        <v>0</v>
      </c>
      <c r="H14" s="111">
        <f t="shared" si="0"/>
        <v>0</v>
      </c>
      <c r="I14" s="127"/>
      <c r="J14" s="127"/>
    </row>
    <row r="15" spans="1:11" ht="31.5" customHeight="1">
      <c r="A15" s="108">
        <v>13</v>
      </c>
      <c r="B15" s="109" t="s">
        <v>195</v>
      </c>
      <c r="C15" s="112" t="s">
        <v>196</v>
      </c>
      <c r="D15" s="110" t="s">
        <v>182</v>
      </c>
      <c r="E15" s="108">
        <v>40</v>
      </c>
      <c r="F15" s="236"/>
      <c r="G15" s="111">
        <f t="shared" si="1"/>
        <v>0</v>
      </c>
      <c r="H15" s="111">
        <f t="shared" si="0"/>
        <v>0</v>
      </c>
      <c r="I15" s="127"/>
      <c r="J15" s="127"/>
    </row>
    <row r="16" spans="1:11" ht="31.5" customHeight="1">
      <c r="A16" s="108">
        <v>14</v>
      </c>
      <c r="B16" s="109" t="s">
        <v>195</v>
      </c>
      <c r="C16" s="112" t="s">
        <v>197</v>
      </c>
      <c r="D16" s="110" t="s">
        <v>182</v>
      </c>
      <c r="E16" s="108">
        <v>40</v>
      </c>
      <c r="F16" s="236"/>
      <c r="G16" s="111">
        <f t="shared" si="1"/>
        <v>0</v>
      </c>
      <c r="H16" s="111">
        <f t="shared" si="0"/>
        <v>0</v>
      </c>
      <c r="I16" s="127"/>
      <c r="J16" s="127"/>
    </row>
    <row r="17" spans="1:10" ht="31.5" customHeight="1">
      <c r="A17" s="108">
        <v>15</v>
      </c>
      <c r="B17" s="109" t="s">
        <v>195</v>
      </c>
      <c r="C17" s="112" t="s">
        <v>198</v>
      </c>
      <c r="D17" s="110" t="s">
        <v>182</v>
      </c>
      <c r="E17" s="108">
        <v>40</v>
      </c>
      <c r="F17" s="236"/>
      <c r="G17" s="111">
        <f t="shared" si="1"/>
        <v>0</v>
      </c>
      <c r="H17" s="111">
        <f t="shared" si="0"/>
        <v>0</v>
      </c>
      <c r="I17" s="127"/>
      <c r="J17" s="127"/>
    </row>
    <row r="18" spans="1:10" ht="31.5" customHeight="1">
      <c r="A18" s="108">
        <v>16</v>
      </c>
      <c r="B18" s="109" t="s">
        <v>195</v>
      </c>
      <c r="C18" s="112" t="s">
        <v>199</v>
      </c>
      <c r="D18" s="110" t="s">
        <v>182</v>
      </c>
      <c r="E18" s="108">
        <v>40</v>
      </c>
      <c r="F18" s="236"/>
      <c r="G18" s="111">
        <f t="shared" si="1"/>
        <v>0</v>
      </c>
      <c r="H18" s="111">
        <f t="shared" si="0"/>
        <v>0</v>
      </c>
      <c r="I18" s="127"/>
      <c r="J18" s="127"/>
    </row>
    <row r="19" spans="1:10" ht="31.5" customHeight="1">
      <c r="A19" s="108">
        <v>17</v>
      </c>
      <c r="B19" s="109" t="s">
        <v>200</v>
      </c>
      <c r="C19" s="115" t="s">
        <v>201</v>
      </c>
      <c r="D19" s="110" t="s">
        <v>182</v>
      </c>
      <c r="E19" s="108">
        <v>40</v>
      </c>
      <c r="F19" s="236"/>
      <c r="G19" s="111">
        <f t="shared" si="1"/>
        <v>0</v>
      </c>
      <c r="H19" s="111">
        <f t="shared" si="0"/>
        <v>0</v>
      </c>
      <c r="I19" s="127"/>
      <c r="J19" s="127"/>
    </row>
    <row r="20" spans="1:10" ht="31.5" customHeight="1">
      <c r="A20" s="108">
        <v>18</v>
      </c>
      <c r="B20" s="164" t="s">
        <v>202</v>
      </c>
      <c r="C20" s="113" t="s">
        <v>203</v>
      </c>
      <c r="D20" s="110" t="s">
        <v>182</v>
      </c>
      <c r="E20" s="108">
        <v>20</v>
      </c>
      <c r="F20" s="236"/>
      <c r="G20" s="111">
        <f t="shared" si="1"/>
        <v>0</v>
      </c>
      <c r="H20" s="111">
        <f t="shared" si="0"/>
        <v>0</v>
      </c>
      <c r="I20" s="127"/>
      <c r="J20" s="127"/>
    </row>
    <row r="21" spans="1:10" ht="31.5" customHeight="1">
      <c r="A21" s="108">
        <v>19</v>
      </c>
      <c r="B21" s="109" t="s">
        <v>204</v>
      </c>
      <c r="C21" s="113" t="s">
        <v>205</v>
      </c>
      <c r="D21" s="110" t="s">
        <v>182</v>
      </c>
      <c r="E21" s="108">
        <v>100</v>
      </c>
      <c r="F21" s="236"/>
      <c r="G21" s="111">
        <f t="shared" si="1"/>
        <v>0</v>
      </c>
      <c r="H21" s="111">
        <f t="shared" si="0"/>
        <v>0</v>
      </c>
      <c r="I21" s="127"/>
      <c r="J21" s="127"/>
    </row>
    <row r="22" spans="1:10" ht="31.5" customHeight="1">
      <c r="A22" s="108">
        <v>20</v>
      </c>
      <c r="B22" s="109" t="s">
        <v>206</v>
      </c>
      <c r="C22" s="112" t="s">
        <v>207</v>
      </c>
      <c r="D22" s="110" t="s">
        <v>182</v>
      </c>
      <c r="E22" s="108">
        <v>100</v>
      </c>
      <c r="F22" s="236"/>
      <c r="G22" s="111">
        <f t="shared" si="1"/>
        <v>0</v>
      </c>
      <c r="H22" s="111">
        <f t="shared" si="0"/>
        <v>0</v>
      </c>
      <c r="I22" s="127"/>
      <c r="J22" s="127"/>
    </row>
    <row r="23" spans="1:10" ht="31.5" customHeight="1">
      <c r="A23" s="108">
        <v>21</v>
      </c>
      <c r="B23" s="109" t="s">
        <v>208</v>
      </c>
      <c r="C23" s="113" t="s">
        <v>209</v>
      </c>
      <c r="D23" s="110" t="s">
        <v>182</v>
      </c>
      <c r="E23" s="108">
        <v>30</v>
      </c>
      <c r="F23" s="236"/>
      <c r="G23" s="111">
        <f t="shared" si="1"/>
        <v>0</v>
      </c>
      <c r="H23" s="111">
        <f t="shared" si="0"/>
        <v>0</v>
      </c>
      <c r="I23" s="127"/>
      <c r="J23" s="127"/>
    </row>
    <row r="24" spans="1:10" ht="31.5" customHeight="1">
      <c r="A24" s="108">
        <v>22</v>
      </c>
      <c r="B24" s="109" t="s">
        <v>210</v>
      </c>
      <c r="C24" s="113" t="s">
        <v>211</v>
      </c>
      <c r="D24" s="110" t="s">
        <v>179</v>
      </c>
      <c r="E24" s="108">
        <v>10</v>
      </c>
      <c r="F24" s="236"/>
      <c r="G24" s="111">
        <f t="shared" si="1"/>
        <v>0</v>
      </c>
      <c r="H24" s="111">
        <f t="shared" si="0"/>
        <v>0</v>
      </c>
      <c r="I24" s="127"/>
      <c r="J24" s="127"/>
    </row>
    <row r="25" spans="1:10" ht="31.5" customHeight="1">
      <c r="A25" s="108">
        <v>23</v>
      </c>
      <c r="B25" s="112" t="s">
        <v>212</v>
      </c>
      <c r="C25" s="113" t="s">
        <v>213</v>
      </c>
      <c r="D25" s="110" t="s">
        <v>214</v>
      </c>
      <c r="E25" s="226">
        <v>200</v>
      </c>
      <c r="F25" s="236"/>
      <c r="G25" s="111">
        <f>+ROUND(F25*0.05,0)</f>
        <v>0</v>
      </c>
      <c r="H25" s="111">
        <f t="shared" si="0"/>
        <v>0</v>
      </c>
      <c r="I25" s="127"/>
      <c r="J25" s="127"/>
    </row>
    <row r="26" spans="1:10" ht="31.5" customHeight="1">
      <c r="A26" s="108">
        <v>24</v>
      </c>
      <c r="B26" s="109" t="s">
        <v>215</v>
      </c>
      <c r="C26" s="113" t="s">
        <v>216</v>
      </c>
      <c r="D26" s="110" t="s">
        <v>179</v>
      </c>
      <c r="E26" s="108">
        <v>11</v>
      </c>
      <c r="F26" s="236"/>
      <c r="G26" s="111">
        <f t="shared" ref="G26:G57" si="2">+ROUND(F26*0.19,0)</f>
        <v>0</v>
      </c>
      <c r="H26" s="111">
        <f t="shared" si="0"/>
        <v>0</v>
      </c>
      <c r="I26" s="127"/>
      <c r="J26" s="127"/>
    </row>
    <row r="27" spans="1:10" ht="31.5" customHeight="1">
      <c r="A27" s="108">
        <v>25</v>
      </c>
      <c r="B27" s="109" t="s">
        <v>217</v>
      </c>
      <c r="C27" s="113" t="s">
        <v>218</v>
      </c>
      <c r="D27" s="110" t="s">
        <v>179</v>
      </c>
      <c r="E27" s="108">
        <v>9</v>
      </c>
      <c r="F27" s="236"/>
      <c r="G27" s="111">
        <f t="shared" si="2"/>
        <v>0</v>
      </c>
      <c r="H27" s="111">
        <f t="shared" si="0"/>
        <v>0</v>
      </c>
      <c r="I27" s="127"/>
      <c r="J27" s="127"/>
    </row>
    <row r="28" spans="1:10" ht="31.5" customHeight="1">
      <c r="A28" s="108">
        <v>26</v>
      </c>
      <c r="B28" s="109" t="s">
        <v>219</v>
      </c>
      <c r="C28" s="109" t="s">
        <v>220</v>
      </c>
      <c r="D28" s="110" t="s">
        <v>179</v>
      </c>
      <c r="E28" s="108">
        <v>10</v>
      </c>
      <c r="F28" s="236"/>
      <c r="G28" s="111">
        <f t="shared" si="2"/>
        <v>0</v>
      </c>
      <c r="H28" s="111">
        <f t="shared" si="0"/>
        <v>0</v>
      </c>
      <c r="I28" s="127"/>
      <c r="J28" s="127"/>
    </row>
    <row r="29" spans="1:10" ht="31.5" customHeight="1">
      <c r="A29" s="108">
        <v>27</v>
      </c>
      <c r="B29" s="109" t="s">
        <v>221</v>
      </c>
      <c r="C29" s="113" t="s">
        <v>222</v>
      </c>
      <c r="D29" s="110" t="s">
        <v>223</v>
      </c>
      <c r="E29" s="108">
        <v>20</v>
      </c>
      <c r="F29" s="236"/>
      <c r="G29" s="111">
        <f t="shared" si="2"/>
        <v>0</v>
      </c>
      <c r="H29" s="111">
        <f t="shared" si="0"/>
        <v>0</v>
      </c>
      <c r="I29" s="127"/>
      <c r="J29" s="127"/>
    </row>
    <row r="30" spans="1:10" ht="31.5" customHeight="1">
      <c r="A30" s="108">
        <v>28</v>
      </c>
      <c r="B30" s="112" t="s">
        <v>224</v>
      </c>
      <c r="C30" s="113" t="s">
        <v>225</v>
      </c>
      <c r="D30" s="110" t="s">
        <v>226</v>
      </c>
      <c r="E30" s="226">
        <v>50</v>
      </c>
      <c r="F30" s="236"/>
      <c r="G30" s="111">
        <f t="shared" si="2"/>
        <v>0</v>
      </c>
      <c r="H30" s="111">
        <f t="shared" si="0"/>
        <v>0</v>
      </c>
      <c r="I30" s="127"/>
      <c r="J30" s="127"/>
    </row>
    <row r="31" spans="1:10" ht="31.5" customHeight="1">
      <c r="A31" s="108">
        <v>29</v>
      </c>
      <c r="B31" s="116" t="s">
        <v>227</v>
      </c>
      <c r="C31" s="113" t="s">
        <v>228</v>
      </c>
      <c r="D31" s="110" t="s">
        <v>229</v>
      </c>
      <c r="E31" s="108">
        <v>50</v>
      </c>
      <c r="F31" s="236"/>
      <c r="G31" s="111">
        <f t="shared" si="2"/>
        <v>0</v>
      </c>
      <c r="H31" s="111">
        <f t="shared" si="0"/>
        <v>0</v>
      </c>
      <c r="I31" s="127"/>
      <c r="J31" s="127"/>
    </row>
    <row r="32" spans="1:10" ht="31.5" customHeight="1">
      <c r="A32" s="108">
        <v>30</v>
      </c>
      <c r="B32" s="109" t="s">
        <v>230</v>
      </c>
      <c r="C32" s="112" t="s">
        <v>231</v>
      </c>
      <c r="D32" s="110" t="s">
        <v>232</v>
      </c>
      <c r="E32" s="108">
        <v>10</v>
      </c>
      <c r="F32" s="236"/>
      <c r="G32" s="111">
        <f t="shared" si="2"/>
        <v>0</v>
      </c>
      <c r="H32" s="111">
        <f t="shared" si="0"/>
        <v>0</v>
      </c>
      <c r="I32" s="127"/>
      <c r="J32" s="127"/>
    </row>
    <row r="33" spans="1:10" ht="31.5" customHeight="1">
      <c r="A33" s="108">
        <v>31</v>
      </c>
      <c r="B33" s="109" t="s">
        <v>233</v>
      </c>
      <c r="C33" s="113" t="s">
        <v>234</v>
      </c>
      <c r="D33" s="110" t="s">
        <v>235</v>
      </c>
      <c r="E33" s="108">
        <v>200</v>
      </c>
      <c r="F33" s="236"/>
      <c r="G33" s="111">
        <f t="shared" si="2"/>
        <v>0</v>
      </c>
      <c r="H33" s="111">
        <f t="shared" si="0"/>
        <v>0</v>
      </c>
      <c r="I33" s="127"/>
      <c r="J33" s="127"/>
    </row>
    <row r="34" spans="1:10" ht="31.5" customHeight="1">
      <c r="A34" s="108">
        <v>32</v>
      </c>
      <c r="B34" s="115" t="s">
        <v>236</v>
      </c>
      <c r="C34" s="113" t="s">
        <v>237</v>
      </c>
      <c r="D34" s="110" t="s">
        <v>232</v>
      </c>
      <c r="E34" s="108">
        <v>100</v>
      </c>
      <c r="F34" s="236"/>
      <c r="G34" s="111">
        <f t="shared" si="2"/>
        <v>0</v>
      </c>
      <c r="H34" s="111">
        <f t="shared" si="0"/>
        <v>0</v>
      </c>
      <c r="I34" s="127"/>
      <c r="J34" s="127"/>
    </row>
    <row r="35" spans="1:10" ht="31.5" customHeight="1">
      <c r="A35" s="108">
        <v>33</v>
      </c>
      <c r="B35" s="115" t="s">
        <v>238</v>
      </c>
      <c r="C35" s="113" t="s">
        <v>239</v>
      </c>
      <c r="D35" s="110" t="s">
        <v>240</v>
      </c>
      <c r="E35" s="108">
        <v>20</v>
      </c>
      <c r="F35" s="236"/>
      <c r="G35" s="111">
        <f t="shared" si="2"/>
        <v>0</v>
      </c>
      <c r="H35" s="111">
        <f t="shared" ref="H35:H66" si="3">(F35+G35)*E35</f>
        <v>0</v>
      </c>
      <c r="I35" s="127"/>
      <c r="J35" s="127"/>
    </row>
    <row r="36" spans="1:10" ht="31.5" customHeight="1">
      <c r="A36" s="108">
        <v>34</v>
      </c>
      <c r="B36" s="109" t="s">
        <v>241</v>
      </c>
      <c r="C36" s="113" t="s">
        <v>242</v>
      </c>
      <c r="D36" s="110" t="s">
        <v>179</v>
      </c>
      <c r="E36" s="108">
        <v>30</v>
      </c>
      <c r="F36" s="236"/>
      <c r="G36" s="111">
        <f t="shared" si="2"/>
        <v>0</v>
      </c>
      <c r="H36" s="111">
        <f t="shared" si="3"/>
        <v>0</v>
      </c>
      <c r="I36" s="127"/>
      <c r="J36" s="127"/>
    </row>
    <row r="37" spans="1:10" ht="31.5" customHeight="1">
      <c r="A37" s="108">
        <v>35</v>
      </c>
      <c r="B37" s="158" t="s">
        <v>243</v>
      </c>
      <c r="C37" s="113" t="s">
        <v>244</v>
      </c>
      <c r="D37" s="110" t="s">
        <v>179</v>
      </c>
      <c r="E37" s="108">
        <v>30</v>
      </c>
      <c r="F37" s="236"/>
      <c r="G37" s="111">
        <f t="shared" si="2"/>
        <v>0</v>
      </c>
      <c r="H37" s="111">
        <f t="shared" si="3"/>
        <v>0</v>
      </c>
      <c r="I37" s="127"/>
      <c r="J37" s="127"/>
    </row>
    <row r="38" spans="1:10" ht="31.5" customHeight="1">
      <c r="A38" s="108">
        <v>36</v>
      </c>
      <c r="B38" s="109" t="s">
        <v>245</v>
      </c>
      <c r="C38" s="112" t="s">
        <v>246</v>
      </c>
      <c r="D38" s="110" t="s">
        <v>179</v>
      </c>
      <c r="E38" s="108">
        <v>10</v>
      </c>
      <c r="F38" s="236"/>
      <c r="G38" s="111">
        <f t="shared" si="2"/>
        <v>0</v>
      </c>
      <c r="H38" s="111">
        <f t="shared" si="3"/>
        <v>0</v>
      </c>
      <c r="I38" s="127"/>
      <c r="J38" s="127"/>
    </row>
    <row r="39" spans="1:10" ht="31.5" customHeight="1">
      <c r="A39" s="108">
        <v>37</v>
      </c>
      <c r="B39" s="109" t="s">
        <v>247</v>
      </c>
      <c r="C39" s="113" t="s">
        <v>248</v>
      </c>
      <c r="D39" s="110" t="s">
        <v>179</v>
      </c>
      <c r="E39" s="108">
        <v>40</v>
      </c>
      <c r="F39" s="236"/>
      <c r="G39" s="111">
        <f t="shared" si="2"/>
        <v>0</v>
      </c>
      <c r="H39" s="111">
        <f t="shared" si="3"/>
        <v>0</v>
      </c>
      <c r="I39" s="127"/>
      <c r="J39" s="127"/>
    </row>
    <row r="40" spans="1:10" ht="31.5" customHeight="1">
      <c r="A40" s="108">
        <v>38</v>
      </c>
      <c r="B40" s="109" t="s">
        <v>249</v>
      </c>
      <c r="C40" s="112" t="s">
        <v>250</v>
      </c>
      <c r="D40" s="110" t="s">
        <v>179</v>
      </c>
      <c r="E40" s="108">
        <v>50</v>
      </c>
      <c r="F40" s="236"/>
      <c r="G40" s="111">
        <f t="shared" si="2"/>
        <v>0</v>
      </c>
      <c r="H40" s="111">
        <f t="shared" si="3"/>
        <v>0</v>
      </c>
      <c r="I40" s="127"/>
      <c r="J40" s="127"/>
    </row>
    <row r="41" spans="1:10" ht="31.5" customHeight="1">
      <c r="A41" s="108">
        <v>39</v>
      </c>
      <c r="B41" s="112" t="s">
        <v>251</v>
      </c>
      <c r="C41" s="113" t="s">
        <v>252</v>
      </c>
      <c r="D41" s="110" t="s">
        <v>179</v>
      </c>
      <c r="E41" s="108">
        <v>10</v>
      </c>
      <c r="F41" s="236"/>
      <c r="G41" s="111">
        <f t="shared" si="2"/>
        <v>0</v>
      </c>
      <c r="H41" s="111">
        <f t="shared" si="3"/>
        <v>0</v>
      </c>
      <c r="I41" s="127"/>
      <c r="J41" s="127"/>
    </row>
    <row r="42" spans="1:10" ht="31.5" customHeight="1">
      <c r="A42" s="108">
        <v>40</v>
      </c>
      <c r="B42" s="109" t="s">
        <v>253</v>
      </c>
      <c r="C42" s="115" t="s">
        <v>254</v>
      </c>
      <c r="D42" s="110" t="s">
        <v>179</v>
      </c>
      <c r="E42" s="108">
        <v>500</v>
      </c>
      <c r="F42" s="236"/>
      <c r="G42" s="111">
        <f t="shared" si="2"/>
        <v>0</v>
      </c>
      <c r="H42" s="111">
        <f t="shared" si="3"/>
        <v>0</v>
      </c>
      <c r="I42" s="127"/>
      <c r="J42" s="127"/>
    </row>
    <row r="43" spans="1:10" ht="31.5" customHeight="1">
      <c r="A43" s="108">
        <v>41</v>
      </c>
      <c r="B43" s="109" t="s">
        <v>255</v>
      </c>
      <c r="C43" s="115" t="s">
        <v>256</v>
      </c>
      <c r="D43" s="110" t="s">
        <v>179</v>
      </c>
      <c r="E43" s="108">
        <v>280</v>
      </c>
      <c r="F43" s="236"/>
      <c r="G43" s="111">
        <f t="shared" si="2"/>
        <v>0</v>
      </c>
      <c r="H43" s="111">
        <f t="shared" si="3"/>
        <v>0</v>
      </c>
      <c r="I43" s="127"/>
      <c r="J43" s="127"/>
    </row>
    <row r="44" spans="1:10" ht="31.5" customHeight="1">
      <c r="A44" s="108">
        <v>42</v>
      </c>
      <c r="B44" s="112" t="s">
        <v>257</v>
      </c>
      <c r="C44" s="113" t="s">
        <v>258</v>
      </c>
      <c r="D44" s="110" t="s">
        <v>179</v>
      </c>
      <c r="E44" s="108">
        <v>10</v>
      </c>
      <c r="F44" s="236"/>
      <c r="G44" s="111">
        <f t="shared" si="2"/>
        <v>0</v>
      </c>
      <c r="H44" s="111">
        <f t="shared" si="3"/>
        <v>0</v>
      </c>
      <c r="I44" s="127"/>
      <c r="J44" s="127"/>
    </row>
    <row r="45" spans="1:10" ht="31.5" customHeight="1">
      <c r="A45" s="108">
        <v>43</v>
      </c>
      <c r="B45" s="112" t="s">
        <v>259</v>
      </c>
      <c r="C45" s="113" t="s">
        <v>260</v>
      </c>
      <c r="D45" s="110" t="s">
        <v>179</v>
      </c>
      <c r="E45" s="226">
        <v>10</v>
      </c>
      <c r="F45" s="236"/>
      <c r="G45" s="111">
        <f t="shared" si="2"/>
        <v>0</v>
      </c>
      <c r="H45" s="111">
        <f t="shared" si="3"/>
        <v>0</v>
      </c>
      <c r="I45" s="127"/>
      <c r="J45" s="127"/>
    </row>
    <row r="46" spans="1:10" ht="31.5" customHeight="1">
      <c r="A46" s="108">
        <v>44</v>
      </c>
      <c r="B46" s="109" t="s">
        <v>261</v>
      </c>
      <c r="C46" s="112" t="s">
        <v>262</v>
      </c>
      <c r="D46" s="110" t="s">
        <v>263</v>
      </c>
      <c r="E46" s="108">
        <v>10</v>
      </c>
      <c r="F46" s="236"/>
      <c r="G46" s="111">
        <f t="shared" si="2"/>
        <v>0</v>
      </c>
      <c r="H46" s="111">
        <f t="shared" si="3"/>
        <v>0</v>
      </c>
      <c r="I46" s="127"/>
      <c r="J46" s="127"/>
    </row>
    <row r="47" spans="1:10" ht="31.5" customHeight="1">
      <c r="A47" s="108">
        <v>45</v>
      </c>
      <c r="B47" s="109" t="s">
        <v>264</v>
      </c>
      <c r="C47" s="113" t="s">
        <v>265</v>
      </c>
      <c r="D47" s="110" t="s">
        <v>266</v>
      </c>
      <c r="E47" s="108">
        <v>100</v>
      </c>
      <c r="F47" s="236"/>
      <c r="G47" s="111">
        <f t="shared" si="2"/>
        <v>0</v>
      </c>
      <c r="H47" s="111">
        <f t="shared" si="3"/>
        <v>0</v>
      </c>
      <c r="I47" s="127"/>
      <c r="J47" s="127"/>
    </row>
    <row r="48" spans="1:10" ht="31.5" customHeight="1">
      <c r="A48" s="108">
        <v>46</v>
      </c>
      <c r="B48" s="109" t="s">
        <v>267</v>
      </c>
      <c r="C48" s="112" t="s">
        <v>268</v>
      </c>
      <c r="D48" s="110" t="s">
        <v>179</v>
      </c>
      <c r="E48" s="108">
        <v>5</v>
      </c>
      <c r="F48" s="236"/>
      <c r="G48" s="111">
        <f t="shared" si="2"/>
        <v>0</v>
      </c>
      <c r="H48" s="111">
        <f t="shared" si="3"/>
        <v>0</v>
      </c>
      <c r="I48" s="127"/>
      <c r="J48" s="127"/>
    </row>
    <row r="49" spans="1:10" ht="31.5" customHeight="1">
      <c r="A49" s="108">
        <v>47</v>
      </c>
      <c r="B49" s="112" t="s">
        <v>269</v>
      </c>
      <c r="C49" s="113" t="s">
        <v>270</v>
      </c>
      <c r="D49" s="110" t="s">
        <v>232</v>
      </c>
      <c r="E49" s="108">
        <v>100</v>
      </c>
      <c r="F49" s="236"/>
      <c r="G49" s="111">
        <f t="shared" si="2"/>
        <v>0</v>
      </c>
      <c r="H49" s="111">
        <f t="shared" si="3"/>
        <v>0</v>
      </c>
      <c r="I49" s="127"/>
      <c r="J49" s="127"/>
    </row>
    <row r="50" spans="1:10" ht="31.5" customHeight="1">
      <c r="A50" s="108">
        <v>48</v>
      </c>
      <c r="B50" s="109" t="s">
        <v>271</v>
      </c>
      <c r="C50" s="112" t="s">
        <v>272</v>
      </c>
      <c r="D50" s="110" t="s">
        <v>273</v>
      </c>
      <c r="E50" s="108">
        <v>10</v>
      </c>
      <c r="F50" s="236"/>
      <c r="G50" s="111">
        <f t="shared" si="2"/>
        <v>0</v>
      </c>
      <c r="H50" s="111">
        <f t="shared" si="3"/>
        <v>0</v>
      </c>
      <c r="I50" s="127"/>
      <c r="J50" s="127"/>
    </row>
    <row r="51" spans="1:10" ht="31.5" customHeight="1">
      <c r="A51" s="108">
        <v>49</v>
      </c>
      <c r="B51" s="109" t="s">
        <v>274</v>
      </c>
      <c r="C51" s="113" t="s">
        <v>275</v>
      </c>
      <c r="D51" s="110" t="s">
        <v>276</v>
      </c>
      <c r="E51" s="108">
        <v>100</v>
      </c>
      <c r="F51" s="236"/>
      <c r="G51" s="111">
        <f t="shared" si="2"/>
        <v>0</v>
      </c>
      <c r="H51" s="111">
        <f t="shared" si="3"/>
        <v>0</v>
      </c>
      <c r="I51" s="127"/>
      <c r="J51" s="127"/>
    </row>
    <row r="52" spans="1:10" ht="31.5" customHeight="1">
      <c r="A52" s="108">
        <v>50</v>
      </c>
      <c r="B52" s="109" t="s">
        <v>277</v>
      </c>
      <c r="C52" s="113" t="s">
        <v>278</v>
      </c>
      <c r="D52" s="110" t="s">
        <v>229</v>
      </c>
      <c r="E52" s="108">
        <v>400</v>
      </c>
      <c r="F52" s="236"/>
      <c r="G52" s="111">
        <f t="shared" si="2"/>
        <v>0</v>
      </c>
      <c r="H52" s="111">
        <f t="shared" si="3"/>
        <v>0</v>
      </c>
      <c r="I52" s="127"/>
      <c r="J52" s="127"/>
    </row>
    <row r="53" spans="1:10" ht="31.5" customHeight="1">
      <c r="A53" s="108">
        <v>51</v>
      </c>
      <c r="B53" s="109" t="s">
        <v>279</v>
      </c>
      <c r="C53" s="113" t="s">
        <v>280</v>
      </c>
      <c r="D53" s="110" t="s">
        <v>281</v>
      </c>
      <c r="E53" s="108">
        <v>400</v>
      </c>
      <c r="F53" s="236"/>
      <c r="G53" s="111">
        <f t="shared" si="2"/>
        <v>0</v>
      </c>
      <c r="H53" s="111">
        <f t="shared" si="3"/>
        <v>0</v>
      </c>
      <c r="I53" s="127"/>
      <c r="J53" s="127"/>
    </row>
    <row r="54" spans="1:10" ht="31.5" customHeight="1">
      <c r="A54" s="108">
        <v>52</v>
      </c>
      <c r="B54" s="112" t="s">
        <v>282</v>
      </c>
      <c r="C54" s="113" t="s">
        <v>283</v>
      </c>
      <c r="D54" s="110" t="s">
        <v>284</v>
      </c>
      <c r="E54" s="226">
        <v>10</v>
      </c>
      <c r="F54" s="236"/>
      <c r="G54" s="111">
        <f t="shared" si="2"/>
        <v>0</v>
      </c>
      <c r="H54" s="111">
        <f t="shared" si="3"/>
        <v>0</v>
      </c>
      <c r="I54" s="127"/>
      <c r="J54" s="127"/>
    </row>
    <row r="55" spans="1:10" ht="31.5" customHeight="1">
      <c r="A55" s="108">
        <v>53</v>
      </c>
      <c r="B55" s="112" t="s">
        <v>285</v>
      </c>
      <c r="C55" s="112" t="s">
        <v>286</v>
      </c>
      <c r="D55" s="110" t="s">
        <v>179</v>
      </c>
      <c r="E55" s="108">
        <v>10</v>
      </c>
      <c r="F55" s="236"/>
      <c r="G55" s="111">
        <f t="shared" si="2"/>
        <v>0</v>
      </c>
      <c r="H55" s="111">
        <f t="shared" si="3"/>
        <v>0</v>
      </c>
      <c r="I55" s="127"/>
      <c r="J55" s="127"/>
    </row>
    <row r="56" spans="1:10" ht="31.5" customHeight="1">
      <c r="A56" s="108">
        <v>54</v>
      </c>
      <c r="B56" s="109" t="s">
        <v>287</v>
      </c>
      <c r="C56" s="113" t="s">
        <v>288</v>
      </c>
      <c r="D56" s="110" t="s">
        <v>281</v>
      </c>
      <c r="E56" s="108">
        <v>400</v>
      </c>
      <c r="F56" s="236"/>
      <c r="G56" s="111">
        <f t="shared" si="2"/>
        <v>0</v>
      </c>
      <c r="H56" s="111">
        <f t="shared" si="3"/>
        <v>0</v>
      </c>
      <c r="I56" s="127"/>
      <c r="J56" s="127"/>
    </row>
    <row r="57" spans="1:10" ht="31.5" customHeight="1">
      <c r="A57" s="108">
        <v>55</v>
      </c>
      <c r="B57" s="109" t="s">
        <v>289</v>
      </c>
      <c r="C57" s="113" t="s">
        <v>290</v>
      </c>
      <c r="D57" s="110" t="s">
        <v>229</v>
      </c>
      <c r="E57" s="108">
        <v>60</v>
      </c>
      <c r="F57" s="236"/>
      <c r="G57" s="111">
        <f t="shared" si="2"/>
        <v>0</v>
      </c>
      <c r="H57" s="111">
        <f t="shared" si="3"/>
        <v>0</v>
      </c>
      <c r="I57" s="127"/>
      <c r="J57" s="127"/>
    </row>
    <row r="58" spans="1:10" ht="31.5" customHeight="1">
      <c r="A58" s="108">
        <v>56</v>
      </c>
      <c r="B58" s="112" t="s">
        <v>291</v>
      </c>
      <c r="C58" s="113" t="s">
        <v>292</v>
      </c>
      <c r="D58" s="110" t="s">
        <v>293</v>
      </c>
      <c r="E58" s="226">
        <v>30</v>
      </c>
      <c r="F58" s="236"/>
      <c r="G58" s="111">
        <f t="shared" ref="G58:G78" si="4">+ROUND(F58*0.19,0)</f>
        <v>0</v>
      </c>
      <c r="H58" s="111">
        <f t="shared" si="3"/>
        <v>0</v>
      </c>
      <c r="I58" s="127"/>
      <c r="J58" s="127"/>
    </row>
    <row r="59" spans="1:10" ht="31.5" customHeight="1">
      <c r="A59" s="108">
        <v>57</v>
      </c>
      <c r="B59" s="112" t="s">
        <v>294</v>
      </c>
      <c r="C59" s="122" t="s">
        <v>295</v>
      </c>
      <c r="D59" s="110" t="s">
        <v>226</v>
      </c>
      <c r="E59" s="108">
        <v>10</v>
      </c>
      <c r="F59" s="236"/>
      <c r="G59" s="111">
        <f t="shared" si="4"/>
        <v>0</v>
      </c>
      <c r="H59" s="111">
        <f t="shared" si="3"/>
        <v>0</v>
      </c>
      <c r="I59" s="127"/>
      <c r="J59" s="127"/>
    </row>
    <row r="60" spans="1:10" ht="31.5" customHeight="1">
      <c r="A60" s="108">
        <v>58</v>
      </c>
      <c r="B60" s="109" t="s">
        <v>296</v>
      </c>
      <c r="C60" s="113" t="s">
        <v>297</v>
      </c>
      <c r="D60" s="110" t="s">
        <v>179</v>
      </c>
      <c r="E60" s="108">
        <v>100</v>
      </c>
      <c r="F60" s="236"/>
      <c r="G60" s="111">
        <f t="shared" si="4"/>
        <v>0</v>
      </c>
      <c r="H60" s="111">
        <f t="shared" si="3"/>
        <v>0</v>
      </c>
      <c r="I60" s="127"/>
      <c r="J60" s="127"/>
    </row>
    <row r="61" spans="1:10" ht="31.5" customHeight="1">
      <c r="A61" s="108">
        <v>59</v>
      </c>
      <c r="B61" s="109" t="s">
        <v>298</v>
      </c>
      <c r="C61" s="119" t="s">
        <v>299</v>
      </c>
      <c r="D61" s="120" t="s">
        <v>300</v>
      </c>
      <c r="E61" s="108">
        <v>42</v>
      </c>
      <c r="F61" s="236"/>
      <c r="G61" s="111">
        <f t="shared" si="4"/>
        <v>0</v>
      </c>
      <c r="H61" s="111">
        <f t="shared" si="3"/>
        <v>0</v>
      </c>
      <c r="I61" s="127"/>
      <c r="J61" s="127"/>
    </row>
    <row r="62" spans="1:10" ht="31.5" customHeight="1">
      <c r="A62" s="108">
        <v>60</v>
      </c>
      <c r="B62" s="112" t="s">
        <v>301</v>
      </c>
      <c r="C62" s="113" t="s">
        <v>302</v>
      </c>
      <c r="D62" s="110" t="s">
        <v>303</v>
      </c>
      <c r="E62" s="108">
        <v>50</v>
      </c>
      <c r="F62" s="236"/>
      <c r="G62" s="111">
        <f t="shared" si="4"/>
        <v>0</v>
      </c>
      <c r="H62" s="111">
        <f t="shared" si="3"/>
        <v>0</v>
      </c>
      <c r="I62" s="127"/>
      <c r="J62" s="127"/>
    </row>
    <row r="63" spans="1:10" ht="31.5" customHeight="1">
      <c r="A63" s="108">
        <v>61</v>
      </c>
      <c r="B63" s="112" t="s">
        <v>304</v>
      </c>
      <c r="C63" s="112" t="s">
        <v>305</v>
      </c>
      <c r="D63" s="110" t="s">
        <v>306</v>
      </c>
      <c r="E63" s="108">
        <v>580</v>
      </c>
      <c r="F63" s="236"/>
      <c r="G63" s="111">
        <f t="shared" si="4"/>
        <v>0</v>
      </c>
      <c r="H63" s="111">
        <f t="shared" si="3"/>
        <v>0</v>
      </c>
      <c r="I63" s="127"/>
      <c r="J63" s="127"/>
    </row>
    <row r="64" spans="1:10" ht="31.5" customHeight="1">
      <c r="A64" s="108">
        <v>62</v>
      </c>
      <c r="B64" s="109" t="s">
        <v>307</v>
      </c>
      <c r="C64" s="113" t="s">
        <v>308</v>
      </c>
      <c r="D64" s="110" t="s">
        <v>179</v>
      </c>
      <c r="E64" s="108">
        <v>5</v>
      </c>
      <c r="F64" s="236"/>
      <c r="G64" s="111">
        <f t="shared" si="4"/>
        <v>0</v>
      </c>
      <c r="H64" s="111">
        <f t="shared" si="3"/>
        <v>0</v>
      </c>
      <c r="I64" s="127"/>
      <c r="J64" s="127"/>
    </row>
    <row r="65" spans="1:10" ht="31.5" customHeight="1">
      <c r="A65" s="108">
        <v>63</v>
      </c>
      <c r="B65" s="109" t="s">
        <v>309</v>
      </c>
      <c r="C65" s="113" t="s">
        <v>310</v>
      </c>
      <c r="D65" s="110" t="s">
        <v>179</v>
      </c>
      <c r="E65" s="108">
        <v>5</v>
      </c>
      <c r="F65" s="236"/>
      <c r="G65" s="111">
        <f t="shared" si="4"/>
        <v>0</v>
      </c>
      <c r="H65" s="111">
        <f t="shared" si="3"/>
        <v>0</v>
      </c>
      <c r="I65" s="127"/>
      <c r="J65" s="127"/>
    </row>
    <row r="66" spans="1:10" ht="31.5" customHeight="1">
      <c r="A66" s="108">
        <v>64</v>
      </c>
      <c r="B66" s="109" t="s">
        <v>311</v>
      </c>
      <c r="C66" s="112" t="s">
        <v>312</v>
      </c>
      <c r="D66" s="110" t="s">
        <v>179</v>
      </c>
      <c r="E66" s="108">
        <v>10</v>
      </c>
      <c r="F66" s="236"/>
      <c r="G66" s="111">
        <f t="shared" si="4"/>
        <v>0</v>
      </c>
      <c r="H66" s="111">
        <f t="shared" si="3"/>
        <v>0</v>
      </c>
      <c r="I66" s="127"/>
      <c r="J66" s="127"/>
    </row>
    <row r="67" spans="1:10" ht="31.5" customHeight="1">
      <c r="A67" s="108">
        <v>65</v>
      </c>
      <c r="B67" s="109" t="s">
        <v>313</v>
      </c>
      <c r="C67" s="112" t="s">
        <v>314</v>
      </c>
      <c r="D67" s="110" t="s">
        <v>179</v>
      </c>
      <c r="E67" s="108">
        <v>20</v>
      </c>
      <c r="F67" s="236"/>
      <c r="G67" s="111">
        <f t="shared" si="4"/>
        <v>0</v>
      </c>
      <c r="H67" s="111">
        <f t="shared" ref="H67:H78" si="5">(F67+G67)*E67</f>
        <v>0</v>
      </c>
      <c r="I67" s="127"/>
      <c r="J67" s="127"/>
    </row>
    <row r="68" spans="1:10" ht="31.5" customHeight="1">
      <c r="A68" s="108">
        <v>66</v>
      </c>
      <c r="B68" s="109" t="s">
        <v>315</v>
      </c>
      <c r="C68" s="121" t="s">
        <v>316</v>
      </c>
      <c r="D68" s="110" t="s">
        <v>179</v>
      </c>
      <c r="E68" s="108">
        <v>5</v>
      </c>
      <c r="F68" s="236"/>
      <c r="G68" s="111">
        <f t="shared" si="4"/>
        <v>0</v>
      </c>
      <c r="H68" s="111">
        <f t="shared" si="5"/>
        <v>0</v>
      </c>
      <c r="I68" s="127"/>
      <c r="J68" s="127"/>
    </row>
    <row r="69" spans="1:10" ht="31.5" customHeight="1">
      <c r="A69" s="108">
        <v>67</v>
      </c>
      <c r="B69" s="109" t="s">
        <v>317</v>
      </c>
      <c r="C69" s="113" t="s">
        <v>318</v>
      </c>
      <c r="D69" s="110" t="s">
        <v>179</v>
      </c>
      <c r="E69" s="108">
        <v>20</v>
      </c>
      <c r="F69" s="236"/>
      <c r="G69" s="111">
        <f t="shared" si="4"/>
        <v>0</v>
      </c>
      <c r="H69" s="111">
        <f t="shared" si="5"/>
        <v>0</v>
      </c>
      <c r="I69" s="127"/>
      <c r="J69" s="127"/>
    </row>
    <row r="70" spans="1:10" ht="31.5" customHeight="1">
      <c r="A70" s="108">
        <v>68</v>
      </c>
      <c r="B70" s="112" t="s">
        <v>319</v>
      </c>
      <c r="C70" s="114" t="s">
        <v>320</v>
      </c>
      <c r="D70" s="110" t="s">
        <v>321</v>
      </c>
      <c r="E70" s="226">
        <v>60</v>
      </c>
      <c r="F70" s="236"/>
      <c r="G70" s="111">
        <f t="shared" si="4"/>
        <v>0</v>
      </c>
      <c r="H70" s="111">
        <f t="shared" si="5"/>
        <v>0</v>
      </c>
      <c r="I70" s="127"/>
      <c r="J70" s="127"/>
    </row>
    <row r="71" spans="1:10" ht="31.5" customHeight="1">
      <c r="A71" s="108">
        <v>69</v>
      </c>
      <c r="B71" s="112" t="s">
        <v>322</v>
      </c>
      <c r="C71" s="113" t="s">
        <v>323</v>
      </c>
      <c r="D71" s="110" t="s">
        <v>232</v>
      </c>
      <c r="E71" s="108">
        <v>40</v>
      </c>
      <c r="F71" s="236"/>
      <c r="G71" s="111">
        <f t="shared" si="4"/>
        <v>0</v>
      </c>
      <c r="H71" s="111">
        <f t="shared" si="5"/>
        <v>0</v>
      </c>
      <c r="I71" s="127"/>
      <c r="J71" s="127"/>
    </row>
    <row r="72" spans="1:10" ht="31.5" customHeight="1">
      <c r="A72" s="108">
        <v>70</v>
      </c>
      <c r="B72" s="112" t="s">
        <v>324</v>
      </c>
      <c r="C72" s="114" t="s">
        <v>325</v>
      </c>
      <c r="D72" s="110" t="s">
        <v>179</v>
      </c>
      <c r="E72" s="226">
        <v>15</v>
      </c>
      <c r="F72" s="236"/>
      <c r="G72" s="111">
        <f t="shared" si="4"/>
        <v>0</v>
      </c>
      <c r="H72" s="111">
        <f t="shared" si="5"/>
        <v>0</v>
      </c>
      <c r="I72" s="127"/>
      <c r="J72" s="127"/>
    </row>
    <row r="73" spans="1:10" ht="31.5" customHeight="1">
      <c r="A73" s="108">
        <v>71</v>
      </c>
      <c r="B73" s="112" t="s">
        <v>326</v>
      </c>
      <c r="C73" s="113" t="s">
        <v>327</v>
      </c>
      <c r="D73" s="110" t="s">
        <v>328</v>
      </c>
      <c r="E73" s="108">
        <v>500</v>
      </c>
      <c r="F73" s="236"/>
      <c r="G73" s="111">
        <f t="shared" si="4"/>
        <v>0</v>
      </c>
      <c r="H73" s="111">
        <f t="shared" si="5"/>
        <v>0</v>
      </c>
      <c r="I73" s="127"/>
      <c r="J73" s="127"/>
    </row>
    <row r="74" spans="1:10" ht="31.5" customHeight="1">
      <c r="A74" s="108">
        <v>72</v>
      </c>
      <c r="B74" s="109" t="s">
        <v>329</v>
      </c>
      <c r="C74" s="113" t="s">
        <v>330</v>
      </c>
      <c r="D74" s="110" t="s">
        <v>331</v>
      </c>
      <c r="E74" s="108">
        <v>500</v>
      </c>
      <c r="F74" s="236"/>
      <c r="G74" s="111">
        <f t="shared" si="4"/>
        <v>0</v>
      </c>
      <c r="H74" s="111">
        <f t="shared" si="5"/>
        <v>0</v>
      </c>
      <c r="I74" s="127"/>
      <c r="J74" s="127"/>
    </row>
    <row r="75" spans="1:10" ht="31.5" customHeight="1">
      <c r="A75" s="108">
        <v>73</v>
      </c>
      <c r="B75" s="112" t="s">
        <v>332</v>
      </c>
      <c r="C75" s="112" t="s">
        <v>333</v>
      </c>
      <c r="D75" s="110" t="s">
        <v>179</v>
      </c>
      <c r="E75" s="108">
        <v>70</v>
      </c>
      <c r="F75" s="236"/>
      <c r="G75" s="111">
        <f t="shared" si="4"/>
        <v>0</v>
      </c>
      <c r="H75" s="111">
        <f t="shared" si="5"/>
        <v>0</v>
      </c>
      <c r="I75" s="127"/>
      <c r="J75" s="127"/>
    </row>
    <row r="76" spans="1:10" ht="31.5" customHeight="1">
      <c r="A76" s="108">
        <v>74</v>
      </c>
      <c r="B76" s="122" t="s">
        <v>334</v>
      </c>
      <c r="C76" s="113" t="s">
        <v>335</v>
      </c>
      <c r="D76" s="110" t="s">
        <v>179</v>
      </c>
      <c r="E76" s="226">
        <v>58</v>
      </c>
      <c r="F76" s="236"/>
      <c r="G76" s="111">
        <f t="shared" si="4"/>
        <v>0</v>
      </c>
      <c r="H76" s="111">
        <f t="shared" si="5"/>
        <v>0</v>
      </c>
      <c r="I76" s="127"/>
      <c r="J76" s="127"/>
    </row>
    <row r="77" spans="1:10" ht="31.5" customHeight="1">
      <c r="A77" s="108">
        <v>75</v>
      </c>
      <c r="B77" s="112" t="s">
        <v>336</v>
      </c>
      <c r="C77" s="113" t="s">
        <v>337</v>
      </c>
      <c r="D77" s="110" t="s">
        <v>338</v>
      </c>
      <c r="E77" s="226">
        <v>100</v>
      </c>
      <c r="F77" s="236"/>
      <c r="G77" s="111">
        <f t="shared" si="4"/>
        <v>0</v>
      </c>
      <c r="H77" s="111">
        <f t="shared" si="5"/>
        <v>0</v>
      </c>
      <c r="I77" s="127"/>
      <c r="J77" s="127"/>
    </row>
    <row r="78" spans="1:10" ht="25.5">
      <c r="A78" s="108">
        <v>76</v>
      </c>
      <c r="B78" s="112" t="s">
        <v>339</v>
      </c>
      <c r="C78" s="113" t="s">
        <v>340</v>
      </c>
      <c r="D78" s="110" t="s">
        <v>338</v>
      </c>
      <c r="E78" s="226">
        <v>100</v>
      </c>
      <c r="F78" s="236"/>
      <c r="G78" s="111">
        <f t="shared" si="4"/>
        <v>0</v>
      </c>
      <c r="H78" s="111">
        <f t="shared" si="5"/>
        <v>0</v>
      </c>
      <c r="I78" s="127"/>
      <c r="J78" s="127"/>
    </row>
    <row r="79" spans="1:10" ht="31.5" customHeight="1">
      <c r="F79" s="126" t="s">
        <v>341</v>
      </c>
      <c r="G79" s="111"/>
      <c r="H79" s="125">
        <f>SUM(H3:H78)</f>
        <v>0</v>
      </c>
      <c r="I79" s="165"/>
    </row>
    <row r="80" spans="1:10" ht="31.5" customHeight="1">
      <c r="B80" s="235" t="s">
        <v>342</v>
      </c>
    </row>
  </sheetData>
  <autoFilter ref="A2:J80" xr:uid="{00000000-0009-0000-0000-000004000000}"/>
  <mergeCells count="1">
    <mergeCell ref="F1:H1"/>
  </mergeCells>
  <pageMargins left="0.7" right="0.7" top="0.75" bottom="0.7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90"/>
  <sheetViews>
    <sheetView topLeftCell="A43" zoomScaleNormal="100" workbookViewId="0">
      <selection activeCell="B62" sqref="B62"/>
    </sheetView>
  </sheetViews>
  <sheetFormatPr defaultColWidth="11.42578125" defaultRowHeight="15"/>
  <cols>
    <col min="1" max="1" width="40" style="2" customWidth="1"/>
    <col min="2" max="2" width="18.42578125" customWidth="1"/>
    <col min="3" max="4" width="27.28515625" customWidth="1"/>
    <col min="5" max="5" width="34.7109375" bestFit="1" customWidth="1"/>
    <col min="6" max="6" width="25.140625" customWidth="1"/>
    <col min="7" max="7" width="27.5703125" customWidth="1"/>
    <col min="8" max="8" width="18.5703125" customWidth="1"/>
    <col min="9" max="9" width="16.42578125" bestFit="1" customWidth="1"/>
    <col min="10" max="10" width="18.5703125" bestFit="1" customWidth="1"/>
    <col min="11" max="11" width="8.7109375" customWidth="1"/>
    <col min="12" max="12" width="32.85546875" bestFit="1" customWidth="1"/>
    <col min="13" max="13" width="22.85546875" customWidth="1"/>
    <col min="14" max="14" width="14" style="1" customWidth="1"/>
    <col min="15" max="15" width="22" bestFit="1" customWidth="1"/>
    <col min="16" max="16" width="21.5703125" customWidth="1"/>
    <col min="17" max="17" width="13.5703125" bestFit="1" customWidth="1"/>
    <col min="18" max="18" width="15.140625" bestFit="1" customWidth="1"/>
  </cols>
  <sheetData>
    <row r="1" spans="1:17" ht="27" customHeight="1">
      <c r="A1" s="279" t="s">
        <v>84</v>
      </c>
      <c r="B1" s="279"/>
      <c r="C1" s="279"/>
      <c r="D1" s="279"/>
      <c r="E1" s="279"/>
      <c r="F1" s="279"/>
      <c r="G1" s="279"/>
      <c r="H1" s="279"/>
    </row>
    <row r="2" spans="1:17" ht="60" hidden="1" customHeight="1">
      <c r="A2" s="280" t="s">
        <v>85</v>
      </c>
      <c r="B2" s="281"/>
      <c r="C2" s="281"/>
      <c r="D2" s="281"/>
      <c r="E2" s="281"/>
      <c r="F2" s="281"/>
      <c r="G2" s="281"/>
      <c r="H2" s="281"/>
      <c r="I2" s="2"/>
      <c r="J2" s="2"/>
      <c r="K2" s="2"/>
      <c r="L2" s="2"/>
      <c r="M2" s="2"/>
      <c r="N2" s="2"/>
      <c r="O2" s="2"/>
      <c r="P2" s="2"/>
      <c r="Q2" s="2"/>
    </row>
    <row r="3" spans="1:17" ht="72" hidden="1" customHeight="1">
      <c r="A3" s="3" t="s">
        <v>2</v>
      </c>
      <c r="B3" s="4" t="s">
        <v>3</v>
      </c>
      <c r="C3" s="4" t="s">
        <v>4</v>
      </c>
      <c r="D3" s="4"/>
      <c r="E3" s="4" t="s">
        <v>5</v>
      </c>
      <c r="F3" s="4" t="s">
        <v>6</v>
      </c>
      <c r="G3" s="4" t="s">
        <v>7</v>
      </c>
      <c r="H3" s="4" t="s">
        <v>8</v>
      </c>
      <c r="I3" s="5"/>
      <c r="J3" s="5"/>
      <c r="K3" s="5"/>
      <c r="L3" s="5"/>
      <c r="N3"/>
    </row>
    <row r="4" spans="1:17" hidden="1">
      <c r="A4" s="6" t="s">
        <v>9</v>
      </c>
      <c r="B4" s="7"/>
      <c r="C4" s="7"/>
      <c r="D4" s="7"/>
      <c r="E4" s="7"/>
      <c r="F4" s="7"/>
      <c r="G4" s="7"/>
      <c r="H4" s="7"/>
      <c r="I4" s="8"/>
      <c r="J4" s="8"/>
      <c r="K4" s="8"/>
      <c r="L4" s="8"/>
      <c r="N4"/>
    </row>
    <row r="5" spans="1:17" hidden="1">
      <c r="A5" s="9" t="s">
        <v>10</v>
      </c>
      <c r="B5" s="10">
        <f>47/5</f>
        <v>9.4</v>
      </c>
      <c r="C5" s="10">
        <v>5</v>
      </c>
      <c r="D5" s="10"/>
      <c r="E5" s="10">
        <v>0</v>
      </c>
      <c r="F5" s="10">
        <v>0</v>
      </c>
      <c r="G5" s="10">
        <f>47*8</f>
        <v>376</v>
      </c>
      <c r="H5" s="10">
        <v>8</v>
      </c>
      <c r="I5" s="11"/>
      <c r="J5" s="12"/>
      <c r="K5" s="11"/>
      <c r="L5" s="13"/>
      <c r="N5"/>
    </row>
    <row r="6" spans="1:17" hidden="1">
      <c r="A6" s="9" t="s">
        <v>11</v>
      </c>
      <c r="B6" s="10">
        <f>47/5</f>
        <v>9.4</v>
      </c>
      <c r="C6" s="10">
        <v>5</v>
      </c>
      <c r="D6" s="10"/>
      <c r="E6" s="10">
        <v>0</v>
      </c>
      <c r="F6" s="10">
        <v>0</v>
      </c>
      <c r="G6" s="10">
        <f>47*2</f>
        <v>94</v>
      </c>
      <c r="H6" s="10">
        <v>2</v>
      </c>
      <c r="I6" s="11"/>
      <c r="J6" s="12"/>
      <c r="K6" s="11"/>
      <c r="L6" s="13"/>
      <c r="N6"/>
    </row>
    <row r="7" spans="1:17" hidden="1">
      <c r="A7" s="2" t="s">
        <v>12</v>
      </c>
      <c r="B7" s="14">
        <f>47/5</f>
        <v>9.4</v>
      </c>
      <c r="C7" s="1">
        <v>5</v>
      </c>
      <c r="D7" s="1"/>
      <c r="E7" s="1">
        <v>0</v>
      </c>
      <c r="F7" s="1">
        <v>0</v>
      </c>
      <c r="G7" s="10">
        <v>47</v>
      </c>
      <c r="H7" s="10">
        <v>1</v>
      </c>
      <c r="I7" s="15"/>
      <c r="J7" s="12"/>
      <c r="K7" s="11"/>
      <c r="L7" s="16"/>
      <c r="N7"/>
    </row>
    <row r="8" spans="1:17" hidden="1">
      <c r="A8" s="6" t="s">
        <v>13</v>
      </c>
      <c r="B8" s="7"/>
      <c r="C8" s="7"/>
      <c r="D8" s="7"/>
      <c r="E8" s="7"/>
      <c r="F8" s="7"/>
      <c r="G8" s="7"/>
      <c r="H8" s="7"/>
      <c r="I8" s="15"/>
      <c r="J8" s="17"/>
      <c r="K8" s="11"/>
      <c r="L8" s="18"/>
      <c r="N8"/>
    </row>
    <row r="9" spans="1:17" hidden="1">
      <c r="A9" s="9" t="s">
        <v>14</v>
      </c>
      <c r="B9" s="14">
        <f>47/6</f>
        <v>7.833333333333333</v>
      </c>
      <c r="C9" s="10">
        <v>6</v>
      </c>
      <c r="D9" s="10"/>
      <c r="E9" s="10">
        <v>0</v>
      </c>
      <c r="F9" s="10">
        <v>0</v>
      </c>
      <c r="G9" s="10">
        <f>47*4</f>
        <v>188</v>
      </c>
      <c r="H9" s="10">
        <v>4</v>
      </c>
      <c r="I9" s="15"/>
      <c r="J9" s="12"/>
      <c r="K9" s="11"/>
      <c r="L9" s="12"/>
      <c r="N9"/>
    </row>
    <row r="10" spans="1:17" hidden="1">
      <c r="A10" s="9" t="s">
        <v>15</v>
      </c>
      <c r="B10" s="10">
        <v>0</v>
      </c>
      <c r="C10" s="10">
        <v>0</v>
      </c>
      <c r="D10" s="10"/>
      <c r="E10" s="10">
        <v>7</v>
      </c>
      <c r="F10" s="10">
        <v>1</v>
      </c>
      <c r="G10" s="10">
        <f>E10</f>
        <v>7</v>
      </c>
      <c r="H10" s="19"/>
      <c r="I10" s="15"/>
      <c r="J10" s="12"/>
      <c r="K10" s="11"/>
      <c r="L10" s="12"/>
      <c r="N10"/>
    </row>
    <row r="11" spans="1:17" hidden="1">
      <c r="A11" s="9" t="s">
        <v>11</v>
      </c>
      <c r="B11" s="14">
        <f>47/6</f>
        <v>7.833333333333333</v>
      </c>
      <c r="C11" s="10">
        <v>6</v>
      </c>
      <c r="D11" s="10"/>
      <c r="E11" s="10">
        <v>0</v>
      </c>
      <c r="F11" s="10">
        <v>0</v>
      </c>
      <c r="G11" s="10">
        <f>47*2</f>
        <v>94</v>
      </c>
      <c r="H11" s="10">
        <v>2</v>
      </c>
      <c r="I11" s="15"/>
      <c r="J11" s="12"/>
      <c r="K11" s="11"/>
      <c r="L11" s="12"/>
      <c r="N11"/>
    </row>
    <row r="12" spans="1:17" s="15" customFormat="1" hidden="1">
      <c r="A12" s="6" t="s">
        <v>16</v>
      </c>
      <c r="B12" s="7"/>
      <c r="C12" s="7"/>
      <c r="D12" s="7"/>
      <c r="E12" s="7"/>
      <c r="F12" s="7"/>
      <c r="G12" s="7"/>
      <c r="H12" s="7"/>
      <c r="I12" s="11"/>
      <c r="J12" s="12"/>
      <c r="K12" s="11"/>
      <c r="L12" s="12"/>
      <c r="M12"/>
    </row>
    <row r="13" spans="1:17" hidden="1">
      <c r="A13" s="9" t="s">
        <v>14</v>
      </c>
      <c r="B13" s="14">
        <f>47/6</f>
        <v>7.833333333333333</v>
      </c>
      <c r="C13" s="10">
        <v>6</v>
      </c>
      <c r="D13" s="10"/>
      <c r="E13" s="10">
        <v>0</v>
      </c>
      <c r="F13" s="10">
        <v>0</v>
      </c>
      <c r="G13" s="10">
        <f>47*2</f>
        <v>94</v>
      </c>
      <c r="H13" s="10">
        <v>2</v>
      </c>
      <c r="I13" s="11"/>
      <c r="J13" s="12"/>
      <c r="K13" s="11"/>
      <c r="L13" s="12"/>
      <c r="N13"/>
      <c r="O13" s="20"/>
    </row>
    <row r="14" spans="1:17" ht="18.75" hidden="1">
      <c r="A14" s="9" t="s">
        <v>15</v>
      </c>
      <c r="B14" s="10">
        <v>0</v>
      </c>
      <c r="C14" s="10">
        <v>0</v>
      </c>
      <c r="D14" s="10"/>
      <c r="E14" s="10">
        <v>7</v>
      </c>
      <c r="F14" s="10">
        <v>1</v>
      </c>
      <c r="G14" s="10">
        <f>E14</f>
        <v>7</v>
      </c>
      <c r="H14" s="21"/>
      <c r="I14" s="15"/>
      <c r="J14" s="12"/>
      <c r="K14" s="11"/>
      <c r="L14" s="12"/>
      <c r="N14"/>
      <c r="O14" s="22"/>
    </row>
    <row r="15" spans="1:17" hidden="1">
      <c r="A15" s="9" t="s">
        <v>11</v>
      </c>
      <c r="B15" s="14">
        <f>47/6</f>
        <v>7.833333333333333</v>
      </c>
      <c r="C15" s="10">
        <v>6</v>
      </c>
      <c r="D15" s="10"/>
      <c r="E15" s="10">
        <v>0</v>
      </c>
      <c r="F15" s="10">
        <v>0</v>
      </c>
      <c r="G15" s="10">
        <f>47</f>
        <v>47</v>
      </c>
      <c r="H15" s="10">
        <v>1</v>
      </c>
      <c r="I15" s="15"/>
      <c r="J15" s="12"/>
      <c r="K15" s="11"/>
      <c r="L15" s="12"/>
      <c r="N15"/>
      <c r="O15" s="23"/>
    </row>
    <row r="16" spans="1:17" hidden="1">
      <c r="A16" s="6" t="s">
        <v>17</v>
      </c>
      <c r="B16" s="7"/>
      <c r="C16" s="7"/>
      <c r="D16" s="7"/>
      <c r="E16" s="7"/>
      <c r="F16" s="7"/>
      <c r="G16" s="7"/>
      <c r="H16" s="7"/>
      <c r="I16" s="15"/>
      <c r="J16" s="12"/>
      <c r="K16" s="11"/>
      <c r="L16" s="12"/>
      <c r="N16"/>
      <c r="O16" s="23"/>
    </row>
    <row r="17" spans="1:17" hidden="1">
      <c r="A17" s="9" t="s">
        <v>11</v>
      </c>
      <c r="B17" s="14">
        <f>47/6</f>
        <v>7.833333333333333</v>
      </c>
      <c r="C17" s="10">
        <v>6</v>
      </c>
      <c r="D17" s="10"/>
      <c r="E17" s="10">
        <v>0</v>
      </c>
      <c r="F17" s="10">
        <v>0</v>
      </c>
      <c r="G17" s="10">
        <f>47</f>
        <v>47</v>
      </c>
      <c r="H17" s="10">
        <v>1</v>
      </c>
      <c r="I17" s="24"/>
      <c r="J17" s="12"/>
      <c r="K17" s="25"/>
      <c r="L17" s="12"/>
      <c r="N17"/>
    </row>
    <row r="18" spans="1:17" hidden="1">
      <c r="A18" s="9" t="s">
        <v>10</v>
      </c>
      <c r="B18" s="14">
        <f>47/6</f>
        <v>7.833333333333333</v>
      </c>
      <c r="C18" s="10">
        <v>6</v>
      </c>
      <c r="D18" s="10"/>
      <c r="E18" s="10">
        <v>0</v>
      </c>
      <c r="F18" s="10">
        <v>0</v>
      </c>
      <c r="G18" s="10">
        <f>47</f>
        <v>47</v>
      </c>
      <c r="H18" s="10">
        <v>1</v>
      </c>
      <c r="I18" s="26"/>
      <c r="J18" s="17"/>
      <c r="K18" s="11"/>
      <c r="L18" s="17"/>
      <c r="N18"/>
    </row>
    <row r="19" spans="1:17" hidden="1">
      <c r="A19" s="6" t="s">
        <v>18</v>
      </c>
      <c r="B19" s="7"/>
      <c r="C19" s="7"/>
      <c r="D19" s="7"/>
      <c r="E19" s="7"/>
      <c r="F19" s="7"/>
      <c r="G19" s="7"/>
      <c r="H19" s="7"/>
      <c r="I19" s="26"/>
      <c r="J19" s="18"/>
      <c r="K19" s="27"/>
      <c r="L19" s="18"/>
      <c r="N19"/>
    </row>
    <row r="20" spans="1:17" hidden="1">
      <c r="A20" s="9" t="s">
        <v>10</v>
      </c>
      <c r="B20" s="14">
        <f>47/6</f>
        <v>7.833333333333333</v>
      </c>
      <c r="C20" s="10">
        <v>6</v>
      </c>
      <c r="D20" s="10"/>
      <c r="E20" s="10">
        <v>0</v>
      </c>
      <c r="F20" s="10">
        <v>0</v>
      </c>
      <c r="G20" s="10">
        <f>47</f>
        <v>47</v>
      </c>
      <c r="H20" s="10">
        <v>1</v>
      </c>
      <c r="N20"/>
    </row>
    <row r="21" spans="1:17" hidden="1">
      <c r="A21" s="6" t="s">
        <v>19</v>
      </c>
      <c r="B21" s="28"/>
      <c r="C21" s="29"/>
      <c r="D21" s="29"/>
      <c r="E21" s="7"/>
      <c r="F21" s="7"/>
      <c r="G21" s="29"/>
      <c r="H21" s="30">
        <f>H5+H6+H7+H9+H11+H13+H15+H17+H18+H20</f>
        <v>23</v>
      </c>
      <c r="I21" s="8"/>
      <c r="J21" s="8"/>
      <c r="K21" s="8"/>
      <c r="L21" s="8"/>
      <c r="N21"/>
      <c r="Q21" s="31"/>
    </row>
    <row r="22" spans="1:17">
      <c r="I22" s="15"/>
      <c r="J22" s="17"/>
      <c r="K22" s="11"/>
      <c r="L22" s="18"/>
      <c r="N22"/>
    </row>
    <row r="23" spans="1:17" ht="16.5">
      <c r="A23" s="186" t="s">
        <v>86</v>
      </c>
      <c r="B23" s="185">
        <v>1750905</v>
      </c>
      <c r="C23" s="228"/>
      <c r="D23" s="228"/>
      <c r="E23" s="228"/>
      <c r="I23" s="15"/>
      <c r="J23" s="17"/>
      <c r="K23" s="11"/>
      <c r="L23" s="17"/>
      <c r="N23"/>
    </row>
    <row r="24" spans="1:17" ht="16.5">
      <c r="A24" s="186" t="s">
        <v>343</v>
      </c>
      <c r="B24" s="231">
        <v>0.15</v>
      </c>
      <c r="C24" s="185">
        <f>+B23*B24</f>
        <v>262635.75</v>
      </c>
      <c r="D24" s="229"/>
      <c r="I24" s="15"/>
      <c r="J24" s="17"/>
      <c r="K24" s="11"/>
      <c r="L24" s="17"/>
      <c r="N24"/>
    </row>
    <row r="25" spans="1:17" ht="16.5">
      <c r="A25" s="186" t="s">
        <v>344</v>
      </c>
      <c r="B25" s="185"/>
      <c r="C25" s="185">
        <f>+B23+C24</f>
        <v>2013540.75</v>
      </c>
      <c r="D25" s="230"/>
      <c r="I25" s="15"/>
      <c r="J25" s="17"/>
      <c r="K25" s="11"/>
      <c r="L25" s="17"/>
      <c r="N25"/>
    </row>
    <row r="26" spans="1:17" ht="16.5">
      <c r="A26" s="186" t="s">
        <v>87</v>
      </c>
      <c r="B26" s="185"/>
      <c r="C26" s="185">
        <f>249095*1.15</f>
        <v>286459.25</v>
      </c>
      <c r="D26" s="230"/>
      <c r="I26" s="15"/>
      <c r="J26" s="17"/>
      <c r="K26" s="11"/>
      <c r="L26" s="17"/>
      <c r="N26"/>
    </row>
    <row r="27" spans="1:17">
      <c r="I27" s="15"/>
      <c r="J27" s="17"/>
      <c r="K27" s="11"/>
      <c r="L27" s="18"/>
      <c r="N27"/>
    </row>
    <row r="28" spans="1:17" ht="43.5" customHeight="1">
      <c r="A28" s="32" t="s">
        <v>88</v>
      </c>
      <c r="B28" s="33" t="s">
        <v>89</v>
      </c>
      <c r="C28" s="34" t="s">
        <v>345</v>
      </c>
      <c r="D28" s="141" t="s">
        <v>91</v>
      </c>
      <c r="E28" s="83" t="s">
        <v>92</v>
      </c>
      <c r="N28"/>
    </row>
    <row r="29" spans="1:17">
      <c r="A29" s="35" t="s">
        <v>23</v>
      </c>
      <c r="B29" s="36" t="s">
        <v>24</v>
      </c>
      <c r="C29" s="37" t="s">
        <v>24</v>
      </c>
      <c r="D29" s="142" t="s">
        <v>24</v>
      </c>
      <c r="N29"/>
    </row>
    <row r="30" spans="1:17" ht="76.5">
      <c r="A30" s="38" t="s">
        <v>93</v>
      </c>
      <c r="B30" s="221"/>
      <c r="C30" s="221"/>
      <c r="D30" s="222"/>
      <c r="E30" s="224" t="s">
        <v>94</v>
      </c>
      <c r="F30" s="79"/>
      <c r="L30" s="82"/>
      <c r="N30"/>
    </row>
    <row r="31" spans="1:17" s="68" customFormat="1" ht="25.5" customHeight="1">
      <c r="A31" s="38" t="s">
        <v>27</v>
      </c>
      <c r="B31" s="133">
        <f>+C26</f>
        <v>286459.25</v>
      </c>
      <c r="C31" s="134">
        <f>+C26</f>
        <v>286459.25</v>
      </c>
      <c r="D31" s="143">
        <f>+B31</f>
        <v>286459.25</v>
      </c>
      <c r="E31" s="299" t="s">
        <v>95</v>
      </c>
    </row>
    <row r="32" spans="1:17" s="68" customFormat="1" ht="25.5" customHeight="1">
      <c r="A32" s="38" t="s">
        <v>29</v>
      </c>
      <c r="B32" s="133">
        <f>SUM(B30:B31)</f>
        <v>286459.25</v>
      </c>
      <c r="C32" s="134">
        <f>SUM(C30:C31)</f>
        <v>286459.25</v>
      </c>
      <c r="D32" s="143">
        <f>+B32</f>
        <v>286459.25</v>
      </c>
      <c r="E32" s="299"/>
    </row>
    <row r="33" spans="1:14" s="68" customFormat="1" ht="47.25" customHeight="1">
      <c r="A33" s="38" t="s">
        <v>30</v>
      </c>
      <c r="B33" s="221">
        <f>+B30*8.5%</f>
        <v>0</v>
      </c>
      <c r="C33" s="269">
        <f>+C30*8.5%</f>
        <v>0</v>
      </c>
      <c r="D33" s="270">
        <f>+B33</f>
        <v>0</v>
      </c>
      <c r="E33" s="268" t="s">
        <v>96</v>
      </c>
    </row>
    <row r="34" spans="1:14" s="68" customFormat="1" ht="25.5" customHeight="1">
      <c r="A34" s="38" t="s">
        <v>31</v>
      </c>
      <c r="B34" s="133">
        <f>B30*12%</f>
        <v>0</v>
      </c>
      <c r="C34" s="134">
        <f>C30*12%</f>
        <v>0</v>
      </c>
      <c r="D34" s="143">
        <f>+B34</f>
        <v>0</v>
      </c>
      <c r="E34" s="299" t="s">
        <v>95</v>
      </c>
    </row>
    <row r="35" spans="1:14" s="68" customFormat="1" ht="25.5" customHeight="1">
      <c r="A35" s="38" t="s">
        <v>97</v>
      </c>
      <c r="B35" s="133">
        <f>B30*1.044%</f>
        <v>0</v>
      </c>
      <c r="C35" s="134">
        <f>C30*4.35%</f>
        <v>0</v>
      </c>
      <c r="D35" s="143">
        <f>D30*0.522%</f>
        <v>0</v>
      </c>
      <c r="E35" s="299"/>
    </row>
    <row r="36" spans="1:14" s="68" customFormat="1" ht="25.5" customHeight="1">
      <c r="A36" s="38" t="s">
        <v>33</v>
      </c>
      <c r="B36" s="133">
        <f>B30*4%</f>
        <v>0</v>
      </c>
      <c r="C36" s="134">
        <f>C30*4%</f>
        <v>0</v>
      </c>
      <c r="D36" s="143">
        <f t="shared" ref="D36:D41" si="0">+B36</f>
        <v>0</v>
      </c>
      <c r="E36" s="299"/>
    </row>
    <row r="37" spans="1:14" s="68" customFormat="1" ht="53.25" customHeight="1">
      <c r="A37" s="38" t="s">
        <v>34</v>
      </c>
      <c r="B37" s="221">
        <f>B30*5%</f>
        <v>0</v>
      </c>
      <c r="C37" s="221">
        <f>C30*5%</f>
        <v>0</v>
      </c>
      <c r="D37" s="270">
        <f t="shared" si="0"/>
        <v>0</v>
      </c>
      <c r="E37" s="268" t="s">
        <v>98</v>
      </c>
    </row>
    <row r="38" spans="1:14" s="68" customFormat="1" ht="25.5" customHeight="1">
      <c r="A38" s="38" t="s">
        <v>35</v>
      </c>
      <c r="B38" s="133">
        <f>B30*4.17%</f>
        <v>0</v>
      </c>
      <c r="C38" s="134">
        <f>C30*4.17%</f>
        <v>0</v>
      </c>
      <c r="D38" s="143">
        <f t="shared" si="0"/>
        <v>0</v>
      </c>
      <c r="E38" s="299" t="s">
        <v>95</v>
      </c>
    </row>
    <row r="39" spans="1:14" s="68" customFormat="1" ht="25.5" customHeight="1">
      <c r="A39" s="38" t="s">
        <v>36</v>
      </c>
      <c r="B39" s="133">
        <f>B32*8.33%</f>
        <v>23862.055525</v>
      </c>
      <c r="C39" s="134">
        <f>C32*8.33%</f>
        <v>23862.055525</v>
      </c>
      <c r="D39" s="143">
        <f t="shared" si="0"/>
        <v>23862.055525</v>
      </c>
      <c r="E39" s="299"/>
    </row>
    <row r="40" spans="1:14" s="68" customFormat="1" ht="25.5" customHeight="1">
      <c r="A40" s="38" t="s">
        <v>37</v>
      </c>
      <c r="B40" s="133">
        <f>B32*8.33%</f>
        <v>23862.055525</v>
      </c>
      <c r="C40" s="134">
        <f>C32*8.33%</f>
        <v>23862.055525</v>
      </c>
      <c r="D40" s="143">
        <f t="shared" si="0"/>
        <v>23862.055525</v>
      </c>
      <c r="E40" s="299"/>
    </row>
    <row r="41" spans="1:14" s="68" customFormat="1" ht="25.5" customHeight="1">
      <c r="A41" s="135" t="s">
        <v>99</v>
      </c>
      <c r="B41" s="133">
        <f>B32*1%</f>
        <v>2864.5925000000002</v>
      </c>
      <c r="C41" s="134">
        <f>C32*1%</f>
        <v>2864.5925000000002</v>
      </c>
      <c r="D41" s="143">
        <f t="shared" si="0"/>
        <v>2864.5925000000002</v>
      </c>
      <c r="E41" s="299"/>
    </row>
    <row r="42" spans="1:14" s="68" customFormat="1" ht="25.5" customHeight="1">
      <c r="A42" s="136" t="s">
        <v>100</v>
      </c>
      <c r="B42" s="133">
        <f>SUM(B33:B41)</f>
        <v>50588.703549999998</v>
      </c>
      <c r="C42" s="134">
        <f>SUM(C33:C41)</f>
        <v>50588.703549999998</v>
      </c>
      <c r="D42" s="143">
        <f>SUM(D33:D41)</f>
        <v>50588.703549999998</v>
      </c>
      <c r="E42" s="299"/>
    </row>
    <row r="43" spans="1:14">
      <c r="A43" s="48" t="s">
        <v>101</v>
      </c>
      <c r="B43" s="272">
        <f>B42+B32</f>
        <v>337047.95354999998</v>
      </c>
      <c r="C43" s="273">
        <f>C42+C32</f>
        <v>337047.95354999998</v>
      </c>
      <c r="D43" s="274">
        <f>D42+D32</f>
        <v>337047.95354999998</v>
      </c>
      <c r="E43" s="268"/>
      <c r="N43"/>
    </row>
    <row r="46" spans="1:14">
      <c r="A46" s="330" t="s">
        <v>346</v>
      </c>
      <c r="B46" s="331"/>
      <c r="C46" s="331"/>
      <c r="D46" s="331"/>
      <c r="E46" s="332"/>
    </row>
    <row r="47" spans="1:14" ht="24" customHeight="1">
      <c r="A47" s="254" t="s">
        <v>42</v>
      </c>
      <c r="B47" s="255" t="s">
        <v>43</v>
      </c>
      <c r="C47" s="256" t="s">
        <v>44</v>
      </c>
      <c r="D47" s="256" t="s">
        <v>45</v>
      </c>
      <c r="E47" s="257" t="s">
        <v>46</v>
      </c>
      <c r="F47" s="297" t="s">
        <v>347</v>
      </c>
    </row>
    <row r="48" spans="1:14">
      <c r="A48" s="250" t="s">
        <v>104</v>
      </c>
      <c r="B48" s="263">
        <f>+B43</f>
        <v>337047.95354999998</v>
      </c>
      <c r="C48" s="251">
        <v>16</v>
      </c>
      <c r="D48" s="252">
        <v>12</v>
      </c>
      <c r="E48" s="253">
        <f>+B48*C48*D48</f>
        <v>64713207.081599995</v>
      </c>
      <c r="F48" s="333"/>
    </row>
    <row r="49" spans="1:14">
      <c r="A49" s="264" t="s">
        <v>91</v>
      </c>
      <c r="B49" s="263">
        <f>+D43</f>
        <v>337047.95354999998</v>
      </c>
      <c r="C49" s="251">
        <v>1</v>
      </c>
      <c r="D49" s="252">
        <v>12</v>
      </c>
      <c r="E49" s="253">
        <f>+B49*C49*D49</f>
        <v>4044575.4425999997</v>
      </c>
      <c r="F49" s="333"/>
    </row>
    <row r="50" spans="1:14">
      <c r="A50" s="258" t="s">
        <v>105</v>
      </c>
      <c r="B50" s="259">
        <f>+C43</f>
        <v>337047.95354999998</v>
      </c>
      <c r="C50" s="260">
        <v>7</v>
      </c>
      <c r="D50" s="261">
        <v>12</v>
      </c>
      <c r="E50" s="262">
        <f>+B50*C50*D50</f>
        <v>28312028.098200001</v>
      </c>
      <c r="F50" s="298"/>
      <c r="G50" s="180"/>
    </row>
    <row r="51" spans="1:14">
      <c r="A51" s="193" t="s">
        <v>106</v>
      </c>
      <c r="B51" s="53">
        <f>1200000*1.15</f>
        <v>1380000</v>
      </c>
      <c r="C51" s="57">
        <v>1</v>
      </c>
      <c r="D51" s="103">
        <v>12</v>
      </c>
      <c r="E51" s="196">
        <f>+B51*C51*D51</f>
        <v>16560000</v>
      </c>
      <c r="F51" s="298"/>
    </row>
    <row r="52" spans="1:14">
      <c r="A52" s="195" t="s">
        <v>51</v>
      </c>
      <c r="B52" s="53">
        <f>'Dotacion 2027'!D34</f>
        <v>0</v>
      </c>
      <c r="C52" s="54">
        <v>3</v>
      </c>
      <c r="D52" s="103"/>
      <c r="E52" s="196">
        <f>+B52*C52</f>
        <v>0</v>
      </c>
      <c r="F52" s="298"/>
    </row>
    <row r="53" spans="1:14">
      <c r="A53" s="197" t="s">
        <v>52</v>
      </c>
      <c r="B53" s="198"/>
      <c r="C53" s="199"/>
      <c r="D53" s="199"/>
      <c r="E53" s="200">
        <f>+SUM(E48:E52)</f>
        <v>113629810.62239999</v>
      </c>
      <c r="F53" s="298"/>
    </row>
    <row r="54" spans="1:14">
      <c r="A54" s="130"/>
      <c r="B54" s="8"/>
      <c r="C54" s="130"/>
      <c r="D54" s="130"/>
      <c r="E54" s="130"/>
      <c r="F54" s="131"/>
      <c r="G54" s="102"/>
    </row>
    <row r="55" spans="1:14">
      <c r="A55" s="326" t="s">
        <v>348</v>
      </c>
      <c r="B55" s="326"/>
      <c r="C55" s="326"/>
      <c r="D55" s="326"/>
      <c r="E55" s="326"/>
      <c r="F55" s="326"/>
      <c r="G55" s="102"/>
    </row>
    <row r="56" spans="1:14" ht="60" customHeight="1">
      <c r="A56" s="49" t="s">
        <v>42</v>
      </c>
      <c r="B56" s="50" t="s">
        <v>54</v>
      </c>
      <c r="C56" s="51" t="s">
        <v>44</v>
      </c>
      <c r="D56" s="51" t="s">
        <v>55</v>
      </c>
      <c r="E56" s="51" t="s">
        <v>46</v>
      </c>
      <c r="F56" s="334" t="s">
        <v>349</v>
      </c>
    </row>
    <row r="57" spans="1:14" ht="60" customHeight="1">
      <c r="A57" s="62" t="s">
        <v>109</v>
      </c>
      <c r="B57" s="101">
        <f>'Elementos aseo y cafeteria2027'!H81</f>
        <v>0</v>
      </c>
      <c r="C57" s="57">
        <v>1</v>
      </c>
      <c r="D57" s="57">
        <v>1</v>
      </c>
      <c r="E57" s="56">
        <f>+B57*C57*D57</f>
        <v>0</v>
      </c>
      <c r="F57" s="335"/>
      <c r="G57" s="102"/>
    </row>
    <row r="59" spans="1:14" ht="15.75" customHeight="1"/>
    <row r="60" spans="1:14" s="128" customFormat="1" ht="36.75" customHeight="1">
      <c r="A60" s="327" t="s">
        <v>110</v>
      </c>
      <c r="B60" s="328"/>
      <c r="C60" s="328"/>
      <c r="D60" s="328"/>
      <c r="E60" s="329"/>
      <c r="F60" s="183"/>
      <c r="N60" s="129"/>
    </row>
    <row r="61" spans="1:14" ht="25.5" customHeight="1">
      <c r="A61" s="49" t="s">
        <v>42</v>
      </c>
      <c r="B61" s="50" t="s">
        <v>54</v>
      </c>
      <c r="C61" s="51" t="s">
        <v>44</v>
      </c>
      <c r="D61" s="51" t="s">
        <v>55</v>
      </c>
      <c r="E61" s="51" t="s">
        <v>46</v>
      </c>
    </row>
    <row r="62" spans="1:14" ht="107.25">
      <c r="A62" s="62" t="s">
        <v>111</v>
      </c>
      <c r="B62" s="101">
        <f>ROUND(('Formulario Económico 2026'!B61*1.064),0)</f>
        <v>0</v>
      </c>
      <c r="C62" s="57">
        <v>1</v>
      </c>
      <c r="D62" s="57">
        <v>2</v>
      </c>
      <c r="E62" s="56">
        <f>+B62*C62*D62</f>
        <v>0</v>
      </c>
      <c r="F62" s="249" t="s">
        <v>350</v>
      </c>
    </row>
    <row r="65" spans="1:16">
      <c r="H65" s="241"/>
      <c r="I65" s="240" t="s">
        <v>351</v>
      </c>
      <c r="J65" s="241"/>
    </row>
    <row r="66" spans="1:16" ht="26.25">
      <c r="E66" s="3" t="s">
        <v>58</v>
      </c>
      <c r="F66" s="60" t="s">
        <v>59</v>
      </c>
      <c r="H66" s="242">
        <v>20000000</v>
      </c>
      <c r="I66" s="241" t="s">
        <v>352</v>
      </c>
      <c r="J66" s="241"/>
    </row>
    <row r="67" spans="1:16">
      <c r="E67" s="59" t="s">
        <v>353</v>
      </c>
      <c r="F67" s="63">
        <f>SUM(H66:H70)</f>
        <v>50000000</v>
      </c>
      <c r="G67" s="266" t="s">
        <v>114</v>
      </c>
      <c r="H67" s="242">
        <v>15000000</v>
      </c>
      <c r="I67" s="241" t="s">
        <v>354</v>
      </c>
      <c r="J67" s="241"/>
    </row>
    <row r="68" spans="1:16">
      <c r="E68" s="59" t="s">
        <v>46</v>
      </c>
      <c r="F68" s="132">
        <f>+F67</f>
        <v>50000000</v>
      </c>
      <c r="H68" s="242">
        <v>5000000</v>
      </c>
      <c r="I68" s="241" t="s">
        <v>355</v>
      </c>
      <c r="J68" s="241"/>
    </row>
    <row r="69" spans="1:16">
      <c r="H69" s="242">
        <v>5000000</v>
      </c>
      <c r="I69" s="241" t="s">
        <v>356</v>
      </c>
      <c r="J69" s="241"/>
    </row>
    <row r="70" spans="1:16">
      <c r="H70" s="242">
        <v>5000000</v>
      </c>
      <c r="I70" s="241" t="s">
        <v>357</v>
      </c>
      <c r="J70" s="241"/>
    </row>
    <row r="71" spans="1:16" ht="17.25">
      <c r="A71" s="283" t="s">
        <v>115</v>
      </c>
      <c r="B71" s="283"/>
      <c r="C71" s="283"/>
      <c r="D71" s="283"/>
      <c r="E71" s="283"/>
      <c r="F71" s="283"/>
      <c r="G71" s="283"/>
      <c r="H71" s="283"/>
      <c r="I71" s="283"/>
      <c r="J71" s="283"/>
      <c r="K71" s="283"/>
      <c r="L71" s="65">
        <f>E53</f>
        <v>113629810.62239999</v>
      </c>
      <c r="O71" s="42"/>
    </row>
    <row r="72" spans="1:16">
      <c r="A72" s="284" t="s">
        <v>116</v>
      </c>
      <c r="B72" s="284"/>
      <c r="C72" s="284"/>
      <c r="D72" s="284"/>
      <c r="E72" s="284"/>
      <c r="F72" s="284"/>
      <c r="G72" s="284"/>
      <c r="H72" s="284"/>
      <c r="I72" s="284"/>
      <c r="J72" s="284"/>
      <c r="K72" s="284"/>
      <c r="L72" s="66">
        <f>+E57</f>
        <v>0</v>
      </c>
    </row>
    <row r="73" spans="1:16">
      <c r="A73" s="284" t="s">
        <v>117</v>
      </c>
      <c r="B73" s="284"/>
      <c r="C73" s="284"/>
      <c r="D73" s="284"/>
      <c r="E73" s="284"/>
      <c r="F73" s="284"/>
      <c r="G73" s="284"/>
      <c r="H73" s="284"/>
      <c r="I73" s="284"/>
      <c r="J73" s="284"/>
      <c r="K73" s="284"/>
      <c r="L73" s="66">
        <f>+E62</f>
        <v>0</v>
      </c>
    </row>
    <row r="74" spans="1:16">
      <c r="A74" s="284" t="s">
        <v>118</v>
      </c>
      <c r="B74" s="284"/>
      <c r="C74" s="284"/>
      <c r="D74" s="284"/>
      <c r="E74" s="284"/>
      <c r="F74" s="284"/>
      <c r="G74" s="284"/>
      <c r="H74" s="284"/>
      <c r="I74" s="284"/>
      <c r="J74" s="284"/>
      <c r="K74" s="284"/>
      <c r="L74" s="66">
        <f>F68</f>
        <v>50000000</v>
      </c>
    </row>
    <row r="75" spans="1:16" ht="18.75">
      <c r="A75" s="286" t="s">
        <v>119</v>
      </c>
      <c r="B75" s="286"/>
      <c r="C75" s="286"/>
      <c r="D75" s="286"/>
      <c r="E75" s="286"/>
      <c r="F75" s="286"/>
      <c r="G75" s="286"/>
      <c r="H75" s="286"/>
      <c r="I75" s="286"/>
      <c r="J75" s="286"/>
      <c r="K75" s="286"/>
      <c r="L75" s="66">
        <f>+L71+L72+L73+L74</f>
        <v>163629810.62239999</v>
      </c>
      <c r="O75" s="42"/>
      <c r="P75" s="42"/>
    </row>
    <row r="76" spans="1:16" s="68" customFormat="1" ht="36" customHeight="1">
      <c r="A76" s="277" t="s">
        <v>120</v>
      </c>
      <c r="B76" s="277"/>
      <c r="C76" s="277"/>
      <c r="D76" s="277"/>
      <c r="E76" s="277"/>
      <c r="F76" s="277"/>
      <c r="G76" s="277"/>
      <c r="H76" s="277"/>
      <c r="I76" s="322"/>
      <c r="J76" s="323"/>
      <c r="K76" s="324"/>
      <c r="L76" s="67">
        <f>+L71*I76</f>
        <v>0</v>
      </c>
      <c r="M76" s="325" t="s">
        <v>358</v>
      </c>
      <c r="N76" s="69"/>
      <c r="O76" s="138"/>
      <c r="P76" s="140"/>
    </row>
    <row r="77" spans="1:16" s="68" customFormat="1" ht="36">
      <c r="A77" s="277" t="s">
        <v>122</v>
      </c>
      <c r="B77" s="277"/>
      <c r="C77" s="277"/>
      <c r="D77" s="277"/>
      <c r="E77" s="277"/>
      <c r="F77" s="277"/>
      <c r="G77" s="277"/>
      <c r="H77" s="277"/>
      <c r="I77" s="322"/>
      <c r="J77" s="323"/>
      <c r="K77" s="324"/>
      <c r="L77" s="67">
        <f>+L72*I77</f>
        <v>0</v>
      </c>
      <c r="M77" s="325"/>
      <c r="N77" s="69"/>
      <c r="O77" s="138"/>
    </row>
    <row r="78" spans="1:16" s="68" customFormat="1" ht="36">
      <c r="A78" s="277" t="s">
        <v>123</v>
      </c>
      <c r="B78" s="277"/>
      <c r="C78" s="277"/>
      <c r="D78" s="277"/>
      <c r="E78" s="277"/>
      <c r="F78" s="277"/>
      <c r="G78" s="277"/>
      <c r="H78" s="277"/>
      <c r="I78" s="322"/>
      <c r="J78" s="323"/>
      <c r="K78" s="324"/>
      <c r="L78" s="67">
        <f>+L73*I78</f>
        <v>0</v>
      </c>
      <c r="M78" s="325"/>
      <c r="N78" s="139"/>
    </row>
    <row r="79" spans="1:16" s="68" customFormat="1" ht="36">
      <c r="A79" s="277" t="s">
        <v>124</v>
      </c>
      <c r="B79" s="277"/>
      <c r="C79" s="277"/>
      <c r="D79" s="277"/>
      <c r="E79" s="277"/>
      <c r="F79" s="277"/>
      <c r="G79" s="277"/>
      <c r="H79" s="277"/>
      <c r="I79" s="322"/>
      <c r="J79" s="323"/>
      <c r="K79" s="324"/>
      <c r="L79" s="67">
        <f>+L74*I79</f>
        <v>0</v>
      </c>
      <c r="M79" s="325"/>
      <c r="N79" s="139"/>
    </row>
    <row r="80" spans="1:16" ht="18.75">
      <c r="A80" s="286" t="s">
        <v>68</v>
      </c>
      <c r="B80" s="286"/>
      <c r="C80" s="286"/>
      <c r="D80" s="286"/>
      <c r="E80" s="286"/>
      <c r="F80" s="286"/>
      <c r="G80" s="286"/>
      <c r="H80" s="286"/>
      <c r="I80" s="286"/>
      <c r="J80" s="286"/>
      <c r="K80" s="286"/>
      <c r="L80" s="70">
        <f>+L71+L72+L73+L74+L76+L77+L78+L79</f>
        <v>163629810.62239999</v>
      </c>
    </row>
    <row r="81" spans="1:14" ht="18.75">
      <c r="A81" s="290" t="s">
        <v>125</v>
      </c>
      <c r="B81" s="290"/>
      <c r="C81" s="290"/>
      <c r="D81" s="290"/>
      <c r="E81" s="290"/>
      <c r="F81" s="290"/>
      <c r="G81" s="290"/>
      <c r="H81" s="290"/>
      <c r="I81" s="291">
        <v>0.19</v>
      </c>
      <c r="J81" s="291"/>
      <c r="K81" s="291"/>
      <c r="L81" s="71">
        <f>+(L76)*I81</f>
        <v>0</v>
      </c>
      <c r="M81" s="42"/>
    </row>
    <row r="82" spans="1:14" ht="18.75">
      <c r="A82" s="290" t="s">
        <v>126</v>
      </c>
      <c r="B82" s="290"/>
      <c r="C82" s="290"/>
      <c r="D82" s="290"/>
      <c r="E82" s="290"/>
      <c r="F82" s="290"/>
      <c r="G82" s="290"/>
      <c r="H82" s="290"/>
      <c r="I82" s="291">
        <v>0.19</v>
      </c>
      <c r="J82" s="291"/>
      <c r="K82" s="291"/>
      <c r="L82" s="71">
        <f>+(L77)*I82</f>
        <v>0</v>
      </c>
      <c r="M82" s="42"/>
    </row>
    <row r="83" spans="1:14" ht="18.75">
      <c r="A83" s="290" t="s">
        <v>127</v>
      </c>
      <c r="B83" s="290"/>
      <c r="C83" s="290"/>
      <c r="D83" s="290"/>
      <c r="E83" s="290"/>
      <c r="F83" s="290"/>
      <c r="G83" s="290"/>
      <c r="H83" s="290"/>
      <c r="I83" s="291">
        <v>0.19</v>
      </c>
      <c r="J83" s="291"/>
      <c r="K83" s="291"/>
      <c r="L83" s="71">
        <f>+(L73+L78)*I83</f>
        <v>0</v>
      </c>
      <c r="M83" s="42"/>
    </row>
    <row r="84" spans="1:14" ht="18.75">
      <c r="A84" s="290" t="s">
        <v>128</v>
      </c>
      <c r="B84" s="290"/>
      <c r="C84" s="290"/>
      <c r="D84" s="290"/>
      <c r="E84" s="290"/>
      <c r="F84" s="290"/>
      <c r="G84" s="290"/>
      <c r="H84" s="290"/>
      <c r="I84" s="291">
        <v>0.19</v>
      </c>
      <c r="J84" s="291"/>
      <c r="K84" s="291"/>
      <c r="L84" s="71">
        <f>+(L74+L79)*I84</f>
        <v>9500000</v>
      </c>
      <c r="M84" s="42"/>
    </row>
    <row r="85" spans="1:14" ht="21">
      <c r="A85" s="286" t="s">
        <v>72</v>
      </c>
      <c r="B85" s="286"/>
      <c r="C85" s="286"/>
      <c r="D85" s="286"/>
      <c r="E85" s="286"/>
      <c r="F85" s="286"/>
      <c r="G85" s="286"/>
      <c r="H85" s="286"/>
      <c r="I85" s="286"/>
      <c r="J85" s="286"/>
      <c r="K85" s="286"/>
      <c r="L85" s="72">
        <f>+L71+L72+L73+L74+L76+L77+L78+L79+L81+L82+L83+L84</f>
        <v>173129810.62239999</v>
      </c>
      <c r="M85" s="234"/>
      <c r="N85" s="77"/>
    </row>
    <row r="87" spans="1:14">
      <c r="L87" s="137"/>
    </row>
    <row r="88" spans="1:14">
      <c r="L88" s="42"/>
      <c r="M88" s="42"/>
    </row>
    <row r="89" spans="1:14" ht="18.75">
      <c r="C89" s="287"/>
      <c r="D89" s="287"/>
      <c r="E89" s="287"/>
      <c r="F89" s="287"/>
      <c r="L89" s="42"/>
    </row>
    <row r="90" spans="1:14" ht="15.75">
      <c r="C90" s="288"/>
      <c r="D90" s="288"/>
      <c r="E90" s="288"/>
      <c r="F90" s="288"/>
      <c r="L90" s="42"/>
    </row>
  </sheetData>
  <protectedRanges>
    <protectedRange sqref="I76:I79" name="Rango1"/>
  </protectedRanges>
  <mergeCells count="36">
    <mergeCell ref="C90:F90"/>
    <mergeCell ref="C89:F89"/>
    <mergeCell ref="A79:H79"/>
    <mergeCell ref="I79:K79"/>
    <mergeCell ref="A80:K80"/>
    <mergeCell ref="A81:H81"/>
    <mergeCell ref="I81:K81"/>
    <mergeCell ref="A82:H82"/>
    <mergeCell ref="I82:K82"/>
    <mergeCell ref="A83:H83"/>
    <mergeCell ref="I83:K83"/>
    <mergeCell ref="A84:H84"/>
    <mergeCell ref="I84:K84"/>
    <mergeCell ref="A85:K85"/>
    <mergeCell ref="A1:H1"/>
    <mergeCell ref="A2:H2"/>
    <mergeCell ref="A55:F55"/>
    <mergeCell ref="A71:K71"/>
    <mergeCell ref="A60:E60"/>
    <mergeCell ref="A46:E46"/>
    <mergeCell ref="F47:F53"/>
    <mergeCell ref="F56:F57"/>
    <mergeCell ref="E31:E32"/>
    <mergeCell ref="E34:E36"/>
    <mergeCell ref="E38:E42"/>
    <mergeCell ref="A78:H78"/>
    <mergeCell ref="I78:K78"/>
    <mergeCell ref="M76:M79"/>
    <mergeCell ref="A74:K74"/>
    <mergeCell ref="A72:K72"/>
    <mergeCell ref="A73:K73"/>
    <mergeCell ref="A75:K75"/>
    <mergeCell ref="A76:H76"/>
    <mergeCell ref="I76:K76"/>
    <mergeCell ref="A77:H77"/>
    <mergeCell ref="I77:K7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39"/>
  <sheetViews>
    <sheetView workbookViewId="0">
      <selection activeCell="D4" sqref="D4"/>
    </sheetView>
  </sheetViews>
  <sheetFormatPr defaultColWidth="11.42578125" defaultRowHeight="15"/>
  <cols>
    <col min="1" max="1" width="42.28515625" customWidth="1"/>
    <col min="2" max="2" width="9.140625" bestFit="1" customWidth="1"/>
    <col min="3" max="3" width="22.28515625" customWidth="1"/>
    <col min="4" max="4" width="26" customWidth="1"/>
  </cols>
  <sheetData>
    <row r="1" spans="1:5" ht="21.75" customHeight="1">
      <c r="A1" s="316" t="s">
        <v>359</v>
      </c>
      <c r="B1" s="317"/>
      <c r="C1" s="317"/>
      <c r="D1" s="318"/>
    </row>
    <row r="2" spans="1:5" ht="22.5">
      <c r="A2" s="144" t="s">
        <v>131</v>
      </c>
      <c r="B2" s="145" t="s">
        <v>44</v>
      </c>
      <c r="C2" s="146" t="s">
        <v>132</v>
      </c>
      <c r="D2" s="147" t="s">
        <v>133</v>
      </c>
    </row>
    <row r="3" spans="1:5">
      <c r="A3" s="148" t="s">
        <v>134</v>
      </c>
      <c r="B3" s="149">
        <v>2</v>
      </c>
      <c r="C3" s="150"/>
      <c r="D3" s="151">
        <f t="shared" ref="D3:D8" si="0">(C3*B3)</f>
        <v>0</v>
      </c>
    </row>
    <row r="4" spans="1:5" ht="22.5">
      <c r="A4" s="148" t="s">
        <v>135</v>
      </c>
      <c r="B4" s="149">
        <v>1</v>
      </c>
      <c r="C4" s="150"/>
      <c r="D4" s="151">
        <f t="shared" si="0"/>
        <v>0</v>
      </c>
    </row>
    <row r="5" spans="1:5">
      <c r="A5" s="148" t="s">
        <v>136</v>
      </c>
      <c r="B5" s="149">
        <v>1</v>
      </c>
      <c r="C5" s="150"/>
      <c r="D5" s="151">
        <f t="shared" si="0"/>
        <v>0</v>
      </c>
    </row>
    <row r="6" spans="1:5">
      <c r="A6" s="148" t="s">
        <v>137</v>
      </c>
      <c r="B6" s="149">
        <v>2</v>
      </c>
      <c r="C6" s="150"/>
      <c r="D6" s="151">
        <f t="shared" si="0"/>
        <v>0</v>
      </c>
    </row>
    <row r="7" spans="1:5" ht="22.5">
      <c r="A7" s="148" t="s">
        <v>138</v>
      </c>
      <c r="B7" s="149">
        <v>1</v>
      </c>
      <c r="C7" s="150"/>
      <c r="D7" s="151">
        <f t="shared" si="0"/>
        <v>0</v>
      </c>
    </row>
    <row r="8" spans="1:5" ht="22.5">
      <c r="A8" s="152" t="s">
        <v>139</v>
      </c>
      <c r="B8" s="153">
        <v>1</v>
      </c>
      <c r="C8" s="150"/>
      <c r="D8" s="151">
        <f t="shared" si="0"/>
        <v>0</v>
      </c>
      <c r="E8" s="93"/>
    </row>
    <row r="9" spans="1:5">
      <c r="A9" s="319" t="s">
        <v>140</v>
      </c>
      <c r="B9" s="320"/>
      <c r="C9" s="321"/>
      <c r="D9" s="154">
        <f>SUM(D3:D8)</f>
        <v>0</v>
      </c>
    </row>
    <row r="10" spans="1:5">
      <c r="A10" s="301" t="s">
        <v>141</v>
      </c>
      <c r="B10" s="302"/>
      <c r="C10" s="303"/>
      <c r="D10" s="155">
        <f>D9*E10</f>
        <v>0</v>
      </c>
      <c r="E10" s="96">
        <v>16</v>
      </c>
    </row>
    <row r="11" spans="1:5">
      <c r="A11" s="159"/>
      <c r="B11" s="159"/>
      <c r="C11" s="159"/>
      <c r="D11" s="160"/>
      <c r="E11" s="96"/>
    </row>
    <row r="12" spans="1:5">
      <c r="A12" s="316" t="s">
        <v>142</v>
      </c>
      <c r="B12" s="317"/>
      <c r="C12" s="317"/>
      <c r="D12" s="318"/>
      <c r="E12" s="96"/>
    </row>
    <row r="13" spans="1:5" ht="22.5">
      <c r="A13" s="144" t="s">
        <v>131</v>
      </c>
      <c r="B13" s="145" t="s">
        <v>44</v>
      </c>
      <c r="C13" s="146" t="s">
        <v>132</v>
      </c>
      <c r="D13" s="147" t="s">
        <v>133</v>
      </c>
      <c r="E13" s="96"/>
    </row>
    <row r="14" spans="1:5">
      <c r="A14" s="148" t="s">
        <v>143</v>
      </c>
      <c r="B14" s="149">
        <v>2</v>
      </c>
      <c r="C14" s="150"/>
      <c r="D14" s="151">
        <f>(C14*B14)</f>
        <v>0</v>
      </c>
      <c r="E14" s="96"/>
    </row>
    <row r="15" spans="1:5">
      <c r="A15" s="148" t="s">
        <v>144</v>
      </c>
      <c r="B15" s="149">
        <v>2</v>
      </c>
      <c r="C15" s="150"/>
      <c r="D15" s="151">
        <f>(C15*B15)</f>
        <v>0</v>
      </c>
      <c r="E15" s="96"/>
    </row>
    <row r="16" spans="1:5">
      <c r="A16" s="148" t="s">
        <v>145</v>
      </c>
      <c r="B16" s="149">
        <v>1</v>
      </c>
      <c r="C16" s="150"/>
      <c r="D16" s="151">
        <f>(C16*B16)</f>
        <v>0</v>
      </c>
      <c r="E16" s="96"/>
    </row>
    <row r="17" spans="1:5">
      <c r="A17" s="319" t="s">
        <v>140</v>
      </c>
      <c r="B17" s="320"/>
      <c r="C17" s="321"/>
      <c r="D17" s="154">
        <f>SUM(D14:D16)</f>
        <v>0</v>
      </c>
    </row>
    <row r="18" spans="1:5">
      <c r="A18" s="301" t="s">
        <v>141</v>
      </c>
      <c r="B18" s="302"/>
      <c r="C18" s="303"/>
      <c r="D18" s="155">
        <f>D17*E18</f>
        <v>0</v>
      </c>
      <c r="E18" s="96">
        <v>1</v>
      </c>
    </row>
    <row r="20" spans="1:5">
      <c r="A20" s="336" t="s">
        <v>146</v>
      </c>
      <c r="B20" s="337"/>
      <c r="C20" s="337"/>
      <c r="D20" s="338"/>
    </row>
    <row r="21" spans="1:5" ht="23.25" customHeight="1">
      <c r="A21" s="144" t="s">
        <v>147</v>
      </c>
      <c r="B21" s="145" t="s">
        <v>44</v>
      </c>
      <c r="C21" s="146" t="s">
        <v>148</v>
      </c>
      <c r="D21" s="147" t="s">
        <v>133</v>
      </c>
    </row>
    <row r="22" spans="1:5" ht="22.5">
      <c r="A22" s="148" t="s">
        <v>149</v>
      </c>
      <c r="B22" s="149">
        <v>1</v>
      </c>
      <c r="C22" s="150"/>
      <c r="D22" s="151">
        <f>(C22*B22)</f>
        <v>0</v>
      </c>
    </row>
    <row r="23" spans="1:5" ht="22.5">
      <c r="A23" s="148" t="s">
        <v>150</v>
      </c>
      <c r="B23" s="149">
        <v>1</v>
      </c>
      <c r="C23" s="150"/>
      <c r="D23" s="151">
        <f t="shared" ref="D23:D28" si="1">(C23*B23)</f>
        <v>0</v>
      </c>
    </row>
    <row r="24" spans="1:5">
      <c r="A24" s="148" t="s">
        <v>151</v>
      </c>
      <c r="B24" s="149">
        <v>2</v>
      </c>
      <c r="C24" s="150"/>
      <c r="D24" s="151">
        <f t="shared" si="1"/>
        <v>0</v>
      </c>
      <c r="E24" s="93"/>
    </row>
    <row r="25" spans="1:5" ht="22.5">
      <c r="A25" s="148" t="s">
        <v>138</v>
      </c>
      <c r="B25" s="149">
        <v>1</v>
      </c>
      <c r="C25" s="150"/>
      <c r="D25" s="151">
        <f t="shared" si="1"/>
        <v>0</v>
      </c>
    </row>
    <row r="26" spans="1:5">
      <c r="A26" s="148" t="s">
        <v>137</v>
      </c>
      <c r="B26" s="149">
        <v>2</v>
      </c>
      <c r="C26" s="150"/>
      <c r="D26" s="151">
        <f t="shared" si="1"/>
        <v>0</v>
      </c>
    </row>
    <row r="27" spans="1:5">
      <c r="A27" s="148" t="s">
        <v>152</v>
      </c>
      <c r="B27" s="149">
        <v>1</v>
      </c>
      <c r="C27" s="150"/>
      <c r="D27" s="151">
        <f t="shared" si="1"/>
        <v>0</v>
      </c>
    </row>
    <row r="28" spans="1:5">
      <c r="A28" s="152" t="s">
        <v>153</v>
      </c>
      <c r="B28" s="153">
        <v>2</v>
      </c>
      <c r="C28" s="150"/>
      <c r="D28" s="151">
        <f t="shared" si="1"/>
        <v>0</v>
      </c>
    </row>
    <row r="29" spans="1:5">
      <c r="A29" s="339" t="s">
        <v>154</v>
      </c>
      <c r="B29" s="340"/>
      <c r="C29" s="341"/>
      <c r="D29" s="156">
        <f>SUM(D22:D28)</f>
        <v>0</v>
      </c>
    </row>
    <row r="30" spans="1:5">
      <c r="A30" s="301" t="s">
        <v>141</v>
      </c>
      <c r="B30" s="302"/>
      <c r="C30" s="303"/>
      <c r="D30" s="155">
        <f>D29*E30</f>
        <v>0</v>
      </c>
      <c r="E30" s="96">
        <v>7</v>
      </c>
    </row>
    <row r="34" spans="1:4" ht="18.75">
      <c r="A34" s="98" t="s">
        <v>155</v>
      </c>
      <c r="B34" s="98"/>
      <c r="C34" s="98"/>
      <c r="D34" s="99">
        <f>+D10+D30+D18</f>
        <v>0</v>
      </c>
    </row>
    <row r="36" spans="1:4">
      <c r="A36" s="235" t="s">
        <v>156</v>
      </c>
      <c r="D36" s="161"/>
    </row>
    <row r="39" spans="1:4">
      <c r="B39" s="237"/>
    </row>
  </sheetData>
  <mergeCells count="9">
    <mergeCell ref="A30:C30"/>
    <mergeCell ref="A12:D12"/>
    <mergeCell ref="A17:C17"/>
    <mergeCell ref="A18:C18"/>
    <mergeCell ref="A1:D1"/>
    <mergeCell ref="A9:C9"/>
    <mergeCell ref="A10:C10"/>
    <mergeCell ref="A20:D20"/>
    <mergeCell ref="A29:C2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85"/>
  <sheetViews>
    <sheetView zoomScale="80" zoomScaleNormal="80" workbookViewId="0">
      <pane xSplit="1" ySplit="2" topLeftCell="B71" activePane="bottomRight" state="frozen"/>
      <selection pane="bottomRight" activeCell="C4" sqref="C4"/>
      <selection pane="bottomLeft" activeCell="A2" sqref="A2"/>
      <selection pane="topRight" activeCell="B1" sqref="B1"/>
    </sheetView>
  </sheetViews>
  <sheetFormatPr defaultColWidth="11.42578125" defaultRowHeight="31.5" customHeight="1"/>
  <cols>
    <col min="1" max="1" width="5" style="107" customWidth="1"/>
    <col min="2" max="2" width="47.7109375" style="123" customWidth="1"/>
    <col min="3" max="3" width="55.85546875" style="107" customWidth="1"/>
    <col min="4" max="4" width="12.85546875" style="107" customWidth="1"/>
    <col min="5" max="5" width="8.140625" style="227" customWidth="1"/>
    <col min="6" max="6" width="12.5703125" style="124" customWidth="1"/>
    <col min="7" max="7" width="14" style="107" customWidth="1"/>
    <col min="8" max="8" width="17.7109375" style="107" customWidth="1"/>
    <col min="9" max="225" width="11.42578125" style="107"/>
    <col min="226" max="226" width="5" style="107" customWidth="1"/>
    <col min="227" max="227" width="32.140625" style="107" customWidth="1"/>
    <col min="228" max="228" width="0" style="107" hidden="1" customWidth="1"/>
    <col min="229" max="229" width="17.140625" style="107" customWidth="1"/>
    <col min="230" max="232" width="11.42578125" style="107"/>
    <col min="233" max="233" width="14.140625" style="107" customWidth="1"/>
    <col min="234" max="235" width="15.42578125" style="107" customWidth="1"/>
    <col min="236" max="481" width="11.42578125" style="107"/>
    <col min="482" max="482" width="5" style="107" customWidth="1"/>
    <col min="483" max="483" width="32.140625" style="107" customWidth="1"/>
    <col min="484" max="484" width="0" style="107" hidden="1" customWidth="1"/>
    <col min="485" max="485" width="17.140625" style="107" customWidth="1"/>
    <col min="486" max="488" width="11.42578125" style="107"/>
    <col min="489" max="489" width="14.140625" style="107" customWidth="1"/>
    <col min="490" max="491" width="15.42578125" style="107" customWidth="1"/>
    <col min="492" max="737" width="11.42578125" style="107"/>
    <col min="738" max="738" width="5" style="107" customWidth="1"/>
    <col min="739" max="739" width="32.140625" style="107" customWidth="1"/>
    <col min="740" max="740" width="0" style="107" hidden="1" customWidth="1"/>
    <col min="741" max="741" width="17.140625" style="107" customWidth="1"/>
    <col min="742" max="744" width="11.42578125" style="107"/>
    <col min="745" max="745" width="14.140625" style="107" customWidth="1"/>
    <col min="746" max="747" width="15.42578125" style="107" customWidth="1"/>
    <col min="748" max="993" width="11.42578125" style="107"/>
    <col min="994" max="994" width="5" style="107" customWidth="1"/>
    <col min="995" max="995" width="32.140625" style="107" customWidth="1"/>
    <col min="996" max="996" width="0" style="107" hidden="1" customWidth="1"/>
    <col min="997" max="997" width="17.140625" style="107" customWidth="1"/>
    <col min="998" max="1000" width="11.42578125" style="107"/>
    <col min="1001" max="1001" width="14.140625" style="107" customWidth="1"/>
    <col min="1002" max="1003" width="15.42578125" style="107" customWidth="1"/>
    <col min="1004" max="1249" width="11.42578125" style="107"/>
    <col min="1250" max="1250" width="5" style="107" customWidth="1"/>
    <col min="1251" max="1251" width="32.140625" style="107" customWidth="1"/>
    <col min="1252" max="1252" width="0" style="107" hidden="1" customWidth="1"/>
    <col min="1253" max="1253" width="17.140625" style="107" customWidth="1"/>
    <col min="1254" max="1256" width="11.42578125" style="107"/>
    <col min="1257" max="1257" width="14.140625" style="107" customWidth="1"/>
    <col min="1258" max="1259" width="15.42578125" style="107" customWidth="1"/>
    <col min="1260" max="1505" width="11.42578125" style="107"/>
    <col min="1506" max="1506" width="5" style="107" customWidth="1"/>
    <col min="1507" max="1507" width="32.140625" style="107" customWidth="1"/>
    <col min="1508" max="1508" width="0" style="107" hidden="1" customWidth="1"/>
    <col min="1509" max="1509" width="17.140625" style="107" customWidth="1"/>
    <col min="1510" max="1512" width="11.42578125" style="107"/>
    <col min="1513" max="1513" width="14.140625" style="107" customWidth="1"/>
    <col min="1514" max="1515" width="15.42578125" style="107" customWidth="1"/>
    <col min="1516" max="1761" width="11.42578125" style="107"/>
    <col min="1762" max="1762" width="5" style="107" customWidth="1"/>
    <col min="1763" max="1763" width="32.140625" style="107" customWidth="1"/>
    <col min="1764" max="1764" width="0" style="107" hidden="1" customWidth="1"/>
    <col min="1765" max="1765" width="17.140625" style="107" customWidth="1"/>
    <col min="1766" max="1768" width="11.42578125" style="107"/>
    <col min="1769" max="1769" width="14.140625" style="107" customWidth="1"/>
    <col min="1770" max="1771" width="15.42578125" style="107" customWidth="1"/>
    <col min="1772" max="2017" width="11.42578125" style="107"/>
    <col min="2018" max="2018" width="5" style="107" customWidth="1"/>
    <col min="2019" max="2019" width="32.140625" style="107" customWidth="1"/>
    <col min="2020" max="2020" width="0" style="107" hidden="1" customWidth="1"/>
    <col min="2021" max="2021" width="17.140625" style="107" customWidth="1"/>
    <col min="2022" max="2024" width="11.42578125" style="107"/>
    <col min="2025" max="2025" width="14.140625" style="107" customWidth="1"/>
    <col min="2026" max="2027" width="15.42578125" style="107" customWidth="1"/>
    <col min="2028" max="2273" width="11.42578125" style="107"/>
    <col min="2274" max="2274" width="5" style="107" customWidth="1"/>
    <col min="2275" max="2275" width="32.140625" style="107" customWidth="1"/>
    <col min="2276" max="2276" width="0" style="107" hidden="1" customWidth="1"/>
    <col min="2277" max="2277" width="17.140625" style="107" customWidth="1"/>
    <col min="2278" max="2280" width="11.42578125" style="107"/>
    <col min="2281" max="2281" width="14.140625" style="107" customWidth="1"/>
    <col min="2282" max="2283" width="15.42578125" style="107" customWidth="1"/>
    <col min="2284" max="2529" width="11.42578125" style="107"/>
    <col min="2530" max="2530" width="5" style="107" customWidth="1"/>
    <col min="2531" max="2531" width="32.140625" style="107" customWidth="1"/>
    <col min="2532" max="2532" width="0" style="107" hidden="1" customWidth="1"/>
    <col min="2533" max="2533" width="17.140625" style="107" customWidth="1"/>
    <col min="2534" max="2536" width="11.42578125" style="107"/>
    <col min="2537" max="2537" width="14.140625" style="107" customWidth="1"/>
    <col min="2538" max="2539" width="15.42578125" style="107" customWidth="1"/>
    <col min="2540" max="2785" width="11.42578125" style="107"/>
    <col min="2786" max="2786" width="5" style="107" customWidth="1"/>
    <col min="2787" max="2787" width="32.140625" style="107" customWidth="1"/>
    <col min="2788" max="2788" width="0" style="107" hidden="1" customWidth="1"/>
    <col min="2789" max="2789" width="17.140625" style="107" customWidth="1"/>
    <col min="2790" max="2792" width="11.42578125" style="107"/>
    <col min="2793" max="2793" width="14.140625" style="107" customWidth="1"/>
    <col min="2794" max="2795" width="15.42578125" style="107" customWidth="1"/>
    <col min="2796" max="3041" width="11.42578125" style="107"/>
    <col min="3042" max="3042" width="5" style="107" customWidth="1"/>
    <col min="3043" max="3043" width="32.140625" style="107" customWidth="1"/>
    <col min="3044" max="3044" width="0" style="107" hidden="1" customWidth="1"/>
    <col min="3045" max="3045" width="17.140625" style="107" customWidth="1"/>
    <col min="3046" max="3048" width="11.42578125" style="107"/>
    <col min="3049" max="3049" width="14.140625" style="107" customWidth="1"/>
    <col min="3050" max="3051" width="15.42578125" style="107" customWidth="1"/>
    <col min="3052" max="3297" width="11.42578125" style="107"/>
    <col min="3298" max="3298" width="5" style="107" customWidth="1"/>
    <col min="3299" max="3299" width="32.140625" style="107" customWidth="1"/>
    <col min="3300" max="3300" width="0" style="107" hidden="1" customWidth="1"/>
    <col min="3301" max="3301" width="17.140625" style="107" customWidth="1"/>
    <col min="3302" max="3304" width="11.42578125" style="107"/>
    <col min="3305" max="3305" width="14.140625" style="107" customWidth="1"/>
    <col min="3306" max="3307" width="15.42578125" style="107" customWidth="1"/>
    <col min="3308" max="3553" width="11.42578125" style="107"/>
    <col min="3554" max="3554" width="5" style="107" customWidth="1"/>
    <col min="3555" max="3555" width="32.140625" style="107" customWidth="1"/>
    <col min="3556" max="3556" width="0" style="107" hidden="1" customWidth="1"/>
    <col min="3557" max="3557" width="17.140625" style="107" customWidth="1"/>
    <col min="3558" max="3560" width="11.42578125" style="107"/>
    <col min="3561" max="3561" width="14.140625" style="107" customWidth="1"/>
    <col min="3562" max="3563" width="15.42578125" style="107" customWidth="1"/>
    <col min="3564" max="3809" width="11.42578125" style="107"/>
    <col min="3810" max="3810" width="5" style="107" customWidth="1"/>
    <col min="3811" max="3811" width="32.140625" style="107" customWidth="1"/>
    <col min="3812" max="3812" width="0" style="107" hidden="1" customWidth="1"/>
    <col min="3813" max="3813" width="17.140625" style="107" customWidth="1"/>
    <col min="3814" max="3816" width="11.42578125" style="107"/>
    <col min="3817" max="3817" width="14.140625" style="107" customWidth="1"/>
    <col min="3818" max="3819" width="15.42578125" style="107" customWidth="1"/>
    <col min="3820" max="4065" width="11.42578125" style="107"/>
    <col min="4066" max="4066" width="5" style="107" customWidth="1"/>
    <col min="4067" max="4067" width="32.140625" style="107" customWidth="1"/>
    <col min="4068" max="4068" width="0" style="107" hidden="1" customWidth="1"/>
    <col min="4069" max="4069" width="17.140625" style="107" customWidth="1"/>
    <col min="4070" max="4072" width="11.42578125" style="107"/>
    <col min="4073" max="4073" width="14.140625" style="107" customWidth="1"/>
    <col min="4074" max="4075" width="15.42578125" style="107" customWidth="1"/>
    <col min="4076" max="4321" width="11.42578125" style="107"/>
    <col min="4322" max="4322" width="5" style="107" customWidth="1"/>
    <col min="4323" max="4323" width="32.140625" style="107" customWidth="1"/>
    <col min="4324" max="4324" width="0" style="107" hidden="1" customWidth="1"/>
    <col min="4325" max="4325" width="17.140625" style="107" customWidth="1"/>
    <col min="4326" max="4328" width="11.42578125" style="107"/>
    <col min="4329" max="4329" width="14.140625" style="107" customWidth="1"/>
    <col min="4330" max="4331" width="15.42578125" style="107" customWidth="1"/>
    <col min="4332" max="4577" width="11.42578125" style="107"/>
    <col min="4578" max="4578" width="5" style="107" customWidth="1"/>
    <col min="4579" max="4579" width="32.140625" style="107" customWidth="1"/>
    <col min="4580" max="4580" width="0" style="107" hidden="1" customWidth="1"/>
    <col min="4581" max="4581" width="17.140625" style="107" customWidth="1"/>
    <col min="4582" max="4584" width="11.42578125" style="107"/>
    <col min="4585" max="4585" width="14.140625" style="107" customWidth="1"/>
    <col min="4586" max="4587" width="15.42578125" style="107" customWidth="1"/>
    <col min="4588" max="4833" width="11.42578125" style="107"/>
    <col min="4834" max="4834" width="5" style="107" customWidth="1"/>
    <col min="4835" max="4835" width="32.140625" style="107" customWidth="1"/>
    <col min="4836" max="4836" width="0" style="107" hidden="1" customWidth="1"/>
    <col min="4837" max="4837" width="17.140625" style="107" customWidth="1"/>
    <col min="4838" max="4840" width="11.42578125" style="107"/>
    <col min="4841" max="4841" width="14.140625" style="107" customWidth="1"/>
    <col min="4842" max="4843" width="15.42578125" style="107" customWidth="1"/>
    <col min="4844" max="5089" width="11.42578125" style="107"/>
    <col min="5090" max="5090" width="5" style="107" customWidth="1"/>
    <col min="5091" max="5091" width="32.140625" style="107" customWidth="1"/>
    <col min="5092" max="5092" width="0" style="107" hidden="1" customWidth="1"/>
    <col min="5093" max="5093" width="17.140625" style="107" customWidth="1"/>
    <col min="5094" max="5096" width="11.42578125" style="107"/>
    <col min="5097" max="5097" width="14.140625" style="107" customWidth="1"/>
    <col min="5098" max="5099" width="15.42578125" style="107" customWidth="1"/>
    <col min="5100" max="5345" width="11.42578125" style="107"/>
    <col min="5346" max="5346" width="5" style="107" customWidth="1"/>
    <col min="5347" max="5347" width="32.140625" style="107" customWidth="1"/>
    <col min="5348" max="5348" width="0" style="107" hidden="1" customWidth="1"/>
    <col min="5349" max="5349" width="17.140625" style="107" customWidth="1"/>
    <col min="5350" max="5352" width="11.42578125" style="107"/>
    <col min="5353" max="5353" width="14.140625" style="107" customWidth="1"/>
    <col min="5354" max="5355" width="15.42578125" style="107" customWidth="1"/>
    <col min="5356" max="5601" width="11.42578125" style="107"/>
    <col min="5602" max="5602" width="5" style="107" customWidth="1"/>
    <col min="5603" max="5603" width="32.140625" style="107" customWidth="1"/>
    <col min="5604" max="5604" width="0" style="107" hidden="1" customWidth="1"/>
    <col min="5605" max="5605" width="17.140625" style="107" customWidth="1"/>
    <col min="5606" max="5608" width="11.42578125" style="107"/>
    <col min="5609" max="5609" width="14.140625" style="107" customWidth="1"/>
    <col min="5610" max="5611" width="15.42578125" style="107" customWidth="1"/>
    <col min="5612" max="5857" width="11.42578125" style="107"/>
    <col min="5858" max="5858" width="5" style="107" customWidth="1"/>
    <col min="5859" max="5859" width="32.140625" style="107" customWidth="1"/>
    <col min="5860" max="5860" width="0" style="107" hidden="1" customWidth="1"/>
    <col min="5861" max="5861" width="17.140625" style="107" customWidth="1"/>
    <col min="5862" max="5864" width="11.42578125" style="107"/>
    <col min="5865" max="5865" width="14.140625" style="107" customWidth="1"/>
    <col min="5866" max="5867" width="15.42578125" style="107" customWidth="1"/>
    <col min="5868" max="6113" width="11.42578125" style="107"/>
    <col min="6114" max="6114" width="5" style="107" customWidth="1"/>
    <col min="6115" max="6115" width="32.140625" style="107" customWidth="1"/>
    <col min="6116" max="6116" width="0" style="107" hidden="1" customWidth="1"/>
    <col min="6117" max="6117" width="17.140625" style="107" customWidth="1"/>
    <col min="6118" max="6120" width="11.42578125" style="107"/>
    <col min="6121" max="6121" width="14.140625" style="107" customWidth="1"/>
    <col min="6122" max="6123" width="15.42578125" style="107" customWidth="1"/>
    <col min="6124" max="6369" width="11.42578125" style="107"/>
    <col min="6370" max="6370" width="5" style="107" customWidth="1"/>
    <col min="6371" max="6371" width="32.140625" style="107" customWidth="1"/>
    <col min="6372" max="6372" width="0" style="107" hidden="1" customWidth="1"/>
    <col min="6373" max="6373" width="17.140625" style="107" customWidth="1"/>
    <col min="6374" max="6376" width="11.42578125" style="107"/>
    <col min="6377" max="6377" width="14.140625" style="107" customWidth="1"/>
    <col min="6378" max="6379" width="15.42578125" style="107" customWidth="1"/>
    <col min="6380" max="6625" width="11.42578125" style="107"/>
    <col min="6626" max="6626" width="5" style="107" customWidth="1"/>
    <col min="6627" max="6627" width="32.140625" style="107" customWidth="1"/>
    <col min="6628" max="6628" width="0" style="107" hidden="1" customWidth="1"/>
    <col min="6629" max="6629" width="17.140625" style="107" customWidth="1"/>
    <col min="6630" max="6632" width="11.42578125" style="107"/>
    <col min="6633" max="6633" width="14.140625" style="107" customWidth="1"/>
    <col min="6634" max="6635" width="15.42578125" style="107" customWidth="1"/>
    <col min="6636" max="6881" width="11.42578125" style="107"/>
    <col min="6882" max="6882" width="5" style="107" customWidth="1"/>
    <col min="6883" max="6883" width="32.140625" style="107" customWidth="1"/>
    <col min="6884" max="6884" width="0" style="107" hidden="1" customWidth="1"/>
    <col min="6885" max="6885" width="17.140625" style="107" customWidth="1"/>
    <col min="6886" max="6888" width="11.42578125" style="107"/>
    <col min="6889" max="6889" width="14.140625" style="107" customWidth="1"/>
    <col min="6890" max="6891" width="15.42578125" style="107" customWidth="1"/>
    <col min="6892" max="7137" width="11.42578125" style="107"/>
    <col min="7138" max="7138" width="5" style="107" customWidth="1"/>
    <col min="7139" max="7139" width="32.140625" style="107" customWidth="1"/>
    <col min="7140" max="7140" width="0" style="107" hidden="1" customWidth="1"/>
    <col min="7141" max="7141" width="17.140625" style="107" customWidth="1"/>
    <col min="7142" max="7144" width="11.42578125" style="107"/>
    <col min="7145" max="7145" width="14.140625" style="107" customWidth="1"/>
    <col min="7146" max="7147" width="15.42578125" style="107" customWidth="1"/>
    <col min="7148" max="7393" width="11.42578125" style="107"/>
    <col min="7394" max="7394" width="5" style="107" customWidth="1"/>
    <col min="7395" max="7395" width="32.140625" style="107" customWidth="1"/>
    <col min="7396" max="7396" width="0" style="107" hidden="1" customWidth="1"/>
    <col min="7397" max="7397" width="17.140625" style="107" customWidth="1"/>
    <col min="7398" max="7400" width="11.42578125" style="107"/>
    <col min="7401" max="7401" width="14.140625" style="107" customWidth="1"/>
    <col min="7402" max="7403" width="15.42578125" style="107" customWidth="1"/>
    <col min="7404" max="7649" width="11.42578125" style="107"/>
    <col min="7650" max="7650" width="5" style="107" customWidth="1"/>
    <col min="7651" max="7651" width="32.140625" style="107" customWidth="1"/>
    <col min="7652" max="7652" width="0" style="107" hidden="1" customWidth="1"/>
    <col min="7653" max="7653" width="17.140625" style="107" customWidth="1"/>
    <col min="7654" max="7656" width="11.42578125" style="107"/>
    <col min="7657" max="7657" width="14.140625" style="107" customWidth="1"/>
    <col min="7658" max="7659" width="15.42578125" style="107" customWidth="1"/>
    <col min="7660" max="7905" width="11.42578125" style="107"/>
    <col min="7906" max="7906" width="5" style="107" customWidth="1"/>
    <col min="7907" max="7907" width="32.140625" style="107" customWidth="1"/>
    <col min="7908" max="7908" width="0" style="107" hidden="1" customWidth="1"/>
    <col min="7909" max="7909" width="17.140625" style="107" customWidth="1"/>
    <col min="7910" max="7912" width="11.42578125" style="107"/>
    <col min="7913" max="7913" width="14.140625" style="107" customWidth="1"/>
    <col min="7914" max="7915" width="15.42578125" style="107" customWidth="1"/>
    <col min="7916" max="8161" width="11.42578125" style="107"/>
    <col min="8162" max="8162" width="5" style="107" customWidth="1"/>
    <col min="8163" max="8163" width="32.140625" style="107" customWidth="1"/>
    <col min="8164" max="8164" width="0" style="107" hidden="1" customWidth="1"/>
    <col min="8165" max="8165" width="17.140625" style="107" customWidth="1"/>
    <col min="8166" max="8168" width="11.42578125" style="107"/>
    <col min="8169" max="8169" width="14.140625" style="107" customWidth="1"/>
    <col min="8170" max="8171" width="15.42578125" style="107" customWidth="1"/>
    <col min="8172" max="8417" width="11.42578125" style="107"/>
    <col min="8418" max="8418" width="5" style="107" customWidth="1"/>
    <col min="8419" max="8419" width="32.140625" style="107" customWidth="1"/>
    <col min="8420" max="8420" width="0" style="107" hidden="1" customWidth="1"/>
    <col min="8421" max="8421" width="17.140625" style="107" customWidth="1"/>
    <col min="8422" max="8424" width="11.42578125" style="107"/>
    <col min="8425" max="8425" width="14.140625" style="107" customWidth="1"/>
    <col min="8426" max="8427" width="15.42578125" style="107" customWidth="1"/>
    <col min="8428" max="8673" width="11.42578125" style="107"/>
    <col min="8674" max="8674" width="5" style="107" customWidth="1"/>
    <col min="8675" max="8675" width="32.140625" style="107" customWidth="1"/>
    <col min="8676" max="8676" width="0" style="107" hidden="1" customWidth="1"/>
    <col min="8677" max="8677" width="17.140625" style="107" customWidth="1"/>
    <col min="8678" max="8680" width="11.42578125" style="107"/>
    <col min="8681" max="8681" width="14.140625" style="107" customWidth="1"/>
    <col min="8682" max="8683" width="15.42578125" style="107" customWidth="1"/>
    <col min="8684" max="8929" width="11.42578125" style="107"/>
    <col min="8930" max="8930" width="5" style="107" customWidth="1"/>
    <col min="8931" max="8931" width="32.140625" style="107" customWidth="1"/>
    <col min="8932" max="8932" width="0" style="107" hidden="1" customWidth="1"/>
    <col min="8933" max="8933" width="17.140625" style="107" customWidth="1"/>
    <col min="8934" max="8936" width="11.42578125" style="107"/>
    <col min="8937" max="8937" width="14.140625" style="107" customWidth="1"/>
    <col min="8938" max="8939" width="15.42578125" style="107" customWidth="1"/>
    <col min="8940" max="9185" width="11.42578125" style="107"/>
    <col min="9186" max="9186" width="5" style="107" customWidth="1"/>
    <col min="9187" max="9187" width="32.140625" style="107" customWidth="1"/>
    <col min="9188" max="9188" width="0" style="107" hidden="1" customWidth="1"/>
    <col min="9189" max="9189" width="17.140625" style="107" customWidth="1"/>
    <col min="9190" max="9192" width="11.42578125" style="107"/>
    <col min="9193" max="9193" width="14.140625" style="107" customWidth="1"/>
    <col min="9194" max="9195" width="15.42578125" style="107" customWidth="1"/>
    <col min="9196" max="9441" width="11.42578125" style="107"/>
    <col min="9442" max="9442" width="5" style="107" customWidth="1"/>
    <col min="9443" max="9443" width="32.140625" style="107" customWidth="1"/>
    <col min="9444" max="9444" width="0" style="107" hidden="1" customWidth="1"/>
    <col min="9445" max="9445" width="17.140625" style="107" customWidth="1"/>
    <col min="9446" max="9448" width="11.42578125" style="107"/>
    <col min="9449" max="9449" width="14.140625" style="107" customWidth="1"/>
    <col min="9450" max="9451" width="15.42578125" style="107" customWidth="1"/>
    <col min="9452" max="9697" width="11.42578125" style="107"/>
    <col min="9698" max="9698" width="5" style="107" customWidth="1"/>
    <col min="9699" max="9699" width="32.140625" style="107" customWidth="1"/>
    <col min="9700" max="9700" width="0" style="107" hidden="1" customWidth="1"/>
    <col min="9701" max="9701" width="17.140625" style="107" customWidth="1"/>
    <col min="9702" max="9704" width="11.42578125" style="107"/>
    <col min="9705" max="9705" width="14.140625" style="107" customWidth="1"/>
    <col min="9706" max="9707" width="15.42578125" style="107" customWidth="1"/>
    <col min="9708" max="9953" width="11.42578125" style="107"/>
    <col min="9954" max="9954" width="5" style="107" customWidth="1"/>
    <col min="9955" max="9955" width="32.140625" style="107" customWidth="1"/>
    <col min="9956" max="9956" width="0" style="107" hidden="1" customWidth="1"/>
    <col min="9957" max="9957" width="17.140625" style="107" customWidth="1"/>
    <col min="9958" max="9960" width="11.42578125" style="107"/>
    <col min="9961" max="9961" width="14.140625" style="107" customWidth="1"/>
    <col min="9962" max="9963" width="15.42578125" style="107" customWidth="1"/>
    <col min="9964" max="10209" width="11.42578125" style="107"/>
    <col min="10210" max="10210" width="5" style="107" customWidth="1"/>
    <col min="10211" max="10211" width="32.140625" style="107" customWidth="1"/>
    <col min="10212" max="10212" width="0" style="107" hidden="1" customWidth="1"/>
    <col min="10213" max="10213" width="17.140625" style="107" customWidth="1"/>
    <col min="10214" max="10216" width="11.42578125" style="107"/>
    <col min="10217" max="10217" width="14.140625" style="107" customWidth="1"/>
    <col min="10218" max="10219" width="15.42578125" style="107" customWidth="1"/>
    <col min="10220" max="10465" width="11.42578125" style="107"/>
    <col min="10466" max="10466" width="5" style="107" customWidth="1"/>
    <col min="10467" max="10467" width="32.140625" style="107" customWidth="1"/>
    <col min="10468" max="10468" width="0" style="107" hidden="1" customWidth="1"/>
    <col min="10469" max="10469" width="17.140625" style="107" customWidth="1"/>
    <col min="10470" max="10472" width="11.42578125" style="107"/>
    <col min="10473" max="10473" width="14.140625" style="107" customWidth="1"/>
    <col min="10474" max="10475" width="15.42578125" style="107" customWidth="1"/>
    <col min="10476" max="10721" width="11.42578125" style="107"/>
    <col min="10722" max="10722" width="5" style="107" customWidth="1"/>
    <col min="10723" max="10723" width="32.140625" style="107" customWidth="1"/>
    <col min="10724" max="10724" width="0" style="107" hidden="1" customWidth="1"/>
    <col min="10725" max="10725" width="17.140625" style="107" customWidth="1"/>
    <col min="10726" max="10728" width="11.42578125" style="107"/>
    <col min="10729" max="10729" width="14.140625" style="107" customWidth="1"/>
    <col min="10730" max="10731" width="15.42578125" style="107" customWidth="1"/>
    <col min="10732" max="10977" width="11.42578125" style="107"/>
    <col min="10978" max="10978" width="5" style="107" customWidth="1"/>
    <col min="10979" max="10979" width="32.140625" style="107" customWidth="1"/>
    <col min="10980" max="10980" width="0" style="107" hidden="1" customWidth="1"/>
    <col min="10981" max="10981" width="17.140625" style="107" customWidth="1"/>
    <col min="10982" max="10984" width="11.42578125" style="107"/>
    <col min="10985" max="10985" width="14.140625" style="107" customWidth="1"/>
    <col min="10986" max="10987" width="15.42578125" style="107" customWidth="1"/>
    <col min="10988" max="11233" width="11.42578125" style="107"/>
    <col min="11234" max="11234" width="5" style="107" customWidth="1"/>
    <col min="11235" max="11235" width="32.140625" style="107" customWidth="1"/>
    <col min="11236" max="11236" width="0" style="107" hidden="1" customWidth="1"/>
    <col min="11237" max="11237" width="17.140625" style="107" customWidth="1"/>
    <col min="11238" max="11240" width="11.42578125" style="107"/>
    <col min="11241" max="11241" width="14.140625" style="107" customWidth="1"/>
    <col min="11242" max="11243" width="15.42578125" style="107" customWidth="1"/>
    <col min="11244" max="11489" width="11.42578125" style="107"/>
    <col min="11490" max="11490" width="5" style="107" customWidth="1"/>
    <col min="11491" max="11491" width="32.140625" style="107" customWidth="1"/>
    <col min="11492" max="11492" width="0" style="107" hidden="1" customWidth="1"/>
    <col min="11493" max="11493" width="17.140625" style="107" customWidth="1"/>
    <col min="11494" max="11496" width="11.42578125" style="107"/>
    <col min="11497" max="11497" width="14.140625" style="107" customWidth="1"/>
    <col min="11498" max="11499" width="15.42578125" style="107" customWidth="1"/>
    <col min="11500" max="11745" width="11.42578125" style="107"/>
    <col min="11746" max="11746" width="5" style="107" customWidth="1"/>
    <col min="11747" max="11747" width="32.140625" style="107" customWidth="1"/>
    <col min="11748" max="11748" width="0" style="107" hidden="1" customWidth="1"/>
    <col min="11749" max="11749" width="17.140625" style="107" customWidth="1"/>
    <col min="11750" max="11752" width="11.42578125" style="107"/>
    <col min="11753" max="11753" width="14.140625" style="107" customWidth="1"/>
    <col min="11754" max="11755" width="15.42578125" style="107" customWidth="1"/>
    <col min="11756" max="12001" width="11.42578125" style="107"/>
    <col min="12002" max="12002" width="5" style="107" customWidth="1"/>
    <col min="12003" max="12003" width="32.140625" style="107" customWidth="1"/>
    <col min="12004" max="12004" width="0" style="107" hidden="1" customWidth="1"/>
    <col min="12005" max="12005" width="17.140625" style="107" customWidth="1"/>
    <col min="12006" max="12008" width="11.42578125" style="107"/>
    <col min="12009" max="12009" width="14.140625" style="107" customWidth="1"/>
    <col min="12010" max="12011" width="15.42578125" style="107" customWidth="1"/>
    <col min="12012" max="12257" width="11.42578125" style="107"/>
    <col min="12258" max="12258" width="5" style="107" customWidth="1"/>
    <col min="12259" max="12259" width="32.140625" style="107" customWidth="1"/>
    <col min="12260" max="12260" width="0" style="107" hidden="1" customWidth="1"/>
    <col min="12261" max="12261" width="17.140625" style="107" customWidth="1"/>
    <col min="12262" max="12264" width="11.42578125" style="107"/>
    <col min="12265" max="12265" width="14.140625" style="107" customWidth="1"/>
    <col min="12266" max="12267" width="15.42578125" style="107" customWidth="1"/>
    <col min="12268" max="12513" width="11.42578125" style="107"/>
    <col min="12514" max="12514" width="5" style="107" customWidth="1"/>
    <col min="12515" max="12515" width="32.140625" style="107" customWidth="1"/>
    <col min="12516" max="12516" width="0" style="107" hidden="1" customWidth="1"/>
    <col min="12517" max="12517" width="17.140625" style="107" customWidth="1"/>
    <col min="12518" max="12520" width="11.42578125" style="107"/>
    <col min="12521" max="12521" width="14.140625" style="107" customWidth="1"/>
    <col min="12522" max="12523" width="15.42578125" style="107" customWidth="1"/>
    <col min="12524" max="12769" width="11.42578125" style="107"/>
    <col min="12770" max="12770" width="5" style="107" customWidth="1"/>
    <col min="12771" max="12771" width="32.140625" style="107" customWidth="1"/>
    <col min="12772" max="12772" width="0" style="107" hidden="1" customWidth="1"/>
    <col min="12773" max="12773" width="17.140625" style="107" customWidth="1"/>
    <col min="12774" max="12776" width="11.42578125" style="107"/>
    <col min="12777" max="12777" width="14.140625" style="107" customWidth="1"/>
    <col min="12778" max="12779" width="15.42578125" style="107" customWidth="1"/>
    <col min="12780" max="13025" width="11.42578125" style="107"/>
    <col min="13026" max="13026" width="5" style="107" customWidth="1"/>
    <col min="13027" max="13027" width="32.140625" style="107" customWidth="1"/>
    <col min="13028" max="13028" width="0" style="107" hidden="1" customWidth="1"/>
    <col min="13029" max="13029" width="17.140625" style="107" customWidth="1"/>
    <col min="13030" max="13032" width="11.42578125" style="107"/>
    <col min="13033" max="13033" width="14.140625" style="107" customWidth="1"/>
    <col min="13034" max="13035" width="15.42578125" style="107" customWidth="1"/>
    <col min="13036" max="13281" width="11.42578125" style="107"/>
    <col min="13282" max="13282" width="5" style="107" customWidth="1"/>
    <col min="13283" max="13283" width="32.140625" style="107" customWidth="1"/>
    <col min="13284" max="13284" width="0" style="107" hidden="1" customWidth="1"/>
    <col min="13285" max="13285" width="17.140625" style="107" customWidth="1"/>
    <col min="13286" max="13288" width="11.42578125" style="107"/>
    <col min="13289" max="13289" width="14.140625" style="107" customWidth="1"/>
    <col min="13290" max="13291" width="15.42578125" style="107" customWidth="1"/>
    <col min="13292" max="13537" width="11.42578125" style="107"/>
    <col min="13538" max="13538" width="5" style="107" customWidth="1"/>
    <col min="13539" max="13539" width="32.140625" style="107" customWidth="1"/>
    <col min="13540" max="13540" width="0" style="107" hidden="1" customWidth="1"/>
    <col min="13541" max="13541" width="17.140625" style="107" customWidth="1"/>
    <col min="13542" max="13544" width="11.42578125" style="107"/>
    <col min="13545" max="13545" width="14.140625" style="107" customWidth="1"/>
    <col min="13546" max="13547" width="15.42578125" style="107" customWidth="1"/>
    <col min="13548" max="13793" width="11.42578125" style="107"/>
    <col min="13794" max="13794" width="5" style="107" customWidth="1"/>
    <col min="13795" max="13795" width="32.140625" style="107" customWidth="1"/>
    <col min="13796" max="13796" width="0" style="107" hidden="1" customWidth="1"/>
    <col min="13797" max="13797" width="17.140625" style="107" customWidth="1"/>
    <col min="13798" max="13800" width="11.42578125" style="107"/>
    <col min="13801" max="13801" width="14.140625" style="107" customWidth="1"/>
    <col min="13802" max="13803" width="15.42578125" style="107" customWidth="1"/>
    <col min="13804" max="14049" width="11.42578125" style="107"/>
    <col min="14050" max="14050" width="5" style="107" customWidth="1"/>
    <col min="14051" max="14051" width="32.140625" style="107" customWidth="1"/>
    <col min="14052" max="14052" width="0" style="107" hidden="1" customWidth="1"/>
    <col min="14053" max="14053" width="17.140625" style="107" customWidth="1"/>
    <col min="14054" max="14056" width="11.42578125" style="107"/>
    <col min="14057" max="14057" width="14.140625" style="107" customWidth="1"/>
    <col min="14058" max="14059" width="15.42578125" style="107" customWidth="1"/>
    <col min="14060" max="14305" width="11.42578125" style="107"/>
    <col min="14306" max="14306" width="5" style="107" customWidth="1"/>
    <col min="14307" max="14307" width="32.140625" style="107" customWidth="1"/>
    <col min="14308" max="14308" width="0" style="107" hidden="1" customWidth="1"/>
    <col min="14309" max="14309" width="17.140625" style="107" customWidth="1"/>
    <col min="14310" max="14312" width="11.42578125" style="107"/>
    <col min="14313" max="14313" width="14.140625" style="107" customWidth="1"/>
    <col min="14314" max="14315" width="15.42578125" style="107" customWidth="1"/>
    <col min="14316" max="14561" width="11.42578125" style="107"/>
    <col min="14562" max="14562" width="5" style="107" customWidth="1"/>
    <col min="14563" max="14563" width="32.140625" style="107" customWidth="1"/>
    <col min="14564" max="14564" width="0" style="107" hidden="1" customWidth="1"/>
    <col min="14565" max="14565" width="17.140625" style="107" customWidth="1"/>
    <col min="14566" max="14568" width="11.42578125" style="107"/>
    <col min="14569" max="14569" width="14.140625" style="107" customWidth="1"/>
    <col min="14570" max="14571" width="15.42578125" style="107" customWidth="1"/>
    <col min="14572" max="14817" width="11.42578125" style="107"/>
    <col min="14818" max="14818" width="5" style="107" customWidth="1"/>
    <col min="14819" max="14819" width="32.140625" style="107" customWidth="1"/>
    <col min="14820" max="14820" width="0" style="107" hidden="1" customWidth="1"/>
    <col min="14821" max="14821" width="17.140625" style="107" customWidth="1"/>
    <col min="14822" max="14824" width="11.42578125" style="107"/>
    <col min="14825" max="14825" width="14.140625" style="107" customWidth="1"/>
    <col min="14826" max="14827" width="15.42578125" style="107" customWidth="1"/>
    <col min="14828" max="15073" width="11.42578125" style="107"/>
    <col min="15074" max="15074" width="5" style="107" customWidth="1"/>
    <col min="15075" max="15075" width="32.140625" style="107" customWidth="1"/>
    <col min="15076" max="15076" width="0" style="107" hidden="1" customWidth="1"/>
    <col min="15077" max="15077" width="17.140625" style="107" customWidth="1"/>
    <col min="15078" max="15080" width="11.42578125" style="107"/>
    <col min="15081" max="15081" width="14.140625" style="107" customWidth="1"/>
    <col min="15082" max="15083" width="15.42578125" style="107" customWidth="1"/>
    <col min="15084" max="15329" width="11.42578125" style="107"/>
    <col min="15330" max="15330" width="5" style="107" customWidth="1"/>
    <col min="15331" max="15331" width="32.140625" style="107" customWidth="1"/>
    <col min="15332" max="15332" width="0" style="107" hidden="1" customWidth="1"/>
    <col min="15333" max="15333" width="17.140625" style="107" customWidth="1"/>
    <col min="15334" max="15336" width="11.42578125" style="107"/>
    <col min="15337" max="15337" width="14.140625" style="107" customWidth="1"/>
    <col min="15338" max="15339" width="15.42578125" style="107" customWidth="1"/>
    <col min="15340" max="15585" width="11.42578125" style="107"/>
    <col min="15586" max="15586" width="5" style="107" customWidth="1"/>
    <col min="15587" max="15587" width="32.140625" style="107" customWidth="1"/>
    <col min="15588" max="15588" width="0" style="107" hidden="1" customWidth="1"/>
    <col min="15589" max="15589" width="17.140625" style="107" customWidth="1"/>
    <col min="15590" max="15592" width="11.42578125" style="107"/>
    <col min="15593" max="15593" width="14.140625" style="107" customWidth="1"/>
    <col min="15594" max="15595" width="15.42578125" style="107" customWidth="1"/>
    <col min="15596" max="15841" width="11.42578125" style="107"/>
    <col min="15842" max="15842" width="5" style="107" customWidth="1"/>
    <col min="15843" max="15843" width="32.140625" style="107" customWidth="1"/>
    <col min="15844" max="15844" width="0" style="107" hidden="1" customWidth="1"/>
    <col min="15845" max="15845" width="17.140625" style="107" customWidth="1"/>
    <col min="15846" max="15848" width="11.42578125" style="107"/>
    <col min="15849" max="15849" width="14.140625" style="107" customWidth="1"/>
    <col min="15850" max="15851" width="15.42578125" style="107" customWidth="1"/>
    <col min="15852" max="16097" width="11.42578125" style="107"/>
    <col min="16098" max="16098" width="5" style="107" customWidth="1"/>
    <col min="16099" max="16099" width="32.140625" style="107" customWidth="1"/>
    <col min="16100" max="16100" width="0" style="107" hidden="1" customWidth="1"/>
    <col min="16101" max="16101" width="17.140625" style="107" customWidth="1"/>
    <col min="16102" max="16104" width="11.42578125" style="107"/>
    <col min="16105" max="16105" width="14.140625" style="107" customWidth="1"/>
    <col min="16106" max="16107" width="15.42578125" style="107" customWidth="1"/>
    <col min="16108" max="16384" width="11.42578125" style="107"/>
  </cols>
  <sheetData>
    <row r="1" spans="1:8" ht="31.5" customHeight="1">
      <c r="B1" s="107"/>
      <c r="F1" s="342">
        <v>2027</v>
      </c>
      <c r="G1" s="342"/>
      <c r="H1" s="342"/>
    </row>
    <row r="2" spans="1:8" ht="50.45" customHeight="1">
      <c r="A2" s="104" t="s">
        <v>157</v>
      </c>
      <c r="B2" s="105" t="s">
        <v>158</v>
      </c>
      <c r="C2" s="105" t="s">
        <v>159</v>
      </c>
      <c r="D2" s="105" t="s">
        <v>160</v>
      </c>
      <c r="E2" s="106" t="s">
        <v>161</v>
      </c>
      <c r="F2" s="105" t="s">
        <v>162</v>
      </c>
      <c r="G2" s="106" t="s">
        <v>163</v>
      </c>
      <c r="H2" s="105" t="s">
        <v>164</v>
      </c>
    </row>
    <row r="3" spans="1:8" ht="31.5" customHeight="1">
      <c r="A3" s="108">
        <v>1</v>
      </c>
      <c r="B3" s="158" t="s">
        <v>360</v>
      </c>
      <c r="C3" s="113" t="s">
        <v>361</v>
      </c>
      <c r="D3" s="157" t="s">
        <v>179</v>
      </c>
      <c r="E3" s="108">
        <v>20</v>
      </c>
      <c r="F3" s="236"/>
      <c r="G3" s="238">
        <f>+ROUND(F3*0.19,0)</f>
        <v>0</v>
      </c>
      <c r="H3" s="166">
        <f t="shared" ref="H3:H34" si="0">(F3+G3)*E3</f>
        <v>0</v>
      </c>
    </row>
    <row r="4" spans="1:8" ht="31.5" customHeight="1">
      <c r="A4" s="108">
        <v>2</v>
      </c>
      <c r="B4" s="109" t="s">
        <v>165</v>
      </c>
      <c r="C4" s="112" t="s">
        <v>166</v>
      </c>
      <c r="D4" s="110" t="s">
        <v>167</v>
      </c>
      <c r="E4" s="108">
        <v>80</v>
      </c>
      <c r="F4" s="236"/>
      <c r="G4" s="238">
        <f>+ROUND(F4*0.19,0)</f>
        <v>0</v>
      </c>
      <c r="H4" s="167">
        <f t="shared" si="0"/>
        <v>0</v>
      </c>
    </row>
    <row r="5" spans="1:8" ht="31.5" customHeight="1">
      <c r="A5" s="108">
        <v>3</v>
      </c>
      <c r="B5" s="112" t="s">
        <v>168</v>
      </c>
      <c r="C5" s="275" t="s">
        <v>169</v>
      </c>
      <c r="D5" s="110" t="s">
        <v>170</v>
      </c>
      <c r="E5" s="108">
        <v>30</v>
      </c>
      <c r="F5" s="236"/>
      <c r="G5" s="238">
        <f>+ROUND(F5*0.19,0)</f>
        <v>0</v>
      </c>
      <c r="H5" s="167">
        <f t="shared" si="0"/>
        <v>0</v>
      </c>
    </row>
    <row r="6" spans="1:8" ht="31.5" customHeight="1">
      <c r="A6" s="108">
        <v>4</v>
      </c>
      <c r="B6" s="112" t="s">
        <v>171</v>
      </c>
      <c r="C6" s="113" t="s">
        <v>172</v>
      </c>
      <c r="D6" s="110" t="s">
        <v>173</v>
      </c>
      <c r="E6" s="226">
        <v>1000</v>
      </c>
      <c r="F6" s="236"/>
      <c r="G6" s="238">
        <f>+ROUND(F6*0.19,0)</f>
        <v>0</v>
      </c>
      <c r="H6" s="167">
        <f t="shared" si="0"/>
        <v>0</v>
      </c>
    </row>
    <row r="7" spans="1:8" ht="31.5" customHeight="1">
      <c r="A7" s="108">
        <v>5</v>
      </c>
      <c r="B7" s="112" t="s">
        <v>174</v>
      </c>
      <c r="C7" s="113" t="s">
        <v>175</v>
      </c>
      <c r="D7" s="110" t="s">
        <v>176</v>
      </c>
      <c r="E7" s="226">
        <v>800</v>
      </c>
      <c r="F7" s="236"/>
      <c r="G7" s="238">
        <f>+ROUND(F7*0.05,0)</f>
        <v>0</v>
      </c>
      <c r="H7" s="167">
        <f t="shared" si="0"/>
        <v>0</v>
      </c>
    </row>
    <row r="8" spans="1:8" ht="31.5" customHeight="1">
      <c r="A8" s="108">
        <v>6</v>
      </c>
      <c r="B8" s="112" t="s">
        <v>177</v>
      </c>
      <c r="C8" s="113" t="s">
        <v>178</v>
      </c>
      <c r="D8" s="110" t="s">
        <v>179</v>
      </c>
      <c r="E8" s="108">
        <v>30</v>
      </c>
      <c r="F8" s="236"/>
      <c r="G8" s="238">
        <f t="shared" ref="G8:G26" si="1">+ROUND(F8*0.19,0)</f>
        <v>0</v>
      </c>
      <c r="H8" s="167">
        <f t="shared" si="0"/>
        <v>0</v>
      </c>
    </row>
    <row r="9" spans="1:8" ht="31.5" customHeight="1">
      <c r="A9" s="108">
        <v>7</v>
      </c>
      <c r="B9" s="168" t="s">
        <v>362</v>
      </c>
      <c r="C9" s="169" t="s">
        <v>363</v>
      </c>
      <c r="D9" s="110" t="s">
        <v>179</v>
      </c>
      <c r="E9" s="226">
        <v>20</v>
      </c>
      <c r="F9" s="236"/>
      <c r="G9" s="238">
        <f t="shared" si="1"/>
        <v>0</v>
      </c>
      <c r="H9" s="167">
        <f t="shared" si="0"/>
        <v>0</v>
      </c>
    </row>
    <row r="10" spans="1:8" ht="31.5" customHeight="1">
      <c r="A10" s="108">
        <v>8</v>
      </c>
      <c r="B10" s="112" t="s">
        <v>180</v>
      </c>
      <c r="C10" s="113" t="s">
        <v>181</v>
      </c>
      <c r="D10" s="110" t="s">
        <v>182</v>
      </c>
      <c r="E10" s="108">
        <v>200</v>
      </c>
      <c r="F10" s="236"/>
      <c r="G10" s="238">
        <f t="shared" si="1"/>
        <v>0</v>
      </c>
      <c r="H10" s="167">
        <f t="shared" si="0"/>
        <v>0</v>
      </c>
    </row>
    <row r="11" spans="1:8" ht="31.5" customHeight="1">
      <c r="A11" s="108">
        <v>9</v>
      </c>
      <c r="B11" s="112" t="s">
        <v>183</v>
      </c>
      <c r="C11" s="115" t="s">
        <v>184</v>
      </c>
      <c r="D11" s="110" t="s">
        <v>182</v>
      </c>
      <c r="E11" s="108">
        <v>1000</v>
      </c>
      <c r="F11" s="236"/>
      <c r="G11" s="238">
        <f t="shared" si="1"/>
        <v>0</v>
      </c>
      <c r="H11" s="167">
        <f t="shared" si="0"/>
        <v>0</v>
      </c>
    </row>
    <row r="12" spans="1:8" ht="31.5" customHeight="1">
      <c r="A12" s="108">
        <v>10</v>
      </c>
      <c r="B12" s="112" t="s">
        <v>185</v>
      </c>
      <c r="C12" s="112" t="s">
        <v>186</v>
      </c>
      <c r="D12" s="110" t="s">
        <v>182</v>
      </c>
      <c r="E12" s="108">
        <v>200</v>
      </c>
      <c r="F12" s="236"/>
      <c r="G12" s="238">
        <f t="shared" si="1"/>
        <v>0</v>
      </c>
      <c r="H12" s="167">
        <f t="shared" si="0"/>
        <v>0</v>
      </c>
    </row>
    <row r="13" spans="1:8" ht="31.5" customHeight="1">
      <c r="A13" s="108">
        <v>11</v>
      </c>
      <c r="B13" s="109" t="s">
        <v>187</v>
      </c>
      <c r="C13" s="115" t="s">
        <v>188</v>
      </c>
      <c r="D13" s="110" t="s">
        <v>182</v>
      </c>
      <c r="E13" s="108">
        <v>200</v>
      </c>
      <c r="F13" s="236"/>
      <c r="G13" s="238">
        <f t="shared" si="1"/>
        <v>0</v>
      </c>
      <c r="H13" s="167">
        <f t="shared" si="0"/>
        <v>0</v>
      </c>
    </row>
    <row r="14" spans="1:8" ht="31.5" customHeight="1">
      <c r="A14" s="108">
        <v>12</v>
      </c>
      <c r="B14" s="109" t="s">
        <v>189</v>
      </c>
      <c r="C14" s="115" t="s">
        <v>190</v>
      </c>
      <c r="D14" s="110" t="s">
        <v>182</v>
      </c>
      <c r="E14" s="108">
        <v>200</v>
      </c>
      <c r="F14" s="236"/>
      <c r="G14" s="238">
        <f t="shared" si="1"/>
        <v>0</v>
      </c>
      <c r="H14" s="167">
        <f t="shared" si="0"/>
        <v>0</v>
      </c>
    </row>
    <row r="15" spans="1:8" ht="31.5" customHeight="1">
      <c r="A15" s="108">
        <v>13</v>
      </c>
      <c r="B15" s="112" t="s">
        <v>191</v>
      </c>
      <c r="C15" s="113" t="s">
        <v>192</v>
      </c>
      <c r="D15" s="110" t="s">
        <v>182</v>
      </c>
      <c r="E15" s="108">
        <v>200</v>
      </c>
      <c r="F15" s="236"/>
      <c r="G15" s="238">
        <f t="shared" si="1"/>
        <v>0</v>
      </c>
      <c r="H15" s="167">
        <f t="shared" si="0"/>
        <v>0</v>
      </c>
    </row>
    <row r="16" spans="1:8" ht="31.5" customHeight="1">
      <c r="A16" s="108">
        <v>14</v>
      </c>
      <c r="B16" s="112" t="s">
        <v>193</v>
      </c>
      <c r="C16" s="112" t="s">
        <v>194</v>
      </c>
      <c r="D16" s="110" t="s">
        <v>182</v>
      </c>
      <c r="E16" s="108">
        <v>60</v>
      </c>
      <c r="F16" s="236"/>
      <c r="G16" s="238">
        <f t="shared" si="1"/>
        <v>0</v>
      </c>
      <c r="H16" s="167">
        <f t="shared" si="0"/>
        <v>0</v>
      </c>
    </row>
    <row r="17" spans="1:8" ht="31.5" customHeight="1">
      <c r="A17" s="108">
        <v>15</v>
      </c>
      <c r="B17" s="109" t="s">
        <v>195</v>
      </c>
      <c r="C17" s="112" t="s">
        <v>196</v>
      </c>
      <c r="D17" s="110" t="s">
        <v>182</v>
      </c>
      <c r="E17" s="108">
        <v>80</v>
      </c>
      <c r="F17" s="236"/>
      <c r="G17" s="238">
        <f t="shared" si="1"/>
        <v>0</v>
      </c>
      <c r="H17" s="167">
        <f t="shared" si="0"/>
        <v>0</v>
      </c>
    </row>
    <row r="18" spans="1:8" ht="31.5" customHeight="1">
      <c r="A18" s="108">
        <v>16</v>
      </c>
      <c r="B18" s="109" t="s">
        <v>195</v>
      </c>
      <c r="C18" s="112" t="s">
        <v>197</v>
      </c>
      <c r="D18" s="110" t="s">
        <v>182</v>
      </c>
      <c r="E18" s="108">
        <v>80</v>
      </c>
      <c r="F18" s="236"/>
      <c r="G18" s="238">
        <f t="shared" si="1"/>
        <v>0</v>
      </c>
      <c r="H18" s="167">
        <f t="shared" si="0"/>
        <v>0</v>
      </c>
    </row>
    <row r="19" spans="1:8" ht="31.5" customHeight="1">
      <c r="A19" s="108">
        <v>17</v>
      </c>
      <c r="B19" s="109" t="s">
        <v>195</v>
      </c>
      <c r="C19" s="112" t="s">
        <v>198</v>
      </c>
      <c r="D19" s="110" t="s">
        <v>182</v>
      </c>
      <c r="E19" s="108">
        <v>80</v>
      </c>
      <c r="F19" s="236"/>
      <c r="G19" s="238">
        <f t="shared" si="1"/>
        <v>0</v>
      </c>
      <c r="H19" s="167">
        <f t="shared" si="0"/>
        <v>0</v>
      </c>
    </row>
    <row r="20" spans="1:8" ht="31.5" customHeight="1">
      <c r="A20" s="108">
        <v>18</v>
      </c>
      <c r="B20" s="109" t="s">
        <v>195</v>
      </c>
      <c r="C20" s="112" t="s">
        <v>199</v>
      </c>
      <c r="D20" s="110" t="s">
        <v>182</v>
      </c>
      <c r="E20" s="108">
        <v>80</v>
      </c>
      <c r="F20" s="236"/>
      <c r="G20" s="238">
        <f t="shared" si="1"/>
        <v>0</v>
      </c>
      <c r="H20" s="167">
        <f t="shared" si="0"/>
        <v>0</v>
      </c>
    </row>
    <row r="21" spans="1:8" ht="31.5" customHeight="1">
      <c r="A21" s="108">
        <v>19</v>
      </c>
      <c r="B21" s="109" t="s">
        <v>200</v>
      </c>
      <c r="C21" s="115" t="s">
        <v>201</v>
      </c>
      <c r="D21" s="110" t="s">
        <v>182</v>
      </c>
      <c r="E21" s="108">
        <v>80</v>
      </c>
      <c r="F21" s="236"/>
      <c r="G21" s="238">
        <f t="shared" si="1"/>
        <v>0</v>
      </c>
      <c r="H21" s="167">
        <f t="shared" si="0"/>
        <v>0</v>
      </c>
    </row>
    <row r="22" spans="1:8" ht="31.5" customHeight="1">
      <c r="A22" s="108">
        <v>20</v>
      </c>
      <c r="B22" s="170" t="s">
        <v>202</v>
      </c>
      <c r="C22" s="113" t="s">
        <v>364</v>
      </c>
      <c r="D22" s="110" t="s">
        <v>182</v>
      </c>
      <c r="E22" s="108">
        <v>40</v>
      </c>
      <c r="F22" s="236"/>
      <c r="G22" s="238">
        <f t="shared" si="1"/>
        <v>0</v>
      </c>
      <c r="H22" s="167">
        <f t="shared" si="0"/>
        <v>0</v>
      </c>
    </row>
    <row r="23" spans="1:8" ht="31.5" customHeight="1">
      <c r="A23" s="108">
        <v>21</v>
      </c>
      <c r="B23" s="109" t="s">
        <v>204</v>
      </c>
      <c r="C23" s="113" t="s">
        <v>205</v>
      </c>
      <c r="D23" s="110" t="s">
        <v>182</v>
      </c>
      <c r="E23" s="108">
        <v>200</v>
      </c>
      <c r="F23" s="236"/>
      <c r="G23" s="238">
        <f t="shared" si="1"/>
        <v>0</v>
      </c>
      <c r="H23" s="167">
        <f t="shared" si="0"/>
        <v>0</v>
      </c>
    </row>
    <row r="24" spans="1:8" ht="31.5" customHeight="1">
      <c r="A24" s="108">
        <v>22</v>
      </c>
      <c r="B24" s="109" t="s">
        <v>206</v>
      </c>
      <c r="C24" s="112" t="s">
        <v>207</v>
      </c>
      <c r="D24" s="110" t="s">
        <v>182</v>
      </c>
      <c r="E24" s="108">
        <v>200</v>
      </c>
      <c r="F24" s="236"/>
      <c r="G24" s="238">
        <f t="shared" si="1"/>
        <v>0</v>
      </c>
      <c r="H24" s="167">
        <f t="shared" si="0"/>
        <v>0</v>
      </c>
    </row>
    <row r="25" spans="1:8" ht="31.5" customHeight="1">
      <c r="A25" s="108">
        <v>23</v>
      </c>
      <c r="B25" s="109" t="s">
        <v>208</v>
      </c>
      <c r="C25" s="113" t="s">
        <v>365</v>
      </c>
      <c r="D25" s="110" t="s">
        <v>182</v>
      </c>
      <c r="E25" s="108">
        <v>60</v>
      </c>
      <c r="F25" s="236"/>
      <c r="G25" s="238">
        <f t="shared" si="1"/>
        <v>0</v>
      </c>
      <c r="H25" s="167">
        <f t="shared" si="0"/>
        <v>0</v>
      </c>
    </row>
    <row r="26" spans="1:8" ht="31.5" customHeight="1">
      <c r="A26" s="108">
        <v>24</v>
      </c>
      <c r="B26" s="109" t="s">
        <v>210</v>
      </c>
      <c r="C26" s="113" t="s">
        <v>211</v>
      </c>
      <c r="D26" s="110" t="s">
        <v>179</v>
      </c>
      <c r="E26" s="108">
        <v>20</v>
      </c>
      <c r="F26" s="236"/>
      <c r="G26" s="238">
        <f t="shared" si="1"/>
        <v>0</v>
      </c>
      <c r="H26" s="167">
        <f t="shared" si="0"/>
        <v>0</v>
      </c>
    </row>
    <row r="27" spans="1:8" ht="31.5" customHeight="1">
      <c r="A27" s="108">
        <v>25</v>
      </c>
      <c r="B27" s="112" t="s">
        <v>212</v>
      </c>
      <c r="C27" s="113" t="s">
        <v>213</v>
      </c>
      <c r="D27" s="110" t="s">
        <v>214</v>
      </c>
      <c r="E27" s="226">
        <v>400</v>
      </c>
      <c r="F27" s="236"/>
      <c r="G27" s="238">
        <f>+ROUND(F27*0.05,0)</f>
        <v>0</v>
      </c>
      <c r="H27" s="167">
        <f t="shared" si="0"/>
        <v>0</v>
      </c>
    </row>
    <row r="28" spans="1:8" ht="31.5" customHeight="1">
      <c r="A28" s="108">
        <v>26</v>
      </c>
      <c r="B28" s="109" t="s">
        <v>215</v>
      </c>
      <c r="C28" s="113" t="s">
        <v>216</v>
      </c>
      <c r="D28" s="110" t="s">
        <v>179</v>
      </c>
      <c r="E28" s="108">
        <v>20</v>
      </c>
      <c r="F28" s="236"/>
      <c r="G28" s="238">
        <f t="shared" ref="G28:G59" si="2">+ROUND(F28*0.19,0)</f>
        <v>0</v>
      </c>
      <c r="H28" s="167">
        <f t="shared" si="0"/>
        <v>0</v>
      </c>
    </row>
    <row r="29" spans="1:8" ht="31.5" customHeight="1">
      <c r="A29" s="108">
        <v>27</v>
      </c>
      <c r="B29" s="109" t="s">
        <v>217</v>
      </c>
      <c r="C29" s="113" t="s">
        <v>218</v>
      </c>
      <c r="D29" s="110" t="s">
        <v>179</v>
      </c>
      <c r="E29" s="108">
        <v>20</v>
      </c>
      <c r="F29" s="236"/>
      <c r="G29" s="238">
        <f t="shared" si="2"/>
        <v>0</v>
      </c>
      <c r="H29" s="167">
        <f t="shared" si="0"/>
        <v>0</v>
      </c>
    </row>
    <row r="30" spans="1:8" ht="31.5" customHeight="1">
      <c r="A30" s="108">
        <v>28</v>
      </c>
      <c r="B30" s="109" t="s">
        <v>219</v>
      </c>
      <c r="C30" s="109" t="s">
        <v>220</v>
      </c>
      <c r="D30" s="110" t="s">
        <v>179</v>
      </c>
      <c r="E30" s="108">
        <v>20</v>
      </c>
      <c r="F30" s="236"/>
      <c r="G30" s="238">
        <f t="shared" si="2"/>
        <v>0</v>
      </c>
      <c r="H30" s="167">
        <f t="shared" si="0"/>
        <v>0</v>
      </c>
    </row>
    <row r="31" spans="1:8" ht="31.5" customHeight="1">
      <c r="A31" s="108">
        <v>29</v>
      </c>
      <c r="B31" s="109" t="s">
        <v>221</v>
      </c>
      <c r="C31" s="113" t="s">
        <v>222</v>
      </c>
      <c r="D31" s="110" t="s">
        <v>223</v>
      </c>
      <c r="E31" s="108">
        <v>40</v>
      </c>
      <c r="F31" s="236"/>
      <c r="G31" s="238">
        <f t="shared" si="2"/>
        <v>0</v>
      </c>
      <c r="H31" s="167">
        <f t="shared" si="0"/>
        <v>0</v>
      </c>
    </row>
    <row r="32" spans="1:8" ht="31.5" customHeight="1">
      <c r="A32" s="108">
        <v>30</v>
      </c>
      <c r="B32" s="112" t="s">
        <v>224</v>
      </c>
      <c r="C32" s="113" t="s">
        <v>366</v>
      </c>
      <c r="D32" s="110" t="s">
        <v>226</v>
      </c>
      <c r="E32" s="226">
        <v>30</v>
      </c>
      <c r="F32" s="236"/>
      <c r="G32" s="238">
        <f t="shared" si="2"/>
        <v>0</v>
      </c>
      <c r="H32" s="167">
        <f t="shared" si="0"/>
        <v>0</v>
      </c>
    </row>
    <row r="33" spans="1:8" ht="31.5" customHeight="1">
      <c r="A33" s="108">
        <v>31</v>
      </c>
      <c r="B33" s="116" t="s">
        <v>227</v>
      </c>
      <c r="C33" s="113" t="s">
        <v>228</v>
      </c>
      <c r="D33" s="110" t="s">
        <v>229</v>
      </c>
      <c r="E33" s="108">
        <v>100</v>
      </c>
      <c r="F33" s="236"/>
      <c r="G33" s="238">
        <f t="shared" si="2"/>
        <v>0</v>
      </c>
      <c r="H33" s="167">
        <f t="shared" si="0"/>
        <v>0</v>
      </c>
    </row>
    <row r="34" spans="1:8" ht="31.5" customHeight="1">
      <c r="A34" s="108">
        <v>32</v>
      </c>
      <c r="B34" s="109" t="s">
        <v>230</v>
      </c>
      <c r="C34" s="112" t="s">
        <v>231</v>
      </c>
      <c r="D34" s="110" t="s">
        <v>232</v>
      </c>
      <c r="E34" s="108">
        <v>20</v>
      </c>
      <c r="F34" s="236"/>
      <c r="G34" s="238">
        <f t="shared" si="2"/>
        <v>0</v>
      </c>
      <c r="H34" s="167">
        <f t="shared" si="0"/>
        <v>0</v>
      </c>
    </row>
    <row r="35" spans="1:8" ht="31.5" customHeight="1">
      <c r="A35" s="108">
        <v>33</v>
      </c>
      <c r="B35" s="109" t="s">
        <v>233</v>
      </c>
      <c r="C35" s="113" t="s">
        <v>234</v>
      </c>
      <c r="D35" s="110" t="s">
        <v>235</v>
      </c>
      <c r="E35" s="108">
        <v>400</v>
      </c>
      <c r="F35" s="236"/>
      <c r="G35" s="238">
        <f t="shared" si="2"/>
        <v>0</v>
      </c>
      <c r="H35" s="167">
        <f t="shared" ref="H35:H66" si="3">(F35+G35)*E35</f>
        <v>0</v>
      </c>
    </row>
    <row r="36" spans="1:8" ht="31.5" customHeight="1">
      <c r="A36" s="108">
        <v>34</v>
      </c>
      <c r="B36" s="115" t="s">
        <v>236</v>
      </c>
      <c r="C36" s="113" t="s">
        <v>237</v>
      </c>
      <c r="D36" s="110" t="s">
        <v>232</v>
      </c>
      <c r="E36" s="108">
        <v>200</v>
      </c>
      <c r="F36" s="236"/>
      <c r="G36" s="238">
        <f t="shared" si="2"/>
        <v>0</v>
      </c>
      <c r="H36" s="167">
        <f t="shared" si="3"/>
        <v>0</v>
      </c>
    </row>
    <row r="37" spans="1:8" ht="31.5" customHeight="1">
      <c r="A37" s="108">
        <v>35</v>
      </c>
      <c r="B37" s="115" t="s">
        <v>238</v>
      </c>
      <c r="C37" s="113" t="s">
        <v>239</v>
      </c>
      <c r="D37" s="110" t="s">
        <v>240</v>
      </c>
      <c r="E37" s="108">
        <v>40</v>
      </c>
      <c r="F37" s="236"/>
      <c r="G37" s="238">
        <f t="shared" si="2"/>
        <v>0</v>
      </c>
      <c r="H37" s="167">
        <f t="shared" si="3"/>
        <v>0</v>
      </c>
    </row>
    <row r="38" spans="1:8" ht="31.5" customHeight="1">
      <c r="A38" s="108">
        <v>36</v>
      </c>
      <c r="B38" s="109" t="s">
        <v>241</v>
      </c>
      <c r="C38" s="113" t="s">
        <v>242</v>
      </c>
      <c r="D38" s="110" t="s">
        <v>179</v>
      </c>
      <c r="E38" s="108">
        <v>60</v>
      </c>
      <c r="F38" s="236"/>
      <c r="G38" s="238">
        <f t="shared" si="2"/>
        <v>0</v>
      </c>
      <c r="H38" s="167">
        <f t="shared" si="3"/>
        <v>0</v>
      </c>
    </row>
    <row r="39" spans="1:8" ht="31.5" customHeight="1">
      <c r="A39" s="108">
        <v>37</v>
      </c>
      <c r="B39" s="158" t="s">
        <v>243</v>
      </c>
      <c r="C39" s="113" t="s">
        <v>244</v>
      </c>
      <c r="D39" s="110" t="s">
        <v>179</v>
      </c>
      <c r="E39" s="108">
        <v>60</v>
      </c>
      <c r="F39" s="236"/>
      <c r="G39" s="238">
        <f t="shared" si="2"/>
        <v>0</v>
      </c>
      <c r="H39" s="167">
        <f t="shared" si="3"/>
        <v>0</v>
      </c>
    </row>
    <row r="40" spans="1:8" ht="31.5" customHeight="1">
      <c r="A40" s="108">
        <v>38</v>
      </c>
      <c r="B40" s="109" t="s">
        <v>245</v>
      </c>
      <c r="C40" s="112" t="s">
        <v>246</v>
      </c>
      <c r="D40" s="110" t="s">
        <v>179</v>
      </c>
      <c r="E40" s="108">
        <v>20</v>
      </c>
      <c r="F40" s="236"/>
      <c r="G40" s="238">
        <f t="shared" si="2"/>
        <v>0</v>
      </c>
      <c r="H40" s="167">
        <f t="shared" si="3"/>
        <v>0</v>
      </c>
    </row>
    <row r="41" spans="1:8" ht="31.5" customHeight="1">
      <c r="A41" s="108">
        <v>39</v>
      </c>
      <c r="B41" s="109" t="s">
        <v>247</v>
      </c>
      <c r="C41" s="113" t="s">
        <v>248</v>
      </c>
      <c r="D41" s="110" t="s">
        <v>179</v>
      </c>
      <c r="E41" s="108">
        <v>80</v>
      </c>
      <c r="F41" s="236"/>
      <c r="G41" s="238">
        <f t="shared" si="2"/>
        <v>0</v>
      </c>
      <c r="H41" s="167">
        <f t="shared" si="3"/>
        <v>0</v>
      </c>
    </row>
    <row r="42" spans="1:8" ht="31.5" customHeight="1">
      <c r="A42" s="108">
        <v>40</v>
      </c>
      <c r="B42" s="109" t="s">
        <v>249</v>
      </c>
      <c r="C42" s="112" t="s">
        <v>250</v>
      </c>
      <c r="D42" s="110" t="s">
        <v>179</v>
      </c>
      <c r="E42" s="108">
        <v>100</v>
      </c>
      <c r="F42" s="236"/>
      <c r="G42" s="238">
        <f t="shared" si="2"/>
        <v>0</v>
      </c>
      <c r="H42" s="167">
        <f t="shared" si="3"/>
        <v>0</v>
      </c>
    </row>
    <row r="43" spans="1:8" ht="31.5" customHeight="1">
      <c r="A43" s="108">
        <v>41</v>
      </c>
      <c r="B43" s="112" t="s">
        <v>251</v>
      </c>
      <c r="C43" s="113" t="s">
        <v>252</v>
      </c>
      <c r="D43" s="110" t="s">
        <v>179</v>
      </c>
      <c r="E43" s="108">
        <v>20</v>
      </c>
      <c r="F43" s="236"/>
      <c r="G43" s="238">
        <f t="shared" si="2"/>
        <v>0</v>
      </c>
      <c r="H43" s="167">
        <f t="shared" si="3"/>
        <v>0</v>
      </c>
    </row>
    <row r="44" spans="1:8" ht="31.5" customHeight="1">
      <c r="A44" s="108">
        <v>42</v>
      </c>
      <c r="B44" s="109" t="s">
        <v>367</v>
      </c>
      <c r="C44" s="115" t="s">
        <v>256</v>
      </c>
      <c r="D44" s="110" t="s">
        <v>179</v>
      </c>
      <c r="E44" s="108">
        <v>560</v>
      </c>
      <c r="F44" s="236"/>
      <c r="G44" s="238">
        <f t="shared" si="2"/>
        <v>0</v>
      </c>
      <c r="H44" s="167">
        <f t="shared" si="3"/>
        <v>0</v>
      </c>
    </row>
    <row r="45" spans="1:8" ht="31.5" customHeight="1">
      <c r="A45" s="108">
        <v>43</v>
      </c>
      <c r="B45" s="109" t="s">
        <v>253</v>
      </c>
      <c r="C45" s="115" t="s">
        <v>254</v>
      </c>
      <c r="D45" s="110" t="s">
        <v>179</v>
      </c>
      <c r="E45" s="108">
        <v>1000</v>
      </c>
      <c r="F45" s="236"/>
      <c r="G45" s="238">
        <f t="shared" si="2"/>
        <v>0</v>
      </c>
      <c r="H45" s="167">
        <f t="shared" si="3"/>
        <v>0</v>
      </c>
    </row>
    <row r="46" spans="1:8" ht="31.5" customHeight="1">
      <c r="A46" s="108">
        <v>44</v>
      </c>
      <c r="B46" s="112" t="s">
        <v>257</v>
      </c>
      <c r="C46" s="113" t="s">
        <v>258</v>
      </c>
      <c r="D46" s="110" t="s">
        <v>179</v>
      </c>
      <c r="E46" s="108">
        <v>20</v>
      </c>
      <c r="F46" s="236"/>
      <c r="G46" s="238">
        <f t="shared" si="2"/>
        <v>0</v>
      </c>
      <c r="H46" s="167">
        <f t="shared" si="3"/>
        <v>0</v>
      </c>
    </row>
    <row r="47" spans="1:8" ht="31.5" customHeight="1">
      <c r="A47" s="108">
        <v>45</v>
      </c>
      <c r="B47" s="112" t="s">
        <v>259</v>
      </c>
      <c r="C47" s="113" t="s">
        <v>260</v>
      </c>
      <c r="D47" s="110" t="s">
        <v>179</v>
      </c>
      <c r="E47" s="226">
        <v>20</v>
      </c>
      <c r="F47" s="236"/>
      <c r="G47" s="238">
        <f t="shared" si="2"/>
        <v>0</v>
      </c>
      <c r="H47" s="167">
        <f t="shared" si="3"/>
        <v>0</v>
      </c>
    </row>
    <row r="48" spans="1:8" ht="31.5" customHeight="1">
      <c r="A48" s="108">
        <v>46</v>
      </c>
      <c r="B48" s="109" t="s">
        <v>261</v>
      </c>
      <c r="C48" s="112" t="s">
        <v>262</v>
      </c>
      <c r="D48" s="110" t="s">
        <v>263</v>
      </c>
      <c r="E48" s="108">
        <v>20</v>
      </c>
      <c r="F48" s="236"/>
      <c r="G48" s="238">
        <f t="shared" si="2"/>
        <v>0</v>
      </c>
      <c r="H48" s="167">
        <f t="shared" si="3"/>
        <v>0</v>
      </c>
    </row>
    <row r="49" spans="1:8" ht="31.5" customHeight="1">
      <c r="A49" s="108">
        <v>47</v>
      </c>
      <c r="B49" s="109" t="s">
        <v>264</v>
      </c>
      <c r="C49" s="113" t="s">
        <v>265</v>
      </c>
      <c r="D49" s="110" t="s">
        <v>266</v>
      </c>
      <c r="E49" s="108">
        <v>200</v>
      </c>
      <c r="F49" s="236"/>
      <c r="G49" s="238">
        <f t="shared" si="2"/>
        <v>0</v>
      </c>
      <c r="H49" s="167">
        <f t="shared" si="3"/>
        <v>0</v>
      </c>
    </row>
    <row r="50" spans="1:8" ht="31.5" customHeight="1">
      <c r="A50" s="108">
        <v>48</v>
      </c>
      <c r="B50" s="109" t="s">
        <v>267</v>
      </c>
      <c r="C50" s="112" t="s">
        <v>268</v>
      </c>
      <c r="D50" s="110" t="s">
        <v>179</v>
      </c>
      <c r="E50" s="108">
        <v>20</v>
      </c>
      <c r="F50" s="236"/>
      <c r="G50" s="238">
        <f t="shared" si="2"/>
        <v>0</v>
      </c>
      <c r="H50" s="167">
        <f t="shared" si="3"/>
        <v>0</v>
      </c>
    </row>
    <row r="51" spans="1:8" ht="31.5" customHeight="1">
      <c r="A51" s="108">
        <v>49</v>
      </c>
      <c r="B51" s="112" t="s">
        <v>269</v>
      </c>
      <c r="C51" s="113" t="s">
        <v>270</v>
      </c>
      <c r="D51" s="110" t="s">
        <v>232</v>
      </c>
      <c r="E51" s="108">
        <v>200</v>
      </c>
      <c r="F51" s="236"/>
      <c r="G51" s="238">
        <f t="shared" si="2"/>
        <v>0</v>
      </c>
      <c r="H51" s="167">
        <f t="shared" si="3"/>
        <v>0</v>
      </c>
    </row>
    <row r="52" spans="1:8" ht="31.5" customHeight="1">
      <c r="A52" s="108">
        <v>50</v>
      </c>
      <c r="B52" s="109" t="s">
        <v>271</v>
      </c>
      <c r="C52" s="112" t="s">
        <v>272</v>
      </c>
      <c r="D52" s="110" t="s">
        <v>273</v>
      </c>
      <c r="E52" s="108">
        <v>20</v>
      </c>
      <c r="F52" s="236"/>
      <c r="G52" s="238">
        <f t="shared" si="2"/>
        <v>0</v>
      </c>
      <c r="H52" s="167">
        <f t="shared" si="3"/>
        <v>0</v>
      </c>
    </row>
    <row r="53" spans="1:8" ht="31.5" customHeight="1">
      <c r="A53" s="108">
        <v>51</v>
      </c>
      <c r="B53" s="109" t="s">
        <v>274</v>
      </c>
      <c r="C53" s="113" t="s">
        <v>275</v>
      </c>
      <c r="D53" s="110" t="s">
        <v>276</v>
      </c>
      <c r="E53" s="108">
        <v>200</v>
      </c>
      <c r="F53" s="236"/>
      <c r="G53" s="238">
        <f t="shared" si="2"/>
        <v>0</v>
      </c>
      <c r="H53" s="167">
        <f t="shared" si="3"/>
        <v>0</v>
      </c>
    </row>
    <row r="54" spans="1:8" ht="31.5" customHeight="1">
      <c r="A54" s="108">
        <v>52</v>
      </c>
      <c r="B54" s="109" t="s">
        <v>277</v>
      </c>
      <c r="C54" s="113" t="s">
        <v>278</v>
      </c>
      <c r="D54" s="110" t="s">
        <v>229</v>
      </c>
      <c r="E54" s="108">
        <v>800</v>
      </c>
      <c r="F54" s="236"/>
      <c r="G54" s="238">
        <f t="shared" si="2"/>
        <v>0</v>
      </c>
      <c r="H54" s="167">
        <f t="shared" si="3"/>
        <v>0</v>
      </c>
    </row>
    <row r="55" spans="1:8" ht="31.5" customHeight="1">
      <c r="A55" s="108">
        <v>53</v>
      </c>
      <c r="B55" s="109" t="s">
        <v>279</v>
      </c>
      <c r="C55" s="113" t="s">
        <v>280</v>
      </c>
      <c r="D55" s="110" t="s">
        <v>281</v>
      </c>
      <c r="E55" s="108">
        <v>800</v>
      </c>
      <c r="F55" s="236"/>
      <c r="G55" s="238">
        <f t="shared" si="2"/>
        <v>0</v>
      </c>
      <c r="H55" s="167">
        <f t="shared" si="3"/>
        <v>0</v>
      </c>
    </row>
    <row r="56" spans="1:8" ht="31.5" customHeight="1">
      <c r="A56" s="108">
        <v>54</v>
      </c>
      <c r="B56" s="112" t="s">
        <v>282</v>
      </c>
      <c r="C56" s="113" t="s">
        <v>283</v>
      </c>
      <c r="D56" s="110" t="s">
        <v>284</v>
      </c>
      <c r="E56" s="226">
        <v>20</v>
      </c>
      <c r="F56" s="236"/>
      <c r="G56" s="238">
        <f t="shared" si="2"/>
        <v>0</v>
      </c>
      <c r="H56" s="167">
        <f t="shared" si="3"/>
        <v>0</v>
      </c>
    </row>
    <row r="57" spans="1:8" ht="31.5" customHeight="1">
      <c r="A57" s="108">
        <v>55</v>
      </c>
      <c r="B57" s="112" t="s">
        <v>285</v>
      </c>
      <c r="C57" s="112" t="s">
        <v>286</v>
      </c>
      <c r="D57" s="110" t="s">
        <v>179</v>
      </c>
      <c r="E57" s="108">
        <v>20</v>
      </c>
      <c r="F57" s="236"/>
      <c r="G57" s="238">
        <f t="shared" si="2"/>
        <v>0</v>
      </c>
      <c r="H57" s="167">
        <f t="shared" si="3"/>
        <v>0</v>
      </c>
    </row>
    <row r="58" spans="1:8" ht="31.5" customHeight="1">
      <c r="A58" s="108">
        <v>56</v>
      </c>
      <c r="B58" s="109" t="s">
        <v>368</v>
      </c>
      <c r="C58" s="113" t="s">
        <v>288</v>
      </c>
      <c r="D58" s="110" t="s">
        <v>281</v>
      </c>
      <c r="E58" s="108">
        <v>800</v>
      </c>
      <c r="F58" s="236"/>
      <c r="G58" s="238">
        <f t="shared" si="2"/>
        <v>0</v>
      </c>
      <c r="H58" s="167">
        <f t="shared" si="3"/>
        <v>0</v>
      </c>
    </row>
    <row r="59" spans="1:8" ht="31.5" customHeight="1">
      <c r="A59" s="108">
        <v>57</v>
      </c>
      <c r="B59" s="109" t="s">
        <v>289</v>
      </c>
      <c r="C59" s="113" t="s">
        <v>290</v>
      </c>
      <c r="D59" s="110" t="s">
        <v>229</v>
      </c>
      <c r="E59" s="108">
        <v>120</v>
      </c>
      <c r="F59" s="236"/>
      <c r="G59" s="238">
        <f t="shared" si="2"/>
        <v>0</v>
      </c>
      <c r="H59" s="167">
        <f t="shared" si="3"/>
        <v>0</v>
      </c>
    </row>
    <row r="60" spans="1:8" ht="31.5" customHeight="1">
      <c r="A60" s="108">
        <v>58</v>
      </c>
      <c r="B60" s="112" t="s">
        <v>291</v>
      </c>
      <c r="C60" s="113" t="s">
        <v>292</v>
      </c>
      <c r="D60" s="110" t="s">
        <v>293</v>
      </c>
      <c r="E60" s="226">
        <v>60</v>
      </c>
      <c r="F60" s="236"/>
      <c r="G60" s="238">
        <f t="shared" ref="G60:G80" si="4">+ROUND(F60*0.19,0)</f>
        <v>0</v>
      </c>
      <c r="H60" s="167">
        <f t="shared" si="3"/>
        <v>0</v>
      </c>
    </row>
    <row r="61" spans="1:8" ht="31.5" customHeight="1">
      <c r="A61" s="108">
        <v>59</v>
      </c>
      <c r="B61" s="112" t="s">
        <v>294</v>
      </c>
      <c r="C61" s="122" t="s">
        <v>295</v>
      </c>
      <c r="D61" s="110" t="s">
        <v>226</v>
      </c>
      <c r="E61" s="108">
        <v>20</v>
      </c>
      <c r="F61" s="236"/>
      <c r="G61" s="238">
        <f t="shared" si="4"/>
        <v>0</v>
      </c>
      <c r="H61" s="167">
        <f t="shared" si="3"/>
        <v>0</v>
      </c>
    </row>
    <row r="62" spans="1:8" ht="31.5" customHeight="1">
      <c r="A62" s="108">
        <v>60</v>
      </c>
      <c r="B62" s="109" t="s">
        <v>296</v>
      </c>
      <c r="C62" s="113" t="s">
        <v>297</v>
      </c>
      <c r="D62" s="110" t="s">
        <v>179</v>
      </c>
      <c r="E62" s="108">
        <v>200</v>
      </c>
      <c r="F62" s="236"/>
      <c r="G62" s="238">
        <f t="shared" si="4"/>
        <v>0</v>
      </c>
      <c r="H62" s="167">
        <f t="shared" si="3"/>
        <v>0</v>
      </c>
    </row>
    <row r="63" spans="1:8" ht="31.5" customHeight="1">
      <c r="A63" s="108">
        <v>61</v>
      </c>
      <c r="B63" s="109" t="s">
        <v>298</v>
      </c>
      <c r="C63" s="119" t="s">
        <v>299</v>
      </c>
      <c r="D63" s="120" t="s">
        <v>300</v>
      </c>
      <c r="E63" s="108">
        <v>80</v>
      </c>
      <c r="F63" s="236"/>
      <c r="G63" s="238">
        <f t="shared" si="4"/>
        <v>0</v>
      </c>
      <c r="H63" s="167">
        <f t="shared" si="3"/>
        <v>0</v>
      </c>
    </row>
    <row r="64" spans="1:8" ht="31.5" customHeight="1">
      <c r="A64" s="108">
        <v>62</v>
      </c>
      <c r="B64" s="112" t="s">
        <v>301</v>
      </c>
      <c r="C64" s="113" t="s">
        <v>302</v>
      </c>
      <c r="D64" s="110" t="s">
        <v>303</v>
      </c>
      <c r="E64" s="108">
        <v>100</v>
      </c>
      <c r="F64" s="236"/>
      <c r="G64" s="238">
        <f t="shared" si="4"/>
        <v>0</v>
      </c>
      <c r="H64" s="167">
        <f t="shared" si="3"/>
        <v>0</v>
      </c>
    </row>
    <row r="65" spans="1:8" ht="31.5" customHeight="1">
      <c r="A65" s="108">
        <v>63</v>
      </c>
      <c r="B65" s="112" t="s">
        <v>304</v>
      </c>
      <c r="C65" s="112" t="s">
        <v>305</v>
      </c>
      <c r="D65" s="110" t="s">
        <v>306</v>
      </c>
      <c r="E65" s="108">
        <v>1200</v>
      </c>
      <c r="F65" s="236"/>
      <c r="G65" s="238">
        <f t="shared" si="4"/>
        <v>0</v>
      </c>
      <c r="H65" s="167">
        <f t="shared" si="3"/>
        <v>0</v>
      </c>
    </row>
    <row r="66" spans="1:8" ht="31.5" customHeight="1">
      <c r="A66" s="108">
        <v>64</v>
      </c>
      <c r="B66" s="109" t="s">
        <v>307</v>
      </c>
      <c r="C66" s="113" t="s">
        <v>308</v>
      </c>
      <c r="D66" s="110" t="s">
        <v>179</v>
      </c>
      <c r="E66" s="108">
        <v>10</v>
      </c>
      <c r="F66" s="236"/>
      <c r="G66" s="238">
        <f t="shared" si="4"/>
        <v>0</v>
      </c>
      <c r="H66" s="167">
        <f t="shared" si="3"/>
        <v>0</v>
      </c>
    </row>
    <row r="67" spans="1:8" ht="31.5" customHeight="1">
      <c r="A67" s="108">
        <v>65</v>
      </c>
      <c r="B67" s="109" t="s">
        <v>309</v>
      </c>
      <c r="C67" s="113" t="s">
        <v>310</v>
      </c>
      <c r="D67" s="110" t="s">
        <v>179</v>
      </c>
      <c r="E67" s="108">
        <v>10</v>
      </c>
      <c r="F67" s="236"/>
      <c r="G67" s="238">
        <f t="shared" si="4"/>
        <v>0</v>
      </c>
      <c r="H67" s="167">
        <f t="shared" ref="H67:H80" si="5">(F67+G67)*E67</f>
        <v>0</v>
      </c>
    </row>
    <row r="68" spans="1:8" ht="31.5" customHeight="1">
      <c r="A68" s="108">
        <v>66</v>
      </c>
      <c r="B68" s="109" t="s">
        <v>311</v>
      </c>
      <c r="C68" s="112" t="s">
        <v>312</v>
      </c>
      <c r="D68" s="110" t="s">
        <v>179</v>
      </c>
      <c r="E68" s="108">
        <v>20</v>
      </c>
      <c r="F68" s="236"/>
      <c r="G68" s="238">
        <f t="shared" si="4"/>
        <v>0</v>
      </c>
      <c r="H68" s="167">
        <f t="shared" si="5"/>
        <v>0</v>
      </c>
    </row>
    <row r="69" spans="1:8" ht="31.5" customHeight="1">
      <c r="A69" s="108">
        <v>67</v>
      </c>
      <c r="B69" s="109" t="s">
        <v>313</v>
      </c>
      <c r="C69" s="112" t="s">
        <v>314</v>
      </c>
      <c r="D69" s="110" t="s">
        <v>179</v>
      </c>
      <c r="E69" s="108">
        <v>40</v>
      </c>
      <c r="F69" s="236"/>
      <c r="G69" s="238">
        <f t="shared" si="4"/>
        <v>0</v>
      </c>
      <c r="H69" s="167">
        <f t="shared" si="5"/>
        <v>0</v>
      </c>
    </row>
    <row r="70" spans="1:8" ht="31.5" customHeight="1">
      <c r="A70" s="108">
        <v>68</v>
      </c>
      <c r="B70" s="109" t="s">
        <v>369</v>
      </c>
      <c r="C70" s="121" t="s">
        <v>316</v>
      </c>
      <c r="D70" s="110" t="s">
        <v>179</v>
      </c>
      <c r="E70" s="108">
        <v>20</v>
      </c>
      <c r="F70" s="236"/>
      <c r="G70" s="238">
        <f t="shared" si="4"/>
        <v>0</v>
      </c>
      <c r="H70" s="167">
        <f t="shared" si="5"/>
        <v>0</v>
      </c>
    </row>
    <row r="71" spans="1:8" ht="31.5" customHeight="1">
      <c r="A71" s="108">
        <v>69</v>
      </c>
      <c r="B71" s="109" t="s">
        <v>317</v>
      </c>
      <c r="C71" s="113" t="s">
        <v>318</v>
      </c>
      <c r="D71" s="110" t="s">
        <v>179</v>
      </c>
      <c r="E71" s="108">
        <v>40</v>
      </c>
      <c r="F71" s="236"/>
      <c r="G71" s="238">
        <f t="shared" si="4"/>
        <v>0</v>
      </c>
      <c r="H71" s="167">
        <f t="shared" si="5"/>
        <v>0</v>
      </c>
    </row>
    <row r="72" spans="1:8" ht="31.5" customHeight="1">
      <c r="A72" s="108">
        <v>70</v>
      </c>
      <c r="B72" s="112" t="s">
        <v>319</v>
      </c>
      <c r="C72" s="114" t="s">
        <v>320</v>
      </c>
      <c r="D72" s="110" t="s">
        <v>321</v>
      </c>
      <c r="E72" s="226">
        <v>120</v>
      </c>
      <c r="F72" s="236"/>
      <c r="G72" s="238">
        <f t="shared" si="4"/>
        <v>0</v>
      </c>
      <c r="H72" s="167">
        <f t="shared" si="5"/>
        <v>0</v>
      </c>
    </row>
    <row r="73" spans="1:8" ht="31.5" customHeight="1">
      <c r="A73" s="108">
        <v>71</v>
      </c>
      <c r="B73" s="112" t="s">
        <v>322</v>
      </c>
      <c r="C73" s="113" t="s">
        <v>323</v>
      </c>
      <c r="D73" s="110" t="s">
        <v>232</v>
      </c>
      <c r="E73" s="108">
        <v>80</v>
      </c>
      <c r="F73" s="236"/>
      <c r="G73" s="238">
        <f t="shared" si="4"/>
        <v>0</v>
      </c>
      <c r="H73" s="167">
        <f t="shared" si="5"/>
        <v>0</v>
      </c>
    </row>
    <row r="74" spans="1:8" ht="31.5" customHeight="1">
      <c r="A74" s="108">
        <v>72</v>
      </c>
      <c r="B74" s="112" t="s">
        <v>324</v>
      </c>
      <c r="C74" s="114" t="s">
        <v>325</v>
      </c>
      <c r="D74" s="110" t="s">
        <v>179</v>
      </c>
      <c r="E74" s="226">
        <v>30</v>
      </c>
      <c r="F74" s="236"/>
      <c r="G74" s="238">
        <f t="shared" si="4"/>
        <v>0</v>
      </c>
      <c r="H74" s="167">
        <f t="shared" si="5"/>
        <v>0</v>
      </c>
    </row>
    <row r="75" spans="1:8" ht="31.5" customHeight="1">
      <c r="A75" s="108">
        <v>73</v>
      </c>
      <c r="B75" s="112" t="s">
        <v>326</v>
      </c>
      <c r="C75" s="113" t="s">
        <v>327</v>
      </c>
      <c r="D75" s="110" t="s">
        <v>328</v>
      </c>
      <c r="E75" s="108">
        <v>1000</v>
      </c>
      <c r="F75" s="236"/>
      <c r="G75" s="238">
        <f t="shared" si="4"/>
        <v>0</v>
      </c>
      <c r="H75" s="167">
        <f t="shared" si="5"/>
        <v>0</v>
      </c>
    </row>
    <row r="76" spans="1:8" ht="31.5" customHeight="1">
      <c r="A76" s="108">
        <v>74</v>
      </c>
      <c r="B76" s="109" t="s">
        <v>329</v>
      </c>
      <c r="C76" s="113" t="s">
        <v>330</v>
      </c>
      <c r="D76" s="110" t="s">
        <v>331</v>
      </c>
      <c r="E76" s="108">
        <v>1000</v>
      </c>
      <c r="F76" s="236"/>
      <c r="G76" s="238">
        <f t="shared" si="4"/>
        <v>0</v>
      </c>
      <c r="H76" s="167">
        <f t="shared" si="5"/>
        <v>0</v>
      </c>
    </row>
    <row r="77" spans="1:8" ht="31.5" customHeight="1">
      <c r="A77" s="108">
        <v>75</v>
      </c>
      <c r="B77" s="112" t="s">
        <v>332</v>
      </c>
      <c r="C77" s="112" t="s">
        <v>333</v>
      </c>
      <c r="D77" s="110" t="s">
        <v>179</v>
      </c>
      <c r="E77" s="108">
        <v>140</v>
      </c>
      <c r="F77" s="236"/>
      <c r="G77" s="238">
        <f t="shared" si="4"/>
        <v>0</v>
      </c>
      <c r="H77" s="167">
        <f t="shared" si="5"/>
        <v>0</v>
      </c>
    </row>
    <row r="78" spans="1:8" ht="31.5" customHeight="1">
      <c r="A78" s="108">
        <v>76</v>
      </c>
      <c r="B78" s="122" t="s">
        <v>334</v>
      </c>
      <c r="C78" s="113" t="s">
        <v>335</v>
      </c>
      <c r="D78" s="110" t="s">
        <v>179</v>
      </c>
      <c r="E78" s="226">
        <v>120</v>
      </c>
      <c r="F78" s="236"/>
      <c r="G78" s="238">
        <f t="shared" si="4"/>
        <v>0</v>
      </c>
      <c r="H78" s="167">
        <f t="shared" si="5"/>
        <v>0</v>
      </c>
    </row>
    <row r="79" spans="1:8" ht="31.5" customHeight="1">
      <c r="A79" s="108">
        <v>77</v>
      </c>
      <c r="B79" s="117" t="s">
        <v>336</v>
      </c>
      <c r="C79" s="118" t="s">
        <v>337</v>
      </c>
      <c r="D79" s="171" t="s">
        <v>338</v>
      </c>
      <c r="E79" s="232">
        <v>200</v>
      </c>
      <c r="F79" s="236"/>
      <c r="G79" s="238">
        <f t="shared" si="4"/>
        <v>0</v>
      </c>
      <c r="H79" s="167">
        <f t="shared" si="5"/>
        <v>0</v>
      </c>
    </row>
    <row r="80" spans="1:8" ht="31.5" customHeight="1">
      <c r="A80" s="108">
        <v>78</v>
      </c>
      <c r="B80" s="172" t="s">
        <v>339</v>
      </c>
      <c r="C80" s="173" t="s">
        <v>340</v>
      </c>
      <c r="D80" s="171" t="s">
        <v>338</v>
      </c>
      <c r="E80" s="233">
        <v>200</v>
      </c>
      <c r="F80" s="239"/>
      <c r="G80" s="238">
        <f t="shared" si="4"/>
        <v>0</v>
      </c>
      <c r="H80" s="167">
        <f t="shared" si="5"/>
        <v>0</v>
      </c>
    </row>
    <row r="81" spans="2:8" ht="31.5" customHeight="1">
      <c r="F81" s="126"/>
      <c r="G81" s="111"/>
      <c r="H81" s="125">
        <f>SUM(H3:H80)</f>
        <v>0</v>
      </c>
    </row>
    <row r="82" spans="2:8" ht="31.5" customHeight="1">
      <c r="B82" s="235" t="s">
        <v>342</v>
      </c>
      <c r="G82" s="174"/>
      <c r="H82" s="175"/>
    </row>
    <row r="83" spans="2:8" ht="31.5" customHeight="1">
      <c r="G83" s="124"/>
      <c r="H83" s="176"/>
    </row>
    <row r="84" spans="2:8" ht="31.5" customHeight="1">
      <c r="F84" s="177"/>
      <c r="G84" s="177"/>
      <c r="H84" s="178"/>
    </row>
    <row r="85" spans="2:8" ht="31.5" customHeight="1">
      <c r="G85" s="179"/>
    </row>
  </sheetData>
  <autoFilter ref="A2:H83" xr:uid="{00000000-0009-0000-0000-000007000000}"/>
  <mergeCells count="1">
    <mergeCell ref="F1:H1"/>
  </mergeCells>
  <pageMargins left="0.7" right="0.7"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 Online</Application>
  <Manager/>
  <Company>HP Inc.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Digna Emérita Martinez García</dc:creator>
  <cp:keywords/>
  <dc:description/>
  <cp:lastModifiedBy>Catalina Vásquez Ramírez</cp:lastModifiedBy>
  <cp:revision/>
  <dcterms:created xsi:type="dcterms:W3CDTF">2024-03-05T19:25:41Z</dcterms:created>
  <dcterms:modified xsi:type="dcterms:W3CDTF">2026-08-25T19:45:40Z</dcterms:modified>
  <cp:category/>
  <cp:contentStatus/>
</cp:coreProperties>
</file>