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10"/>
  <workbookPr/>
  <mc:AlternateContent xmlns:mc="http://schemas.openxmlformats.org/markup-compatibility/2006">
    <mc:Choice Requires="x15">
      <x15ac:absPath xmlns:x15ac="http://schemas.microsoft.com/office/spreadsheetml/2010/11/ac" url="https://netorgft5269007-my.sharepoint.com/personal/felipe_aranzalez_aranzalez_co1/Documents/ASESORIA ENTIDADES/2026/LIBANO/5. OBRA ALUMBRADO PUBLICO/PROCESO NUEVO - SAMC-011-2026/APERTURA/"/>
    </mc:Choice>
  </mc:AlternateContent>
  <xr:revisionPtr revIDLastSave="0" documentId="8_{E3E4AF1A-94CA-234F-B31C-7C40ACE4FD06}" xr6:coauthVersionLast="47" xr6:coauthVersionMax="47" xr10:uidLastSave="{00000000-0000-0000-0000-000000000000}"/>
  <bookViews>
    <workbookView xWindow="9400" yWindow="600" windowWidth="29240" windowHeight="23340" xr2:uid="{00000000-000D-0000-FFFF-FFFF00000000}"/>
  </bookViews>
  <sheets>
    <sheet name="00_Guia" sheetId="1" r:id="rId1"/>
    <sheet name="01_Entidad" sheetId="2" r:id="rId2"/>
    <sheet name="02_Oferta_Proponente" sheetId="3" r:id="rId3"/>
    <sheet name="03_Operacion_Energia" sheetId="4" r:id="rId4"/>
    <sheet name="04_Costos_Iniciales" sheetId="5" r:id="rId5"/>
    <sheet name="05_Horizonte_20A" sheetId="6" r:id="rId6"/>
    <sheet name="06_Resumen_CAUE" sheetId="7" r:id="rId7"/>
    <sheet name="07_Fuentes" sheetId="8" r:id="rId8"/>
  </sheets>
  <calcPr calcId="191029" forceFullCal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5" i="2" l="1"/>
  <c r="F37" i="7"/>
  <c r="E37" i="7"/>
  <c r="F36" i="7"/>
  <c r="E36" i="7"/>
  <c r="F35" i="7"/>
  <c r="E35" i="7"/>
  <c r="F34" i="7"/>
  <c r="E34" i="7"/>
  <c r="F33" i="7"/>
  <c r="E33" i="7"/>
  <c r="F32" i="7"/>
  <c r="E32" i="7"/>
  <c r="F31" i="7"/>
  <c r="E31" i="7"/>
  <c r="F30" i="7"/>
  <c r="E30" i="7"/>
  <c r="C13" i="7"/>
  <c r="C8" i="7"/>
  <c r="C7" i="7"/>
  <c r="C6" i="7"/>
  <c r="I42" i="6"/>
  <c r="F42" i="6"/>
  <c r="L37" i="6"/>
  <c r="J37" i="6"/>
  <c r="H37" i="6"/>
  <c r="F37" i="6"/>
  <c r="E37" i="6"/>
  <c r="B37" i="6"/>
  <c r="L36" i="6"/>
  <c r="J36" i="6"/>
  <c r="H36" i="6"/>
  <c r="F36" i="6"/>
  <c r="E36" i="6"/>
  <c r="B36" i="6"/>
  <c r="L35" i="6"/>
  <c r="H35" i="6"/>
  <c r="E35" i="6"/>
  <c r="B35" i="6"/>
  <c r="L34" i="6"/>
  <c r="J34" i="6"/>
  <c r="H34" i="6"/>
  <c r="F34" i="6"/>
  <c r="E34" i="6"/>
  <c r="B34" i="6"/>
  <c r="L33" i="6"/>
  <c r="J33" i="6"/>
  <c r="H33" i="6"/>
  <c r="F33" i="6"/>
  <c r="E33" i="6"/>
  <c r="B33" i="6"/>
  <c r="L32" i="6"/>
  <c r="J32" i="6"/>
  <c r="H32" i="6"/>
  <c r="F32" i="6"/>
  <c r="E32" i="6"/>
  <c r="B32" i="6"/>
  <c r="L31" i="6"/>
  <c r="J31" i="6"/>
  <c r="H31" i="6"/>
  <c r="F31" i="6"/>
  <c r="E31" i="6"/>
  <c r="B31" i="6"/>
  <c r="L30" i="6"/>
  <c r="J30" i="6"/>
  <c r="H30" i="6"/>
  <c r="F30" i="6"/>
  <c r="E30" i="6"/>
  <c r="B30" i="6"/>
  <c r="L29" i="6"/>
  <c r="J29" i="6"/>
  <c r="H29" i="6"/>
  <c r="F29" i="6"/>
  <c r="E29" i="6"/>
  <c r="B29" i="6"/>
  <c r="L28" i="6"/>
  <c r="J28" i="6"/>
  <c r="H28" i="6"/>
  <c r="F28" i="6"/>
  <c r="E28" i="6"/>
  <c r="B28" i="6"/>
  <c r="L27" i="6"/>
  <c r="J27" i="6"/>
  <c r="H27" i="6"/>
  <c r="F27" i="6"/>
  <c r="B27" i="6"/>
  <c r="L26" i="6"/>
  <c r="H26" i="6"/>
  <c r="E26" i="6"/>
  <c r="B26" i="6"/>
  <c r="L25" i="6"/>
  <c r="J25" i="6"/>
  <c r="H25" i="6"/>
  <c r="F25" i="6"/>
  <c r="E25" i="6"/>
  <c r="B25" i="6"/>
  <c r="L24" i="6"/>
  <c r="J24" i="6"/>
  <c r="H24" i="6"/>
  <c r="F24" i="6"/>
  <c r="E24" i="6"/>
  <c r="B24" i="6"/>
  <c r="L23" i="6"/>
  <c r="J23" i="6"/>
  <c r="H23" i="6"/>
  <c r="F23" i="6"/>
  <c r="E23" i="6"/>
  <c r="B23" i="6"/>
  <c r="L22" i="6"/>
  <c r="J22" i="6"/>
  <c r="H22" i="6"/>
  <c r="F22" i="6"/>
  <c r="E22" i="6"/>
  <c r="B22" i="6"/>
  <c r="L21" i="6"/>
  <c r="J21" i="6"/>
  <c r="H21" i="6"/>
  <c r="F21" i="6"/>
  <c r="E21" i="6"/>
  <c r="B21" i="6"/>
  <c r="L20" i="6"/>
  <c r="J20" i="6"/>
  <c r="H20" i="6"/>
  <c r="F20" i="6"/>
  <c r="E20" i="6"/>
  <c r="B20" i="6"/>
  <c r="L19" i="6"/>
  <c r="J19" i="6"/>
  <c r="H19" i="6"/>
  <c r="F19" i="6"/>
  <c r="E19" i="6"/>
  <c r="B19" i="6"/>
  <c r="L18" i="6"/>
  <c r="J18" i="6"/>
  <c r="H18" i="6"/>
  <c r="F18" i="6"/>
  <c r="E18" i="6"/>
  <c r="B18" i="6"/>
  <c r="L17" i="6"/>
  <c r="J17" i="6"/>
  <c r="H17" i="6"/>
  <c r="F17" i="6"/>
  <c r="E17" i="6"/>
  <c r="D17" i="6"/>
  <c r="C17" i="6"/>
  <c r="G13" i="5"/>
  <c r="F13" i="5"/>
  <c r="E13" i="5"/>
  <c r="D13" i="5"/>
  <c r="B13" i="5"/>
  <c r="G12" i="5"/>
  <c r="F12" i="5"/>
  <c r="E12" i="5"/>
  <c r="D12" i="5"/>
  <c r="B12" i="5"/>
  <c r="G11" i="5"/>
  <c r="F11" i="5"/>
  <c r="E11" i="5"/>
  <c r="D11" i="5"/>
  <c r="B11" i="5"/>
  <c r="G10" i="5"/>
  <c r="F10" i="5"/>
  <c r="E10" i="5"/>
  <c r="D10" i="5"/>
  <c r="B10" i="5"/>
  <c r="G9" i="5"/>
  <c r="F9" i="5"/>
  <c r="E9" i="5"/>
  <c r="D9" i="5"/>
  <c r="B9" i="5"/>
  <c r="G8" i="5"/>
  <c r="F8" i="5"/>
  <c r="E8" i="5"/>
  <c r="D8" i="5"/>
  <c r="B8" i="5"/>
  <c r="G7" i="5"/>
  <c r="F7" i="5"/>
  <c r="E7" i="5"/>
  <c r="D7" i="5"/>
  <c r="B7" i="5"/>
  <c r="G6" i="5"/>
  <c r="F6" i="5"/>
  <c r="E6" i="5"/>
  <c r="D6" i="5"/>
  <c r="B6" i="5"/>
  <c r="G29" i="4"/>
  <c r="E29" i="4"/>
  <c r="D29" i="4"/>
  <c r="G28" i="4"/>
  <c r="E28" i="4"/>
  <c r="D28" i="4"/>
  <c r="G27" i="4"/>
  <c r="F27" i="4"/>
  <c r="E27" i="4"/>
  <c r="D27" i="4"/>
  <c r="G26" i="4"/>
  <c r="E26" i="4"/>
  <c r="D26" i="4"/>
  <c r="G25" i="4"/>
  <c r="E25" i="4"/>
  <c r="D25" i="4"/>
  <c r="G24" i="4"/>
  <c r="F24" i="4"/>
  <c r="E24" i="4"/>
  <c r="D24" i="4"/>
  <c r="G23" i="4"/>
  <c r="E23" i="4"/>
  <c r="D23" i="4"/>
  <c r="G22" i="4"/>
  <c r="E22" i="4"/>
  <c r="D22" i="4"/>
  <c r="G21" i="4"/>
  <c r="F21" i="4"/>
  <c r="E21" i="4"/>
  <c r="D21" i="4"/>
  <c r="G20" i="4"/>
  <c r="E20" i="4"/>
  <c r="D20" i="4"/>
  <c r="G19" i="4"/>
  <c r="E19" i="4"/>
  <c r="D19" i="4"/>
  <c r="G18" i="4"/>
  <c r="F18" i="4"/>
  <c r="E18" i="4"/>
  <c r="D18" i="4"/>
  <c r="G17" i="4"/>
  <c r="E17" i="4"/>
  <c r="D17" i="4"/>
  <c r="G16" i="4"/>
  <c r="E16" i="4"/>
  <c r="D16" i="4"/>
  <c r="G15" i="4"/>
  <c r="F15" i="4"/>
  <c r="E15" i="4"/>
  <c r="D15" i="4"/>
  <c r="G14" i="4"/>
  <c r="E14" i="4"/>
  <c r="D14" i="4"/>
  <c r="G13" i="4"/>
  <c r="E13" i="4"/>
  <c r="D13" i="4"/>
  <c r="G12" i="4"/>
  <c r="F12" i="4"/>
  <c r="E12" i="4"/>
  <c r="D12" i="4"/>
  <c r="G11" i="4"/>
  <c r="E11" i="4"/>
  <c r="D11" i="4"/>
  <c r="G10" i="4"/>
  <c r="E10" i="4"/>
  <c r="D10" i="4"/>
  <c r="G9" i="4"/>
  <c r="F9" i="4"/>
  <c r="E9" i="4"/>
  <c r="D9" i="4"/>
  <c r="G8" i="4"/>
  <c r="E8" i="4"/>
  <c r="D8" i="4"/>
  <c r="G7" i="4"/>
  <c r="E7" i="4"/>
  <c r="D7" i="4"/>
  <c r="G6" i="4"/>
  <c r="F6" i="4"/>
  <c r="E6" i="4"/>
  <c r="D6" i="4"/>
  <c r="D14" i="3"/>
  <c r="C14" i="3"/>
  <c r="C37" i="7" s="1"/>
  <c r="B14" i="3"/>
  <c r="B37" i="7" s="1"/>
  <c r="D13" i="3"/>
  <c r="C13" i="3"/>
  <c r="C36" i="7" s="1"/>
  <c r="B13" i="3"/>
  <c r="B36" i="7" s="1"/>
  <c r="D12" i="3"/>
  <c r="C12" i="3"/>
  <c r="C35" i="7" s="1"/>
  <c r="B12" i="3"/>
  <c r="B35" i="7" s="1"/>
  <c r="D11" i="3"/>
  <c r="C11" i="3"/>
  <c r="C34" i="7" s="1"/>
  <c r="B11" i="3"/>
  <c r="B34" i="7" s="1"/>
  <c r="D10" i="3"/>
  <c r="C10" i="3"/>
  <c r="C33" i="7" s="1"/>
  <c r="B10" i="3"/>
  <c r="B33" i="7" s="1"/>
  <c r="D9" i="3"/>
  <c r="C9" i="3"/>
  <c r="C32" i="7" s="1"/>
  <c r="B9" i="3"/>
  <c r="B32" i="7" s="1"/>
  <c r="D8" i="3"/>
  <c r="C8" i="3"/>
  <c r="C31" i="7" s="1"/>
  <c r="B8" i="3"/>
  <c r="B31" i="7" s="1"/>
  <c r="D7" i="3"/>
  <c r="C7" i="3"/>
  <c r="C30" i="7" s="1"/>
  <c r="B30" i="7"/>
  <c r="H4" i="3"/>
  <c r="H42" i="2"/>
  <c r="G42" i="2"/>
  <c r="B42" i="2"/>
  <c r="H41" i="2"/>
  <c r="G41" i="2"/>
  <c r="B41" i="2"/>
  <c r="H40" i="2"/>
  <c r="G40" i="2"/>
  <c r="B40" i="2"/>
  <c r="H39" i="2"/>
  <c r="G39" i="2"/>
  <c r="B39" i="2"/>
  <c r="H38" i="2"/>
  <c r="G38" i="2"/>
  <c r="B38" i="2"/>
  <c r="H37" i="2"/>
  <c r="G37" i="2"/>
  <c r="B37" i="2"/>
  <c r="H36" i="2"/>
  <c r="G36" i="2"/>
  <c r="B36" i="2"/>
  <c r="G35" i="2"/>
  <c r="B35" i="2"/>
  <c r="B28" i="2"/>
  <c r="B27" i="2"/>
  <c r="B26" i="2"/>
  <c r="C17" i="2"/>
  <c r="C11" i="2"/>
  <c r="B53" i="6" s="1"/>
  <c r="C21" i="7" s="1"/>
  <c r="C10" i="2"/>
  <c r="C30" i="2" l="1"/>
  <c r="D31" i="7"/>
  <c r="C7" i="5"/>
  <c r="B6" i="6"/>
  <c r="C6" i="5"/>
  <c r="D30" i="7"/>
  <c r="D37" i="7"/>
  <c r="C13" i="5"/>
  <c r="D36" i="7"/>
  <c r="C12" i="5"/>
  <c r="C14" i="7"/>
  <c r="B12" i="6"/>
  <c r="D22" i="6" s="1"/>
  <c r="M22" i="6" s="1"/>
  <c r="C11" i="5"/>
  <c r="D35" i="7"/>
  <c r="D34" i="7"/>
  <c r="C10" i="5"/>
  <c r="D33" i="7"/>
  <c r="C9" i="5"/>
  <c r="D32" i="7"/>
  <c r="C8" i="5"/>
  <c r="I42" i="2"/>
  <c r="C42" i="2"/>
  <c r="A14" i="3" s="1"/>
  <c r="I41" i="2"/>
  <c r="C41" i="2"/>
  <c r="A13" i="3" s="1"/>
  <c r="I40" i="2"/>
  <c r="C40" i="2"/>
  <c r="A12" i="3" s="1"/>
  <c r="I39" i="2"/>
  <c r="C39" i="2"/>
  <c r="A11" i="3" s="1"/>
  <c r="C38" i="2"/>
  <c r="A10" i="3" s="1"/>
  <c r="I38" i="2"/>
  <c r="C37" i="2"/>
  <c r="A9" i="3" s="1"/>
  <c r="I37" i="2"/>
  <c r="C36" i="2"/>
  <c r="A8" i="3" s="1"/>
  <c r="I36" i="2"/>
  <c r="C35" i="2"/>
  <c r="A7" i="3" s="1"/>
  <c r="I35" i="2"/>
  <c r="H41" i="6"/>
  <c r="F41" i="6"/>
  <c r="B11" i="6" l="1"/>
  <c r="C9" i="7"/>
  <c r="B9" i="6"/>
  <c r="B10" i="6"/>
  <c r="D19" i="6"/>
  <c r="M19" i="6" s="1"/>
  <c r="D26" i="6"/>
  <c r="M26" i="6" s="1"/>
  <c r="D30" i="6"/>
  <c r="M30" i="6" s="1"/>
  <c r="D28" i="6"/>
  <c r="M28" i="6" s="1"/>
  <c r="D34" i="6"/>
  <c r="M34" i="6" s="1"/>
  <c r="D18" i="6"/>
  <c r="M18" i="6" s="1"/>
  <c r="D24" i="6"/>
  <c r="D36" i="6"/>
  <c r="M36" i="6" s="1"/>
  <c r="P14" i="3"/>
  <c r="H37" i="7" s="1"/>
  <c r="A27" i="4"/>
  <c r="A28" i="4"/>
  <c r="A29" i="4"/>
  <c r="A13" i="5"/>
  <c r="A37" i="7"/>
  <c r="P13" i="3"/>
  <c r="H36" i="7" s="1"/>
  <c r="A24" i="4"/>
  <c r="A25" i="4"/>
  <c r="A12" i="5"/>
  <c r="A26" i="4"/>
  <c r="A36" i="7"/>
  <c r="P12" i="3"/>
  <c r="H35" i="7" s="1"/>
  <c r="A21" i="4"/>
  <c r="A22" i="4"/>
  <c r="A23" i="4"/>
  <c r="A11" i="5"/>
  <c r="A35" i="7"/>
  <c r="P11" i="3"/>
  <c r="H34" i="7" s="1"/>
  <c r="A18" i="4"/>
  <c r="A19" i="4"/>
  <c r="A20" i="4"/>
  <c r="A10" i="5"/>
  <c r="A34" i="7"/>
  <c r="P10" i="3"/>
  <c r="H33" i="7" s="1"/>
  <c r="A15" i="4"/>
  <c r="A16" i="4"/>
  <c r="A17" i="4"/>
  <c r="A9" i="5"/>
  <c r="A33" i="7"/>
  <c r="P9" i="3"/>
  <c r="H32" i="7" s="1"/>
  <c r="A12" i="4"/>
  <c r="A13" i="4"/>
  <c r="A14" i="4"/>
  <c r="A8" i="5"/>
  <c r="A32" i="7"/>
  <c r="P8" i="3"/>
  <c r="H31" i="7" s="1"/>
  <c r="A9" i="4"/>
  <c r="A10" i="4"/>
  <c r="A11" i="4"/>
  <c r="A7" i="5"/>
  <c r="A31" i="7"/>
  <c r="P7" i="3"/>
  <c r="A6" i="4"/>
  <c r="A7" i="4"/>
  <c r="A8" i="4"/>
  <c r="A6" i="5"/>
  <c r="A30" i="7"/>
  <c r="D27" i="6" l="1"/>
  <c r="M27" i="6" s="1"/>
  <c r="D31" i="6"/>
  <c r="M31" i="6" s="1"/>
  <c r="D37" i="6"/>
  <c r="M37" i="6" s="1"/>
  <c r="D21" i="6"/>
  <c r="M21" i="6" s="1"/>
  <c r="D20" i="6"/>
  <c r="M20" i="6" s="1"/>
  <c r="D33" i="6"/>
  <c r="M33" i="6" s="1"/>
  <c r="H30" i="7"/>
  <c r="E27" i="6"/>
  <c r="E42" i="6"/>
  <c r="G42" i="6" s="1"/>
  <c r="D32" i="6"/>
  <c r="M32" i="6" s="1"/>
  <c r="D35" i="6"/>
  <c r="M35" i="6" s="1"/>
  <c r="D25" i="6"/>
  <c r="E41" i="6"/>
  <c r="F26" i="6"/>
  <c r="J26" i="6"/>
  <c r="F35" i="6"/>
  <c r="J35" i="6"/>
  <c r="D23" i="6"/>
  <c r="M23" i="6" s="1"/>
  <c r="D29" i="6"/>
  <c r="M29" i="6" s="1"/>
  <c r="M24" i="6"/>
  <c r="C27" i="4"/>
  <c r="H27" i="4" s="1"/>
  <c r="I27" i="4" s="1"/>
  <c r="J27" i="4" s="1"/>
  <c r="C28" i="4"/>
  <c r="H28" i="4" s="1"/>
  <c r="I28" i="4" s="1"/>
  <c r="J28" i="4" s="1"/>
  <c r="C29" i="4"/>
  <c r="H29" i="4" s="1"/>
  <c r="I29" i="4" s="1"/>
  <c r="J29" i="4" s="1"/>
  <c r="H13" i="5"/>
  <c r="I13" i="5"/>
  <c r="G37" i="7" s="1"/>
  <c r="C24" i="4"/>
  <c r="H24" i="4" s="1"/>
  <c r="I24" i="4" s="1"/>
  <c r="J24" i="4" s="1"/>
  <c r="C25" i="4"/>
  <c r="H25" i="4" s="1"/>
  <c r="I25" i="4" s="1"/>
  <c r="J25" i="4" s="1"/>
  <c r="H12" i="5"/>
  <c r="I12" i="5"/>
  <c r="G36" i="7" s="1"/>
  <c r="C26" i="4"/>
  <c r="H26" i="4" s="1"/>
  <c r="I26" i="4" s="1"/>
  <c r="J26" i="4" s="1"/>
  <c r="C21" i="4"/>
  <c r="H21" i="4" s="1"/>
  <c r="I21" i="4" s="1"/>
  <c r="J21" i="4" s="1"/>
  <c r="C22" i="4"/>
  <c r="C23" i="4"/>
  <c r="H11" i="5"/>
  <c r="I11" i="5"/>
  <c r="G35" i="7" s="1"/>
  <c r="C18" i="4"/>
  <c r="H18" i="4" s="1"/>
  <c r="I18" i="4" s="1"/>
  <c r="J18" i="4" s="1"/>
  <c r="C19" i="4"/>
  <c r="C20" i="4"/>
  <c r="H20" i="4" s="1"/>
  <c r="I20" i="4" s="1"/>
  <c r="J20" i="4" s="1"/>
  <c r="H10" i="5"/>
  <c r="I10" i="5"/>
  <c r="G34" i="7" s="1"/>
  <c r="C15" i="4"/>
  <c r="H15" i="4" s="1"/>
  <c r="I15" i="4" s="1"/>
  <c r="J15" i="4" s="1"/>
  <c r="C16" i="4"/>
  <c r="H16" i="4" s="1"/>
  <c r="I16" i="4" s="1"/>
  <c r="J16" i="4" s="1"/>
  <c r="C17" i="4"/>
  <c r="H17" i="4" s="1"/>
  <c r="I17" i="4" s="1"/>
  <c r="J17" i="4" s="1"/>
  <c r="H9" i="5"/>
  <c r="I9" i="5"/>
  <c r="G33" i="7" s="1"/>
  <c r="C12" i="4"/>
  <c r="H12" i="4" s="1"/>
  <c r="I12" i="4" s="1"/>
  <c r="J12" i="4" s="1"/>
  <c r="C13" i="4"/>
  <c r="H13" i="4" s="1"/>
  <c r="I13" i="4" s="1"/>
  <c r="J13" i="4" s="1"/>
  <c r="C14" i="4"/>
  <c r="H14" i="4" s="1"/>
  <c r="I14" i="4" s="1"/>
  <c r="J14" i="4" s="1"/>
  <c r="H8" i="5"/>
  <c r="I8" i="5"/>
  <c r="G32" i="7" s="1"/>
  <c r="C9" i="4"/>
  <c r="H9" i="4" s="1"/>
  <c r="I9" i="4" s="1"/>
  <c r="J9" i="4" s="1"/>
  <c r="C10" i="4"/>
  <c r="H10" i="4" s="1"/>
  <c r="I10" i="4" s="1"/>
  <c r="J10" i="4" s="1"/>
  <c r="C11" i="4"/>
  <c r="H11" i="4" s="1"/>
  <c r="I11" i="4" s="1"/>
  <c r="J11" i="4" s="1"/>
  <c r="H7" i="5"/>
  <c r="I7" i="5"/>
  <c r="G31" i="7" s="1"/>
  <c r="C6" i="4"/>
  <c r="C7" i="4"/>
  <c r="C8" i="4"/>
  <c r="H6" i="5"/>
  <c r="I6" i="5" s="1"/>
  <c r="C25" i="7" l="1"/>
  <c r="J42" i="6"/>
  <c r="B49" i="6"/>
  <c r="C17" i="7" s="1"/>
  <c r="M25" i="6"/>
  <c r="B48" i="6"/>
  <c r="C16" i="7" s="1"/>
  <c r="G41" i="6"/>
  <c r="I41" i="6"/>
  <c r="H22" i="4"/>
  <c r="I22" i="4" s="1"/>
  <c r="J22" i="4" s="1"/>
  <c r="H19" i="4"/>
  <c r="I19" i="4" s="1"/>
  <c r="J19" i="4" s="1"/>
  <c r="I15" i="5"/>
  <c r="B5" i="6" s="1"/>
  <c r="G30" i="7"/>
  <c r="H23" i="4"/>
  <c r="I23" i="4" s="1"/>
  <c r="J23" i="4" s="1"/>
  <c r="H6" i="4"/>
  <c r="I6" i="4" s="1"/>
  <c r="H7" i="4"/>
  <c r="I7" i="4" s="1"/>
  <c r="J7" i="4" s="1"/>
  <c r="H8" i="4"/>
  <c r="I8" i="4" s="1"/>
  <c r="J8" i="4" s="1"/>
  <c r="J41" i="6" l="1"/>
  <c r="B50" i="6" s="1"/>
  <c r="C18" i="7" s="1"/>
  <c r="B17" i="6"/>
  <c r="B46" i="6"/>
  <c r="B32" i="4"/>
  <c r="B7" i="6" s="1"/>
  <c r="C11" i="7" s="1"/>
  <c r="J6" i="4"/>
  <c r="B33" i="4" s="1"/>
  <c r="B8" i="6" s="1"/>
  <c r="I17" i="6" l="1"/>
  <c r="K17" i="6" s="1"/>
  <c r="G17" i="6"/>
  <c r="C10" i="7"/>
  <c r="C21" i="6"/>
  <c r="C22" i="6"/>
  <c r="C27" i="6"/>
  <c r="C28" i="6"/>
  <c r="C18" i="6"/>
  <c r="C19" i="6"/>
  <c r="C20" i="6"/>
  <c r="C25" i="6"/>
  <c r="C26" i="6"/>
  <c r="C29" i="6"/>
  <c r="C30" i="6"/>
  <c r="C31" i="6"/>
  <c r="C32" i="6"/>
  <c r="C37" i="6"/>
  <c r="C12" i="7"/>
  <c r="C24" i="6"/>
  <c r="C34" i="6"/>
  <c r="C35" i="6"/>
  <c r="C23" i="6"/>
  <c r="C36" i="6"/>
  <c r="C33" i="6"/>
  <c r="G21" i="6" l="1"/>
  <c r="I21" i="6"/>
  <c r="K21" i="6" s="1"/>
  <c r="G22" i="6"/>
  <c r="I22" i="6"/>
  <c r="K22" i="6" s="1"/>
  <c r="I27" i="6"/>
  <c r="K27" i="6" s="1"/>
  <c r="G27" i="6"/>
  <c r="I28" i="6"/>
  <c r="K28" i="6" s="1"/>
  <c r="G28" i="6"/>
  <c r="G18" i="6"/>
  <c r="I18" i="6"/>
  <c r="K18" i="6" s="1"/>
  <c r="B47" i="6"/>
  <c r="I19" i="6"/>
  <c r="K19" i="6" s="1"/>
  <c r="G19" i="6"/>
  <c r="G20" i="6"/>
  <c r="I20" i="6"/>
  <c r="K20" i="6" s="1"/>
  <c r="G25" i="6"/>
  <c r="I25" i="6"/>
  <c r="K25" i="6" s="1"/>
  <c r="G26" i="6"/>
  <c r="I26" i="6"/>
  <c r="K26" i="6" s="1"/>
  <c r="I29" i="6"/>
  <c r="K29" i="6" s="1"/>
  <c r="G29" i="6"/>
  <c r="G30" i="6"/>
  <c r="I30" i="6"/>
  <c r="K30" i="6" s="1"/>
  <c r="G31" i="6"/>
  <c r="I31" i="6"/>
  <c r="K31" i="6" s="1"/>
  <c r="I32" i="6"/>
  <c r="K32" i="6" s="1"/>
  <c r="G32" i="6"/>
  <c r="I37" i="6"/>
  <c r="K37" i="6" s="1"/>
  <c r="G37" i="6"/>
  <c r="I24" i="6"/>
  <c r="K24" i="6" s="1"/>
  <c r="G24" i="6"/>
  <c r="G34" i="6"/>
  <c r="I34" i="6"/>
  <c r="K34" i="6" s="1"/>
  <c r="I35" i="6"/>
  <c r="K35" i="6" s="1"/>
  <c r="G35" i="6"/>
  <c r="I23" i="6"/>
  <c r="K23" i="6" s="1"/>
  <c r="G23" i="6"/>
  <c r="I36" i="6"/>
  <c r="K36" i="6" s="1"/>
  <c r="G36" i="6"/>
  <c r="I33" i="6"/>
  <c r="K33" i="6" s="1"/>
  <c r="G33" i="6"/>
  <c r="B51" i="6" l="1"/>
  <c r="C15" i="7"/>
  <c r="B52" i="6" l="1"/>
  <c r="C19" i="7"/>
  <c r="C20" i="7" l="1"/>
  <c r="B54" i="6"/>
  <c r="C22" i="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OpenAI</author>
    <author>Microsoft Office User</author>
  </authors>
  <commentList>
    <comment ref="C7" authorId="0" shapeId="0" xr:uid="{00000000-0006-0000-0100-000001000000}">
      <text>
        <r>
          <rPr>
            <sz val="11"/>
            <color theme="1"/>
            <rFont val="Calibri"/>
            <family val="2"/>
            <scheme val="minor"/>
          </rPr>
          <t>Horizonte obligatorio: 20 años / 240 meses. https://www.minenergia.gov.co/documents/15917/Resoluci%C3%B3n_Modificatoria_RETILAP_2026_Versi%C3%B3n_Final_Numerada_Compilada.pdf</t>
        </r>
      </text>
    </comment>
    <comment ref="C9" authorId="0" shapeId="0" xr:uid="{00000000-0006-0000-0100-000002000000}">
      <text>
        <r>
          <rPr>
            <sz val="11"/>
            <color theme="1"/>
            <rFont val="Calibri"/>
            <family val="2"/>
            <scheme val="minor"/>
          </rPr>
          <t>Tasa de descuento citada por RETILAP: 12,09 %, o la que determine la CREG. https://www.minenergia.gov.co/documents/15917/Resoluci%C3%B3n_Modificatoria_RETILAP_2026_Versi%C3%B3n_Final_Numerada_Compilada.pdf</t>
        </r>
      </text>
    </comment>
    <comment ref="C17" authorId="0" shapeId="0" xr:uid="{00000000-0006-0000-0100-000003000000}">
      <text>
        <r>
          <rPr>
            <sz val="11"/>
            <color rgb="FF000000"/>
            <rFont val="Calibri"/>
            <family val="2"/>
          </rPr>
          <t>Periodo de limpieza por contaminación: alto 1 año, medio 2 años, bajo 3 años. https://www.minenergia.gov.co/documents/15917/Resoluci%C3%B3n_Modificatoria_RETILAP_2026_Versi%C3%B3n_Final_Numerada_Compilada.pdf</t>
        </r>
      </text>
    </comment>
    <comment ref="D35" authorId="1" shapeId="0" xr:uid="{36A75B11-17A6-7648-A748-3A341F9FEC99}">
      <text>
        <r>
          <rPr>
            <b/>
            <sz val="10"/>
            <color rgb="FF000000"/>
            <rFont val="Tahoma"/>
            <family val="2"/>
          </rPr>
          <t>El proponente debe diligenciar el perfil segun el pliego de condiciones</t>
        </r>
        <r>
          <rPr>
            <sz val="10"/>
            <color rgb="FF000000"/>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OpenAI</author>
  </authors>
  <commentList>
    <comment ref="J6" authorId="0" shapeId="0" xr:uid="{00000000-0006-0000-0200-000001000000}">
      <text>
        <r>
          <rPr>
            <sz val="11"/>
            <color rgb="FF000000"/>
            <rFont val="Calibri"/>
            <family val="2"/>
          </rPr>
          <t>RETILAP Tabla 3.3.2.4.4.b: Luminarias (incluye fotocontrol y brazo), indicando la potencia. https://www.minenergia.gov.co/documents/15917/Resoluci%C3%B3n_Modificatoria_RETILAP_2026_Versi%C3%B3n_Final_Numerada_Compilada.pdf</t>
        </r>
      </text>
    </comment>
    <comment ref="L6" authorId="0" shapeId="0" xr:uid="{00000000-0006-0000-0200-000002000000}">
      <text>
        <r>
          <rPr>
            <sz val="11"/>
            <color theme="1"/>
            <rFont val="Calibri"/>
            <family val="2"/>
            <scheme val="minor"/>
          </rPr>
          <t>RETILAP exige considerar transporte en costos iniciales. https://www.minenergia.gov.co/documents/15917/Resoluci%C3%B3n_Modificatoria_RETILAP_2026_Versi%C3%B3n_Final_Numerada_Compilada.pdf</t>
        </r>
      </text>
    </comment>
    <comment ref="M6" authorId="0" shapeId="0" xr:uid="{00000000-0006-0000-0200-000003000000}">
      <text>
        <r>
          <rPr>
            <sz val="11"/>
            <color theme="1"/>
            <rFont val="Calibri"/>
            <family val="2"/>
            <scheme val="minor"/>
          </rPr>
          <t>RETILAP exige considerar montaje/mano de obra en costos iniciales. https://www.minenergia.gov.co/documents/15917/Resoluci%C3%B3n_Modificatoria_RETILAP_2026_Versi%C3%B3n_Final_Numerada_Compilada.pdf</t>
        </r>
      </text>
    </comment>
    <comment ref="N6" authorId="0" shapeId="0" xr:uid="{00000000-0006-0000-0200-000004000000}">
      <text>
        <r>
          <rPr>
            <sz val="11"/>
            <color theme="1"/>
            <rFont val="Calibri"/>
            <family val="2"/>
            <scheme val="minor"/>
          </rPr>
          <t>El plazo no es ofertable: el modelo aplica driver a 105 y 210 meses. https://www.minenergia.gov.co/documents/15917/Resoluci%C3%B3n_Modificatoria_RETILAP_2026_Versi%C3%B3n_Final_Numerada_Compilada.pdf</t>
        </r>
      </text>
    </comment>
  </commentList>
</comments>
</file>

<file path=xl/sharedStrings.xml><?xml version="1.0" encoding="utf-8"?>
<sst xmlns="http://schemas.openxmlformats.org/spreadsheetml/2006/main" count="404" uniqueCount="287">
  <si>
    <t>ANEXO - CÁLCULO DEL COSTO ANUAL UNIFORME EQUIVALENTE (CAUE) | ALUMBRADO PÚBLICO VIAL</t>
  </si>
  <si>
    <t>Formato económico simplificado y trazable. La entidad fija perfiles, cantidades, franjas de operación y costos comunes; el proponente solo registra los datos económicos y eléctricos propios de la luminaria ofertada para cada perfil.</t>
  </si>
  <si>
    <t>CÓDIGO DE COLORES Y RESPONSABILIDADES</t>
  </si>
  <si>
    <t>NARANJA</t>
  </si>
  <si>
    <t>Parámetro de la ENTIDAD. En la versión publicada permanece bloqueado.</t>
  </si>
  <si>
    <t>AZUL</t>
  </si>
  <si>
    <t>Dato que diligencia el PROPONENTE. Son las celdas editables.</t>
  </si>
  <si>
    <t>VERDE</t>
  </si>
  <si>
    <t>Fórmula o vínculo automático. No se diligencia.</t>
  </si>
  <si>
    <t>GRIS</t>
  </si>
  <si>
    <t>Regla fija RETILAP / campo no aplicable.</t>
  </si>
  <si>
    <t>CÓMO SE DILIGENCIA</t>
  </si>
  <si>
    <t>1. La entidad define el número de perfiles viales. Ese número determina cuántas configuraciones de luminaria debe cotizar el proponente: un perfil = una fila activa de oferta; dos perfiles = dos filas activas; y así sucesivamente.</t>
  </si>
  <si>
    <t>2. La entidad define la(s) franja(s) de operación y sus horas/día. Las franjas son independientes del número de perfiles: F2/F3 solo se activan cuando la entidad haya definido más de una franja operativa.</t>
  </si>
  <si>
    <t>3. El costo inicial de cada perfil registra un único precio para “Luminaria (incluye fotocontrol y brazo)”, y discrimina conectores/materiales, transporte e instalación/montaje.</t>
  </si>
  <si>
    <t>4. El proponente registra el precio del driver de reposición y del fotocontrol de reposición. Sus momentos de recambio NO son elegidos por el proponente: driver meses 105 y 210; fotocontrol mes 120.</t>
  </si>
  <si>
    <t>5. La entidad fija el costo por limpieza del conjunto óptico y el costo de intervención para los recambios. El periodo de limpieza se deriva del nivel de contaminación seleccionado por la entidad: alto 1 año, medio 2 años, bajo 3 años.</t>
  </si>
  <si>
    <t>6. El cálculo de 20 años presenta inversión inicial, energía, limpiezas sucesivas, reposición de fotocontrol y cambio del conjunto eléctrico/electrónico asociado al driver, con sus valores presentes y CAUE consolidado.</t>
  </si>
  <si>
    <t>7. Este formato no solicita archivo IES/LDT ni sustituye la verificación técnica/fotométrica. Esas exigencias se acreditan en el anexo técnico correspondiente.</t>
  </si>
  <si>
    <t>PRECISIÓN SOBRE F2 Y F3</t>
  </si>
  <si>
    <t>F2 y F3 son franjas o estados de operación, no “tipos de luminaria” ni perfiles. Por ello el archivo las activa según el número de franjas definido por la entidad. El número de luminarias/configuraciones a ofertar sí depende exclusivamente del número de perfiles viales.</t>
  </si>
  <si>
    <t>01 - PARÁMETROS DEFINIDOS POR LA ENTIDAD</t>
  </si>
  <si>
    <t>La entidad configura esta hoja antes de publicar el proceso. La contraseña administrativa es de uso de la entidad; el proponente no requiere desproteger ninguna hoja para diligenciar su oferta.</t>
  </si>
  <si>
    <t>PARÁMETROS GENERALES DEL CAUE</t>
  </si>
  <si>
    <t>No.</t>
  </si>
  <si>
    <t>Parámetro</t>
  </si>
  <si>
    <t>Valor</t>
  </si>
  <si>
    <t>Unidad</t>
  </si>
  <si>
    <t>Fundamento / uso</t>
  </si>
  <si>
    <t>Número de perfiles viales requeridos</t>
  </si>
  <si>
    <t>perfiles</t>
  </si>
  <si>
    <t>Determina el número de configuraciones que debe cotizar el proponente.</t>
  </si>
  <si>
    <t>Horizonte de evaluación</t>
  </si>
  <si>
    <t>años</t>
  </si>
  <si>
    <t>RETILAP 3.3.2.4.4: 20 años.</t>
  </si>
  <si>
    <t>meses</t>
  </si>
  <si>
    <t>RETILAP 3.3.2.4.4: 240 meses.</t>
  </si>
  <si>
    <t>Tasa de descuento anual</t>
  </si>
  <si>
    <t>%</t>
  </si>
  <si>
    <t>RETILAP cita 12,09 % o la tasa que determine la CREG.</t>
  </si>
  <si>
    <t>Tasa mensual equivalente</t>
  </si>
  <si>
    <t>Usada para descontar exactamente los eventos del driver a 105 y 210 meses.</t>
  </si>
  <si>
    <t>Factor de recuperación de capital</t>
  </si>
  <si>
    <t>factor</t>
  </si>
  <si>
    <t>PT x FRC = CAUE.</t>
  </si>
  <si>
    <t>Valor de salvamento</t>
  </si>
  <si>
    <t>COP</t>
  </si>
  <si>
    <t>RETILAP: valor de salvamento cero.</t>
  </si>
  <si>
    <t>Tarifa de energía para comparación</t>
  </si>
  <si>
    <t>COP/kWh</t>
  </si>
  <si>
    <t>Común a todos los proponentes; la fija la entidad.</t>
  </si>
  <si>
    <t>Días de operación por año</t>
  </si>
  <si>
    <t>días/año</t>
  </si>
  <si>
    <t>Parámetro común del cálculo.</t>
  </si>
  <si>
    <t>IPP proyectado para el formato</t>
  </si>
  <si>
    <t>Se mantiene en 0 % porque la evaluación se realiza a precios constantes de la fecha de análisis.</t>
  </si>
  <si>
    <t>Nivel de contaminación del sitio</t>
  </si>
  <si>
    <t>BAJO/MEDIO/ALTO</t>
  </si>
  <si>
    <t>Lo determina la entidad conforme a las condiciones del sitio y RETILAP 3.3.1.9.</t>
  </si>
  <si>
    <t>Periodo de limpieza</t>
  </si>
  <si>
    <t>Alto: 1; medio: 2; bajo: 3.</t>
  </si>
  <si>
    <t>Costo limpieza conjunto óptico</t>
  </si>
  <si>
    <t>COP/punto/evento</t>
  </si>
  <si>
    <t>Lo fija la entidad. Debe comprender el costo integral de la actividad que se reconocerá para comparar ofertas.</t>
  </si>
  <si>
    <t>Intervención cambio conjunto eléctrico/electrónico</t>
  </si>
  <si>
    <t>Costo común de mano de obra/desplazamiento/actividad; se suma al driver ofertado.</t>
  </si>
  <si>
    <t>Intervención reposición fotocontrol</t>
  </si>
  <si>
    <t>Costo común de mano de obra/desplazamiento/actividad; se suma al fotocontrol de reposición ofertado.</t>
  </si>
  <si>
    <t>Número de franjas de operación</t>
  </si>
  <si>
    <t>franjas</t>
  </si>
  <si>
    <t>Entre 1 y 3. Independiente del número de perfiles.</t>
  </si>
  <si>
    <t>FRANJAS DE OPERACIÓN - EXCLUSIVAS DE LA ENTIDAD</t>
  </si>
  <si>
    <t>Franja</t>
  </si>
  <si>
    <t>Activa</t>
  </si>
  <si>
    <t>Nivel de operación (%)</t>
  </si>
  <si>
    <t>Horas/día</t>
  </si>
  <si>
    <t>Instrucción</t>
  </si>
  <si>
    <t>F1</t>
  </si>
  <si>
    <t>La entidad fija horas. En F2/F3, el nivel es descriptivo; el proponente registra la potencia real de la luminaria en ese estado.</t>
  </si>
  <si>
    <t>F2</t>
  </si>
  <si>
    <t>F3</t>
  </si>
  <si>
    <t>Total horas activas/día</t>
  </si>
  <si>
    <t>Debe ser &gt;0 y &lt;=24</t>
  </si>
  <si>
    <t>PERFILES VIALES DEL PROYECTO</t>
  </si>
  <si>
    <t>Activo</t>
  </si>
  <si>
    <t>ID</t>
  </si>
  <si>
    <t>Descripción del perfil</t>
  </si>
  <si>
    <t>Clase M</t>
  </si>
  <si>
    <t>Cantidad luminarias</t>
  </si>
  <si>
    <t>FM RETILAP</t>
  </si>
  <si>
    <t>Contaminación asociada a clase M</t>
  </si>
  <si>
    <t>Estado</t>
  </si>
  <si>
    <t>02 - DATOS Y COSTOS OFERTADOS POR PERFIL</t>
  </si>
  <si>
    <t>El proponente diligencia las celdas azules únicamente para los perfiles activados por la entidad. No se solicita IES/LDT ni se permite modificar vidas económicas o fechas de recambio.</t>
  </si>
  <si>
    <t>Razón social</t>
  </si>
  <si>
    <t>NIT</t>
  </si>
  <si>
    <t>Perfiles exigidos</t>
  </si>
  <si>
    <t>Perfil</t>
  </si>
  <si>
    <t>Descripción</t>
  </si>
  <si>
    <t>Clase</t>
  </si>
  <si>
    <t>Cantidad</t>
  </si>
  <si>
    <t>Fabricante</t>
  </si>
  <si>
    <t>Referencia/modelo</t>
  </si>
  <si>
    <t>Potencia nominal luminaria (W)</t>
  </si>
  <si>
    <t>Accesorios eléctricos/electrónicos no incluidos en potencia (W)</t>
  </si>
  <si>
    <t>Vida útil LED declarada (h @ L70/B10)</t>
  </si>
  <si>
    <t>Luminaria + fotocontrol + brazo (COP/u)</t>
  </si>
  <si>
    <t>Conectores/materiales instalación (COP/u)</t>
  </si>
  <si>
    <t>Transporte (COP/u)</t>
  </si>
  <si>
    <t>Instalación/montaje (COP/u)</t>
  </si>
  <si>
    <t>Driver de reposición (COP/u)</t>
  </si>
  <si>
    <t>Fotocontrol de reposición (COP/u)</t>
  </si>
  <si>
    <t>REGLAS DE COSTEO</t>
  </si>
  <si>
    <t>• El precio J es único para el conjunto luminaria + fotocontrol + brazo; no se separan esos tres elementos en la inversión inicial.</t>
  </si>
  <si>
    <t>• El driver inicial está incorporado en la luminaria. En N solo se registra el precio unitario del driver que será usado en los recambios reglamentarios.</t>
  </si>
  <si>
    <t>• El fotocontrol inicial está incorporado en J. En O se registra únicamente su precio unitario de reposición para el evento del año 10.</t>
  </si>
  <si>
    <t>• Los costos de limpieza y de intervención de mantenimiento no son ofertables: los fija la entidad en 01_Entidad.</t>
  </si>
  <si>
    <t>03 - FRANJAS DE OPERACIÓN Y CONSUMO DE ENERGÍA</t>
  </si>
  <si>
    <t>Las horas y el número de franjas son definidos por la entidad. El proponente solo registra la potencia real de la luminaria en F2/F3 cuando esas franjas estén activas; F1 se toma automáticamente de la potencia nominal.</t>
  </si>
  <si>
    <t>Nivel operación</t>
  </si>
  <si>
    <t>Potencia luminaria (W)</t>
  </si>
  <si>
    <t>Accesorios (W)</t>
  </si>
  <si>
    <t>Potencia total punto (W)</t>
  </si>
  <si>
    <t>Consumo anual (kWh)</t>
  </si>
  <si>
    <t>Costo anual energía (COP)</t>
  </si>
  <si>
    <t>RESUMEN DE ENERGÍA</t>
  </si>
  <si>
    <t>Consumo anual total</t>
  </si>
  <si>
    <t>kWh/año</t>
  </si>
  <si>
    <t>Costo anual total de energía</t>
  </si>
  <si>
    <t>COP/año</t>
  </si>
  <si>
    <t>Nota: si la entidad define una sola franja, únicamente F1 interviene en el cálculo. Las celdas de potencia F2/F3 pueden verse en la tabla como estructura del archivo, pero quedan inactivas, grises y son ignoradas por todas las fórmulas. Esto evita macros y mantiene el archivo .xlsx auditable.</t>
  </si>
  <si>
    <t>04 - COSTOS INICIALES DE CADA PROPUESTA</t>
  </si>
  <si>
    <t>Adaptación al alcance del proyecto de la Tabla 3.3.2.4.4.b. Se muestran únicamente los elementos incluidos en esta contratación y se discriminan transporte e instalación/montaje.</t>
  </si>
  <si>
    <t>Potencia (W)</t>
  </si>
  <si>
    <t>Conectores/materiales (COP/u)</t>
  </si>
  <si>
    <t>Costo unitario total (COP/u)</t>
  </si>
  <si>
    <t>Costo inicial total perfil (COP)</t>
  </si>
  <si>
    <t>Vida económica</t>
  </si>
  <si>
    <t>20 años</t>
  </si>
  <si>
    <t>TOTAL COSTOS INICIALES (CI)</t>
  </si>
  <si>
    <t>Los conectores/materiales de instalación se reconocen como costo inicial. Dentro del horizonte de 20 años no se programa reposición de brazo/conectores cuando la vida económica RETILAP excede o coincide con el horizonte; el fotocontrol y driver sí generan los eventos específicos indicados por el Reglamento.</t>
  </si>
  <si>
    <t>05 - HORIZONTE DE COSTOS DE 20 AÑOS Y VALOR PRESENTE</t>
  </si>
  <si>
    <t>Todos los costos incorporados al CAUE se muestran de forma auditable. La energía se reconoce cada año; la limpieza se repite según el periodo RETILAP; el fotocontrol se repone al año 10; el driver se descuenta exactamente a 105 y 210 meses.</t>
  </si>
  <si>
    <t>COSTOS UNITARIOS / TOTALES QUE ALIMENTAN EL HORIZONTE</t>
  </si>
  <si>
    <t>Costo inicial total</t>
  </si>
  <si>
    <t>Cantidad total de luminarias</t>
  </si>
  <si>
    <t>unidades</t>
  </si>
  <si>
    <t>Costo anual energía</t>
  </si>
  <si>
    <t>Costo limpieza por evento</t>
  </si>
  <si>
    <t>COP/evento</t>
  </si>
  <si>
    <t>Costo cambio conjunto eléctrico/electrónico - driver</t>
  </si>
  <si>
    <t>Costo reposición fotocontrol</t>
  </si>
  <si>
    <t>Periodo limpieza</t>
  </si>
  <si>
    <t>TABLA ANUAL - AÑOS 0 A 20</t>
  </si>
  <si>
    <t>Año</t>
  </si>
  <si>
    <t>Inversión inicial</t>
  </si>
  <si>
    <t>Energía</t>
  </si>
  <si>
    <t>Limpieza conjunto óptico</t>
  </si>
  <si>
    <t>Reposición fotocontrol</t>
  </si>
  <si>
    <t>Cambio conjunto eléctrico/electrónico*</t>
  </si>
  <si>
    <t>Flujo nominal mostrado</t>
  </si>
  <si>
    <t>Factor descuento anual</t>
  </si>
  <si>
    <t>VP anual sin driver</t>
  </si>
  <si>
    <t>VP driver exacto</t>
  </si>
  <si>
    <t>VP total</t>
  </si>
  <si>
    <t>IPP proyectado</t>
  </si>
  <si>
    <t>Evento / observación</t>
  </si>
  <si>
    <t>EVENTOS DE REPOSICIÓN CON MOMENTO EXACTO</t>
  </si>
  <si>
    <t>Elemento/evento</t>
  </si>
  <si>
    <t>Vida CAUE / regla</t>
  </si>
  <si>
    <t>Momento 1</t>
  </si>
  <si>
    <t>Momento 2</t>
  </si>
  <si>
    <t>Costo por evento</t>
  </si>
  <si>
    <t>Factor VP 1</t>
  </si>
  <si>
    <t>VP 1</t>
  </si>
  <si>
    <t>Factor VP 2</t>
  </si>
  <si>
    <t>VP 2</t>
  </si>
  <si>
    <t>Driver / cambio conjunto eléctrico-electrónico</t>
  </si>
  <si>
    <t>105 meses</t>
  </si>
  <si>
    <t>Mes 105</t>
  </si>
  <si>
    <t>Mes 210</t>
  </si>
  <si>
    <t>Fotocontrol</t>
  </si>
  <si>
    <t>10 años</t>
  </si>
  <si>
    <t>Año 10 / mes 120</t>
  </si>
  <si>
    <t>No se repone en mes 240 por coincidir con fin del horizonte</t>
  </si>
  <si>
    <t>RESUMEN FINANCIERO Y CAUE</t>
  </si>
  <si>
    <t>CI - Costos iniciales</t>
  </si>
  <si>
    <t>VP energía</t>
  </si>
  <si>
    <t>VP limpieza</t>
  </si>
  <si>
    <t>VP reposición fotocontrol</t>
  </si>
  <si>
    <t>VP cambio conjunto eléctrico/electrónico</t>
  </si>
  <si>
    <t>VP(CAO) total</t>
  </si>
  <si>
    <t>Valor Presente Total - PT</t>
  </si>
  <si>
    <t>Factor recuperación de capital</t>
  </si>
  <si>
    <t>CAUE TOTAL OFERTADO</t>
  </si>
  <si>
    <t>* El renglón anual muestra el evento del driver en el año que contiene el mes de ocurrencia solo para facilitar lectura. El valor presente utilizado en el CAUE NO se descuenta al año 9/18: se calcula exactamente con la tasa mensual equivalente a los meses 105 y 210. La columna “VP anual sin driver” excluye ese costo para impedir doble contabilización.</t>
  </si>
  <si>
    <t>06 - RESUMEN DE LA OFERTA Y CAUE</t>
  </si>
  <si>
    <t>Hoja de lectura rápida para evaluación. El detalle completo permanece trazable en el horizonte de 20 años.</t>
  </si>
  <si>
    <t>RESULTADO CONSOLIDADO</t>
  </si>
  <si>
    <t>Concepto</t>
  </si>
  <si>
    <t>Resultado</t>
  </si>
  <si>
    <t>Control / observación</t>
  </si>
  <si>
    <t>Perfiles viales exigidos</t>
  </si>
  <si>
    <t>Definidos por la entidad</t>
  </si>
  <si>
    <t>Total luminarias</t>
  </si>
  <si>
    <t>Cantidad total de los perfiles</t>
  </si>
  <si>
    <t>Luminaria+fotocontrol+brazo, materiales, transporte e instalación</t>
  </si>
  <si>
    <t>Consumo anual</t>
  </si>
  <si>
    <t>Según franjas de entidad</t>
  </si>
  <si>
    <t>Tarifa común de entidad</t>
  </si>
  <si>
    <t>Nivel de contaminación</t>
  </si>
  <si>
    <t>Entidad</t>
  </si>
  <si>
    <t>1/2/3 según RETILAP</t>
  </si>
  <si>
    <t>Eventos sucesivos</t>
  </si>
  <si>
    <t>VP fotocontrol</t>
  </si>
  <si>
    <t>Mes 120</t>
  </si>
  <si>
    <t>Driver meses 105 y 210</t>
  </si>
  <si>
    <t>VP(CAO)</t>
  </si>
  <si>
    <t>Operación y mantenimiento</t>
  </si>
  <si>
    <t>CI + VP(CAO)</t>
  </si>
  <si>
    <t>RETILAP/CREG</t>
  </si>
  <si>
    <t>Resultado económico</t>
  </si>
  <si>
    <t>Estado general del formato</t>
  </si>
  <si>
    <t>Debe quedar en OK antes de comparar el CAUE.</t>
  </si>
  <si>
    <t>DETALLE POR PERFIL</t>
  </si>
  <si>
    <t>Referencia</t>
  </si>
  <si>
    <t>Costo inicial perfil</t>
  </si>
  <si>
    <t>07 - FUENTES Y TRAZABILIDAD NORMATIVA</t>
  </si>
  <si>
    <t>Las fuentes normativas son oficiales. Las decisiones de estructura del archivo se identifican como reglas de comparabilidad del proceso y no se presentan como texto obligatorio del RETILAP.</t>
  </si>
  <si>
    <t>Tema</t>
  </si>
  <si>
    <t>Regla aplicada</t>
  </si>
  <si>
    <t>Naturaleza</t>
  </si>
  <si>
    <t>Fuente oficial</t>
  </si>
  <si>
    <t>Dónde se aplica</t>
  </si>
  <si>
    <t>RETILAP vigente</t>
  </si>
  <si>
    <t>Resolución 40286 de 23 de junio de 2026 modifica el RETILAP.</t>
  </si>
  <si>
    <t>Norma</t>
  </si>
  <si>
    <t>https://www.minenergia.gov.co/es/misional/energia-electrica-2/reglamentos-tecnicos/reglamento-t%C3%A9cnico-de-iluminaci%C3%B3n-y-alumbrado-p%C3%BAblico-retilap/</t>
  </si>
  <si>
    <t>Todo el archivo</t>
  </si>
  <si>
    <t>Metodología económica</t>
  </si>
  <si>
    <t>Precios constantes; considerar todos los costos; inversión, operación, mantenimiento y reposiciones; 20 años.</t>
  </si>
  <si>
    <t>RETILAP 3.3.2.4 a 3.3.2.4.4</t>
  </si>
  <si>
    <t>https://www.minenergia.gov.co/documents/15917/Resoluci%C3%B3n_Modificatoria_RETILAP_2026_Versi%C3%B3n_Final_Numerada_Compilada.pdf</t>
  </si>
  <si>
    <t>01, 04, 05</t>
  </si>
  <si>
    <t>Costos iniciales</t>
  </si>
  <si>
    <t>Considerar suministro en sitio, montaje y demás costos aplicables; CI incluye infraestructura/materiales, transporte y mano de obra.</t>
  </si>
  <si>
    <t>RETILAP 3.3.2.4.2 y 3.3.2.4.4</t>
  </si>
  <si>
    <t>02 y 04</t>
  </si>
  <si>
    <t>Luminaria como conjunto</t>
  </si>
  <si>
    <t>Tabla b: “Luminarias (incluye fotocontrol y brazo)” e indicar potencia.</t>
  </si>
  <si>
    <t>RETILAP Tabla 3.3.2.4.4.b</t>
  </si>
  <si>
    <t>Luminaria LED 20 años; fotocontrol 10; brazo 20; acometida/conectores aplicables 35.</t>
  </si>
  <si>
    <t>RETILAP Tabla 3.3.2.4.4.a</t>
  </si>
  <si>
    <t>04 y 05</t>
  </si>
  <si>
    <t>Driver</t>
  </si>
  <si>
    <t>Recambio con vida de 8,75 años (105 meses) dentro de 240 meses.</t>
  </si>
  <si>
    <t>RETILAP nota Tabla 3.3.2.4.4.a</t>
  </si>
  <si>
    <t>05: meses 105 y 210</t>
  </si>
  <si>
    <t>Limpieza</t>
  </si>
  <si>
    <t>Alta: mínimo 1 año; media: 2; baja: 3.</t>
  </si>
  <si>
    <t>RETILAP 3.3.1.9</t>
  </si>
  <si>
    <t>01 y 05</t>
  </si>
  <si>
    <t>CAO</t>
  </si>
  <si>
    <t>Tabla c incluye limpieza del conjunto óptico, cambio de conjunto eléctrico/electrónico y consumo de energía con accesorios.</t>
  </si>
  <si>
    <t>RETILAP Tabla 3.3.2.4.4.c</t>
  </si>
  <si>
    <t>03 y 05</t>
  </si>
  <si>
    <t>Tasa</t>
  </si>
  <si>
    <t>RETILAP cita 12,09 % de CREG 215/2021 o la que determine la CREG.</t>
  </si>
  <si>
    <t>RETILAP / CREG</t>
  </si>
  <si>
    <t>https://gestornormativo.creg.gov.co/gestor/entorno/docs/resolucion_creg_0215_2021.htm</t>
  </si>
  <si>
    <t>Costos de limpieza/intervención</t>
  </si>
  <si>
    <t>La entidad fija valores comunes para que la comparación no dependa de supuestos manipulables de cada oferente.</t>
  </si>
  <si>
    <t>Regla de estructuración contractual</t>
  </si>
  <si>
    <t>01</t>
  </si>
  <si>
    <t>IES/LDT</t>
  </si>
  <si>
    <t>No se solicita en el anexo CAUE; corresponde a verificación técnica/fotométrica separada.</t>
  </si>
  <si>
    <t>Regla de estructura documental</t>
  </si>
  <si>
    <t>Excluido</t>
  </si>
  <si>
    <t>Alcance del proyecto</t>
  </si>
  <si>
    <t>Se excluyen postes, redes, transformadores y otros elementos no comprendidos en el alcance informado; RETILAP permite ajustar sus formatos a las características específicas del proyecto.</t>
  </si>
  <si>
    <t>Ajuste del formato permitido por RETILAP</t>
  </si>
  <si>
    <t>MEDIO</t>
  </si>
  <si>
    <t>M1</t>
  </si>
  <si>
    <t>La entidad define el número de perfiles en el pliego de condiciones. El oferente debe diligenciar exactamente una fila por cada perfil activo.</t>
  </si>
  <si>
    <t>NOMBRE DEL REPRESENTANTE LEGAL</t>
  </si>
  <si>
    <t>FIRMA PROPONENTE</t>
  </si>
  <si>
    <t>NOMBRE DEL 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</si>
</sst>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Red]\(#,##0\);\-"/>
    <numFmt numFmtId="165" formatCode="\$#,##0;[Red]\(\$#,##0\);\-"/>
    <numFmt numFmtId="166" formatCode="#,##0.00;[Red]\(#,##0.00\);\-"/>
  </numFmts>
  <fonts count="15" x14ac:knownFonts="1">
    <font>
      <sz val="11"/>
      <color theme="1"/>
      <name val="Calibri"/>
      <family val="2"/>
      <scheme val="minor"/>
    </font>
    <font>
      <b/>
      <sz val="15"/>
      <color rgb="FFFFFFFF"/>
      <name val="Aptos"/>
    </font>
    <font>
      <i/>
      <sz val="10"/>
      <color rgb="FF17365D"/>
      <name val="Aptos"/>
    </font>
    <font>
      <b/>
      <sz val="11"/>
      <color rgb="FFFFFFFF"/>
      <name val="Aptos"/>
    </font>
    <font>
      <b/>
      <sz val="10"/>
      <color rgb="FF000000"/>
      <name val="Aptos"/>
    </font>
    <font>
      <b/>
      <sz val="9"/>
      <color rgb="FFFFFFFF"/>
      <name val="Aptos"/>
    </font>
    <font>
      <sz val="10"/>
      <color rgb="FF666666"/>
      <name val="Aptos"/>
    </font>
    <font>
      <sz val="10"/>
      <color rgb="FF000000"/>
      <name val="Aptos"/>
    </font>
    <font>
      <sz val="10"/>
      <color rgb="FF0000FF"/>
      <name val="Aptos"/>
    </font>
    <font>
      <b/>
      <sz val="10"/>
      <color rgb="FFFFFFFF"/>
      <name val="Aptos"/>
    </font>
    <font>
      <b/>
      <sz val="11"/>
      <color rgb="FF000000"/>
      <name val="Aptos"/>
    </font>
    <font>
      <b/>
      <sz val="12"/>
      <color rgb="FF000000"/>
      <name val="Aptos"/>
    </font>
    <font>
      <sz val="11"/>
      <color rgb="FF000000"/>
      <name val="Calibri"/>
      <family val="2"/>
    </font>
    <font>
      <sz val="10"/>
      <color rgb="FF000000"/>
      <name val="Tahoma"/>
      <family val="2"/>
    </font>
    <font>
      <b/>
      <sz val="10"/>
      <color rgb="FF000000"/>
      <name val="Tahoma"/>
      <family val="2"/>
    </font>
  </fonts>
  <fills count="12">
    <fill>
      <patternFill patternType="none"/>
    </fill>
    <fill>
      <patternFill patternType="gray125"/>
    </fill>
    <fill>
      <patternFill patternType="solid">
        <fgColor rgb="FF17365D"/>
      </patternFill>
    </fill>
    <fill>
      <patternFill patternType="solid">
        <fgColor rgb="FFF2F2F2"/>
      </patternFill>
    </fill>
    <fill>
      <patternFill patternType="solid">
        <fgColor rgb="FF1F4E78"/>
      </patternFill>
    </fill>
    <fill>
      <patternFill patternType="solid">
        <fgColor rgb="FFFCE4D6"/>
      </patternFill>
    </fill>
    <fill>
      <patternFill patternType="solid">
        <fgColor rgb="FFD9EAF7"/>
      </patternFill>
    </fill>
    <fill>
      <patternFill patternType="solid">
        <fgColor rgb="FFE2F0D9"/>
      </patternFill>
    </fill>
    <fill>
      <patternFill patternType="solid">
        <fgColor rgb="FFE7E6E6"/>
      </patternFill>
    </fill>
    <fill>
      <patternFill patternType="solid">
        <fgColor rgb="FFFFF2CC"/>
      </patternFill>
    </fill>
    <fill>
      <patternFill patternType="solid">
        <fgColor rgb="FFDDEBF7"/>
      </patternFill>
    </fill>
    <fill>
      <patternFill patternType="solid">
        <fgColor theme="4" tint="0.79998168889431442"/>
        <bgColor indexed="64"/>
      </patternFill>
    </fill>
  </fills>
  <borders count="3">
    <border>
      <left/>
      <right/>
      <top/>
      <bottom/>
      <diagonal/>
    </border>
    <border>
      <left/>
      <right/>
      <top/>
      <bottom style="medium">
        <color rgb="FF17365D"/>
      </bottom>
      <diagonal/>
    </border>
    <border>
      <left/>
      <right/>
      <top/>
      <bottom style="hair">
        <color rgb="FFD9D9D9"/>
      </bottom>
      <diagonal/>
    </border>
  </borders>
  <cellStyleXfs count="1">
    <xf numFmtId="0" fontId="0" fillId="0" borderId="0"/>
  </cellStyleXfs>
  <cellXfs count="53">
    <xf numFmtId="0" fontId="0" fillId="0" borderId="0" xfId="0"/>
    <xf numFmtId="0" fontId="4" fillId="5" borderId="0" xfId="0" applyFont="1" applyFill="1" applyAlignment="1">
      <alignment horizontal="left" vertical="center"/>
    </xf>
    <xf numFmtId="0" fontId="0" fillId="0" borderId="0" xfId="0" applyAlignment="1">
      <alignment horizontal="left" vertical="center" wrapText="1"/>
    </xf>
    <xf numFmtId="0" fontId="4" fillId="6" borderId="0" xfId="0" applyFont="1" applyFill="1" applyAlignment="1">
      <alignment horizontal="left" vertical="center"/>
    </xf>
    <xf numFmtId="0" fontId="4" fillId="7" borderId="0" xfId="0" applyFont="1" applyFill="1" applyAlignment="1">
      <alignment horizontal="left" vertical="center"/>
    </xf>
    <xf numFmtId="0" fontId="4" fillId="8" borderId="0" xfId="0" applyFont="1" applyFill="1" applyAlignment="1">
      <alignment horizontal="left" vertical="center"/>
    </xf>
    <xf numFmtId="0" fontId="0" fillId="0" borderId="0" xfId="0" applyAlignment="1">
      <alignment horizontal="left" vertical="top" wrapText="1"/>
    </xf>
    <xf numFmtId="0" fontId="5" fillId="2" borderId="2" xfId="0" applyFont="1" applyFill="1" applyBorder="1" applyAlignment="1">
      <alignment horizontal="left" vertical="center" wrapText="1"/>
    </xf>
    <xf numFmtId="0" fontId="5" fillId="2" borderId="1" xfId="0" applyFont="1" applyFill="1" applyBorder="1" applyAlignment="1">
      <alignment horizontal="center" vertical="center" wrapText="1"/>
    </xf>
    <xf numFmtId="0" fontId="6" fillId="8" borderId="2" xfId="0" applyFont="1" applyFill="1" applyBorder="1" applyAlignment="1">
      <alignment horizontal="left" vertical="center" wrapText="1"/>
    </xf>
    <xf numFmtId="0" fontId="0" fillId="0" borderId="2" xfId="0" applyBorder="1" applyAlignment="1">
      <alignment horizontal="left" vertical="center" wrapText="1"/>
    </xf>
    <xf numFmtId="164" fontId="7" fillId="5" borderId="2" xfId="0" applyNumberFormat="1" applyFont="1" applyFill="1" applyBorder="1" applyAlignment="1">
      <alignment horizontal="left" vertical="center" wrapText="1"/>
    </xf>
    <xf numFmtId="164" fontId="6" fillId="8" borderId="2" xfId="0" applyNumberFormat="1" applyFont="1" applyFill="1" applyBorder="1" applyAlignment="1">
      <alignment horizontal="left" vertical="center" wrapText="1"/>
    </xf>
    <xf numFmtId="10" fontId="6" fillId="8" borderId="2" xfId="0" applyNumberFormat="1" applyFont="1" applyFill="1" applyBorder="1" applyAlignment="1">
      <alignment horizontal="left" vertical="center" wrapText="1"/>
    </xf>
    <xf numFmtId="10" fontId="7" fillId="7" borderId="2" xfId="0" applyNumberFormat="1" applyFont="1" applyFill="1" applyBorder="1" applyAlignment="1">
      <alignment horizontal="left" vertical="center" wrapText="1"/>
    </xf>
    <xf numFmtId="0" fontId="7" fillId="7" borderId="2" xfId="0" applyFont="1" applyFill="1" applyBorder="1" applyAlignment="1">
      <alignment horizontal="left" vertical="center" wrapText="1"/>
    </xf>
    <xf numFmtId="165" fontId="6" fillId="8" borderId="2" xfId="0" applyNumberFormat="1" applyFont="1" applyFill="1" applyBorder="1" applyAlignment="1">
      <alignment horizontal="left" vertical="center" wrapText="1"/>
    </xf>
    <xf numFmtId="165" fontId="7" fillId="5" borderId="2" xfId="0" applyNumberFormat="1" applyFont="1" applyFill="1" applyBorder="1" applyAlignment="1">
      <alignment vertical="center" wrapText="1"/>
    </xf>
    <xf numFmtId="0" fontId="7" fillId="5" borderId="2" xfId="0" applyFont="1" applyFill="1" applyBorder="1" applyAlignment="1">
      <alignment vertical="center" wrapText="1"/>
    </xf>
    <xf numFmtId="0" fontId="6" fillId="8" borderId="0" xfId="0" applyFont="1" applyFill="1" applyAlignment="1">
      <alignment horizontal="left" vertical="center"/>
    </xf>
    <xf numFmtId="0" fontId="7" fillId="7" borderId="0" xfId="0" applyFont="1" applyFill="1" applyAlignment="1">
      <alignment horizontal="left" vertical="center"/>
    </xf>
    <xf numFmtId="10" fontId="6" fillId="8" borderId="0" xfId="0" applyNumberFormat="1" applyFont="1" applyFill="1" applyAlignment="1">
      <alignment horizontal="left" vertical="center"/>
    </xf>
    <xf numFmtId="166" fontId="7" fillId="5" borderId="0" xfId="0" applyNumberFormat="1" applyFont="1" applyFill="1"/>
    <xf numFmtId="10" fontId="7" fillId="5" borderId="0" xfId="0" applyNumberFormat="1" applyFont="1" applyFill="1"/>
    <xf numFmtId="0" fontId="0" fillId="0" borderId="0" xfId="0" applyAlignment="1">
      <alignment horizontal="left" vertical="center"/>
    </xf>
    <xf numFmtId="166" fontId="7" fillId="7" borderId="0" xfId="0" applyNumberFormat="1" applyFont="1" applyFill="1" applyAlignment="1">
      <alignment horizontal="left" vertical="center"/>
    </xf>
    <xf numFmtId="0" fontId="8" fillId="6" borderId="0" xfId="0" applyFont="1" applyFill="1" applyProtection="1">
      <protection locked="0"/>
    </xf>
    <xf numFmtId="164" fontId="7" fillId="7" borderId="0" xfId="0" applyNumberFormat="1" applyFont="1" applyFill="1" applyAlignment="1">
      <alignment horizontal="left" vertical="center"/>
    </xf>
    <xf numFmtId="164" fontId="8" fillId="6" borderId="0" xfId="0" applyNumberFormat="1" applyFont="1" applyFill="1" applyProtection="1">
      <protection locked="0"/>
    </xf>
    <xf numFmtId="165" fontId="8" fillId="6" borderId="0" xfId="0" applyNumberFormat="1" applyFont="1" applyFill="1" applyProtection="1">
      <protection locked="0"/>
    </xf>
    <xf numFmtId="10" fontId="7" fillId="7" borderId="0" xfId="0" applyNumberFormat="1" applyFont="1" applyFill="1" applyAlignment="1">
      <alignment horizontal="left" vertical="center"/>
    </xf>
    <xf numFmtId="165" fontId="7" fillId="7" borderId="0" xfId="0" applyNumberFormat="1" applyFont="1" applyFill="1" applyAlignment="1">
      <alignment horizontal="left" vertical="center"/>
    </xf>
    <xf numFmtId="166" fontId="8" fillId="6" borderId="0" xfId="0" applyNumberFormat="1" applyFont="1" applyFill="1" applyProtection="1">
      <protection locked="0"/>
    </xf>
    <xf numFmtId="0" fontId="9" fillId="4" borderId="0" xfId="0" applyFont="1" applyFill="1" applyAlignment="1">
      <alignment horizontal="left" vertical="center"/>
    </xf>
    <xf numFmtId="164" fontId="6" fillId="8" borderId="0" xfId="0" applyNumberFormat="1" applyFont="1" applyFill="1" applyAlignment="1">
      <alignment horizontal="left" vertical="center"/>
    </xf>
    <xf numFmtId="165" fontId="10" fillId="7" borderId="0" xfId="0" applyNumberFormat="1" applyFont="1" applyFill="1" applyAlignment="1">
      <alignment horizontal="left" vertical="center"/>
    </xf>
    <xf numFmtId="0" fontId="9" fillId="4" borderId="0" xfId="0" applyFont="1" applyFill="1" applyAlignment="1">
      <alignment horizontal="left" vertical="center" wrapText="1"/>
    </xf>
    <xf numFmtId="165" fontId="11" fillId="10" borderId="0" xfId="0" applyNumberFormat="1" applyFont="1" applyFill="1" applyAlignment="1">
      <alignment horizontal="left" vertical="center"/>
    </xf>
    <xf numFmtId="0" fontId="3" fillId="4" borderId="0" xfId="0" applyFont="1" applyFill="1" applyAlignment="1">
      <alignment horizontal="left" vertical="center"/>
    </xf>
    <xf numFmtId="0" fontId="0" fillId="0" borderId="0" xfId="0"/>
    <xf numFmtId="0" fontId="2" fillId="3" borderId="0" xfId="0" applyFont="1" applyFill="1" applyAlignment="1">
      <alignment horizontal="left" vertical="center" wrapText="1"/>
    </xf>
    <xf numFmtId="0" fontId="1" fillId="2" borderId="0" xfId="0" applyFont="1" applyFill="1" applyAlignment="1">
      <alignment horizontal="left" vertical="center"/>
    </xf>
    <xf numFmtId="0" fontId="0" fillId="9" borderId="0" xfId="0" applyFill="1" applyAlignment="1">
      <alignment horizontal="left" vertical="top" wrapText="1"/>
    </xf>
    <xf numFmtId="0" fontId="0" fillId="0" borderId="0" xfId="0" applyAlignment="1">
      <alignment horizontal="left" vertical="center" wrapText="1"/>
    </xf>
    <xf numFmtId="0" fontId="0" fillId="0" borderId="0" xfId="0" applyAlignment="1">
      <alignment horizontal="left" vertical="top" wrapText="1"/>
    </xf>
    <xf numFmtId="0" fontId="8" fillId="6" borderId="0" xfId="0" applyFont="1" applyFill="1" applyProtection="1">
      <protection locked="0"/>
    </xf>
    <xf numFmtId="0" fontId="0" fillId="0" borderId="0" xfId="0" applyProtection="1">
      <protection locked="0"/>
    </xf>
    <xf numFmtId="0" fontId="0" fillId="9" borderId="0" xfId="0" applyFill="1" applyAlignment="1">
      <alignment horizontal="left" vertical="center" wrapText="1"/>
    </xf>
    <xf numFmtId="0" fontId="9" fillId="4" borderId="0" xfId="0" applyFont="1" applyFill="1" applyAlignment="1">
      <alignment horizontal="left" vertical="center"/>
    </xf>
    <xf numFmtId="0" fontId="7" fillId="11" borderId="2" xfId="0" applyFont="1" applyFill="1" applyBorder="1" applyAlignment="1">
      <alignment vertical="center" wrapText="1"/>
    </xf>
    <xf numFmtId="164" fontId="7" fillId="11" borderId="2" xfId="0" applyNumberFormat="1" applyFont="1" applyFill="1" applyBorder="1" applyAlignment="1">
      <alignment vertical="center" wrapText="1"/>
    </xf>
    <xf numFmtId="166" fontId="7" fillId="5" borderId="0" xfId="0" applyNumberFormat="1" applyFont="1" applyFill="1" applyAlignment="1">
      <alignment horizontal="center" vertical="center"/>
    </xf>
    <xf numFmtId="164" fontId="7" fillId="11" borderId="2" xfId="0" applyNumberFormat="1" applyFont="1" applyFill="1" applyBorder="1" applyAlignment="1">
      <alignment horizontal="left" vertical="center" wrapText="1"/>
    </xf>
  </cellXfs>
  <cellStyles count="1">
    <cellStyle name="Normal" xfId="0" builtinId="0"/>
  </cellStyles>
  <dxfs count="7">
    <dxf>
      <fill>
        <patternFill patternType="solid">
          <fgColor rgb="FFF4CCCC"/>
        </patternFill>
      </fill>
    </dxf>
    <dxf>
      <fill>
        <patternFill patternType="solid">
          <fgColor rgb="FFE2F0D9"/>
        </patternFill>
      </fill>
    </dxf>
    <dxf>
      <font>
        <color rgb="FF999999"/>
      </font>
      <fill>
        <patternFill patternType="solid">
          <fgColor rgb="FFE7E6E6"/>
        </patternFill>
      </fill>
    </dxf>
    <dxf>
      <fill>
        <patternFill patternType="solid">
          <fgColor rgb="FFF4CCCC"/>
        </patternFill>
      </fill>
    </dxf>
    <dxf>
      <fill>
        <patternFill patternType="solid">
          <fgColor rgb="FFE2F0D9"/>
        </patternFill>
      </fill>
    </dxf>
    <dxf>
      <font>
        <color rgb="FF999999"/>
      </font>
      <fill>
        <patternFill patternType="solid">
          <fgColor rgb="FFE7E6E6"/>
        </patternFill>
      </fill>
    </dxf>
    <dxf>
      <font>
        <color rgb="FF999999"/>
      </font>
      <fill>
        <patternFill patternType="solid">
          <fgColor rgb="FFE7E6E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22"/>
  <sheetViews>
    <sheetView showGridLines="0" tabSelected="1" workbookViewId="0">
      <selection activeCell="B24" sqref="B24"/>
    </sheetView>
  </sheetViews>
  <sheetFormatPr baseColWidth="10" defaultColWidth="8.83203125" defaultRowHeight="15" x14ac:dyDescent="0.2"/>
  <cols>
    <col min="1" max="1" width="16" customWidth="1"/>
    <col min="2" max="8" width="18" customWidth="1"/>
  </cols>
  <sheetData>
    <row r="1" spans="1:8" ht="28" customHeight="1" x14ac:dyDescent="0.2">
      <c r="A1" s="41" t="s">
        <v>0</v>
      </c>
      <c r="B1" s="39"/>
      <c r="C1" s="39"/>
      <c r="D1" s="39"/>
      <c r="E1" s="39"/>
      <c r="F1" s="39"/>
      <c r="G1" s="39"/>
      <c r="H1" s="39"/>
    </row>
    <row r="2" spans="1:8" ht="34" customHeight="1" x14ac:dyDescent="0.2">
      <c r="A2" s="40" t="s">
        <v>1</v>
      </c>
      <c r="B2" s="39"/>
      <c r="C2" s="39"/>
      <c r="D2" s="39"/>
      <c r="E2" s="39"/>
      <c r="F2" s="39"/>
      <c r="G2" s="39"/>
      <c r="H2" s="39"/>
    </row>
    <row r="4" spans="1:8" ht="23" customHeight="1" x14ac:dyDescent="0.2">
      <c r="A4" s="38" t="s">
        <v>2</v>
      </c>
      <c r="B4" s="39"/>
      <c r="C4" s="39"/>
      <c r="D4" s="39"/>
      <c r="E4" s="39"/>
      <c r="F4" s="39"/>
      <c r="G4" s="39"/>
      <c r="H4" s="39"/>
    </row>
    <row r="5" spans="1:8" x14ac:dyDescent="0.2">
      <c r="A5" s="1" t="s">
        <v>3</v>
      </c>
      <c r="B5" s="43" t="s">
        <v>4</v>
      </c>
      <c r="C5" s="39"/>
      <c r="D5" s="39"/>
      <c r="E5" s="39"/>
      <c r="F5" s="39"/>
      <c r="G5" s="39"/>
      <c r="H5" s="39"/>
    </row>
    <row r="6" spans="1:8" x14ac:dyDescent="0.2">
      <c r="A6" s="3" t="s">
        <v>5</v>
      </c>
      <c r="B6" s="43" t="s">
        <v>6</v>
      </c>
      <c r="C6" s="39"/>
      <c r="D6" s="39"/>
      <c r="E6" s="39"/>
      <c r="F6" s="39"/>
      <c r="G6" s="39"/>
      <c r="H6" s="39"/>
    </row>
    <row r="7" spans="1:8" x14ac:dyDescent="0.2">
      <c r="A7" s="4" t="s">
        <v>7</v>
      </c>
      <c r="B7" s="43" t="s">
        <v>8</v>
      </c>
      <c r="C7" s="39"/>
      <c r="D7" s="39"/>
      <c r="E7" s="39"/>
      <c r="F7" s="39"/>
      <c r="G7" s="39"/>
      <c r="H7" s="39"/>
    </row>
    <row r="8" spans="1:8" x14ac:dyDescent="0.2">
      <c r="A8" s="5" t="s">
        <v>9</v>
      </c>
      <c r="B8" s="43" t="s">
        <v>10</v>
      </c>
      <c r="C8" s="39"/>
      <c r="D8" s="39"/>
      <c r="E8" s="39"/>
      <c r="F8" s="39"/>
      <c r="G8" s="39"/>
      <c r="H8" s="39"/>
    </row>
    <row r="10" spans="1:8" ht="23" customHeight="1" x14ac:dyDescent="0.2">
      <c r="A10" s="38" t="s">
        <v>11</v>
      </c>
      <c r="B10" s="39"/>
      <c r="C10" s="39"/>
      <c r="D10" s="39"/>
      <c r="E10" s="39"/>
      <c r="F10" s="39"/>
      <c r="G10" s="39"/>
      <c r="H10" s="39"/>
    </row>
    <row r="11" spans="1:8" ht="34" customHeight="1" x14ac:dyDescent="0.2">
      <c r="A11" s="44" t="s">
        <v>12</v>
      </c>
      <c r="B11" s="39"/>
      <c r="C11" s="39"/>
      <c r="D11" s="39"/>
      <c r="E11" s="39"/>
      <c r="F11" s="39"/>
      <c r="G11" s="39"/>
      <c r="H11" s="39"/>
    </row>
    <row r="12" spans="1:8" ht="34" customHeight="1" x14ac:dyDescent="0.2">
      <c r="A12" s="44" t="s">
        <v>13</v>
      </c>
      <c r="B12" s="39"/>
      <c r="C12" s="39"/>
      <c r="D12" s="39"/>
      <c r="E12" s="39"/>
      <c r="F12" s="39"/>
      <c r="G12" s="39"/>
      <c r="H12" s="39"/>
    </row>
    <row r="13" spans="1:8" ht="34" customHeight="1" x14ac:dyDescent="0.2">
      <c r="A13" s="44" t="s">
        <v>14</v>
      </c>
      <c r="B13" s="39"/>
      <c r="C13" s="39"/>
      <c r="D13" s="39"/>
      <c r="E13" s="39"/>
      <c r="F13" s="39"/>
      <c r="G13" s="39"/>
      <c r="H13" s="39"/>
    </row>
    <row r="14" spans="1:8" ht="34" customHeight="1" x14ac:dyDescent="0.2">
      <c r="A14" s="44" t="s">
        <v>15</v>
      </c>
      <c r="B14" s="39"/>
      <c r="C14" s="39"/>
      <c r="D14" s="39"/>
      <c r="E14" s="39"/>
      <c r="F14" s="39"/>
      <c r="G14" s="39"/>
      <c r="H14" s="39"/>
    </row>
    <row r="15" spans="1:8" ht="34" customHeight="1" x14ac:dyDescent="0.2">
      <c r="A15" s="44" t="s">
        <v>16</v>
      </c>
      <c r="B15" s="39"/>
      <c r="C15" s="39"/>
      <c r="D15" s="39"/>
      <c r="E15" s="39"/>
      <c r="F15" s="39"/>
      <c r="G15" s="39"/>
      <c r="H15" s="39"/>
    </row>
    <row r="16" spans="1:8" ht="34" customHeight="1" x14ac:dyDescent="0.2">
      <c r="A16" s="44" t="s">
        <v>17</v>
      </c>
      <c r="B16" s="39"/>
      <c r="C16" s="39"/>
      <c r="D16" s="39"/>
      <c r="E16" s="39"/>
      <c r="F16" s="39"/>
      <c r="G16" s="39"/>
      <c r="H16" s="39"/>
    </row>
    <row r="17" spans="1:8" ht="34" customHeight="1" x14ac:dyDescent="0.2">
      <c r="A17" s="44" t="s">
        <v>18</v>
      </c>
      <c r="B17" s="39"/>
      <c r="C17" s="39"/>
      <c r="D17" s="39"/>
      <c r="E17" s="39"/>
      <c r="F17" s="39"/>
      <c r="G17" s="39"/>
      <c r="H17" s="39"/>
    </row>
    <row r="20" spans="1:8" ht="23" customHeight="1" x14ac:dyDescent="0.2">
      <c r="A20" s="38" t="s">
        <v>19</v>
      </c>
      <c r="B20" s="39"/>
      <c r="C20" s="39"/>
      <c r="D20" s="39"/>
      <c r="E20" s="39"/>
      <c r="F20" s="39"/>
      <c r="G20" s="39"/>
      <c r="H20" s="39"/>
    </row>
    <row r="21" spans="1:8" x14ac:dyDescent="0.2">
      <c r="A21" s="42" t="s">
        <v>20</v>
      </c>
      <c r="B21" s="39"/>
      <c r="C21" s="39"/>
      <c r="D21" s="39"/>
      <c r="E21" s="39"/>
      <c r="F21" s="39"/>
      <c r="G21" s="39"/>
      <c r="H21" s="39"/>
    </row>
    <row r="22" spans="1:8" x14ac:dyDescent="0.2">
      <c r="A22" s="39"/>
      <c r="B22" s="39"/>
      <c r="C22" s="39"/>
      <c r="D22" s="39"/>
      <c r="E22" s="39"/>
      <c r="F22" s="39"/>
      <c r="G22" s="39"/>
      <c r="H22" s="39"/>
    </row>
  </sheetData>
  <sheetProtection autoFilter="0"/>
  <mergeCells count="17">
    <mergeCell ref="A20:H20"/>
    <mergeCell ref="A1:H1"/>
    <mergeCell ref="A21:H22"/>
    <mergeCell ref="B5:H5"/>
    <mergeCell ref="A17:H17"/>
    <mergeCell ref="A2:H2"/>
    <mergeCell ref="A16:H16"/>
    <mergeCell ref="A10:H10"/>
    <mergeCell ref="B6:H6"/>
    <mergeCell ref="A13:H13"/>
    <mergeCell ref="A11:H11"/>
    <mergeCell ref="A14:H14"/>
    <mergeCell ref="B7:H7"/>
    <mergeCell ref="A12:H12"/>
    <mergeCell ref="A4:H4"/>
    <mergeCell ref="B8:H8"/>
    <mergeCell ref="A15:H15"/>
  </mergeCells>
  <pageMargins left="0.75" right="0.75" top="1" bottom="1" header="0.5" footer="0.5"/>
  <pageSetup fitToHeight="0" orientation="landscape"/>
  <headerFooter>
    <oddFooter>&amp;CCAUE - RETILAP 2026 | Alumbrado público vial&amp;RPágina &amp;P de &amp;N</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42"/>
  <sheetViews>
    <sheetView showGridLines="0" workbookViewId="0">
      <pane ySplit="4" topLeftCell="A18" activePane="bottomLeft" state="frozen"/>
      <selection activeCell="E25" sqref="E25"/>
      <selection pane="bottomLeft" activeCell="D7" sqref="D7"/>
    </sheetView>
  </sheetViews>
  <sheetFormatPr baseColWidth="10" defaultColWidth="8.83203125" defaultRowHeight="15" x14ac:dyDescent="0.2"/>
  <cols>
    <col min="1" max="1" width="7" customWidth="1"/>
    <col min="2" max="3" width="10" customWidth="1"/>
    <col min="4" max="4" width="35" customWidth="1"/>
    <col min="5" max="5" width="11" customWidth="1"/>
    <col min="6" max="6" width="17" customWidth="1"/>
    <col min="7" max="7" width="15" customWidth="1"/>
    <col min="8" max="8" width="25" customWidth="1"/>
    <col min="9" max="9" width="17" customWidth="1"/>
  </cols>
  <sheetData>
    <row r="1" spans="1:9" ht="28" customHeight="1" x14ac:dyDescent="0.2">
      <c r="A1" s="41" t="s">
        <v>21</v>
      </c>
      <c r="B1" s="39"/>
      <c r="C1" s="39"/>
      <c r="D1" s="39"/>
      <c r="E1" s="39"/>
      <c r="F1" s="39"/>
      <c r="G1" s="39"/>
      <c r="H1" s="39"/>
      <c r="I1" s="39"/>
    </row>
    <row r="2" spans="1:9" ht="34" customHeight="1" x14ac:dyDescent="0.2">
      <c r="A2" s="40" t="s">
        <v>22</v>
      </c>
      <c r="B2" s="39"/>
      <c r="C2" s="39"/>
      <c r="D2" s="39"/>
      <c r="E2" s="39"/>
      <c r="F2" s="39"/>
      <c r="G2" s="39"/>
      <c r="H2" s="39"/>
      <c r="I2" s="39"/>
    </row>
    <row r="4" spans="1:9" ht="23" customHeight="1" x14ac:dyDescent="0.2">
      <c r="A4" s="38" t="s">
        <v>23</v>
      </c>
      <c r="B4" s="39"/>
      <c r="C4" s="39"/>
      <c r="D4" s="39"/>
      <c r="E4" s="39"/>
      <c r="F4" s="39"/>
      <c r="G4" s="39"/>
      <c r="H4" s="39"/>
      <c r="I4" s="39"/>
    </row>
    <row r="5" spans="1:9" ht="28" x14ac:dyDescent="0.2">
      <c r="A5" s="7" t="s">
        <v>24</v>
      </c>
      <c r="B5" s="7" t="s">
        <v>25</v>
      </c>
      <c r="C5" s="7" t="s">
        <v>26</v>
      </c>
      <c r="D5" s="7" t="s">
        <v>27</v>
      </c>
      <c r="E5" s="7" t="s">
        <v>28</v>
      </c>
      <c r="F5" s="8"/>
      <c r="G5" s="8"/>
      <c r="H5" s="8"/>
      <c r="I5" s="8"/>
    </row>
    <row r="6" spans="1:9" ht="96" x14ac:dyDescent="0.2">
      <c r="A6" s="9">
        <v>1</v>
      </c>
      <c r="B6" s="10" t="s">
        <v>29</v>
      </c>
      <c r="C6" s="52"/>
      <c r="D6" s="10" t="s">
        <v>30</v>
      </c>
      <c r="E6" s="10" t="s">
        <v>31</v>
      </c>
    </row>
    <row r="7" spans="1:9" ht="48" x14ac:dyDescent="0.2">
      <c r="A7" s="9">
        <v>2</v>
      </c>
      <c r="B7" s="10" t="s">
        <v>32</v>
      </c>
      <c r="C7" s="12">
        <v>20</v>
      </c>
      <c r="D7" s="10" t="s">
        <v>33</v>
      </c>
      <c r="E7" s="10" t="s">
        <v>34</v>
      </c>
    </row>
    <row r="8" spans="1:9" ht="48" x14ac:dyDescent="0.2">
      <c r="A8" s="9">
        <v>3</v>
      </c>
      <c r="B8" s="10" t="s">
        <v>32</v>
      </c>
      <c r="C8" s="12">
        <v>240</v>
      </c>
      <c r="D8" s="10" t="s">
        <v>35</v>
      </c>
      <c r="E8" s="10" t="s">
        <v>36</v>
      </c>
    </row>
    <row r="9" spans="1:9" ht="80" x14ac:dyDescent="0.2">
      <c r="A9" s="9">
        <v>4</v>
      </c>
      <c r="B9" s="10" t="s">
        <v>37</v>
      </c>
      <c r="C9" s="13">
        <v>0.12089999999999999</v>
      </c>
      <c r="D9" s="10" t="s">
        <v>38</v>
      </c>
      <c r="E9" s="10" t="s">
        <v>39</v>
      </c>
    </row>
    <row r="10" spans="1:9" ht="112" x14ac:dyDescent="0.2">
      <c r="A10" s="9">
        <v>5</v>
      </c>
      <c r="B10" s="10" t="s">
        <v>40</v>
      </c>
      <c r="C10" s="14">
        <f>POWER(1+C9,1/12)-1</f>
        <v>9.5563677461034668E-3</v>
      </c>
      <c r="D10" s="10" t="s">
        <v>38</v>
      </c>
      <c r="E10" s="10" t="s">
        <v>41</v>
      </c>
    </row>
    <row r="11" spans="1:9" ht="64" x14ac:dyDescent="0.2">
      <c r="A11" s="9">
        <v>6</v>
      </c>
      <c r="B11" s="10" t="s">
        <v>42</v>
      </c>
      <c r="C11" s="15">
        <f>IF(C9=0,1/C7,C9*POWER(1+C9,C7)/(POWER(1+C9,C7)-1))</f>
        <v>0.13463471570309096</v>
      </c>
      <c r="D11" s="10" t="s">
        <v>43</v>
      </c>
      <c r="E11" s="10" t="s">
        <v>44</v>
      </c>
    </row>
    <row r="12" spans="1:9" ht="64" x14ac:dyDescent="0.2">
      <c r="A12" s="9">
        <v>7</v>
      </c>
      <c r="B12" s="10" t="s">
        <v>45</v>
      </c>
      <c r="C12" s="16">
        <v>0</v>
      </c>
      <c r="D12" s="10" t="s">
        <v>46</v>
      </c>
      <c r="E12" s="10" t="s">
        <v>47</v>
      </c>
    </row>
    <row r="13" spans="1:9" ht="80" x14ac:dyDescent="0.2">
      <c r="A13" s="9">
        <v>8</v>
      </c>
      <c r="B13" s="10" t="s">
        <v>48</v>
      </c>
      <c r="C13" s="17">
        <v>967</v>
      </c>
      <c r="D13" s="10" t="s">
        <v>49</v>
      </c>
      <c r="E13" s="10" t="s">
        <v>50</v>
      </c>
    </row>
    <row r="14" spans="1:9" ht="48" x14ac:dyDescent="0.2">
      <c r="A14" s="9">
        <v>9</v>
      </c>
      <c r="B14" s="10" t="s">
        <v>51</v>
      </c>
      <c r="C14" s="12">
        <v>365</v>
      </c>
      <c r="D14" s="10" t="s">
        <v>52</v>
      </c>
      <c r="E14" s="10" t="s">
        <v>53</v>
      </c>
    </row>
    <row r="15" spans="1:9" ht="144" x14ac:dyDescent="0.2">
      <c r="A15" s="9">
        <v>10</v>
      </c>
      <c r="B15" s="10" t="s">
        <v>54</v>
      </c>
      <c r="C15" s="13">
        <v>0</v>
      </c>
      <c r="D15" s="10" t="s">
        <v>38</v>
      </c>
      <c r="E15" s="10" t="s">
        <v>55</v>
      </c>
    </row>
    <row r="16" spans="1:9" ht="144" x14ac:dyDescent="0.2">
      <c r="A16" s="9">
        <v>11</v>
      </c>
      <c r="B16" s="10" t="s">
        <v>56</v>
      </c>
      <c r="C16" s="18" t="s">
        <v>281</v>
      </c>
      <c r="D16" s="10" t="s">
        <v>57</v>
      </c>
      <c r="E16" s="10" t="s">
        <v>58</v>
      </c>
    </row>
    <row r="17" spans="1:9" ht="48" x14ac:dyDescent="0.2">
      <c r="A17" s="9">
        <v>12</v>
      </c>
      <c r="B17" s="10" t="s">
        <v>59</v>
      </c>
      <c r="C17" s="15">
        <f>IF(C16="ALTO",1,IF(C16="MEDIO",2,IF(C16="BAJO",3,"")))</f>
        <v>2</v>
      </c>
      <c r="D17" s="10" t="s">
        <v>33</v>
      </c>
      <c r="E17" s="10" t="s">
        <v>60</v>
      </c>
    </row>
    <row r="18" spans="1:9" ht="192" x14ac:dyDescent="0.2">
      <c r="A18" s="9">
        <v>13</v>
      </c>
      <c r="B18" s="10" t="s">
        <v>61</v>
      </c>
      <c r="C18" s="17">
        <v>100000</v>
      </c>
      <c r="D18" s="10" t="s">
        <v>62</v>
      </c>
      <c r="E18" s="10" t="s">
        <v>63</v>
      </c>
    </row>
    <row r="19" spans="1:9" ht="144" x14ac:dyDescent="0.2">
      <c r="A19" s="9">
        <v>14</v>
      </c>
      <c r="B19" s="10" t="s">
        <v>64</v>
      </c>
      <c r="C19" s="17">
        <v>80000</v>
      </c>
      <c r="D19" s="10" t="s">
        <v>62</v>
      </c>
      <c r="E19" s="10" t="s">
        <v>65</v>
      </c>
    </row>
    <row r="20" spans="1:9" ht="176" x14ac:dyDescent="0.2">
      <c r="A20" s="9">
        <v>15</v>
      </c>
      <c r="B20" s="10" t="s">
        <v>66</v>
      </c>
      <c r="C20" s="17">
        <v>80000</v>
      </c>
      <c r="D20" s="10" t="s">
        <v>62</v>
      </c>
      <c r="E20" s="10" t="s">
        <v>67</v>
      </c>
    </row>
    <row r="21" spans="1:9" ht="80" x14ac:dyDescent="0.2">
      <c r="A21" s="9">
        <v>16</v>
      </c>
      <c r="B21" s="10" t="s">
        <v>68</v>
      </c>
      <c r="C21" s="11">
        <v>1</v>
      </c>
      <c r="D21" s="10" t="s">
        <v>69</v>
      </c>
      <c r="E21" s="10" t="s">
        <v>70</v>
      </c>
    </row>
    <row r="24" spans="1:9" ht="23" customHeight="1" x14ac:dyDescent="0.2">
      <c r="A24" s="38" t="s">
        <v>71</v>
      </c>
      <c r="B24" s="39"/>
      <c r="C24" s="39"/>
      <c r="D24" s="39"/>
      <c r="E24" s="39"/>
      <c r="F24" s="39"/>
      <c r="G24" s="39"/>
      <c r="H24" s="39"/>
      <c r="I24" s="39"/>
    </row>
    <row r="25" spans="1:9" ht="42" x14ac:dyDescent="0.2">
      <c r="A25" s="8" t="s">
        <v>72</v>
      </c>
      <c r="B25" s="8" t="s">
        <v>73</v>
      </c>
      <c r="C25" s="8" t="s">
        <v>74</v>
      </c>
      <c r="D25" s="8" t="s">
        <v>75</v>
      </c>
      <c r="E25" s="8" t="s">
        <v>76</v>
      </c>
      <c r="F25" s="8"/>
      <c r="G25" s="8"/>
      <c r="H25" s="8"/>
      <c r="I25" s="8"/>
    </row>
    <row r="26" spans="1:9" ht="192" x14ac:dyDescent="0.2">
      <c r="A26" s="19" t="s">
        <v>77</v>
      </c>
      <c r="B26" s="20" t="str">
        <f>IF($C$21&gt;=1,"SI","NO")</f>
        <v>SI</v>
      </c>
      <c r="C26" s="21">
        <v>1</v>
      </c>
      <c r="D26" s="51">
        <v>12</v>
      </c>
      <c r="E26" s="2" t="s">
        <v>78</v>
      </c>
    </row>
    <row r="27" spans="1:9" ht="192" x14ac:dyDescent="0.2">
      <c r="A27" s="19" t="s">
        <v>79</v>
      </c>
      <c r="B27" s="20" t="str">
        <f>IF($C$21&gt;=2,"SI","NO")</f>
        <v>NO</v>
      </c>
      <c r="C27" s="23"/>
      <c r="D27" s="22"/>
      <c r="E27" s="2" t="s">
        <v>78</v>
      </c>
    </row>
    <row r="28" spans="1:9" ht="192" x14ac:dyDescent="0.2">
      <c r="A28" s="19" t="s">
        <v>80</v>
      </c>
      <c r="B28" s="20" t="str">
        <f>IF($C$21&gt;=3,"SI","NO")</f>
        <v>NO</v>
      </c>
      <c r="C28" s="23"/>
      <c r="D28" s="22"/>
      <c r="E28" s="2" t="s">
        <v>78</v>
      </c>
    </row>
    <row r="30" spans="1:9" x14ac:dyDescent="0.2">
      <c r="B30" s="24" t="s">
        <v>81</v>
      </c>
      <c r="C30" s="25">
        <f>D26+IF(B27="SI",D27,0)+IF(B28="SI",D28,0)</f>
        <v>12</v>
      </c>
      <c r="D30" s="19" t="s">
        <v>82</v>
      </c>
    </row>
    <row r="33" spans="1:9" ht="23" customHeight="1" x14ac:dyDescent="0.2">
      <c r="A33" s="38" t="s">
        <v>83</v>
      </c>
      <c r="B33" s="39"/>
      <c r="C33" s="39"/>
      <c r="D33" s="39"/>
      <c r="E33" s="39"/>
      <c r="F33" s="39"/>
      <c r="G33" s="39"/>
      <c r="H33" s="39"/>
      <c r="I33" s="39"/>
    </row>
    <row r="34" spans="1:9" x14ac:dyDescent="0.2">
      <c r="A34" s="7" t="s">
        <v>24</v>
      </c>
      <c r="B34" s="7" t="s">
        <v>84</v>
      </c>
      <c r="C34" s="7" t="s">
        <v>85</v>
      </c>
      <c r="D34" s="7" t="s">
        <v>86</v>
      </c>
      <c r="E34" s="7" t="s">
        <v>87</v>
      </c>
      <c r="F34" s="7" t="s">
        <v>88</v>
      </c>
      <c r="G34" s="7" t="s">
        <v>89</v>
      </c>
      <c r="H34" s="7" t="s">
        <v>90</v>
      </c>
      <c r="I34" s="7" t="s">
        <v>91</v>
      </c>
    </row>
    <row r="35" spans="1:9" x14ac:dyDescent="0.2">
      <c r="A35" s="9">
        <v>1</v>
      </c>
      <c r="B35" s="15" t="str">
        <f t="shared" ref="B35:B42" si="0">IF(A35&lt;=$C$6,"SI","NO")</f>
        <v>NO</v>
      </c>
      <c r="C35" s="15" t="str">
        <f>IF(B35="SI","P01","")</f>
        <v/>
      </c>
      <c r="D35" s="49"/>
      <c r="E35" s="49" t="s">
        <v>282</v>
      </c>
      <c r="F35" s="50"/>
      <c r="G35" s="14">
        <f t="shared" ref="G35:G42" si="1">IF(E35="","",IF(OR(E35="M1",E35="M2",E35="M3"),0.86,IF(E35="M4",0.87,IF(OR(E35="M5",E35="M6"),0.88,""))))</f>
        <v>0.86</v>
      </c>
      <c r="H35" s="15" t="str">
        <f>IF(E35="","",IF(OR(E35="M1",E35="M2",E35="M3"),"ALTO",IF(E35="M4","MEDIO",IF(OR(E35="M5",E35="M6"),"BAJO",""))))</f>
        <v>ALTO</v>
      </c>
      <c r="I35" s="15" t="str">
        <f t="shared" ref="I35:I42" si="2">IF(B35="NO","",IF(OR(D35="",E35="",F35=""),"PENDIENTE","OK"))</f>
        <v/>
      </c>
    </row>
    <row r="36" spans="1:9" x14ac:dyDescent="0.2">
      <c r="A36" s="9">
        <v>2</v>
      </c>
      <c r="B36" s="15" t="str">
        <f t="shared" si="0"/>
        <v>NO</v>
      </c>
      <c r="C36" s="15" t="str">
        <f>IF(B36="SI","P02","")</f>
        <v/>
      </c>
      <c r="D36" s="49"/>
      <c r="E36" s="49"/>
      <c r="F36" s="50"/>
      <c r="G36" s="14" t="str">
        <f t="shared" si="1"/>
        <v/>
      </c>
      <c r="H36" s="15" t="str">
        <f t="shared" ref="H36:H42" si="3">IF(E36="","",IF(OR(E36="M1",E36="M2",E36="M3"),"ALTO",IF(E36="M4","MEDIO",IF(OR(E36="M5",E36="M6"),"BAJO",""))))</f>
        <v/>
      </c>
      <c r="I36" s="15" t="str">
        <f t="shared" si="2"/>
        <v/>
      </c>
    </row>
    <row r="37" spans="1:9" x14ac:dyDescent="0.2">
      <c r="A37" s="9">
        <v>3</v>
      </c>
      <c r="B37" s="15" t="str">
        <f t="shared" si="0"/>
        <v>NO</v>
      </c>
      <c r="C37" s="15" t="str">
        <f>IF(B37="SI","P03","")</f>
        <v/>
      </c>
      <c r="D37" s="49"/>
      <c r="E37" s="49"/>
      <c r="F37" s="50"/>
      <c r="G37" s="14" t="str">
        <f t="shared" si="1"/>
        <v/>
      </c>
      <c r="H37" s="15" t="str">
        <f t="shared" si="3"/>
        <v/>
      </c>
      <c r="I37" s="15" t="str">
        <f t="shared" si="2"/>
        <v/>
      </c>
    </row>
    <row r="38" spans="1:9" x14ac:dyDescent="0.2">
      <c r="A38" s="9">
        <v>4</v>
      </c>
      <c r="B38" s="15" t="str">
        <f t="shared" si="0"/>
        <v>NO</v>
      </c>
      <c r="C38" s="15" t="str">
        <f>IF(B38="SI","P04","")</f>
        <v/>
      </c>
      <c r="D38" s="49"/>
      <c r="E38" s="49"/>
      <c r="F38" s="50"/>
      <c r="G38" s="14" t="str">
        <f t="shared" si="1"/>
        <v/>
      </c>
      <c r="H38" s="15" t="str">
        <f t="shared" si="3"/>
        <v/>
      </c>
      <c r="I38" s="15" t="str">
        <f t="shared" si="2"/>
        <v/>
      </c>
    </row>
    <row r="39" spans="1:9" x14ac:dyDescent="0.2">
      <c r="A39" s="9">
        <v>5</v>
      </c>
      <c r="B39" s="15" t="str">
        <f t="shared" si="0"/>
        <v>NO</v>
      </c>
      <c r="C39" s="15" t="str">
        <f>IF(B39="SI","P05","")</f>
        <v/>
      </c>
      <c r="D39" s="49"/>
      <c r="E39" s="49"/>
      <c r="F39" s="50"/>
      <c r="G39" s="14" t="str">
        <f t="shared" si="1"/>
        <v/>
      </c>
      <c r="H39" s="15" t="str">
        <f t="shared" si="3"/>
        <v/>
      </c>
      <c r="I39" s="15" t="str">
        <f t="shared" si="2"/>
        <v/>
      </c>
    </row>
    <row r="40" spans="1:9" x14ac:dyDescent="0.2">
      <c r="A40" s="9">
        <v>6</v>
      </c>
      <c r="B40" s="15" t="str">
        <f t="shared" si="0"/>
        <v>NO</v>
      </c>
      <c r="C40" s="15" t="str">
        <f>IF(B40="SI","P06","")</f>
        <v/>
      </c>
      <c r="D40" s="49"/>
      <c r="E40" s="49"/>
      <c r="F40" s="50"/>
      <c r="G40" s="14" t="str">
        <f t="shared" si="1"/>
        <v/>
      </c>
      <c r="H40" s="15" t="str">
        <f t="shared" si="3"/>
        <v/>
      </c>
      <c r="I40" s="15" t="str">
        <f t="shared" si="2"/>
        <v/>
      </c>
    </row>
    <row r="41" spans="1:9" x14ac:dyDescent="0.2">
      <c r="A41" s="9">
        <v>7</v>
      </c>
      <c r="B41" s="15" t="str">
        <f t="shared" si="0"/>
        <v>NO</v>
      </c>
      <c r="C41" s="15" t="str">
        <f>IF(B41="SI","P07","")</f>
        <v/>
      </c>
      <c r="D41" s="49"/>
      <c r="E41" s="49"/>
      <c r="F41" s="50"/>
      <c r="G41" s="14" t="str">
        <f t="shared" si="1"/>
        <v/>
      </c>
      <c r="H41" s="15" t="str">
        <f t="shared" si="3"/>
        <v/>
      </c>
      <c r="I41" s="15" t="str">
        <f t="shared" si="2"/>
        <v/>
      </c>
    </row>
    <row r="42" spans="1:9" x14ac:dyDescent="0.2">
      <c r="A42" s="9">
        <v>8</v>
      </c>
      <c r="B42" s="15" t="str">
        <f t="shared" si="0"/>
        <v>NO</v>
      </c>
      <c r="C42" s="15" t="str">
        <f>IF(B42="SI","P08","")</f>
        <v/>
      </c>
      <c r="D42" s="49"/>
      <c r="E42" s="49"/>
      <c r="F42" s="50"/>
      <c r="G42" s="14" t="str">
        <f t="shared" si="1"/>
        <v/>
      </c>
      <c r="H42" s="15" t="str">
        <f t="shared" si="3"/>
        <v/>
      </c>
      <c r="I42" s="15" t="str">
        <f t="shared" si="2"/>
        <v/>
      </c>
    </row>
  </sheetData>
  <sheetProtection autoFilter="0"/>
  <mergeCells count="5">
    <mergeCell ref="A33:I33"/>
    <mergeCell ref="A2:I2"/>
    <mergeCell ref="A1:I1"/>
    <mergeCell ref="A4:I4"/>
    <mergeCell ref="A24:I24"/>
  </mergeCells>
  <conditionalFormatting sqref="A35:I42">
    <cfRule type="expression" dxfId="6" priority="1">
      <formula>$B35="NO"</formula>
    </cfRule>
  </conditionalFormatting>
  <dataValidations count="6">
    <dataValidation type="whole" sqref="C6" xr:uid="{00000000-0002-0000-0100-000000000000}">
      <formula1>1</formula1>
      <formula2>8</formula2>
    </dataValidation>
    <dataValidation type="list" sqref="C16" xr:uid="{00000000-0002-0000-0100-000001000000}">
      <formula1>"BAJO,MEDIO,ALTO"</formula1>
    </dataValidation>
    <dataValidation type="whole" sqref="C21" xr:uid="{00000000-0002-0000-0100-000002000000}">
      <formula1>1</formula1>
      <formula2>3</formula2>
    </dataValidation>
    <dataValidation type="decimal" allowBlank="1" sqref="D26:D28" xr:uid="{00000000-0002-0000-0100-000003000000}">
      <formula1>0</formula1>
      <formula2>24</formula2>
    </dataValidation>
    <dataValidation type="decimal" allowBlank="1" sqref="C27:C28" xr:uid="{00000000-0002-0000-0100-000004000000}">
      <formula1>0</formula1>
      <formula2>1</formula2>
    </dataValidation>
    <dataValidation type="list" allowBlank="1" sqref="E35 E36 E37 E38 E39 E40 E41 E42" xr:uid="{00000000-0002-0000-0100-000005000000}">
      <formula1>"M1,M2,M3,M4,M5,M6"</formula1>
    </dataValidation>
  </dataValidations>
  <pageMargins left="0.75" right="0.75" top="1" bottom="1" header="0.5" footer="0.5"/>
  <pageSetup fitToHeight="0" orientation="landscape"/>
  <headerFooter>
    <oddFooter>&amp;CCAUE - RETILAP 2026 | Alumbrado público vial&amp;RPágina &amp;P de &amp;N</oddFooter>
  </headerFooter>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P21"/>
  <sheetViews>
    <sheetView showGridLines="0" workbookViewId="0">
      <pane ySplit="6" topLeftCell="A7" activePane="bottomLeft" state="frozen"/>
      <selection activeCell="E25" sqref="E25"/>
      <selection pane="bottomLeft" activeCell="A20" sqref="A20:P20"/>
    </sheetView>
  </sheetViews>
  <sheetFormatPr baseColWidth="10" defaultColWidth="8.83203125" defaultRowHeight="15" x14ac:dyDescent="0.2"/>
  <cols>
    <col min="1" max="1" width="11" customWidth="1"/>
    <col min="2" max="2" width="27" customWidth="1"/>
    <col min="3" max="3" width="10" customWidth="1"/>
    <col min="4" max="4" width="12" customWidth="1"/>
    <col min="5" max="5" width="18" customWidth="1"/>
    <col min="6" max="6" width="20" customWidth="1"/>
    <col min="7" max="7" width="16" customWidth="1"/>
    <col min="8" max="8" width="22" customWidth="1"/>
    <col min="9" max="9" width="20" customWidth="1"/>
    <col min="10" max="10" width="24" customWidth="1"/>
    <col min="11" max="11" width="23" customWidth="1"/>
    <col min="12" max="12" width="16" customWidth="1"/>
    <col min="13" max="13" width="18" customWidth="1"/>
    <col min="14" max="14" width="20" customWidth="1"/>
    <col min="15" max="15" width="21" customWidth="1"/>
    <col min="16" max="16" width="20" customWidth="1"/>
  </cols>
  <sheetData>
    <row r="1" spans="1:16" ht="28" customHeight="1" x14ac:dyDescent="0.2">
      <c r="A1" s="41" t="s">
        <v>92</v>
      </c>
      <c r="B1" s="39"/>
      <c r="C1" s="39"/>
      <c r="D1" s="39"/>
      <c r="E1" s="39"/>
      <c r="F1" s="39"/>
      <c r="G1" s="39"/>
      <c r="H1" s="39"/>
      <c r="I1" s="39"/>
      <c r="J1" s="39"/>
      <c r="K1" s="39"/>
      <c r="L1" s="39"/>
      <c r="M1" s="39"/>
      <c r="N1" s="39"/>
      <c r="O1" s="39"/>
      <c r="P1" s="39"/>
    </row>
    <row r="2" spans="1:16" ht="34" customHeight="1" x14ac:dyDescent="0.2">
      <c r="A2" s="40" t="s">
        <v>93</v>
      </c>
      <c r="B2" s="39"/>
      <c r="C2" s="39"/>
      <c r="D2" s="39"/>
      <c r="E2" s="39"/>
      <c r="F2" s="39"/>
      <c r="G2" s="39"/>
      <c r="H2" s="39"/>
      <c r="I2" s="39"/>
      <c r="J2" s="39"/>
      <c r="K2" s="39"/>
      <c r="L2" s="39"/>
      <c r="M2" s="39"/>
      <c r="N2" s="39"/>
      <c r="O2" s="39"/>
      <c r="P2" s="39"/>
    </row>
    <row r="4" spans="1:16" x14ac:dyDescent="0.2">
      <c r="A4" s="19" t="s">
        <v>94</v>
      </c>
      <c r="B4" s="45"/>
      <c r="C4" s="46"/>
      <c r="D4" s="19" t="s">
        <v>95</v>
      </c>
      <c r="E4" s="45"/>
      <c r="F4" s="46"/>
      <c r="G4" s="19" t="s">
        <v>96</v>
      </c>
      <c r="H4" s="27">
        <f>'01_Entidad'!C6</f>
        <v>0</v>
      </c>
      <c r="I4" s="47" t="s">
        <v>283</v>
      </c>
      <c r="J4" s="39"/>
      <c r="K4" s="39"/>
      <c r="L4" s="39"/>
      <c r="M4" s="39"/>
      <c r="N4" s="39"/>
      <c r="O4" s="39"/>
      <c r="P4" s="39"/>
    </row>
    <row r="6" spans="1:16" ht="64" customHeight="1" x14ac:dyDescent="0.2">
      <c r="A6" s="8" t="s">
        <v>97</v>
      </c>
      <c r="B6" s="8" t="s">
        <v>98</v>
      </c>
      <c r="C6" s="8" t="s">
        <v>99</v>
      </c>
      <c r="D6" s="8" t="s">
        <v>100</v>
      </c>
      <c r="E6" s="8" t="s">
        <v>101</v>
      </c>
      <c r="F6" s="8" t="s">
        <v>102</v>
      </c>
      <c r="G6" s="8" t="s">
        <v>103</v>
      </c>
      <c r="H6" s="8" t="s">
        <v>104</v>
      </c>
      <c r="I6" s="8" t="s">
        <v>105</v>
      </c>
      <c r="J6" s="8" t="s">
        <v>106</v>
      </c>
      <c r="K6" s="8" t="s">
        <v>107</v>
      </c>
      <c r="L6" s="8" t="s">
        <v>108</v>
      </c>
      <c r="M6" s="8" t="s">
        <v>109</v>
      </c>
      <c r="N6" s="8" t="s">
        <v>110</v>
      </c>
      <c r="O6" s="8" t="s">
        <v>111</v>
      </c>
      <c r="P6" s="8" t="s">
        <v>91</v>
      </c>
    </row>
    <row r="7" spans="1:16" x14ac:dyDescent="0.2">
      <c r="A7" s="20" t="str">
        <f>'01_Entidad'!C35</f>
        <v/>
      </c>
      <c r="B7" s="20"/>
      <c r="C7" s="20" t="str">
        <f>'01_Entidad'!E35</f>
        <v>M1</v>
      </c>
      <c r="D7" s="27">
        <f>'01_Entidad'!F35</f>
        <v>0</v>
      </c>
      <c r="E7" s="26"/>
      <c r="F7" s="26"/>
      <c r="G7" s="28"/>
      <c r="H7" s="28"/>
      <c r="I7" s="28"/>
      <c r="J7" s="29"/>
      <c r="K7" s="29"/>
      <c r="L7" s="29"/>
      <c r="M7" s="29"/>
      <c r="N7" s="29"/>
      <c r="O7" s="29"/>
      <c r="P7" s="20" t="str">
        <f t="shared" ref="P7:P14" si="0">IF(A7="","",IF(OR(E7="",F7="",G7="",I7="",J7="",K7="",L7="",M7="",N7="",O7=""),"PENDIENTE",IF(I7&lt;100000,"NO CUMPLE VIDA LED",IF(OR(N7&lt;=0,O7&lt;=0),"REVISAR COSTO RECAMBIO","OK"))))</f>
        <v/>
      </c>
    </row>
    <row r="8" spans="1:16" x14ac:dyDescent="0.2">
      <c r="A8" s="20" t="str">
        <f>'01_Entidad'!C36</f>
        <v/>
      </c>
      <c r="B8" s="20">
        <f>'01_Entidad'!D36</f>
        <v>0</v>
      </c>
      <c r="C8" s="20">
        <f>'01_Entidad'!E36</f>
        <v>0</v>
      </c>
      <c r="D8" s="27">
        <f>'01_Entidad'!F36</f>
        <v>0</v>
      </c>
      <c r="E8" s="26"/>
      <c r="F8" s="26"/>
      <c r="G8" s="28"/>
      <c r="H8" s="28"/>
      <c r="I8" s="28"/>
      <c r="J8" s="29"/>
      <c r="K8" s="29"/>
      <c r="L8" s="29"/>
      <c r="M8" s="29"/>
      <c r="N8" s="29"/>
      <c r="O8" s="29"/>
      <c r="P8" s="20" t="str">
        <f t="shared" si="0"/>
        <v/>
      </c>
    </row>
    <row r="9" spans="1:16" x14ac:dyDescent="0.2">
      <c r="A9" s="20" t="str">
        <f>'01_Entidad'!C37</f>
        <v/>
      </c>
      <c r="B9" s="20">
        <f>'01_Entidad'!D37</f>
        <v>0</v>
      </c>
      <c r="C9" s="20">
        <f>'01_Entidad'!E37</f>
        <v>0</v>
      </c>
      <c r="D9" s="27">
        <f>'01_Entidad'!F37</f>
        <v>0</v>
      </c>
      <c r="E9" s="26"/>
      <c r="F9" s="26"/>
      <c r="G9" s="28"/>
      <c r="H9" s="28"/>
      <c r="I9" s="28"/>
      <c r="J9" s="29"/>
      <c r="K9" s="29"/>
      <c r="L9" s="29"/>
      <c r="M9" s="29"/>
      <c r="N9" s="29"/>
      <c r="O9" s="29"/>
      <c r="P9" s="20" t="str">
        <f t="shared" si="0"/>
        <v/>
      </c>
    </row>
    <row r="10" spans="1:16" x14ac:dyDescent="0.2">
      <c r="A10" s="20" t="str">
        <f>'01_Entidad'!C38</f>
        <v/>
      </c>
      <c r="B10" s="20">
        <f>'01_Entidad'!D38</f>
        <v>0</v>
      </c>
      <c r="C10" s="20">
        <f>'01_Entidad'!E38</f>
        <v>0</v>
      </c>
      <c r="D10" s="27">
        <f>'01_Entidad'!F38</f>
        <v>0</v>
      </c>
      <c r="E10" s="26"/>
      <c r="F10" s="26"/>
      <c r="G10" s="28"/>
      <c r="H10" s="28"/>
      <c r="I10" s="28"/>
      <c r="J10" s="29"/>
      <c r="K10" s="29"/>
      <c r="L10" s="29"/>
      <c r="M10" s="29"/>
      <c r="N10" s="29"/>
      <c r="O10" s="29"/>
      <c r="P10" s="20" t="str">
        <f t="shared" si="0"/>
        <v/>
      </c>
    </row>
    <row r="11" spans="1:16" x14ac:dyDescent="0.2">
      <c r="A11" s="20" t="str">
        <f>'01_Entidad'!C39</f>
        <v/>
      </c>
      <c r="B11" s="20">
        <f>'01_Entidad'!D39</f>
        <v>0</v>
      </c>
      <c r="C11" s="20">
        <f>'01_Entidad'!E39</f>
        <v>0</v>
      </c>
      <c r="D11" s="27">
        <f>'01_Entidad'!F39</f>
        <v>0</v>
      </c>
      <c r="E11" s="26"/>
      <c r="F11" s="26"/>
      <c r="G11" s="28"/>
      <c r="H11" s="28"/>
      <c r="I11" s="28"/>
      <c r="J11" s="29"/>
      <c r="K11" s="29"/>
      <c r="L11" s="29"/>
      <c r="M11" s="29"/>
      <c r="N11" s="29"/>
      <c r="O11" s="29"/>
      <c r="P11" s="20" t="str">
        <f t="shared" si="0"/>
        <v/>
      </c>
    </row>
    <row r="12" spans="1:16" x14ac:dyDescent="0.2">
      <c r="A12" s="20" t="str">
        <f>'01_Entidad'!C40</f>
        <v/>
      </c>
      <c r="B12" s="20">
        <f>'01_Entidad'!D40</f>
        <v>0</v>
      </c>
      <c r="C12" s="20">
        <f>'01_Entidad'!E40</f>
        <v>0</v>
      </c>
      <c r="D12" s="27">
        <f>'01_Entidad'!F40</f>
        <v>0</v>
      </c>
      <c r="E12" s="26"/>
      <c r="F12" s="26"/>
      <c r="G12" s="28"/>
      <c r="H12" s="28"/>
      <c r="I12" s="28"/>
      <c r="J12" s="29"/>
      <c r="K12" s="29"/>
      <c r="L12" s="29"/>
      <c r="M12" s="29"/>
      <c r="N12" s="29"/>
      <c r="O12" s="29"/>
      <c r="P12" s="20" t="str">
        <f t="shared" si="0"/>
        <v/>
      </c>
    </row>
    <row r="13" spans="1:16" x14ac:dyDescent="0.2">
      <c r="A13" s="20" t="str">
        <f>'01_Entidad'!C41</f>
        <v/>
      </c>
      <c r="B13" s="20">
        <f>'01_Entidad'!D41</f>
        <v>0</v>
      </c>
      <c r="C13" s="20">
        <f>'01_Entidad'!E41</f>
        <v>0</v>
      </c>
      <c r="D13" s="27">
        <f>'01_Entidad'!F41</f>
        <v>0</v>
      </c>
      <c r="E13" s="26"/>
      <c r="F13" s="26"/>
      <c r="G13" s="28"/>
      <c r="H13" s="28"/>
      <c r="I13" s="28"/>
      <c r="J13" s="29"/>
      <c r="K13" s="29"/>
      <c r="L13" s="29"/>
      <c r="M13" s="29"/>
      <c r="N13" s="29"/>
      <c r="O13" s="29"/>
      <c r="P13" s="20" t="str">
        <f t="shared" si="0"/>
        <v/>
      </c>
    </row>
    <row r="14" spans="1:16" x14ac:dyDescent="0.2">
      <c r="A14" s="20" t="str">
        <f>'01_Entidad'!C42</f>
        <v/>
      </c>
      <c r="B14" s="20">
        <f>'01_Entidad'!D42</f>
        <v>0</v>
      </c>
      <c r="C14" s="20">
        <f>'01_Entidad'!E42</f>
        <v>0</v>
      </c>
      <c r="D14" s="27">
        <f>'01_Entidad'!F42</f>
        <v>0</v>
      </c>
      <c r="E14" s="26"/>
      <c r="F14" s="26"/>
      <c r="G14" s="28"/>
      <c r="H14" s="28"/>
      <c r="I14" s="28"/>
      <c r="J14" s="29"/>
      <c r="K14" s="29"/>
      <c r="L14" s="29"/>
      <c r="M14" s="29"/>
      <c r="N14" s="29"/>
      <c r="O14" s="29"/>
      <c r="P14" s="20" t="str">
        <f t="shared" si="0"/>
        <v/>
      </c>
    </row>
    <row r="17" spans="1:16" ht="23" customHeight="1" x14ac:dyDescent="0.2">
      <c r="A17" s="38" t="s">
        <v>112</v>
      </c>
      <c r="B17" s="39"/>
      <c r="C17" s="39"/>
      <c r="D17" s="39"/>
      <c r="E17" s="39"/>
      <c r="F17" s="39"/>
      <c r="G17" s="39"/>
      <c r="H17" s="39"/>
      <c r="I17" s="39"/>
      <c r="J17" s="39"/>
      <c r="K17" s="39"/>
      <c r="L17" s="39"/>
      <c r="M17" s="39"/>
      <c r="N17" s="39"/>
      <c r="O17" s="39"/>
      <c r="P17" s="39"/>
    </row>
    <row r="18" spans="1:16" ht="26" customHeight="1" x14ac:dyDescent="0.2">
      <c r="A18" s="43" t="s">
        <v>113</v>
      </c>
      <c r="B18" s="39"/>
      <c r="C18" s="39"/>
      <c r="D18" s="39"/>
      <c r="E18" s="39"/>
      <c r="F18" s="39"/>
      <c r="G18" s="39"/>
      <c r="H18" s="39"/>
      <c r="I18" s="39"/>
      <c r="J18" s="39"/>
      <c r="K18" s="39"/>
      <c r="L18" s="39"/>
      <c r="M18" s="39"/>
      <c r="N18" s="39"/>
      <c r="O18" s="39"/>
      <c r="P18" s="39"/>
    </row>
    <row r="19" spans="1:16" ht="26" customHeight="1" x14ac:dyDescent="0.2">
      <c r="A19" s="43" t="s">
        <v>114</v>
      </c>
      <c r="B19" s="39"/>
      <c r="C19" s="39"/>
      <c r="D19" s="39"/>
      <c r="E19" s="39"/>
      <c r="F19" s="39"/>
      <c r="G19" s="39"/>
      <c r="H19" s="39"/>
      <c r="I19" s="39"/>
      <c r="J19" s="39"/>
      <c r="K19" s="39"/>
      <c r="L19" s="39"/>
      <c r="M19" s="39"/>
      <c r="N19" s="39"/>
      <c r="O19" s="39"/>
      <c r="P19" s="39"/>
    </row>
    <row r="20" spans="1:16" ht="26" customHeight="1" x14ac:dyDescent="0.2">
      <c r="A20" s="43" t="s">
        <v>115</v>
      </c>
      <c r="B20" s="39"/>
      <c r="C20" s="39"/>
      <c r="D20" s="39"/>
      <c r="E20" s="39"/>
      <c r="F20" s="39"/>
      <c r="G20" s="39"/>
      <c r="H20" s="39"/>
      <c r="I20" s="39"/>
      <c r="J20" s="39"/>
      <c r="K20" s="39"/>
      <c r="L20" s="39"/>
      <c r="M20" s="39"/>
      <c r="N20" s="39"/>
      <c r="O20" s="39"/>
      <c r="P20" s="39"/>
    </row>
    <row r="21" spans="1:16" ht="26" customHeight="1" x14ac:dyDescent="0.2">
      <c r="A21" s="43" t="s">
        <v>116</v>
      </c>
      <c r="B21" s="39"/>
      <c r="C21" s="39"/>
      <c r="D21" s="39"/>
      <c r="E21" s="39"/>
      <c r="F21" s="39"/>
      <c r="G21" s="39"/>
      <c r="H21" s="39"/>
      <c r="I21" s="39"/>
      <c r="J21" s="39"/>
      <c r="K21" s="39"/>
      <c r="L21" s="39"/>
      <c r="M21" s="39"/>
      <c r="N21" s="39"/>
      <c r="O21" s="39"/>
      <c r="P21" s="39"/>
    </row>
  </sheetData>
  <sheetProtection autoFilter="0"/>
  <mergeCells count="10">
    <mergeCell ref="A1:P1"/>
    <mergeCell ref="A17:P17"/>
    <mergeCell ref="A18:P18"/>
    <mergeCell ref="A20:P20"/>
    <mergeCell ref="A21:P21"/>
    <mergeCell ref="B4:C4"/>
    <mergeCell ref="A2:P2"/>
    <mergeCell ref="E4:F4"/>
    <mergeCell ref="I4:P4"/>
    <mergeCell ref="A19:P19"/>
  </mergeCells>
  <conditionalFormatting sqref="P7:P14">
    <cfRule type="expression" dxfId="4" priority="2">
      <formula>P7="OK"</formula>
    </cfRule>
    <cfRule type="expression" dxfId="3" priority="3">
      <formula>AND(P7&lt;&gt;"",P7&lt;&gt;"OK")</formula>
    </cfRule>
  </conditionalFormatting>
  <dataValidations count="1">
    <dataValidation type="decimal" operator="greaterThanOrEqual" allowBlank="1" sqref="G7:O14" xr:uid="{00000000-0002-0000-0200-000000000000}">
      <formula1>0</formula1>
    </dataValidation>
  </dataValidations>
  <pageMargins left="0.75" right="0.75" top="1" bottom="1" header="0.5" footer="0.5"/>
  <pageSetup fitToHeight="0" orientation="landscape"/>
  <headerFooter>
    <oddFooter>&amp;CCAUE - RETILAP 2026 | Alumbrado público vial&amp;RPágina &amp;P de &amp;N</oddFooter>
  </headerFooter>
  <legacyDrawing r:id="rId1"/>
  <extLst>
    <ext xmlns:x14="http://schemas.microsoft.com/office/spreadsheetml/2009/9/main" uri="{78C0D931-6437-407d-A8EE-F0AAD7539E65}">
      <x14:conditionalFormattings>
        <x14:conditionalFormatting xmlns:xm="http://schemas.microsoft.com/office/excel/2006/main">
          <x14:cfRule type="expression" priority="1" id="{00000000-000E-0000-0200-000001000000}">
            <xm:f>ROW()-6&gt;'01_Entidad'!$C$6</xm:f>
            <x14:dxf>
              <font>
                <color rgb="FF999999"/>
              </font>
              <fill>
                <patternFill patternType="solid">
                  <fgColor rgb="FFE7E6E6"/>
                </patternFill>
              </fill>
            </x14:dxf>
          </x14:cfRule>
          <xm:sqref>A7:P14</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J36"/>
  <sheetViews>
    <sheetView showGridLines="0" workbookViewId="0">
      <pane ySplit="5" topLeftCell="A6" activePane="bottomLeft" state="frozen"/>
      <selection activeCell="E25" sqref="E25"/>
      <selection pane="bottomLeft" activeCell="E25" sqref="E25"/>
    </sheetView>
  </sheetViews>
  <sheetFormatPr baseColWidth="10" defaultColWidth="8.83203125" defaultRowHeight="15" x14ac:dyDescent="0.2"/>
  <cols>
    <col min="1" max="1" width="12" customWidth="1"/>
    <col min="2" max="3" width="10" customWidth="1"/>
    <col min="4" max="4" width="17" customWidth="1"/>
    <col min="5" max="5" width="13" customWidth="1"/>
    <col min="6" max="6" width="20" customWidth="1"/>
    <col min="7" max="7" width="15" customWidth="1"/>
    <col min="8" max="8" width="21" customWidth="1"/>
    <col min="9" max="9" width="19" customWidth="1"/>
    <col min="10" max="10" width="20" customWidth="1"/>
  </cols>
  <sheetData>
    <row r="1" spans="1:10" ht="28" customHeight="1" x14ac:dyDescent="0.2">
      <c r="A1" s="41" t="s">
        <v>117</v>
      </c>
      <c r="B1" s="39"/>
      <c r="C1" s="39"/>
      <c r="D1" s="39"/>
      <c r="E1" s="39"/>
      <c r="F1" s="39"/>
      <c r="G1" s="39"/>
      <c r="H1" s="39"/>
      <c r="I1" s="39"/>
      <c r="J1" s="39"/>
    </row>
    <row r="2" spans="1:10" ht="34" customHeight="1" x14ac:dyDescent="0.2">
      <c r="A2" s="40" t="s">
        <v>118</v>
      </c>
      <c r="B2" s="39"/>
      <c r="C2" s="39"/>
      <c r="D2" s="39"/>
      <c r="E2" s="39"/>
      <c r="F2" s="39"/>
      <c r="G2" s="39"/>
      <c r="H2" s="39"/>
      <c r="I2" s="39"/>
      <c r="J2" s="39"/>
    </row>
    <row r="5" spans="1:10" ht="55" customHeight="1" x14ac:dyDescent="0.2">
      <c r="A5" s="8" t="s">
        <v>97</v>
      </c>
      <c r="B5" s="8" t="s">
        <v>72</v>
      </c>
      <c r="C5" s="8" t="s">
        <v>73</v>
      </c>
      <c r="D5" s="8" t="s">
        <v>119</v>
      </c>
      <c r="E5" s="8" t="s">
        <v>75</v>
      </c>
      <c r="F5" s="8" t="s">
        <v>120</v>
      </c>
      <c r="G5" s="8" t="s">
        <v>121</v>
      </c>
      <c r="H5" s="8" t="s">
        <v>122</v>
      </c>
      <c r="I5" s="8" t="s">
        <v>123</v>
      </c>
      <c r="J5" s="8" t="s">
        <v>124</v>
      </c>
    </row>
    <row r="6" spans="1:10" x14ac:dyDescent="0.2">
      <c r="A6" s="20" t="str">
        <f>'02_Oferta_Proponente'!A7</f>
        <v/>
      </c>
      <c r="B6" s="19" t="s">
        <v>77</v>
      </c>
      <c r="C6" s="20" t="str">
        <f>IF(A6="","NO",'01_Entidad'!B26)</f>
        <v>NO</v>
      </c>
      <c r="D6" s="30">
        <f>'01_Entidad'!C26</f>
        <v>1</v>
      </c>
      <c r="E6" s="25">
        <f>'01_Entidad'!D26</f>
        <v>12</v>
      </c>
      <c r="F6" s="25">
        <f>'02_Oferta_Proponente'!G7</f>
        <v>0</v>
      </c>
      <c r="G6" s="25">
        <f>'02_Oferta_Proponente'!H7</f>
        <v>0</v>
      </c>
      <c r="H6" s="25">
        <f t="shared" ref="H6:H29" si="0">IF(OR(A6="",C6&lt;&gt;"SI"),0,F6+IF(G6="",0,G6))</f>
        <v>0</v>
      </c>
      <c r="I6" s="25">
        <f>IF(OR(A6="",C6&lt;&gt;"SI",E6="",H6=""),0,'02_Oferta_Proponente'!D7*H6*E6*'01_Entidad'!$C$14/1000)</f>
        <v>0</v>
      </c>
      <c r="J6" s="31">
        <f>I6*'01_Entidad'!$C$13</f>
        <v>0</v>
      </c>
    </row>
    <row r="7" spans="1:10" x14ac:dyDescent="0.2">
      <c r="A7" s="20" t="str">
        <f>'02_Oferta_Proponente'!A7</f>
        <v/>
      </c>
      <c r="B7" s="19" t="s">
        <v>79</v>
      </c>
      <c r="C7" s="20" t="str">
        <f>IF(A7="","NO",'01_Entidad'!B27)</f>
        <v>NO</v>
      </c>
      <c r="D7" s="30">
        <f>'01_Entidad'!C27</f>
        <v>0</v>
      </c>
      <c r="E7" s="25">
        <f>'01_Entidad'!D27</f>
        <v>0</v>
      </c>
      <c r="F7" s="32"/>
      <c r="G7" s="25">
        <f>'02_Oferta_Proponente'!H7</f>
        <v>0</v>
      </c>
      <c r="H7" s="25">
        <f t="shared" si="0"/>
        <v>0</v>
      </c>
      <c r="I7" s="25">
        <f>IF(OR(A7="",C7&lt;&gt;"SI",E7="",H7=""),0,'02_Oferta_Proponente'!D7*H7*E7*'01_Entidad'!$C$14/1000)</f>
        <v>0</v>
      </c>
      <c r="J7" s="31">
        <f>I7*'01_Entidad'!$C$13</f>
        <v>0</v>
      </c>
    </row>
    <row r="8" spans="1:10" x14ac:dyDescent="0.2">
      <c r="A8" s="20" t="str">
        <f>'02_Oferta_Proponente'!A7</f>
        <v/>
      </c>
      <c r="B8" s="19" t="s">
        <v>80</v>
      </c>
      <c r="C8" s="20" t="str">
        <f>IF(A8="","NO",'01_Entidad'!B28)</f>
        <v>NO</v>
      </c>
      <c r="D8" s="30">
        <f>'01_Entidad'!C28</f>
        <v>0</v>
      </c>
      <c r="E8" s="25">
        <f>'01_Entidad'!D28</f>
        <v>0</v>
      </c>
      <c r="F8" s="32"/>
      <c r="G8" s="25">
        <f>'02_Oferta_Proponente'!H7</f>
        <v>0</v>
      </c>
      <c r="H8" s="25">
        <f t="shared" si="0"/>
        <v>0</v>
      </c>
      <c r="I8" s="25">
        <f>IF(OR(A8="",C8&lt;&gt;"SI",E8="",H8=""),0,'02_Oferta_Proponente'!D7*H8*E8*'01_Entidad'!$C$14/1000)</f>
        <v>0</v>
      </c>
      <c r="J8" s="31">
        <f>I8*'01_Entidad'!$C$13</f>
        <v>0</v>
      </c>
    </row>
    <row r="9" spans="1:10" x14ac:dyDescent="0.2">
      <c r="A9" s="20" t="str">
        <f>'02_Oferta_Proponente'!A8</f>
        <v/>
      </c>
      <c r="B9" s="19" t="s">
        <v>77</v>
      </c>
      <c r="C9" s="20" t="str">
        <f>IF(A9="","NO",'01_Entidad'!B26)</f>
        <v>NO</v>
      </c>
      <c r="D9" s="30">
        <f>'01_Entidad'!C26</f>
        <v>1</v>
      </c>
      <c r="E9" s="25">
        <f>'01_Entidad'!D26</f>
        <v>12</v>
      </c>
      <c r="F9" s="25">
        <f>'02_Oferta_Proponente'!G8</f>
        <v>0</v>
      </c>
      <c r="G9" s="25">
        <f>'02_Oferta_Proponente'!H8</f>
        <v>0</v>
      </c>
      <c r="H9" s="25">
        <f t="shared" si="0"/>
        <v>0</v>
      </c>
      <c r="I9" s="25">
        <f>IF(OR(A9="",C9&lt;&gt;"SI",E9="",H9=""),0,'02_Oferta_Proponente'!D8*H9*E9*'01_Entidad'!$C$14/1000)</f>
        <v>0</v>
      </c>
      <c r="J9" s="31">
        <f>I9*'01_Entidad'!$C$13</f>
        <v>0</v>
      </c>
    </row>
    <row r="10" spans="1:10" x14ac:dyDescent="0.2">
      <c r="A10" s="20" t="str">
        <f>'02_Oferta_Proponente'!A8</f>
        <v/>
      </c>
      <c r="B10" s="19" t="s">
        <v>79</v>
      </c>
      <c r="C10" s="20" t="str">
        <f>IF(A10="","NO",'01_Entidad'!B27)</f>
        <v>NO</v>
      </c>
      <c r="D10" s="30">
        <f>'01_Entidad'!C27</f>
        <v>0</v>
      </c>
      <c r="E10" s="25">
        <f>'01_Entidad'!D27</f>
        <v>0</v>
      </c>
      <c r="F10" s="32"/>
      <c r="G10" s="25">
        <f>'02_Oferta_Proponente'!H8</f>
        <v>0</v>
      </c>
      <c r="H10" s="25">
        <f t="shared" si="0"/>
        <v>0</v>
      </c>
      <c r="I10" s="25">
        <f>IF(OR(A10="",C10&lt;&gt;"SI",E10="",H10=""),0,'02_Oferta_Proponente'!D8*H10*E10*'01_Entidad'!$C$14/1000)</f>
        <v>0</v>
      </c>
      <c r="J10" s="31">
        <f>I10*'01_Entidad'!$C$13</f>
        <v>0</v>
      </c>
    </row>
    <row r="11" spans="1:10" x14ac:dyDescent="0.2">
      <c r="A11" s="20" t="str">
        <f>'02_Oferta_Proponente'!A8</f>
        <v/>
      </c>
      <c r="B11" s="19" t="s">
        <v>80</v>
      </c>
      <c r="C11" s="20" t="str">
        <f>IF(A11="","NO",'01_Entidad'!B28)</f>
        <v>NO</v>
      </c>
      <c r="D11" s="30">
        <f>'01_Entidad'!C28</f>
        <v>0</v>
      </c>
      <c r="E11" s="25">
        <f>'01_Entidad'!D28</f>
        <v>0</v>
      </c>
      <c r="F11" s="32"/>
      <c r="G11" s="25">
        <f>'02_Oferta_Proponente'!H8</f>
        <v>0</v>
      </c>
      <c r="H11" s="25">
        <f t="shared" si="0"/>
        <v>0</v>
      </c>
      <c r="I11" s="25">
        <f>IF(OR(A11="",C11&lt;&gt;"SI",E11="",H11=""),0,'02_Oferta_Proponente'!D8*H11*E11*'01_Entidad'!$C$14/1000)</f>
        <v>0</v>
      </c>
      <c r="J11" s="31">
        <f>I11*'01_Entidad'!$C$13</f>
        <v>0</v>
      </c>
    </row>
    <row r="12" spans="1:10" x14ac:dyDescent="0.2">
      <c r="A12" s="20" t="str">
        <f>'02_Oferta_Proponente'!A9</f>
        <v/>
      </c>
      <c r="B12" s="19" t="s">
        <v>77</v>
      </c>
      <c r="C12" s="20" t="str">
        <f>IF(A12="","NO",'01_Entidad'!B26)</f>
        <v>NO</v>
      </c>
      <c r="D12" s="30">
        <f>'01_Entidad'!C26</f>
        <v>1</v>
      </c>
      <c r="E12" s="25">
        <f>'01_Entidad'!D26</f>
        <v>12</v>
      </c>
      <c r="F12" s="25">
        <f>'02_Oferta_Proponente'!G9</f>
        <v>0</v>
      </c>
      <c r="G12" s="25">
        <f>'02_Oferta_Proponente'!H9</f>
        <v>0</v>
      </c>
      <c r="H12" s="25">
        <f t="shared" si="0"/>
        <v>0</v>
      </c>
      <c r="I12" s="25">
        <f>IF(OR(A12="",C12&lt;&gt;"SI",E12="",H12=""),0,'02_Oferta_Proponente'!D9*H12*E12*'01_Entidad'!$C$14/1000)</f>
        <v>0</v>
      </c>
      <c r="J12" s="31">
        <f>I12*'01_Entidad'!$C$13</f>
        <v>0</v>
      </c>
    </row>
    <row r="13" spans="1:10" x14ac:dyDescent="0.2">
      <c r="A13" s="20" t="str">
        <f>'02_Oferta_Proponente'!A9</f>
        <v/>
      </c>
      <c r="B13" s="19" t="s">
        <v>79</v>
      </c>
      <c r="C13" s="20" t="str">
        <f>IF(A13="","NO",'01_Entidad'!B27)</f>
        <v>NO</v>
      </c>
      <c r="D13" s="30">
        <f>'01_Entidad'!C27</f>
        <v>0</v>
      </c>
      <c r="E13" s="25">
        <f>'01_Entidad'!D27</f>
        <v>0</v>
      </c>
      <c r="F13" s="32"/>
      <c r="G13" s="25">
        <f>'02_Oferta_Proponente'!H9</f>
        <v>0</v>
      </c>
      <c r="H13" s="25">
        <f t="shared" si="0"/>
        <v>0</v>
      </c>
      <c r="I13" s="25">
        <f>IF(OR(A13="",C13&lt;&gt;"SI",E13="",H13=""),0,'02_Oferta_Proponente'!D9*H13*E13*'01_Entidad'!$C$14/1000)</f>
        <v>0</v>
      </c>
      <c r="J13" s="31">
        <f>I13*'01_Entidad'!$C$13</f>
        <v>0</v>
      </c>
    </row>
    <row r="14" spans="1:10" x14ac:dyDescent="0.2">
      <c r="A14" s="20" t="str">
        <f>'02_Oferta_Proponente'!A9</f>
        <v/>
      </c>
      <c r="B14" s="19" t="s">
        <v>80</v>
      </c>
      <c r="C14" s="20" t="str">
        <f>IF(A14="","NO",'01_Entidad'!B28)</f>
        <v>NO</v>
      </c>
      <c r="D14" s="30">
        <f>'01_Entidad'!C28</f>
        <v>0</v>
      </c>
      <c r="E14" s="25">
        <f>'01_Entidad'!D28</f>
        <v>0</v>
      </c>
      <c r="F14" s="32"/>
      <c r="G14" s="25">
        <f>'02_Oferta_Proponente'!H9</f>
        <v>0</v>
      </c>
      <c r="H14" s="25">
        <f t="shared" si="0"/>
        <v>0</v>
      </c>
      <c r="I14" s="25">
        <f>IF(OR(A14="",C14&lt;&gt;"SI",E14="",H14=""),0,'02_Oferta_Proponente'!D9*H14*E14*'01_Entidad'!$C$14/1000)</f>
        <v>0</v>
      </c>
      <c r="J14" s="31">
        <f>I14*'01_Entidad'!$C$13</f>
        <v>0</v>
      </c>
    </row>
    <row r="15" spans="1:10" x14ac:dyDescent="0.2">
      <c r="A15" s="20" t="str">
        <f>'02_Oferta_Proponente'!A10</f>
        <v/>
      </c>
      <c r="B15" s="19" t="s">
        <v>77</v>
      </c>
      <c r="C15" s="20" t="str">
        <f>IF(A15="","NO",'01_Entidad'!B26)</f>
        <v>NO</v>
      </c>
      <c r="D15" s="30">
        <f>'01_Entidad'!C26</f>
        <v>1</v>
      </c>
      <c r="E15" s="25">
        <f>'01_Entidad'!D26</f>
        <v>12</v>
      </c>
      <c r="F15" s="25">
        <f>'02_Oferta_Proponente'!G10</f>
        <v>0</v>
      </c>
      <c r="G15" s="25">
        <f>'02_Oferta_Proponente'!H10</f>
        <v>0</v>
      </c>
      <c r="H15" s="25">
        <f t="shared" si="0"/>
        <v>0</v>
      </c>
      <c r="I15" s="25">
        <f>IF(OR(A15="",C15&lt;&gt;"SI",E15="",H15=""),0,'02_Oferta_Proponente'!D10*H15*E15*'01_Entidad'!$C$14/1000)</f>
        <v>0</v>
      </c>
      <c r="J15" s="31">
        <f>I15*'01_Entidad'!$C$13</f>
        <v>0</v>
      </c>
    </row>
    <row r="16" spans="1:10" x14ac:dyDescent="0.2">
      <c r="A16" s="20" t="str">
        <f>'02_Oferta_Proponente'!A10</f>
        <v/>
      </c>
      <c r="B16" s="19" t="s">
        <v>79</v>
      </c>
      <c r="C16" s="20" t="str">
        <f>IF(A16="","NO",'01_Entidad'!B27)</f>
        <v>NO</v>
      </c>
      <c r="D16" s="30">
        <f>'01_Entidad'!C27</f>
        <v>0</v>
      </c>
      <c r="E16" s="25">
        <f>'01_Entidad'!D27</f>
        <v>0</v>
      </c>
      <c r="F16" s="32"/>
      <c r="G16" s="25">
        <f>'02_Oferta_Proponente'!H10</f>
        <v>0</v>
      </c>
      <c r="H16" s="25">
        <f t="shared" si="0"/>
        <v>0</v>
      </c>
      <c r="I16" s="25">
        <f>IF(OR(A16="",C16&lt;&gt;"SI",E16="",H16=""),0,'02_Oferta_Proponente'!D10*H16*E16*'01_Entidad'!$C$14/1000)</f>
        <v>0</v>
      </c>
      <c r="J16" s="31">
        <f>I16*'01_Entidad'!$C$13</f>
        <v>0</v>
      </c>
    </row>
    <row r="17" spans="1:10" x14ac:dyDescent="0.2">
      <c r="A17" s="20" t="str">
        <f>'02_Oferta_Proponente'!A10</f>
        <v/>
      </c>
      <c r="B17" s="19" t="s">
        <v>80</v>
      </c>
      <c r="C17" s="20" t="str">
        <f>IF(A17="","NO",'01_Entidad'!B28)</f>
        <v>NO</v>
      </c>
      <c r="D17" s="30">
        <f>'01_Entidad'!C28</f>
        <v>0</v>
      </c>
      <c r="E17" s="25">
        <f>'01_Entidad'!D28</f>
        <v>0</v>
      </c>
      <c r="F17" s="32"/>
      <c r="G17" s="25">
        <f>'02_Oferta_Proponente'!H10</f>
        <v>0</v>
      </c>
      <c r="H17" s="25">
        <f t="shared" si="0"/>
        <v>0</v>
      </c>
      <c r="I17" s="25">
        <f>IF(OR(A17="",C17&lt;&gt;"SI",E17="",H17=""),0,'02_Oferta_Proponente'!D10*H17*E17*'01_Entidad'!$C$14/1000)</f>
        <v>0</v>
      </c>
      <c r="J17" s="31">
        <f>I17*'01_Entidad'!$C$13</f>
        <v>0</v>
      </c>
    </row>
    <row r="18" spans="1:10" x14ac:dyDescent="0.2">
      <c r="A18" s="20" t="str">
        <f>'02_Oferta_Proponente'!A11</f>
        <v/>
      </c>
      <c r="B18" s="19" t="s">
        <v>77</v>
      </c>
      <c r="C18" s="20" t="str">
        <f>IF(A18="","NO",'01_Entidad'!B26)</f>
        <v>NO</v>
      </c>
      <c r="D18" s="30">
        <f>'01_Entidad'!C26</f>
        <v>1</v>
      </c>
      <c r="E18" s="25">
        <f>'01_Entidad'!D26</f>
        <v>12</v>
      </c>
      <c r="F18" s="25">
        <f>'02_Oferta_Proponente'!G11</f>
        <v>0</v>
      </c>
      <c r="G18" s="25">
        <f>'02_Oferta_Proponente'!H11</f>
        <v>0</v>
      </c>
      <c r="H18" s="25">
        <f t="shared" si="0"/>
        <v>0</v>
      </c>
      <c r="I18" s="25">
        <f>IF(OR(A18="",C18&lt;&gt;"SI",E18="",H18=""),0,'02_Oferta_Proponente'!D11*H18*E18*'01_Entidad'!$C$14/1000)</f>
        <v>0</v>
      </c>
      <c r="J18" s="31">
        <f>I18*'01_Entidad'!$C$13</f>
        <v>0</v>
      </c>
    </row>
    <row r="19" spans="1:10" x14ac:dyDescent="0.2">
      <c r="A19" s="20" t="str">
        <f>'02_Oferta_Proponente'!A11</f>
        <v/>
      </c>
      <c r="B19" s="19" t="s">
        <v>79</v>
      </c>
      <c r="C19" s="20" t="str">
        <f>IF(A19="","NO",'01_Entidad'!B27)</f>
        <v>NO</v>
      </c>
      <c r="D19" s="30">
        <f>'01_Entidad'!C27</f>
        <v>0</v>
      </c>
      <c r="E19" s="25">
        <f>'01_Entidad'!D27</f>
        <v>0</v>
      </c>
      <c r="F19" s="32"/>
      <c r="G19" s="25">
        <f>'02_Oferta_Proponente'!H11</f>
        <v>0</v>
      </c>
      <c r="H19" s="25">
        <f t="shared" si="0"/>
        <v>0</v>
      </c>
      <c r="I19" s="25">
        <f>IF(OR(A19="",C19&lt;&gt;"SI",E19="",H19=""),0,'02_Oferta_Proponente'!D11*H19*E19*'01_Entidad'!$C$14/1000)</f>
        <v>0</v>
      </c>
      <c r="J19" s="31">
        <f>I19*'01_Entidad'!$C$13</f>
        <v>0</v>
      </c>
    </row>
    <row r="20" spans="1:10" x14ac:dyDescent="0.2">
      <c r="A20" s="20" t="str">
        <f>'02_Oferta_Proponente'!A11</f>
        <v/>
      </c>
      <c r="B20" s="19" t="s">
        <v>80</v>
      </c>
      <c r="C20" s="20" t="str">
        <f>IF(A20="","NO",'01_Entidad'!B28)</f>
        <v>NO</v>
      </c>
      <c r="D20" s="30">
        <f>'01_Entidad'!C28</f>
        <v>0</v>
      </c>
      <c r="E20" s="25">
        <f>'01_Entidad'!D28</f>
        <v>0</v>
      </c>
      <c r="F20" s="32"/>
      <c r="G20" s="25">
        <f>'02_Oferta_Proponente'!H11</f>
        <v>0</v>
      </c>
      <c r="H20" s="25">
        <f t="shared" si="0"/>
        <v>0</v>
      </c>
      <c r="I20" s="25">
        <f>IF(OR(A20="",C20&lt;&gt;"SI",E20="",H20=""),0,'02_Oferta_Proponente'!D11*H20*E20*'01_Entidad'!$C$14/1000)</f>
        <v>0</v>
      </c>
      <c r="J20" s="31">
        <f>I20*'01_Entidad'!$C$13</f>
        <v>0</v>
      </c>
    </row>
    <row r="21" spans="1:10" x14ac:dyDescent="0.2">
      <c r="A21" s="20" t="str">
        <f>'02_Oferta_Proponente'!A12</f>
        <v/>
      </c>
      <c r="B21" s="19" t="s">
        <v>77</v>
      </c>
      <c r="C21" s="20" t="str">
        <f>IF(A21="","NO",'01_Entidad'!B26)</f>
        <v>NO</v>
      </c>
      <c r="D21" s="30">
        <f>'01_Entidad'!C26</f>
        <v>1</v>
      </c>
      <c r="E21" s="25">
        <f>'01_Entidad'!D26</f>
        <v>12</v>
      </c>
      <c r="F21" s="25">
        <f>'02_Oferta_Proponente'!G12</f>
        <v>0</v>
      </c>
      <c r="G21" s="25">
        <f>'02_Oferta_Proponente'!H12</f>
        <v>0</v>
      </c>
      <c r="H21" s="25">
        <f t="shared" si="0"/>
        <v>0</v>
      </c>
      <c r="I21" s="25">
        <f>IF(OR(A21="",C21&lt;&gt;"SI",E21="",H21=""),0,'02_Oferta_Proponente'!D12*H21*E21*'01_Entidad'!$C$14/1000)</f>
        <v>0</v>
      </c>
      <c r="J21" s="31">
        <f>I21*'01_Entidad'!$C$13</f>
        <v>0</v>
      </c>
    </row>
    <row r="22" spans="1:10" x14ac:dyDescent="0.2">
      <c r="A22" s="20" t="str">
        <f>'02_Oferta_Proponente'!A12</f>
        <v/>
      </c>
      <c r="B22" s="19" t="s">
        <v>79</v>
      </c>
      <c r="C22" s="20" t="str">
        <f>IF(A22="","NO",'01_Entidad'!B27)</f>
        <v>NO</v>
      </c>
      <c r="D22" s="30">
        <f>'01_Entidad'!C27</f>
        <v>0</v>
      </c>
      <c r="E22" s="25">
        <f>'01_Entidad'!D27</f>
        <v>0</v>
      </c>
      <c r="F22" s="32"/>
      <c r="G22" s="25">
        <f>'02_Oferta_Proponente'!H12</f>
        <v>0</v>
      </c>
      <c r="H22" s="25">
        <f t="shared" si="0"/>
        <v>0</v>
      </c>
      <c r="I22" s="25">
        <f>IF(OR(A22="",C22&lt;&gt;"SI",E22="",H22=""),0,'02_Oferta_Proponente'!D12*H22*E22*'01_Entidad'!$C$14/1000)</f>
        <v>0</v>
      </c>
      <c r="J22" s="31">
        <f>I22*'01_Entidad'!$C$13</f>
        <v>0</v>
      </c>
    </row>
    <row r="23" spans="1:10" x14ac:dyDescent="0.2">
      <c r="A23" s="20" t="str">
        <f>'02_Oferta_Proponente'!A12</f>
        <v/>
      </c>
      <c r="B23" s="19" t="s">
        <v>80</v>
      </c>
      <c r="C23" s="20" t="str">
        <f>IF(A23="","NO",'01_Entidad'!B28)</f>
        <v>NO</v>
      </c>
      <c r="D23" s="30">
        <f>'01_Entidad'!C28</f>
        <v>0</v>
      </c>
      <c r="E23" s="25">
        <f>'01_Entidad'!D28</f>
        <v>0</v>
      </c>
      <c r="F23" s="32"/>
      <c r="G23" s="25">
        <f>'02_Oferta_Proponente'!H12</f>
        <v>0</v>
      </c>
      <c r="H23" s="25">
        <f t="shared" si="0"/>
        <v>0</v>
      </c>
      <c r="I23" s="25">
        <f>IF(OR(A23="",C23&lt;&gt;"SI",E23="",H23=""),0,'02_Oferta_Proponente'!D12*H23*E23*'01_Entidad'!$C$14/1000)</f>
        <v>0</v>
      </c>
      <c r="J23" s="31">
        <f>I23*'01_Entidad'!$C$13</f>
        <v>0</v>
      </c>
    </row>
    <row r="24" spans="1:10" x14ac:dyDescent="0.2">
      <c r="A24" s="20" t="str">
        <f>'02_Oferta_Proponente'!A13</f>
        <v/>
      </c>
      <c r="B24" s="19" t="s">
        <v>77</v>
      </c>
      <c r="C24" s="20" t="str">
        <f>IF(A24="","NO",'01_Entidad'!B26)</f>
        <v>NO</v>
      </c>
      <c r="D24" s="30">
        <f>'01_Entidad'!C26</f>
        <v>1</v>
      </c>
      <c r="E24" s="25">
        <f>'01_Entidad'!D26</f>
        <v>12</v>
      </c>
      <c r="F24" s="25">
        <f>'02_Oferta_Proponente'!G13</f>
        <v>0</v>
      </c>
      <c r="G24" s="25">
        <f>'02_Oferta_Proponente'!H13</f>
        <v>0</v>
      </c>
      <c r="H24" s="25">
        <f t="shared" si="0"/>
        <v>0</v>
      </c>
      <c r="I24" s="25">
        <f>IF(OR(A24="",C24&lt;&gt;"SI",E24="",H24=""),0,'02_Oferta_Proponente'!D13*H24*E24*'01_Entidad'!$C$14/1000)</f>
        <v>0</v>
      </c>
      <c r="J24" s="31">
        <f>I24*'01_Entidad'!$C$13</f>
        <v>0</v>
      </c>
    </row>
    <row r="25" spans="1:10" x14ac:dyDescent="0.2">
      <c r="A25" s="20" t="str">
        <f>'02_Oferta_Proponente'!A13</f>
        <v/>
      </c>
      <c r="B25" s="19" t="s">
        <v>79</v>
      </c>
      <c r="C25" s="20" t="str">
        <f>IF(A25="","NO",'01_Entidad'!B27)</f>
        <v>NO</v>
      </c>
      <c r="D25" s="30">
        <f>'01_Entidad'!C27</f>
        <v>0</v>
      </c>
      <c r="E25" s="25">
        <f>'01_Entidad'!D27</f>
        <v>0</v>
      </c>
      <c r="F25" s="32"/>
      <c r="G25" s="25">
        <f>'02_Oferta_Proponente'!H13</f>
        <v>0</v>
      </c>
      <c r="H25" s="25">
        <f t="shared" si="0"/>
        <v>0</v>
      </c>
      <c r="I25" s="25">
        <f>IF(OR(A25="",C25&lt;&gt;"SI",E25="",H25=""),0,'02_Oferta_Proponente'!D13*H25*E25*'01_Entidad'!$C$14/1000)</f>
        <v>0</v>
      </c>
      <c r="J25" s="31">
        <f>I25*'01_Entidad'!$C$13</f>
        <v>0</v>
      </c>
    </row>
    <row r="26" spans="1:10" x14ac:dyDescent="0.2">
      <c r="A26" s="20" t="str">
        <f>'02_Oferta_Proponente'!A13</f>
        <v/>
      </c>
      <c r="B26" s="19" t="s">
        <v>80</v>
      </c>
      <c r="C26" s="20" t="str">
        <f>IF(A26="","NO",'01_Entidad'!B28)</f>
        <v>NO</v>
      </c>
      <c r="D26" s="30">
        <f>'01_Entidad'!C28</f>
        <v>0</v>
      </c>
      <c r="E26" s="25">
        <f>'01_Entidad'!D28</f>
        <v>0</v>
      </c>
      <c r="F26" s="32"/>
      <c r="G26" s="25">
        <f>'02_Oferta_Proponente'!H13</f>
        <v>0</v>
      </c>
      <c r="H26" s="25">
        <f t="shared" si="0"/>
        <v>0</v>
      </c>
      <c r="I26" s="25">
        <f>IF(OR(A26="",C26&lt;&gt;"SI",E26="",H26=""),0,'02_Oferta_Proponente'!D13*H26*E26*'01_Entidad'!$C$14/1000)</f>
        <v>0</v>
      </c>
      <c r="J26" s="31">
        <f>I26*'01_Entidad'!$C$13</f>
        <v>0</v>
      </c>
    </row>
    <row r="27" spans="1:10" x14ac:dyDescent="0.2">
      <c r="A27" s="20" t="str">
        <f>'02_Oferta_Proponente'!A14</f>
        <v/>
      </c>
      <c r="B27" s="19" t="s">
        <v>77</v>
      </c>
      <c r="C27" s="20" t="str">
        <f>IF(A27="","NO",'01_Entidad'!B26)</f>
        <v>NO</v>
      </c>
      <c r="D27" s="30">
        <f>'01_Entidad'!C26</f>
        <v>1</v>
      </c>
      <c r="E27" s="25">
        <f>'01_Entidad'!D26</f>
        <v>12</v>
      </c>
      <c r="F27" s="25">
        <f>'02_Oferta_Proponente'!G14</f>
        <v>0</v>
      </c>
      <c r="G27" s="25">
        <f>'02_Oferta_Proponente'!H14</f>
        <v>0</v>
      </c>
      <c r="H27" s="25">
        <f t="shared" si="0"/>
        <v>0</v>
      </c>
      <c r="I27" s="25">
        <f>IF(OR(A27="",C27&lt;&gt;"SI",E27="",H27=""),0,'02_Oferta_Proponente'!D14*H27*E27*'01_Entidad'!$C$14/1000)</f>
        <v>0</v>
      </c>
      <c r="J27" s="31">
        <f>I27*'01_Entidad'!$C$13</f>
        <v>0</v>
      </c>
    </row>
    <row r="28" spans="1:10" x14ac:dyDescent="0.2">
      <c r="A28" s="20" t="str">
        <f>'02_Oferta_Proponente'!A14</f>
        <v/>
      </c>
      <c r="B28" s="19" t="s">
        <v>79</v>
      </c>
      <c r="C28" s="20" t="str">
        <f>IF(A28="","NO",'01_Entidad'!B27)</f>
        <v>NO</v>
      </c>
      <c r="D28" s="30">
        <f>'01_Entidad'!C27</f>
        <v>0</v>
      </c>
      <c r="E28" s="25">
        <f>'01_Entidad'!D27</f>
        <v>0</v>
      </c>
      <c r="F28" s="32"/>
      <c r="G28" s="25">
        <f>'02_Oferta_Proponente'!H14</f>
        <v>0</v>
      </c>
      <c r="H28" s="25">
        <f t="shared" si="0"/>
        <v>0</v>
      </c>
      <c r="I28" s="25">
        <f>IF(OR(A28="",C28&lt;&gt;"SI",E28="",H28=""),0,'02_Oferta_Proponente'!D14*H28*E28*'01_Entidad'!$C$14/1000)</f>
        <v>0</v>
      </c>
      <c r="J28" s="31">
        <f>I28*'01_Entidad'!$C$13</f>
        <v>0</v>
      </c>
    </row>
    <row r="29" spans="1:10" x14ac:dyDescent="0.2">
      <c r="A29" s="20" t="str">
        <f>'02_Oferta_Proponente'!A14</f>
        <v/>
      </c>
      <c r="B29" s="19" t="s">
        <v>80</v>
      </c>
      <c r="C29" s="20" t="str">
        <f>IF(A29="","NO",'01_Entidad'!B28)</f>
        <v>NO</v>
      </c>
      <c r="D29" s="30">
        <f>'01_Entidad'!C28</f>
        <v>0</v>
      </c>
      <c r="E29" s="25">
        <f>'01_Entidad'!D28</f>
        <v>0</v>
      </c>
      <c r="F29" s="32"/>
      <c r="G29" s="25">
        <f>'02_Oferta_Proponente'!H14</f>
        <v>0</v>
      </c>
      <c r="H29" s="25">
        <f t="shared" si="0"/>
        <v>0</v>
      </c>
      <c r="I29" s="25">
        <f>IF(OR(A29="",C29&lt;&gt;"SI",E29="",H29=""),0,'02_Oferta_Proponente'!D14*H29*E29*'01_Entidad'!$C$14/1000)</f>
        <v>0</v>
      </c>
      <c r="J29" s="31">
        <f>I29*'01_Entidad'!$C$13</f>
        <v>0</v>
      </c>
    </row>
    <row r="31" spans="1:10" ht="23" customHeight="1" x14ac:dyDescent="0.2">
      <c r="A31" s="38" t="s">
        <v>125</v>
      </c>
      <c r="B31" s="39"/>
      <c r="C31" s="39"/>
      <c r="D31" s="39"/>
      <c r="E31" s="39"/>
      <c r="F31" s="39"/>
      <c r="G31" s="39"/>
      <c r="H31" s="39"/>
      <c r="I31" s="39"/>
      <c r="J31" s="39"/>
    </row>
    <row r="32" spans="1:10" x14ac:dyDescent="0.2">
      <c r="A32" s="24" t="s">
        <v>126</v>
      </c>
      <c r="B32" s="25">
        <f>SUM(I6:I29)</f>
        <v>0</v>
      </c>
      <c r="C32" s="24" t="s">
        <v>127</v>
      </c>
    </row>
    <row r="33" spans="1:10" x14ac:dyDescent="0.2">
      <c r="A33" s="24" t="s">
        <v>128</v>
      </c>
      <c r="B33" s="31">
        <f>SUM(J6:J29)</f>
        <v>0</v>
      </c>
      <c r="C33" s="24" t="s">
        <v>129</v>
      </c>
    </row>
    <row r="35" spans="1:10" x14ac:dyDescent="0.2">
      <c r="A35" s="42" t="s">
        <v>130</v>
      </c>
      <c r="B35" s="39"/>
      <c r="C35" s="39"/>
      <c r="D35" s="39"/>
      <c r="E35" s="39"/>
      <c r="F35" s="39"/>
      <c r="G35" s="39"/>
      <c r="H35" s="39"/>
      <c r="I35" s="39"/>
      <c r="J35" s="39"/>
    </row>
    <row r="36" spans="1:10" x14ac:dyDescent="0.2">
      <c r="A36" s="39"/>
      <c r="B36" s="39"/>
      <c r="C36" s="39"/>
      <c r="D36" s="39"/>
      <c r="E36" s="39"/>
      <c r="F36" s="39"/>
      <c r="G36" s="39"/>
      <c r="H36" s="39"/>
      <c r="I36" s="39"/>
      <c r="J36" s="39"/>
    </row>
  </sheetData>
  <sheetProtection autoFilter="0"/>
  <mergeCells count="4">
    <mergeCell ref="A35:J36"/>
    <mergeCell ref="A1:J1"/>
    <mergeCell ref="A31:J31"/>
    <mergeCell ref="A2:J2"/>
  </mergeCells>
  <conditionalFormatting sqref="A6:J29">
    <cfRule type="expression" dxfId="2" priority="1">
      <formula>OR($A6="",$C6&lt;&gt;"SI")</formula>
    </cfRule>
  </conditionalFormatting>
  <dataValidations count="1">
    <dataValidation type="decimal" operator="greaterThanOrEqual" allowBlank="1" sqref="F7:F29" xr:uid="{00000000-0002-0000-0300-000000000000}">
      <formula1>0</formula1>
    </dataValidation>
  </dataValidations>
  <pageMargins left="0.75" right="0.75" top="1" bottom="1" header="0.5" footer="0.5"/>
  <pageSetup fitToHeight="0" orientation="landscape"/>
  <headerFooter>
    <oddFooter>&amp;CCAUE - RETILAP 2026 | Alumbrado público vial&amp;RPágina &amp;P de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18"/>
  <sheetViews>
    <sheetView showGridLines="0" workbookViewId="0">
      <selection activeCell="E25" sqref="E25"/>
    </sheetView>
  </sheetViews>
  <sheetFormatPr baseColWidth="10" defaultColWidth="8.83203125" defaultRowHeight="15" x14ac:dyDescent="0.2"/>
  <cols>
    <col min="1" max="1" width="12" customWidth="1"/>
    <col min="2" max="2" width="14" customWidth="1"/>
    <col min="3" max="3" width="12" customWidth="1"/>
    <col min="4" max="4" width="26" customWidth="1"/>
    <col min="5" max="5" width="24" customWidth="1"/>
    <col min="6" max="6" width="18" customWidth="1"/>
    <col min="7" max="8" width="20" customWidth="1"/>
    <col min="9" max="9" width="21" customWidth="1"/>
    <col min="10" max="10" width="18" customWidth="1"/>
  </cols>
  <sheetData>
    <row r="1" spans="1:10" ht="28" customHeight="1" x14ac:dyDescent="0.2">
      <c r="A1" s="41" t="s">
        <v>131</v>
      </c>
      <c r="B1" s="39"/>
      <c r="C1" s="39"/>
      <c r="D1" s="39"/>
      <c r="E1" s="39"/>
      <c r="F1" s="39"/>
      <c r="G1" s="39"/>
      <c r="H1" s="39"/>
      <c r="I1" s="39"/>
      <c r="J1" s="39"/>
    </row>
    <row r="2" spans="1:10" ht="34" customHeight="1" x14ac:dyDescent="0.2">
      <c r="A2" s="40" t="s">
        <v>132</v>
      </c>
      <c r="B2" s="39"/>
      <c r="C2" s="39"/>
      <c r="D2" s="39"/>
      <c r="E2" s="39"/>
      <c r="F2" s="39"/>
      <c r="G2" s="39"/>
      <c r="H2" s="39"/>
      <c r="I2" s="39"/>
      <c r="J2" s="39"/>
    </row>
    <row r="5" spans="1:10" ht="58" customHeight="1" x14ac:dyDescent="0.2">
      <c r="A5" s="8" t="s">
        <v>97</v>
      </c>
      <c r="B5" s="8" t="s">
        <v>133</v>
      </c>
      <c r="C5" s="8" t="s">
        <v>100</v>
      </c>
      <c r="D5" s="8" t="s">
        <v>106</v>
      </c>
      <c r="E5" s="8" t="s">
        <v>134</v>
      </c>
      <c r="F5" s="8" t="s">
        <v>108</v>
      </c>
      <c r="G5" s="8" t="s">
        <v>109</v>
      </c>
      <c r="H5" s="8" t="s">
        <v>135</v>
      </c>
      <c r="I5" s="8" t="s">
        <v>136</v>
      </c>
      <c r="J5" s="8" t="s">
        <v>137</v>
      </c>
    </row>
    <row r="6" spans="1:10" x14ac:dyDescent="0.2">
      <c r="A6" s="20" t="str">
        <f>'02_Oferta_Proponente'!A7</f>
        <v/>
      </c>
      <c r="B6" s="25">
        <f>'02_Oferta_Proponente'!G7</f>
        <v>0</v>
      </c>
      <c r="C6" s="27">
        <f>'02_Oferta_Proponente'!D7</f>
        <v>0</v>
      </c>
      <c r="D6" s="31">
        <f>'02_Oferta_Proponente'!J7</f>
        <v>0</v>
      </c>
      <c r="E6" s="31">
        <f>'02_Oferta_Proponente'!K7</f>
        <v>0</v>
      </c>
      <c r="F6" s="31">
        <f>'02_Oferta_Proponente'!L7</f>
        <v>0</v>
      </c>
      <c r="G6" s="31">
        <f>'02_Oferta_Proponente'!M7</f>
        <v>0</v>
      </c>
      <c r="H6" s="31">
        <f t="shared" ref="H6:H13" si="0">IF(A6="",0,SUM(D6:G6))</f>
        <v>0</v>
      </c>
      <c r="I6" s="31">
        <f t="shared" ref="I6:I13" si="1">IF(A6="",0,C6*H6)</f>
        <v>0</v>
      </c>
      <c r="J6" s="19" t="s">
        <v>138</v>
      </c>
    </row>
    <row r="7" spans="1:10" x14ac:dyDescent="0.2">
      <c r="A7" s="20" t="str">
        <f>'02_Oferta_Proponente'!A8</f>
        <v/>
      </c>
      <c r="B7" s="25">
        <f>'02_Oferta_Proponente'!G8</f>
        <v>0</v>
      </c>
      <c r="C7" s="27">
        <f>'02_Oferta_Proponente'!D8</f>
        <v>0</v>
      </c>
      <c r="D7" s="31">
        <f>'02_Oferta_Proponente'!J8</f>
        <v>0</v>
      </c>
      <c r="E7" s="31">
        <f>'02_Oferta_Proponente'!K8</f>
        <v>0</v>
      </c>
      <c r="F7" s="31">
        <f>'02_Oferta_Proponente'!L8</f>
        <v>0</v>
      </c>
      <c r="G7" s="31">
        <f>'02_Oferta_Proponente'!M8</f>
        <v>0</v>
      </c>
      <c r="H7" s="31">
        <f t="shared" si="0"/>
        <v>0</v>
      </c>
      <c r="I7" s="31">
        <f t="shared" si="1"/>
        <v>0</v>
      </c>
      <c r="J7" s="19" t="s">
        <v>138</v>
      </c>
    </row>
    <row r="8" spans="1:10" x14ac:dyDescent="0.2">
      <c r="A8" s="20" t="str">
        <f>'02_Oferta_Proponente'!A9</f>
        <v/>
      </c>
      <c r="B8" s="25">
        <f>'02_Oferta_Proponente'!G9</f>
        <v>0</v>
      </c>
      <c r="C8" s="27">
        <f>'02_Oferta_Proponente'!D9</f>
        <v>0</v>
      </c>
      <c r="D8" s="31">
        <f>'02_Oferta_Proponente'!J9</f>
        <v>0</v>
      </c>
      <c r="E8" s="31">
        <f>'02_Oferta_Proponente'!K9</f>
        <v>0</v>
      </c>
      <c r="F8" s="31">
        <f>'02_Oferta_Proponente'!L9</f>
        <v>0</v>
      </c>
      <c r="G8" s="31">
        <f>'02_Oferta_Proponente'!M9</f>
        <v>0</v>
      </c>
      <c r="H8" s="31">
        <f t="shared" si="0"/>
        <v>0</v>
      </c>
      <c r="I8" s="31">
        <f t="shared" si="1"/>
        <v>0</v>
      </c>
      <c r="J8" s="19" t="s">
        <v>138</v>
      </c>
    </row>
    <row r="9" spans="1:10" x14ac:dyDescent="0.2">
      <c r="A9" s="20" t="str">
        <f>'02_Oferta_Proponente'!A10</f>
        <v/>
      </c>
      <c r="B9" s="25">
        <f>'02_Oferta_Proponente'!G10</f>
        <v>0</v>
      </c>
      <c r="C9" s="27">
        <f>'02_Oferta_Proponente'!D10</f>
        <v>0</v>
      </c>
      <c r="D9" s="31">
        <f>'02_Oferta_Proponente'!J10</f>
        <v>0</v>
      </c>
      <c r="E9" s="31">
        <f>'02_Oferta_Proponente'!K10</f>
        <v>0</v>
      </c>
      <c r="F9" s="31">
        <f>'02_Oferta_Proponente'!L10</f>
        <v>0</v>
      </c>
      <c r="G9" s="31">
        <f>'02_Oferta_Proponente'!M10</f>
        <v>0</v>
      </c>
      <c r="H9" s="31">
        <f t="shared" si="0"/>
        <v>0</v>
      </c>
      <c r="I9" s="31">
        <f t="shared" si="1"/>
        <v>0</v>
      </c>
      <c r="J9" s="19" t="s">
        <v>138</v>
      </c>
    </row>
    <row r="10" spans="1:10" x14ac:dyDescent="0.2">
      <c r="A10" s="20" t="str">
        <f>'02_Oferta_Proponente'!A11</f>
        <v/>
      </c>
      <c r="B10" s="25">
        <f>'02_Oferta_Proponente'!G11</f>
        <v>0</v>
      </c>
      <c r="C10" s="27">
        <f>'02_Oferta_Proponente'!D11</f>
        <v>0</v>
      </c>
      <c r="D10" s="31">
        <f>'02_Oferta_Proponente'!J11</f>
        <v>0</v>
      </c>
      <c r="E10" s="31">
        <f>'02_Oferta_Proponente'!K11</f>
        <v>0</v>
      </c>
      <c r="F10" s="31">
        <f>'02_Oferta_Proponente'!L11</f>
        <v>0</v>
      </c>
      <c r="G10" s="31">
        <f>'02_Oferta_Proponente'!M11</f>
        <v>0</v>
      </c>
      <c r="H10" s="31">
        <f t="shared" si="0"/>
        <v>0</v>
      </c>
      <c r="I10" s="31">
        <f t="shared" si="1"/>
        <v>0</v>
      </c>
      <c r="J10" s="19" t="s">
        <v>138</v>
      </c>
    </row>
    <row r="11" spans="1:10" x14ac:dyDescent="0.2">
      <c r="A11" s="20" t="str">
        <f>'02_Oferta_Proponente'!A12</f>
        <v/>
      </c>
      <c r="B11" s="25">
        <f>'02_Oferta_Proponente'!G12</f>
        <v>0</v>
      </c>
      <c r="C11" s="27">
        <f>'02_Oferta_Proponente'!D12</f>
        <v>0</v>
      </c>
      <c r="D11" s="31">
        <f>'02_Oferta_Proponente'!J12</f>
        <v>0</v>
      </c>
      <c r="E11" s="31">
        <f>'02_Oferta_Proponente'!K12</f>
        <v>0</v>
      </c>
      <c r="F11" s="31">
        <f>'02_Oferta_Proponente'!L12</f>
        <v>0</v>
      </c>
      <c r="G11" s="31">
        <f>'02_Oferta_Proponente'!M12</f>
        <v>0</v>
      </c>
      <c r="H11" s="31">
        <f t="shared" si="0"/>
        <v>0</v>
      </c>
      <c r="I11" s="31">
        <f t="shared" si="1"/>
        <v>0</v>
      </c>
      <c r="J11" s="19" t="s">
        <v>138</v>
      </c>
    </row>
    <row r="12" spans="1:10" x14ac:dyDescent="0.2">
      <c r="A12" s="20" t="str">
        <f>'02_Oferta_Proponente'!A13</f>
        <v/>
      </c>
      <c r="B12" s="25">
        <f>'02_Oferta_Proponente'!G13</f>
        <v>0</v>
      </c>
      <c r="C12" s="27">
        <f>'02_Oferta_Proponente'!D13</f>
        <v>0</v>
      </c>
      <c r="D12" s="31">
        <f>'02_Oferta_Proponente'!J13</f>
        <v>0</v>
      </c>
      <c r="E12" s="31">
        <f>'02_Oferta_Proponente'!K13</f>
        <v>0</v>
      </c>
      <c r="F12" s="31">
        <f>'02_Oferta_Proponente'!L13</f>
        <v>0</v>
      </c>
      <c r="G12" s="31">
        <f>'02_Oferta_Proponente'!M13</f>
        <v>0</v>
      </c>
      <c r="H12" s="31">
        <f t="shared" si="0"/>
        <v>0</v>
      </c>
      <c r="I12" s="31">
        <f t="shared" si="1"/>
        <v>0</v>
      </c>
      <c r="J12" s="19" t="s">
        <v>138</v>
      </c>
    </row>
    <row r="13" spans="1:10" x14ac:dyDescent="0.2">
      <c r="A13" s="20" t="str">
        <f>'02_Oferta_Proponente'!A14</f>
        <v/>
      </c>
      <c r="B13" s="25">
        <f>'02_Oferta_Proponente'!G14</f>
        <v>0</v>
      </c>
      <c r="C13" s="27">
        <f>'02_Oferta_Proponente'!D14</f>
        <v>0</v>
      </c>
      <c r="D13" s="31">
        <f>'02_Oferta_Proponente'!J14</f>
        <v>0</v>
      </c>
      <c r="E13" s="31">
        <f>'02_Oferta_Proponente'!K14</f>
        <v>0</v>
      </c>
      <c r="F13" s="31">
        <f>'02_Oferta_Proponente'!L14</f>
        <v>0</v>
      </c>
      <c r="G13" s="31">
        <f>'02_Oferta_Proponente'!M14</f>
        <v>0</v>
      </c>
      <c r="H13" s="31">
        <f t="shared" si="0"/>
        <v>0</v>
      </c>
      <c r="I13" s="31">
        <f t="shared" si="1"/>
        <v>0</v>
      </c>
      <c r="J13" s="19" t="s">
        <v>138</v>
      </c>
    </row>
    <row r="15" spans="1:10" x14ac:dyDescent="0.2">
      <c r="A15" s="48" t="s">
        <v>139</v>
      </c>
      <c r="B15" s="39"/>
      <c r="C15" s="39"/>
      <c r="D15" s="39"/>
      <c r="E15" s="39"/>
      <c r="F15" s="39"/>
      <c r="G15" s="39"/>
      <c r="H15" s="39"/>
      <c r="I15" s="31">
        <f>SUM(I6:I13)</f>
        <v>0</v>
      </c>
      <c r="J15" s="19"/>
    </row>
    <row r="17" spans="1:10" x14ac:dyDescent="0.2">
      <c r="A17" s="42" t="s">
        <v>140</v>
      </c>
      <c r="B17" s="39"/>
      <c r="C17" s="39"/>
      <c r="D17" s="39"/>
      <c r="E17" s="39"/>
      <c r="F17" s="39"/>
      <c r="G17" s="39"/>
      <c r="H17" s="39"/>
      <c r="I17" s="39"/>
      <c r="J17" s="39"/>
    </row>
    <row r="18" spans="1:10" x14ac:dyDescent="0.2">
      <c r="A18" s="39"/>
      <c r="B18" s="39"/>
      <c r="C18" s="39"/>
      <c r="D18" s="39"/>
      <c r="E18" s="39"/>
      <c r="F18" s="39"/>
      <c r="G18" s="39"/>
      <c r="H18" s="39"/>
      <c r="I18" s="39"/>
      <c r="J18" s="39"/>
    </row>
  </sheetData>
  <sheetProtection autoFilter="0"/>
  <mergeCells count="4">
    <mergeCell ref="A15:H15"/>
    <mergeCell ref="A1:J1"/>
    <mergeCell ref="A17:J18"/>
    <mergeCell ref="A2:J2"/>
  </mergeCells>
  <pageMargins left="0.75" right="0.75" top="1" bottom="1" header="0.5" footer="0.5"/>
  <pageSetup fitToHeight="0" orientation="landscape"/>
  <headerFooter>
    <oddFooter>&amp;CCAUE - RETILAP 2026 | Alumbrado público vial&amp;RPágina &amp;P de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M59"/>
  <sheetViews>
    <sheetView showGridLines="0" workbookViewId="0">
      <pane ySplit="16" topLeftCell="A35" activePane="bottomLeft" state="frozen"/>
      <selection activeCell="E25" sqref="E25"/>
      <selection pane="bottomLeft" activeCell="A57" sqref="A57:M59"/>
    </sheetView>
  </sheetViews>
  <sheetFormatPr baseColWidth="10" defaultColWidth="8.83203125" defaultRowHeight="15" x14ac:dyDescent="0.2"/>
  <cols>
    <col min="1" max="1" width="51.33203125" customWidth="1"/>
    <col min="2" max="2" width="20" customWidth="1"/>
    <col min="3" max="3" width="18" customWidth="1"/>
    <col min="4" max="4" width="22" customWidth="1"/>
    <col min="5" max="5" width="21" customWidth="1"/>
    <col min="6" max="6" width="28" customWidth="1"/>
    <col min="7" max="7" width="20" customWidth="1"/>
    <col min="8" max="8" width="17" customWidth="1"/>
    <col min="9" max="11" width="20" customWidth="1"/>
    <col min="12" max="12" width="16" customWidth="1"/>
    <col min="13" max="13" width="32" customWidth="1"/>
  </cols>
  <sheetData>
    <row r="1" spans="1:13" ht="28" customHeight="1" x14ac:dyDescent="0.2">
      <c r="A1" s="41" t="s">
        <v>141</v>
      </c>
      <c r="B1" s="39"/>
      <c r="C1" s="39"/>
      <c r="D1" s="39"/>
      <c r="E1" s="39"/>
      <c r="F1" s="39"/>
      <c r="G1" s="39"/>
      <c r="H1" s="39"/>
      <c r="I1" s="39"/>
      <c r="J1" s="39"/>
      <c r="K1" s="39"/>
      <c r="L1" s="39"/>
      <c r="M1" s="39"/>
    </row>
    <row r="2" spans="1:13" ht="34" customHeight="1" x14ac:dyDescent="0.2">
      <c r="A2" s="40" t="s">
        <v>142</v>
      </c>
      <c r="B2" s="39"/>
      <c r="C2" s="39"/>
      <c r="D2" s="39"/>
      <c r="E2" s="39"/>
      <c r="F2" s="39"/>
      <c r="G2" s="39"/>
      <c r="H2" s="39"/>
      <c r="I2" s="39"/>
      <c r="J2" s="39"/>
      <c r="K2" s="39"/>
      <c r="L2" s="39"/>
      <c r="M2" s="39"/>
    </row>
    <row r="4" spans="1:13" ht="23" customHeight="1" x14ac:dyDescent="0.2">
      <c r="A4" s="38" t="s">
        <v>143</v>
      </c>
      <c r="B4" s="39"/>
      <c r="C4" s="39"/>
      <c r="D4" s="39"/>
      <c r="E4" s="39"/>
      <c r="F4" s="39"/>
      <c r="G4" s="39"/>
      <c r="H4" s="39"/>
      <c r="I4" s="39"/>
      <c r="J4" s="39"/>
      <c r="K4" s="39"/>
      <c r="L4" s="39"/>
      <c r="M4" s="39"/>
    </row>
    <row r="5" spans="1:13" x14ac:dyDescent="0.2">
      <c r="A5" s="24" t="s">
        <v>144</v>
      </c>
      <c r="B5" s="31">
        <f>'04_Costos_Iniciales'!I15</f>
        <v>0</v>
      </c>
      <c r="C5" s="19" t="s">
        <v>46</v>
      </c>
    </row>
    <row r="6" spans="1:13" x14ac:dyDescent="0.2">
      <c r="A6" s="24" t="s">
        <v>145</v>
      </c>
      <c r="B6" s="25">
        <f>SUM('02_Oferta_Proponente'!D7:D14)</f>
        <v>0</v>
      </c>
      <c r="C6" s="19" t="s">
        <v>146</v>
      </c>
    </row>
    <row r="7" spans="1:13" x14ac:dyDescent="0.2">
      <c r="A7" s="24" t="s">
        <v>126</v>
      </c>
      <c r="B7" s="25">
        <f>'03_Operacion_Energia'!B32</f>
        <v>0</v>
      </c>
      <c r="C7" s="19" t="s">
        <v>127</v>
      </c>
    </row>
    <row r="8" spans="1:13" x14ac:dyDescent="0.2">
      <c r="A8" s="24" t="s">
        <v>147</v>
      </c>
      <c r="B8" s="31">
        <f>'03_Operacion_Energia'!B33</f>
        <v>0</v>
      </c>
      <c r="C8" s="19" t="s">
        <v>129</v>
      </c>
    </row>
    <row r="9" spans="1:13" x14ac:dyDescent="0.2">
      <c r="A9" s="24" t="s">
        <v>148</v>
      </c>
      <c r="B9" s="31">
        <f>B6*'01_Entidad'!C18</f>
        <v>0</v>
      </c>
      <c r="C9" s="19" t="s">
        <v>149</v>
      </c>
    </row>
    <row r="10" spans="1:13" x14ac:dyDescent="0.2">
      <c r="A10" s="24" t="s">
        <v>150</v>
      </c>
      <c r="B10" s="31">
        <f>SUMPRODUCT('02_Oferta_Proponente'!D7:D14,'02_Oferta_Proponente'!N7:N14)+B6*'01_Entidad'!C19</f>
        <v>0</v>
      </c>
      <c r="C10" s="19" t="s">
        <v>149</v>
      </c>
    </row>
    <row r="11" spans="1:13" x14ac:dyDescent="0.2">
      <c r="A11" s="24" t="s">
        <v>151</v>
      </c>
      <c r="B11" s="31">
        <f>SUMPRODUCT('02_Oferta_Proponente'!D7:D14,'02_Oferta_Proponente'!O7:O14)+B6*'01_Entidad'!C20</f>
        <v>0</v>
      </c>
      <c r="C11" s="19" t="s">
        <v>149</v>
      </c>
    </row>
    <row r="12" spans="1:13" x14ac:dyDescent="0.2">
      <c r="A12" s="24" t="s">
        <v>152</v>
      </c>
      <c r="B12" s="25">
        <f>'01_Entidad'!C17</f>
        <v>2</v>
      </c>
      <c r="C12" s="19" t="s">
        <v>33</v>
      </c>
    </row>
    <row r="15" spans="1:13" ht="23" customHeight="1" x14ac:dyDescent="0.2">
      <c r="A15" s="38" t="s">
        <v>153</v>
      </c>
      <c r="B15" s="39"/>
      <c r="C15" s="39"/>
      <c r="D15" s="39"/>
      <c r="E15" s="39"/>
      <c r="F15" s="39"/>
      <c r="G15" s="39"/>
      <c r="H15" s="39"/>
      <c r="I15" s="39"/>
      <c r="J15" s="39"/>
      <c r="K15" s="39"/>
      <c r="L15" s="39"/>
      <c r="M15" s="39"/>
    </row>
    <row r="16" spans="1:13" ht="28" x14ac:dyDescent="0.2">
      <c r="A16" s="8" t="s">
        <v>154</v>
      </c>
      <c r="B16" s="8" t="s">
        <v>155</v>
      </c>
      <c r="C16" s="8" t="s">
        <v>156</v>
      </c>
      <c r="D16" s="8" t="s">
        <v>157</v>
      </c>
      <c r="E16" s="8" t="s">
        <v>158</v>
      </c>
      <c r="F16" s="8" t="s">
        <v>159</v>
      </c>
      <c r="G16" s="8" t="s">
        <v>160</v>
      </c>
      <c r="H16" s="8" t="s">
        <v>161</v>
      </c>
      <c r="I16" s="8" t="s">
        <v>162</v>
      </c>
      <c r="J16" s="8" t="s">
        <v>163</v>
      </c>
      <c r="K16" s="8" t="s">
        <v>164</v>
      </c>
      <c r="L16" s="8" t="s">
        <v>165</v>
      </c>
      <c r="M16" s="8" t="s">
        <v>166</v>
      </c>
    </row>
    <row r="17" spans="1:13" x14ac:dyDescent="0.2">
      <c r="A17" s="34">
        <v>0</v>
      </c>
      <c r="B17" s="31">
        <f>$B$5</f>
        <v>0</v>
      </c>
      <c r="C17" s="31">
        <f>0</f>
        <v>0</v>
      </c>
      <c r="D17" s="31">
        <f>0</f>
        <v>0</v>
      </c>
      <c r="E17" s="31">
        <f>0</f>
        <v>0</v>
      </c>
      <c r="F17" s="31">
        <f>0</f>
        <v>0</v>
      </c>
      <c r="G17" s="31">
        <f t="shared" ref="G17:G37" si="0">SUM(B17:F17)</f>
        <v>0</v>
      </c>
      <c r="H17" s="25">
        <f>1</f>
        <v>1</v>
      </c>
      <c r="I17" s="31">
        <f>B17</f>
        <v>0</v>
      </c>
      <c r="J17" s="31">
        <f>0</f>
        <v>0</v>
      </c>
      <c r="K17" s="31">
        <f t="shared" ref="K17:K37" si="1">I17+J17</f>
        <v>0</v>
      </c>
      <c r="L17" s="30">
        <f>'01_Entidad'!C15</f>
        <v>0</v>
      </c>
      <c r="M17" s="19" t="s">
        <v>155</v>
      </c>
    </row>
    <row r="18" spans="1:13" x14ac:dyDescent="0.2">
      <c r="A18" s="34">
        <v>1</v>
      </c>
      <c r="B18" s="31">
        <f>0</f>
        <v>0</v>
      </c>
      <c r="C18" s="31">
        <f t="shared" ref="C18:C37" si="2">$B$8</f>
        <v>0</v>
      </c>
      <c r="D18" s="31">
        <f t="shared" ref="D18:D37" si="3">IFERROR(IF(MOD(A18,$B$12)=0,$B$9,0),0)</f>
        <v>0</v>
      </c>
      <c r="E18" s="31">
        <f t="shared" ref="E18:E37" si="4">IF(A18=10,$B$11,0)</f>
        <v>0</v>
      </c>
      <c r="F18" s="31">
        <f t="shared" ref="F18:F37" si="5">IF(OR(A18=9,A18=18),$B$10,0)</f>
        <v>0</v>
      </c>
      <c r="G18" s="31">
        <f t="shared" si="0"/>
        <v>0</v>
      </c>
      <c r="H18" s="25">
        <f>1/POWER(1+'01_Entidad'!$C$9,A18)</f>
        <v>0.89214024444642692</v>
      </c>
      <c r="I18" s="31">
        <f t="shared" ref="I18:I37" si="6">(B18+C18+D18+E18)*H18</f>
        <v>0</v>
      </c>
      <c r="J18" s="31">
        <f>IF(A18=9,$B$10/POWER(1+'01_Entidad'!$C$10,105),IF(A18=18,$B$10/POWER(1+'01_Entidad'!$C$10,210),0))</f>
        <v>0</v>
      </c>
      <c r="K18" s="31">
        <f t="shared" si="1"/>
        <v>0</v>
      </c>
      <c r="L18" s="30">
        <f>'01_Entidad'!C15</f>
        <v>0</v>
      </c>
      <c r="M18" s="20" t="str">
        <f t="shared" ref="M18:M37" si="7">IF(D18&gt;0,"Limpieza; ","")&amp;IF(A18=9,"Driver mes 105; ","")&amp;IF(A18=10,"Fotocontrol mes 120; ","")&amp;IF(A18=18,"Driver mes 210; ","")</f>
        <v/>
      </c>
    </row>
    <row r="19" spans="1:13" x14ac:dyDescent="0.2">
      <c r="A19" s="34">
        <v>2</v>
      </c>
      <c r="B19" s="31">
        <f>0</f>
        <v>0</v>
      </c>
      <c r="C19" s="31">
        <f t="shared" si="2"/>
        <v>0</v>
      </c>
      <c r="D19" s="31">
        <f t="shared" si="3"/>
        <v>0</v>
      </c>
      <c r="E19" s="31">
        <f t="shared" si="4"/>
        <v>0</v>
      </c>
      <c r="F19" s="31">
        <f t="shared" si="5"/>
        <v>0</v>
      </c>
      <c r="G19" s="31">
        <f t="shared" si="0"/>
        <v>0</v>
      </c>
      <c r="H19" s="25">
        <f>1/POWER(1+'01_Entidad'!$C$9,A19)</f>
        <v>0.79591421576093047</v>
      </c>
      <c r="I19" s="31">
        <f t="shared" si="6"/>
        <v>0</v>
      </c>
      <c r="J19" s="31">
        <f>IF(A19=9,$B$10/POWER(1+'01_Entidad'!$C$10,105),IF(A19=18,$B$10/POWER(1+'01_Entidad'!$C$10,210),0))</f>
        <v>0</v>
      </c>
      <c r="K19" s="31">
        <f t="shared" si="1"/>
        <v>0</v>
      </c>
      <c r="L19" s="30">
        <f>'01_Entidad'!C15</f>
        <v>0</v>
      </c>
      <c r="M19" s="20" t="str">
        <f t="shared" si="7"/>
        <v/>
      </c>
    </row>
    <row r="20" spans="1:13" x14ac:dyDescent="0.2">
      <c r="A20" s="34">
        <v>3</v>
      </c>
      <c r="B20" s="31">
        <f>0</f>
        <v>0</v>
      </c>
      <c r="C20" s="31">
        <f t="shared" si="2"/>
        <v>0</v>
      </c>
      <c r="D20" s="31">
        <f t="shared" si="3"/>
        <v>0</v>
      </c>
      <c r="E20" s="31">
        <f t="shared" si="4"/>
        <v>0</v>
      </c>
      <c r="F20" s="31">
        <f t="shared" si="5"/>
        <v>0</v>
      </c>
      <c r="G20" s="31">
        <f t="shared" si="0"/>
        <v>0</v>
      </c>
      <c r="H20" s="25">
        <f>1/POWER(1+'01_Entidad'!$C$9,A20)</f>
        <v>0.71006710300734277</v>
      </c>
      <c r="I20" s="31">
        <f t="shared" si="6"/>
        <v>0</v>
      </c>
      <c r="J20" s="31">
        <f>IF(A20=9,$B$10/POWER(1+'01_Entidad'!$C$10,105),IF(A20=18,$B$10/POWER(1+'01_Entidad'!$C$10,210),0))</f>
        <v>0</v>
      </c>
      <c r="K20" s="31">
        <f t="shared" si="1"/>
        <v>0</v>
      </c>
      <c r="L20" s="30">
        <f>'01_Entidad'!C15</f>
        <v>0</v>
      </c>
      <c r="M20" s="20" t="str">
        <f t="shared" si="7"/>
        <v/>
      </c>
    </row>
    <row r="21" spans="1:13" x14ac:dyDescent="0.2">
      <c r="A21" s="34">
        <v>4</v>
      </c>
      <c r="B21" s="31">
        <f>0</f>
        <v>0</v>
      </c>
      <c r="C21" s="31">
        <f t="shared" si="2"/>
        <v>0</v>
      </c>
      <c r="D21" s="31">
        <f t="shared" si="3"/>
        <v>0</v>
      </c>
      <c r="E21" s="31">
        <f t="shared" si="4"/>
        <v>0</v>
      </c>
      <c r="F21" s="31">
        <f t="shared" si="5"/>
        <v>0</v>
      </c>
      <c r="G21" s="31">
        <f t="shared" si="0"/>
        <v>0</v>
      </c>
      <c r="H21" s="25">
        <f>1/POWER(1+'01_Entidad'!$C$9,A21)</f>
        <v>0.63347943885033708</v>
      </c>
      <c r="I21" s="31">
        <f t="shared" si="6"/>
        <v>0</v>
      </c>
      <c r="J21" s="31">
        <f>IF(A21=9,$B$10/POWER(1+'01_Entidad'!$C$10,105),IF(A21=18,$B$10/POWER(1+'01_Entidad'!$C$10,210),0))</f>
        <v>0</v>
      </c>
      <c r="K21" s="31">
        <f t="shared" si="1"/>
        <v>0</v>
      </c>
      <c r="L21" s="30">
        <f>'01_Entidad'!C15</f>
        <v>0</v>
      </c>
      <c r="M21" s="20" t="str">
        <f t="shared" si="7"/>
        <v/>
      </c>
    </row>
    <row r="22" spans="1:13" x14ac:dyDescent="0.2">
      <c r="A22" s="34">
        <v>5</v>
      </c>
      <c r="B22" s="31">
        <f>0</f>
        <v>0</v>
      </c>
      <c r="C22" s="31">
        <f t="shared" si="2"/>
        <v>0</v>
      </c>
      <c r="D22" s="31">
        <f t="shared" si="3"/>
        <v>0</v>
      </c>
      <c r="E22" s="31">
        <f t="shared" si="4"/>
        <v>0</v>
      </c>
      <c r="F22" s="31">
        <f t="shared" si="5"/>
        <v>0</v>
      </c>
      <c r="G22" s="31">
        <f t="shared" si="0"/>
        <v>0</v>
      </c>
      <c r="H22" s="25">
        <f>1/POWER(1+'01_Entidad'!$C$9,A22)</f>
        <v>0.56515250142772511</v>
      </c>
      <c r="I22" s="31">
        <f t="shared" si="6"/>
        <v>0</v>
      </c>
      <c r="J22" s="31">
        <f>IF(A22=9,$B$10/POWER(1+'01_Entidad'!$C$10,105),IF(A22=18,$B$10/POWER(1+'01_Entidad'!$C$10,210),0))</f>
        <v>0</v>
      </c>
      <c r="K22" s="31">
        <f t="shared" si="1"/>
        <v>0</v>
      </c>
      <c r="L22" s="30">
        <f>'01_Entidad'!C15</f>
        <v>0</v>
      </c>
      <c r="M22" s="20" t="str">
        <f t="shared" si="7"/>
        <v/>
      </c>
    </row>
    <row r="23" spans="1:13" x14ac:dyDescent="0.2">
      <c r="A23" s="34">
        <v>6</v>
      </c>
      <c r="B23" s="31">
        <f>0</f>
        <v>0</v>
      </c>
      <c r="C23" s="31">
        <f t="shared" si="2"/>
        <v>0</v>
      </c>
      <c r="D23" s="31">
        <f t="shared" si="3"/>
        <v>0</v>
      </c>
      <c r="E23" s="31">
        <f t="shared" si="4"/>
        <v>0</v>
      </c>
      <c r="F23" s="31">
        <f t="shared" si="5"/>
        <v>0</v>
      </c>
      <c r="G23" s="31">
        <f t="shared" si="0"/>
        <v>0</v>
      </c>
      <c r="H23" s="25">
        <f>1/POWER(1+'01_Entidad'!$C$9,A23)</f>
        <v>0.50419529077324032</v>
      </c>
      <c r="I23" s="31">
        <f t="shared" si="6"/>
        <v>0</v>
      </c>
      <c r="J23" s="31">
        <f>IF(A23=9,$B$10/POWER(1+'01_Entidad'!$C$10,105),IF(A23=18,$B$10/POWER(1+'01_Entidad'!$C$10,210),0))</f>
        <v>0</v>
      </c>
      <c r="K23" s="31">
        <f t="shared" si="1"/>
        <v>0</v>
      </c>
      <c r="L23" s="30">
        <f>'01_Entidad'!C15</f>
        <v>0</v>
      </c>
      <c r="M23" s="20" t="str">
        <f t="shared" si="7"/>
        <v/>
      </c>
    </row>
    <row r="24" spans="1:13" x14ac:dyDescent="0.2">
      <c r="A24" s="34">
        <v>7</v>
      </c>
      <c r="B24" s="31">
        <f>0</f>
        <v>0</v>
      </c>
      <c r="C24" s="31">
        <f t="shared" si="2"/>
        <v>0</v>
      </c>
      <c r="D24" s="31">
        <f t="shared" si="3"/>
        <v>0</v>
      </c>
      <c r="E24" s="31">
        <f t="shared" si="4"/>
        <v>0</v>
      </c>
      <c r="F24" s="31">
        <f t="shared" si="5"/>
        <v>0</v>
      </c>
      <c r="G24" s="31">
        <f t="shared" si="0"/>
        <v>0</v>
      </c>
      <c r="H24" s="25">
        <f>1/POWER(1+'01_Entidad'!$C$9,A24)</f>
        <v>0.44981290995917594</v>
      </c>
      <c r="I24" s="31">
        <f t="shared" si="6"/>
        <v>0</v>
      </c>
      <c r="J24" s="31">
        <f>IF(A24=9,$B$10/POWER(1+'01_Entidad'!$C$10,105),IF(A24=18,$B$10/POWER(1+'01_Entidad'!$C$10,210),0))</f>
        <v>0</v>
      </c>
      <c r="K24" s="31">
        <f t="shared" si="1"/>
        <v>0</v>
      </c>
      <c r="L24" s="30">
        <f>'01_Entidad'!C15</f>
        <v>0</v>
      </c>
      <c r="M24" s="20" t="str">
        <f t="shared" si="7"/>
        <v/>
      </c>
    </row>
    <row r="25" spans="1:13" x14ac:dyDescent="0.2">
      <c r="A25" s="34">
        <v>8</v>
      </c>
      <c r="B25" s="31">
        <f>0</f>
        <v>0</v>
      </c>
      <c r="C25" s="31">
        <f t="shared" si="2"/>
        <v>0</v>
      </c>
      <c r="D25" s="31">
        <f t="shared" si="3"/>
        <v>0</v>
      </c>
      <c r="E25" s="31">
        <f t="shared" si="4"/>
        <v>0</v>
      </c>
      <c r="F25" s="31">
        <f t="shared" si="5"/>
        <v>0</v>
      </c>
      <c r="G25" s="31">
        <f t="shared" si="0"/>
        <v>0</v>
      </c>
      <c r="H25" s="25">
        <f>1/POWER(1+'01_Entidad'!$C$9,A25)</f>
        <v>0.40129619944613787</v>
      </c>
      <c r="I25" s="31">
        <f t="shared" si="6"/>
        <v>0</v>
      </c>
      <c r="J25" s="31">
        <f>IF(A25=9,$B$10/POWER(1+'01_Entidad'!$C$10,105),IF(A25=18,$B$10/POWER(1+'01_Entidad'!$C$10,210),0))</f>
        <v>0</v>
      </c>
      <c r="K25" s="31">
        <f t="shared" si="1"/>
        <v>0</v>
      </c>
      <c r="L25" s="30">
        <f>'01_Entidad'!C15</f>
        <v>0</v>
      </c>
      <c r="M25" s="20" t="str">
        <f t="shared" si="7"/>
        <v/>
      </c>
    </row>
    <row r="26" spans="1:13" x14ac:dyDescent="0.2">
      <c r="A26" s="34">
        <v>9</v>
      </c>
      <c r="B26" s="31">
        <f>0</f>
        <v>0</v>
      </c>
      <c r="C26" s="31">
        <f t="shared" si="2"/>
        <v>0</v>
      </c>
      <c r="D26" s="31">
        <f t="shared" si="3"/>
        <v>0</v>
      </c>
      <c r="E26" s="31">
        <f t="shared" si="4"/>
        <v>0</v>
      </c>
      <c r="F26" s="31">
        <f t="shared" si="5"/>
        <v>0</v>
      </c>
      <c r="G26" s="31">
        <f t="shared" si="0"/>
        <v>0</v>
      </c>
      <c r="H26" s="25">
        <f>1/POWER(1+'01_Entidad'!$C$9,A26)</f>
        <v>0.35801248946929959</v>
      </c>
      <c r="I26" s="31">
        <f t="shared" si="6"/>
        <v>0</v>
      </c>
      <c r="J26" s="31">
        <f>IF(A26=9,$B$10/POWER(1+'01_Entidad'!$C$10,105),IF(A26=18,$B$10/POWER(1+'01_Entidad'!$C$10,210),0))</f>
        <v>0</v>
      </c>
      <c r="K26" s="31">
        <f t="shared" si="1"/>
        <v>0</v>
      </c>
      <c r="L26" s="30">
        <f>'01_Entidad'!C15</f>
        <v>0</v>
      </c>
      <c r="M26" s="20" t="str">
        <f t="shared" si="7"/>
        <v xml:space="preserve">Driver mes 105; </v>
      </c>
    </row>
    <row r="27" spans="1:13" x14ac:dyDescent="0.2">
      <c r="A27" s="34">
        <v>10</v>
      </c>
      <c r="B27" s="31">
        <f>0</f>
        <v>0</v>
      </c>
      <c r="C27" s="31">
        <f t="shared" si="2"/>
        <v>0</v>
      </c>
      <c r="D27" s="31">
        <f t="shared" si="3"/>
        <v>0</v>
      </c>
      <c r="E27" s="31">
        <f t="shared" si="4"/>
        <v>0</v>
      </c>
      <c r="F27" s="31">
        <f t="shared" si="5"/>
        <v>0</v>
      </c>
      <c r="G27" s="31">
        <f t="shared" si="0"/>
        <v>0</v>
      </c>
      <c r="H27" s="25">
        <f>1/POWER(1+'01_Entidad'!$C$9,A27)</f>
        <v>0.31939734987001484</v>
      </c>
      <c r="I27" s="31">
        <f t="shared" si="6"/>
        <v>0</v>
      </c>
      <c r="J27" s="31">
        <f>IF(A27=9,$B$10/POWER(1+'01_Entidad'!$C$10,105),IF(A27=18,$B$10/POWER(1+'01_Entidad'!$C$10,210),0))</f>
        <v>0</v>
      </c>
      <c r="K27" s="31">
        <f t="shared" si="1"/>
        <v>0</v>
      </c>
      <c r="L27" s="30">
        <f>'01_Entidad'!C15</f>
        <v>0</v>
      </c>
      <c r="M27" s="20" t="str">
        <f t="shared" si="7"/>
        <v xml:space="preserve">Fotocontrol mes 120; </v>
      </c>
    </row>
    <row r="28" spans="1:13" x14ac:dyDescent="0.2">
      <c r="A28" s="34">
        <v>11</v>
      </c>
      <c r="B28" s="31">
        <f>0</f>
        <v>0</v>
      </c>
      <c r="C28" s="31">
        <f t="shared" si="2"/>
        <v>0</v>
      </c>
      <c r="D28" s="31">
        <f t="shared" si="3"/>
        <v>0</v>
      </c>
      <c r="E28" s="31">
        <f t="shared" si="4"/>
        <v>0</v>
      </c>
      <c r="F28" s="31">
        <f t="shared" si="5"/>
        <v>0</v>
      </c>
      <c r="G28" s="31">
        <f t="shared" si="0"/>
        <v>0</v>
      </c>
      <c r="H28" s="25">
        <f>1/POWER(1+'01_Entidad'!$C$9,A28)</f>
        <v>0.28494722978857595</v>
      </c>
      <c r="I28" s="31">
        <f t="shared" si="6"/>
        <v>0</v>
      </c>
      <c r="J28" s="31">
        <f>IF(A28=9,$B$10/POWER(1+'01_Entidad'!$C$10,105),IF(A28=18,$B$10/POWER(1+'01_Entidad'!$C$10,210),0))</f>
        <v>0</v>
      </c>
      <c r="K28" s="31">
        <f t="shared" si="1"/>
        <v>0</v>
      </c>
      <c r="L28" s="30">
        <f>'01_Entidad'!C15</f>
        <v>0</v>
      </c>
      <c r="M28" s="20" t="str">
        <f t="shared" si="7"/>
        <v/>
      </c>
    </row>
    <row r="29" spans="1:13" x14ac:dyDescent="0.2">
      <c r="A29" s="34">
        <v>12</v>
      </c>
      <c r="B29" s="31">
        <f>0</f>
        <v>0</v>
      </c>
      <c r="C29" s="31">
        <f t="shared" si="2"/>
        <v>0</v>
      </c>
      <c r="D29" s="31">
        <f t="shared" si="3"/>
        <v>0</v>
      </c>
      <c r="E29" s="31">
        <f t="shared" si="4"/>
        <v>0</v>
      </c>
      <c r="F29" s="31">
        <f t="shared" si="5"/>
        <v>0</v>
      </c>
      <c r="G29" s="31">
        <f t="shared" si="0"/>
        <v>0</v>
      </c>
      <c r="H29" s="25">
        <f>1/POWER(1+'01_Entidad'!$C$9,A29)</f>
        <v>0.25421289123791235</v>
      </c>
      <c r="I29" s="31">
        <f t="shared" si="6"/>
        <v>0</v>
      </c>
      <c r="J29" s="31">
        <f>IF(A29=9,$B$10/POWER(1+'01_Entidad'!$C$10,105),IF(A29=18,$B$10/POWER(1+'01_Entidad'!$C$10,210),0))</f>
        <v>0</v>
      </c>
      <c r="K29" s="31">
        <f t="shared" si="1"/>
        <v>0</v>
      </c>
      <c r="L29" s="30">
        <f>'01_Entidad'!C15</f>
        <v>0</v>
      </c>
      <c r="M29" s="20" t="str">
        <f t="shared" si="7"/>
        <v/>
      </c>
    </row>
    <row r="30" spans="1:13" x14ac:dyDescent="0.2">
      <c r="A30" s="34">
        <v>13</v>
      </c>
      <c r="B30" s="31">
        <f>0</f>
        <v>0</v>
      </c>
      <c r="C30" s="31">
        <f t="shared" si="2"/>
        <v>0</v>
      </c>
      <c r="D30" s="31">
        <f t="shared" si="3"/>
        <v>0</v>
      </c>
      <c r="E30" s="31">
        <f t="shared" si="4"/>
        <v>0</v>
      </c>
      <c r="F30" s="31">
        <f t="shared" si="5"/>
        <v>0</v>
      </c>
      <c r="G30" s="31">
        <f t="shared" si="0"/>
        <v>0</v>
      </c>
      <c r="H30" s="25">
        <f>1/POWER(1+'01_Entidad'!$C$9,A30)</f>
        <v>0.22679355093042411</v>
      </c>
      <c r="I30" s="31">
        <f t="shared" si="6"/>
        <v>0</v>
      </c>
      <c r="J30" s="31">
        <f>IF(A30=9,$B$10/POWER(1+'01_Entidad'!$C$10,105),IF(A30=18,$B$10/POWER(1+'01_Entidad'!$C$10,210),0))</f>
        <v>0</v>
      </c>
      <c r="K30" s="31">
        <f t="shared" si="1"/>
        <v>0</v>
      </c>
      <c r="L30" s="30">
        <f>'01_Entidad'!C15</f>
        <v>0</v>
      </c>
      <c r="M30" s="20" t="str">
        <f t="shared" si="7"/>
        <v/>
      </c>
    </row>
    <row r="31" spans="1:13" x14ac:dyDescent="0.2">
      <c r="A31" s="34">
        <v>14</v>
      </c>
      <c r="B31" s="31">
        <f>0</f>
        <v>0</v>
      </c>
      <c r="C31" s="31">
        <f t="shared" si="2"/>
        <v>0</v>
      </c>
      <c r="D31" s="31">
        <f t="shared" si="3"/>
        <v>0</v>
      </c>
      <c r="E31" s="31">
        <f t="shared" si="4"/>
        <v>0</v>
      </c>
      <c r="F31" s="31">
        <f t="shared" si="5"/>
        <v>0</v>
      </c>
      <c r="G31" s="31">
        <f t="shared" si="0"/>
        <v>0</v>
      </c>
      <c r="H31" s="25">
        <f>1/POWER(1+'01_Entidad'!$C$9,A31)</f>
        <v>0.20233165396594172</v>
      </c>
      <c r="I31" s="31">
        <f t="shared" si="6"/>
        <v>0</v>
      </c>
      <c r="J31" s="31">
        <f>IF(A31=9,$B$10/POWER(1+'01_Entidad'!$C$10,105),IF(A31=18,$B$10/POWER(1+'01_Entidad'!$C$10,210),0))</f>
        <v>0</v>
      </c>
      <c r="K31" s="31">
        <f t="shared" si="1"/>
        <v>0</v>
      </c>
      <c r="L31" s="30">
        <f>'01_Entidad'!C15</f>
        <v>0</v>
      </c>
      <c r="M31" s="20" t="str">
        <f t="shared" si="7"/>
        <v/>
      </c>
    </row>
    <row r="32" spans="1:13" x14ac:dyDescent="0.2">
      <c r="A32" s="34">
        <v>15</v>
      </c>
      <c r="B32" s="31">
        <f>0</f>
        <v>0</v>
      </c>
      <c r="C32" s="31">
        <f t="shared" si="2"/>
        <v>0</v>
      </c>
      <c r="D32" s="31">
        <f t="shared" si="3"/>
        <v>0</v>
      </c>
      <c r="E32" s="31">
        <f t="shared" si="4"/>
        <v>0</v>
      </c>
      <c r="F32" s="31">
        <f t="shared" si="5"/>
        <v>0</v>
      </c>
      <c r="G32" s="31">
        <f t="shared" si="0"/>
        <v>0</v>
      </c>
      <c r="H32" s="25">
        <f>1/POWER(1+'01_Entidad'!$C$9,A32)</f>
        <v>0.18050821122842514</v>
      </c>
      <c r="I32" s="31">
        <f t="shared" si="6"/>
        <v>0</v>
      </c>
      <c r="J32" s="31">
        <f>IF(A32=9,$B$10/POWER(1+'01_Entidad'!$C$10,105),IF(A32=18,$B$10/POWER(1+'01_Entidad'!$C$10,210),0))</f>
        <v>0</v>
      </c>
      <c r="K32" s="31">
        <f t="shared" si="1"/>
        <v>0</v>
      </c>
      <c r="L32" s="30">
        <f>'01_Entidad'!C15</f>
        <v>0</v>
      </c>
      <c r="M32" s="20" t="str">
        <f t="shared" si="7"/>
        <v/>
      </c>
    </row>
    <row r="33" spans="1:13" x14ac:dyDescent="0.2">
      <c r="A33" s="34">
        <v>16</v>
      </c>
      <c r="B33" s="31">
        <f>0</f>
        <v>0</v>
      </c>
      <c r="C33" s="31">
        <f t="shared" si="2"/>
        <v>0</v>
      </c>
      <c r="D33" s="31">
        <f t="shared" si="3"/>
        <v>0</v>
      </c>
      <c r="E33" s="31">
        <f t="shared" si="4"/>
        <v>0</v>
      </c>
      <c r="F33" s="31">
        <f t="shared" si="5"/>
        <v>0</v>
      </c>
      <c r="G33" s="31">
        <f t="shared" si="0"/>
        <v>0</v>
      </c>
      <c r="H33" s="25">
        <f>1/POWER(1+'01_Entidad'!$C$9,A33)</f>
        <v>0.16103863968991447</v>
      </c>
      <c r="I33" s="31">
        <f t="shared" si="6"/>
        <v>0</v>
      </c>
      <c r="J33" s="31">
        <f>IF(A33=9,$B$10/POWER(1+'01_Entidad'!$C$10,105),IF(A33=18,$B$10/POWER(1+'01_Entidad'!$C$10,210),0))</f>
        <v>0</v>
      </c>
      <c r="K33" s="31">
        <f t="shared" si="1"/>
        <v>0</v>
      </c>
      <c r="L33" s="30">
        <f>'01_Entidad'!C15</f>
        <v>0</v>
      </c>
      <c r="M33" s="20" t="str">
        <f t="shared" si="7"/>
        <v/>
      </c>
    </row>
    <row r="34" spans="1:13" x14ac:dyDescent="0.2">
      <c r="A34" s="34">
        <v>17</v>
      </c>
      <c r="B34" s="31">
        <f>0</f>
        <v>0</v>
      </c>
      <c r="C34" s="31">
        <f t="shared" si="2"/>
        <v>0</v>
      </c>
      <c r="D34" s="31">
        <f t="shared" si="3"/>
        <v>0</v>
      </c>
      <c r="E34" s="31">
        <f t="shared" si="4"/>
        <v>0</v>
      </c>
      <c r="F34" s="31">
        <f t="shared" si="5"/>
        <v>0</v>
      </c>
      <c r="G34" s="31">
        <f t="shared" si="0"/>
        <v>0</v>
      </c>
      <c r="H34" s="25">
        <f>1/POWER(1+'01_Entidad'!$C$9,A34)</f>
        <v>0.14366905137828037</v>
      </c>
      <c r="I34" s="31">
        <f t="shared" si="6"/>
        <v>0</v>
      </c>
      <c r="J34" s="31">
        <f>IF(A34=9,$B$10/POWER(1+'01_Entidad'!$C$10,105),IF(A34=18,$B$10/POWER(1+'01_Entidad'!$C$10,210),0))</f>
        <v>0</v>
      </c>
      <c r="K34" s="31">
        <f t="shared" si="1"/>
        <v>0</v>
      </c>
      <c r="L34" s="30">
        <f>'01_Entidad'!C15</f>
        <v>0</v>
      </c>
      <c r="M34" s="20" t="str">
        <f t="shared" si="7"/>
        <v/>
      </c>
    </row>
    <row r="35" spans="1:13" x14ac:dyDescent="0.2">
      <c r="A35" s="34">
        <v>18</v>
      </c>
      <c r="B35" s="31">
        <f>0</f>
        <v>0</v>
      </c>
      <c r="C35" s="31">
        <f t="shared" si="2"/>
        <v>0</v>
      </c>
      <c r="D35" s="31">
        <f t="shared" si="3"/>
        <v>0</v>
      </c>
      <c r="E35" s="31">
        <f t="shared" si="4"/>
        <v>0</v>
      </c>
      <c r="F35" s="31">
        <f t="shared" si="5"/>
        <v>0</v>
      </c>
      <c r="G35" s="31">
        <f t="shared" si="0"/>
        <v>0</v>
      </c>
      <c r="H35" s="25">
        <f>1/POWER(1+'01_Entidad'!$C$9,A35)</f>
        <v>0.12817294261600534</v>
      </c>
      <c r="I35" s="31">
        <f t="shared" si="6"/>
        <v>0</v>
      </c>
      <c r="J35" s="31">
        <f>IF(A35=9,$B$10/POWER(1+'01_Entidad'!$C$10,105),IF(A35=18,$B$10/POWER(1+'01_Entidad'!$C$10,210),0))</f>
        <v>0</v>
      </c>
      <c r="K35" s="31">
        <f t="shared" si="1"/>
        <v>0</v>
      </c>
      <c r="L35" s="30">
        <f>'01_Entidad'!C15</f>
        <v>0</v>
      </c>
      <c r="M35" s="20" t="str">
        <f t="shared" si="7"/>
        <v xml:space="preserve">Driver mes 210; </v>
      </c>
    </row>
    <row r="36" spans="1:13" x14ac:dyDescent="0.2">
      <c r="A36" s="34">
        <v>19</v>
      </c>
      <c r="B36" s="31">
        <f>0</f>
        <v>0</v>
      </c>
      <c r="C36" s="31">
        <f t="shared" si="2"/>
        <v>0</v>
      </c>
      <c r="D36" s="31">
        <f t="shared" si="3"/>
        <v>0</v>
      </c>
      <c r="E36" s="31">
        <f t="shared" si="4"/>
        <v>0</v>
      </c>
      <c r="F36" s="31">
        <f t="shared" si="5"/>
        <v>0</v>
      </c>
      <c r="G36" s="31">
        <f t="shared" si="0"/>
        <v>0</v>
      </c>
      <c r="H36" s="25">
        <f>1/POWER(1+'01_Entidad'!$C$9,A36)</f>
        <v>0.11434824035686085</v>
      </c>
      <c r="I36" s="31">
        <f t="shared" si="6"/>
        <v>0</v>
      </c>
      <c r="J36" s="31">
        <f>IF(A36=9,$B$10/POWER(1+'01_Entidad'!$C$10,105),IF(A36=18,$B$10/POWER(1+'01_Entidad'!$C$10,210),0))</f>
        <v>0</v>
      </c>
      <c r="K36" s="31">
        <f t="shared" si="1"/>
        <v>0</v>
      </c>
      <c r="L36" s="30">
        <f>'01_Entidad'!C15</f>
        <v>0</v>
      </c>
      <c r="M36" s="20" t="str">
        <f t="shared" si="7"/>
        <v/>
      </c>
    </row>
    <row r="37" spans="1:13" x14ac:dyDescent="0.2">
      <c r="A37" s="34">
        <v>20</v>
      </c>
      <c r="B37" s="31">
        <f>0</f>
        <v>0</v>
      </c>
      <c r="C37" s="31">
        <f t="shared" si="2"/>
        <v>0</v>
      </c>
      <c r="D37" s="31">
        <f t="shared" si="3"/>
        <v>0</v>
      </c>
      <c r="E37" s="31">
        <f t="shared" si="4"/>
        <v>0</v>
      </c>
      <c r="F37" s="31">
        <f t="shared" si="5"/>
        <v>0</v>
      </c>
      <c r="G37" s="31">
        <f t="shared" si="0"/>
        <v>0</v>
      </c>
      <c r="H37" s="25">
        <f>1/POWER(1+'01_Entidad'!$C$9,A37)</f>
        <v>0.10201466710398864</v>
      </c>
      <c r="I37" s="31">
        <f t="shared" si="6"/>
        <v>0</v>
      </c>
      <c r="J37" s="31">
        <f>IF(A37=9,$B$10/POWER(1+'01_Entidad'!$C$10,105),IF(A37=18,$B$10/POWER(1+'01_Entidad'!$C$10,210),0))</f>
        <v>0</v>
      </c>
      <c r="K37" s="31">
        <f t="shared" si="1"/>
        <v>0</v>
      </c>
      <c r="L37" s="30">
        <f>'01_Entidad'!C15</f>
        <v>0</v>
      </c>
      <c r="M37" s="20" t="str">
        <f t="shared" si="7"/>
        <v/>
      </c>
    </row>
    <row r="39" spans="1:13" ht="23" customHeight="1" x14ac:dyDescent="0.2">
      <c r="A39" s="38" t="s">
        <v>167</v>
      </c>
      <c r="B39" s="39"/>
      <c r="C39" s="39"/>
      <c r="D39" s="39"/>
      <c r="E39" s="39"/>
      <c r="F39" s="39"/>
      <c r="G39" s="39"/>
      <c r="H39" s="39"/>
      <c r="I39" s="39"/>
      <c r="J39" s="39"/>
      <c r="K39" s="39"/>
      <c r="L39" s="39"/>
      <c r="M39" s="39"/>
    </row>
    <row r="40" spans="1:13" x14ac:dyDescent="0.2">
      <c r="A40" s="8" t="s">
        <v>168</v>
      </c>
      <c r="B40" s="8" t="s">
        <v>169</v>
      </c>
      <c r="C40" s="8" t="s">
        <v>170</v>
      </c>
      <c r="D40" s="8" t="s">
        <v>171</v>
      </c>
      <c r="E40" s="8" t="s">
        <v>172</v>
      </c>
      <c r="F40" s="8" t="s">
        <v>173</v>
      </c>
      <c r="G40" s="8" t="s">
        <v>174</v>
      </c>
      <c r="H40" s="8" t="s">
        <v>175</v>
      </c>
      <c r="I40" s="8" t="s">
        <v>176</v>
      </c>
      <c r="J40" s="8" t="s">
        <v>164</v>
      </c>
      <c r="K40" s="8"/>
      <c r="L40" s="8"/>
      <c r="M40" s="8"/>
    </row>
    <row r="41" spans="1:13" x14ac:dyDescent="0.2">
      <c r="A41" s="19" t="s">
        <v>177</v>
      </c>
      <c r="B41" s="19" t="s">
        <v>178</v>
      </c>
      <c r="C41" s="19" t="s">
        <v>179</v>
      </c>
      <c r="D41" s="19" t="s">
        <v>180</v>
      </c>
      <c r="E41" s="31">
        <f>$B$10</f>
        <v>0</v>
      </c>
      <c r="F41" s="25">
        <f>1/POWER(1+'01_Entidad'!$C$10,105)</f>
        <v>0.36837478451221706</v>
      </c>
      <c r="G41" s="31">
        <f>E41*F41</f>
        <v>0</v>
      </c>
      <c r="H41" s="25">
        <f>1/POWER(1+'01_Entidad'!$C$10,210)</f>
        <v>0.13569998186442236</v>
      </c>
      <c r="I41" s="31">
        <f>E41*H41</f>
        <v>0</v>
      </c>
      <c r="J41" s="31">
        <f>G41+I41</f>
        <v>0</v>
      </c>
    </row>
    <row r="42" spans="1:13" x14ac:dyDescent="0.2">
      <c r="A42" s="19" t="s">
        <v>181</v>
      </c>
      <c r="B42" s="19" t="s">
        <v>182</v>
      </c>
      <c r="C42" s="19" t="s">
        <v>183</v>
      </c>
      <c r="D42" s="19" t="s">
        <v>184</v>
      </c>
      <c r="E42" s="31">
        <f>$B$11</f>
        <v>0</v>
      </c>
      <c r="F42" s="25">
        <f>1/POWER(1+'01_Entidad'!$C$9,10)</f>
        <v>0.31939734987001484</v>
      </c>
      <c r="G42" s="31">
        <f>E42*F42</f>
        <v>0</v>
      </c>
      <c r="H42" s="19"/>
      <c r="I42" s="31">
        <f>0</f>
        <v>0</v>
      </c>
      <c r="J42" s="31">
        <f>G42</f>
        <v>0</v>
      </c>
    </row>
    <row r="45" spans="1:13" ht="23" customHeight="1" x14ac:dyDescent="0.2">
      <c r="A45" s="38" t="s">
        <v>185</v>
      </c>
      <c r="B45" s="39"/>
      <c r="C45" s="39"/>
      <c r="D45" s="39"/>
      <c r="E45" s="39"/>
      <c r="F45" s="39"/>
      <c r="G45" s="39"/>
      <c r="H45" s="39"/>
      <c r="I45" s="39"/>
      <c r="J45" s="39"/>
      <c r="K45" s="39"/>
      <c r="L45" s="39"/>
      <c r="M45" s="39"/>
    </row>
    <row r="46" spans="1:13" x14ac:dyDescent="0.2">
      <c r="A46" s="24" t="s">
        <v>186</v>
      </c>
      <c r="B46" s="31">
        <f>B5</f>
        <v>0</v>
      </c>
      <c r="C46" s="19" t="s">
        <v>46</v>
      </c>
    </row>
    <row r="47" spans="1:13" x14ac:dyDescent="0.2">
      <c r="A47" s="24" t="s">
        <v>187</v>
      </c>
      <c r="B47" s="31">
        <f>SUMPRODUCT(C18:C37,H18:H37)</f>
        <v>0</v>
      </c>
      <c r="C47" s="19" t="s">
        <v>46</v>
      </c>
    </row>
    <row r="48" spans="1:13" x14ac:dyDescent="0.2">
      <c r="A48" s="24" t="s">
        <v>188</v>
      </c>
      <c r="B48" s="31">
        <f>SUMPRODUCT(D18:D37,H18:H37)</f>
        <v>0</v>
      </c>
      <c r="C48" s="19" t="s">
        <v>46</v>
      </c>
    </row>
    <row r="49" spans="1:13" x14ac:dyDescent="0.2">
      <c r="A49" s="24" t="s">
        <v>189</v>
      </c>
      <c r="B49" s="31">
        <f>G42</f>
        <v>0</v>
      </c>
      <c r="C49" s="19" t="s">
        <v>46</v>
      </c>
    </row>
    <row r="50" spans="1:13" x14ac:dyDescent="0.2">
      <c r="A50" s="24" t="s">
        <v>190</v>
      </c>
      <c r="B50" s="31">
        <f>J41</f>
        <v>0</v>
      </c>
      <c r="C50" s="19" t="s">
        <v>46</v>
      </c>
    </row>
    <row r="51" spans="1:13" x14ac:dyDescent="0.2">
      <c r="A51" s="24" t="s">
        <v>191</v>
      </c>
      <c r="B51" s="31">
        <f>SUM(B47:B50)</f>
        <v>0</v>
      </c>
      <c r="C51" s="19" t="s">
        <v>46</v>
      </c>
    </row>
    <row r="52" spans="1:13" x14ac:dyDescent="0.2">
      <c r="A52" s="33" t="s">
        <v>192</v>
      </c>
      <c r="B52" s="35">
        <f>B46+B51</f>
        <v>0</v>
      </c>
      <c r="C52" s="19" t="s">
        <v>46</v>
      </c>
    </row>
    <row r="53" spans="1:13" x14ac:dyDescent="0.2">
      <c r="A53" s="24" t="s">
        <v>193</v>
      </c>
      <c r="B53" s="25">
        <f>'01_Entidad'!C11</f>
        <v>0.13463471570309096</v>
      </c>
      <c r="C53" s="19" t="s">
        <v>43</v>
      </c>
    </row>
    <row r="54" spans="1:13" x14ac:dyDescent="0.2">
      <c r="A54" s="33" t="s">
        <v>194</v>
      </c>
      <c r="B54" s="35">
        <f>B52*B53</f>
        <v>0</v>
      </c>
      <c r="C54" s="19" t="s">
        <v>129</v>
      </c>
    </row>
    <row r="57" spans="1:13" x14ac:dyDescent="0.2">
      <c r="A57" s="42" t="s">
        <v>195</v>
      </c>
      <c r="B57" s="39"/>
      <c r="C57" s="39"/>
      <c r="D57" s="39"/>
      <c r="E57" s="39"/>
      <c r="F57" s="39"/>
      <c r="G57" s="39"/>
      <c r="H57" s="39"/>
      <c r="I57" s="39"/>
      <c r="J57" s="39"/>
      <c r="K57" s="39"/>
      <c r="L57" s="39"/>
      <c r="M57" s="39"/>
    </row>
    <row r="58" spans="1:13" x14ac:dyDescent="0.2">
      <c r="A58" s="39"/>
      <c r="B58" s="39"/>
      <c r="C58" s="39"/>
      <c r="D58" s="39"/>
      <c r="E58" s="39"/>
      <c r="F58" s="39"/>
      <c r="G58" s="39"/>
      <c r="H58" s="39"/>
      <c r="I58" s="39"/>
      <c r="J58" s="39"/>
      <c r="K58" s="39"/>
      <c r="L58" s="39"/>
      <c r="M58" s="39"/>
    </row>
    <row r="59" spans="1:13" x14ac:dyDescent="0.2">
      <c r="A59" s="39"/>
      <c r="B59" s="39"/>
      <c r="C59" s="39"/>
      <c r="D59" s="39"/>
      <c r="E59" s="39"/>
      <c r="F59" s="39"/>
      <c r="G59" s="39"/>
      <c r="H59" s="39"/>
      <c r="I59" s="39"/>
      <c r="J59" s="39"/>
      <c r="K59" s="39"/>
      <c r="L59" s="39"/>
      <c r="M59" s="39"/>
    </row>
  </sheetData>
  <sheetProtection autoFilter="0"/>
  <mergeCells count="7">
    <mergeCell ref="A1:M1"/>
    <mergeCell ref="A45:M45"/>
    <mergeCell ref="A4:M4"/>
    <mergeCell ref="A57:M59"/>
    <mergeCell ref="A39:M39"/>
    <mergeCell ref="A15:M15"/>
    <mergeCell ref="A2:M2"/>
  </mergeCells>
  <pageMargins left="0.75" right="0.75" top="1" bottom="1" header="0.5" footer="0.5"/>
  <pageSetup fitToHeight="0" orientation="landscape"/>
  <headerFooter>
    <oddFooter>&amp;CCAUE - RETILAP 2026 | Alumbrado público vial&amp;RPágina &amp;P de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H44"/>
  <sheetViews>
    <sheetView showGridLines="0" workbookViewId="0">
      <selection activeCell="B49" sqref="B49"/>
    </sheetView>
  </sheetViews>
  <sheetFormatPr baseColWidth="10" defaultColWidth="8.83203125" defaultRowHeight="15" x14ac:dyDescent="0.2"/>
  <cols>
    <col min="1" max="1" width="9" customWidth="1"/>
    <col min="2" max="2" width="34" customWidth="1"/>
    <col min="3" max="3" width="12" customWidth="1"/>
    <col min="4" max="4" width="14" customWidth="1"/>
    <col min="5" max="5" width="24" customWidth="1"/>
    <col min="6" max="6" width="16" customWidth="1"/>
    <col min="7" max="7" width="21" customWidth="1"/>
    <col min="8" max="8" width="20" customWidth="1"/>
  </cols>
  <sheetData>
    <row r="1" spans="1:8" ht="28" customHeight="1" x14ac:dyDescent="0.2">
      <c r="A1" s="41" t="s">
        <v>196</v>
      </c>
      <c r="B1" s="39"/>
      <c r="C1" s="39"/>
      <c r="D1" s="39"/>
      <c r="E1" s="39"/>
      <c r="F1" s="39"/>
      <c r="G1" s="39"/>
      <c r="H1" s="39"/>
    </row>
    <row r="2" spans="1:8" ht="34" customHeight="1" x14ac:dyDescent="0.2">
      <c r="A2" s="40" t="s">
        <v>197</v>
      </c>
      <c r="B2" s="39"/>
      <c r="C2" s="39"/>
      <c r="D2" s="39"/>
      <c r="E2" s="39"/>
      <c r="F2" s="39"/>
      <c r="G2" s="39"/>
      <c r="H2" s="39"/>
    </row>
    <row r="4" spans="1:8" ht="23" customHeight="1" x14ac:dyDescent="0.2">
      <c r="A4" s="38" t="s">
        <v>198</v>
      </c>
      <c r="B4" s="39"/>
      <c r="C4" s="39"/>
      <c r="D4" s="39"/>
      <c r="E4" s="39"/>
      <c r="F4" s="39"/>
      <c r="G4" s="39"/>
      <c r="H4" s="39"/>
    </row>
    <row r="5" spans="1:8" x14ac:dyDescent="0.2">
      <c r="A5" s="8" t="s">
        <v>24</v>
      </c>
      <c r="B5" s="8" t="s">
        <v>199</v>
      </c>
      <c r="C5" s="8" t="s">
        <v>200</v>
      </c>
      <c r="D5" s="8" t="s">
        <v>27</v>
      </c>
      <c r="E5" s="8" t="s">
        <v>201</v>
      </c>
      <c r="F5" s="8"/>
      <c r="G5" s="8"/>
      <c r="H5" s="8"/>
    </row>
    <row r="6" spans="1:8" ht="16" x14ac:dyDescent="0.2">
      <c r="A6" s="19">
        <v>1</v>
      </c>
      <c r="B6" s="2" t="s">
        <v>94</v>
      </c>
      <c r="C6" s="20">
        <f>'02_Oferta_Proponente'!B4</f>
        <v>0</v>
      </c>
      <c r="D6" s="24"/>
      <c r="E6" s="2"/>
    </row>
    <row r="7" spans="1:8" ht="16" x14ac:dyDescent="0.2">
      <c r="A7" s="19">
        <v>2</v>
      </c>
      <c r="B7" s="2" t="s">
        <v>95</v>
      </c>
      <c r="C7" s="20">
        <f>'02_Oferta_Proponente'!E4</f>
        <v>0</v>
      </c>
      <c r="D7" s="24"/>
      <c r="E7" s="2"/>
    </row>
    <row r="8" spans="1:8" ht="16" x14ac:dyDescent="0.2">
      <c r="A8" s="19">
        <v>3</v>
      </c>
      <c r="B8" s="2" t="s">
        <v>202</v>
      </c>
      <c r="C8" s="27">
        <f>'01_Entidad'!C6</f>
        <v>0</v>
      </c>
      <c r="D8" s="24" t="s">
        <v>30</v>
      </c>
      <c r="E8" s="2" t="s">
        <v>203</v>
      </c>
    </row>
    <row r="9" spans="1:8" ht="16" x14ac:dyDescent="0.2">
      <c r="A9" s="19">
        <v>4</v>
      </c>
      <c r="B9" s="2" t="s">
        <v>204</v>
      </c>
      <c r="C9" s="27">
        <f>'05_Horizonte_20A'!B6</f>
        <v>0</v>
      </c>
      <c r="D9" s="24" t="s">
        <v>146</v>
      </c>
      <c r="E9" s="2" t="s">
        <v>205</v>
      </c>
    </row>
    <row r="10" spans="1:8" ht="48" x14ac:dyDescent="0.2">
      <c r="A10" s="19">
        <v>5</v>
      </c>
      <c r="B10" s="2" t="s">
        <v>144</v>
      </c>
      <c r="C10" s="31">
        <f>'05_Horizonte_20A'!B46</f>
        <v>0</v>
      </c>
      <c r="D10" s="24" t="s">
        <v>46</v>
      </c>
      <c r="E10" s="2" t="s">
        <v>206</v>
      </c>
    </row>
    <row r="11" spans="1:8" ht="16" x14ac:dyDescent="0.2">
      <c r="A11" s="19">
        <v>6</v>
      </c>
      <c r="B11" s="2" t="s">
        <v>207</v>
      </c>
      <c r="C11" s="25">
        <f>'05_Horizonte_20A'!B7</f>
        <v>0</v>
      </c>
      <c r="D11" s="24" t="s">
        <v>127</v>
      </c>
      <c r="E11" s="2" t="s">
        <v>208</v>
      </c>
    </row>
    <row r="12" spans="1:8" ht="16" x14ac:dyDescent="0.2">
      <c r="A12" s="19">
        <v>7</v>
      </c>
      <c r="B12" s="2" t="s">
        <v>147</v>
      </c>
      <c r="C12" s="31">
        <f>'05_Horizonte_20A'!B8</f>
        <v>0</v>
      </c>
      <c r="D12" s="24" t="s">
        <v>129</v>
      </c>
      <c r="E12" s="2" t="s">
        <v>209</v>
      </c>
    </row>
    <row r="13" spans="1:8" ht="16" x14ac:dyDescent="0.2">
      <c r="A13" s="19">
        <v>8</v>
      </c>
      <c r="B13" s="2" t="s">
        <v>210</v>
      </c>
      <c r="C13" s="20" t="str">
        <f>'01_Entidad'!C16</f>
        <v>MEDIO</v>
      </c>
      <c r="D13" s="24"/>
      <c r="E13" s="2" t="s">
        <v>211</v>
      </c>
    </row>
    <row r="14" spans="1:8" ht="16" x14ac:dyDescent="0.2">
      <c r="A14" s="19">
        <v>9</v>
      </c>
      <c r="B14" s="2" t="s">
        <v>59</v>
      </c>
      <c r="C14" s="27">
        <f>'01_Entidad'!C17</f>
        <v>2</v>
      </c>
      <c r="D14" s="24" t="s">
        <v>33</v>
      </c>
      <c r="E14" s="2" t="s">
        <v>212</v>
      </c>
    </row>
    <row r="15" spans="1:8" ht="16" x14ac:dyDescent="0.2">
      <c r="A15" s="19">
        <v>10</v>
      </c>
      <c r="B15" s="2" t="s">
        <v>187</v>
      </c>
      <c r="C15" s="31">
        <f>'05_Horizonte_20A'!B47</f>
        <v>0</v>
      </c>
      <c r="D15" s="24" t="s">
        <v>46</v>
      </c>
      <c r="E15" s="2" t="s">
        <v>138</v>
      </c>
    </row>
    <row r="16" spans="1:8" ht="16" x14ac:dyDescent="0.2">
      <c r="A16" s="19">
        <v>11</v>
      </c>
      <c r="B16" s="2" t="s">
        <v>188</v>
      </c>
      <c r="C16" s="31">
        <f>'05_Horizonte_20A'!B48</f>
        <v>0</v>
      </c>
      <c r="D16" s="24" t="s">
        <v>46</v>
      </c>
      <c r="E16" s="2" t="s">
        <v>213</v>
      </c>
    </row>
    <row r="17" spans="1:8" ht="16" x14ac:dyDescent="0.2">
      <c r="A17" s="19">
        <v>12</v>
      </c>
      <c r="B17" s="2" t="s">
        <v>214</v>
      </c>
      <c r="C17" s="31">
        <f>'05_Horizonte_20A'!B49</f>
        <v>0</v>
      </c>
      <c r="D17" s="24" t="s">
        <v>46</v>
      </c>
      <c r="E17" s="2" t="s">
        <v>215</v>
      </c>
    </row>
    <row r="18" spans="1:8" ht="16" x14ac:dyDescent="0.2">
      <c r="A18" s="19">
        <v>13</v>
      </c>
      <c r="B18" s="2" t="s">
        <v>190</v>
      </c>
      <c r="C18" s="31">
        <f>'05_Horizonte_20A'!B50</f>
        <v>0</v>
      </c>
      <c r="D18" s="24" t="s">
        <v>46</v>
      </c>
      <c r="E18" s="2" t="s">
        <v>216</v>
      </c>
    </row>
    <row r="19" spans="1:8" ht="16" x14ac:dyDescent="0.2">
      <c r="A19" s="19">
        <v>14</v>
      </c>
      <c r="B19" s="2" t="s">
        <v>217</v>
      </c>
      <c r="C19" s="31">
        <f>'05_Horizonte_20A'!B51</f>
        <v>0</v>
      </c>
      <c r="D19" s="24" t="s">
        <v>46</v>
      </c>
      <c r="E19" s="2" t="s">
        <v>218</v>
      </c>
    </row>
    <row r="20" spans="1:8" ht="16" x14ac:dyDescent="0.2">
      <c r="A20" s="19">
        <v>15</v>
      </c>
      <c r="B20" s="2" t="s">
        <v>192</v>
      </c>
      <c r="C20" s="31">
        <f>'05_Horizonte_20A'!B52</f>
        <v>0</v>
      </c>
      <c r="D20" s="24" t="s">
        <v>46</v>
      </c>
      <c r="E20" s="2" t="s">
        <v>219</v>
      </c>
    </row>
    <row r="21" spans="1:8" ht="16" x14ac:dyDescent="0.2">
      <c r="A21" s="19">
        <v>16</v>
      </c>
      <c r="B21" s="2" t="s">
        <v>193</v>
      </c>
      <c r="C21" s="25">
        <f>'05_Horizonte_20A'!B53</f>
        <v>0.13463471570309096</v>
      </c>
      <c r="D21" s="24" t="s">
        <v>43</v>
      </c>
      <c r="E21" s="2" t="s">
        <v>220</v>
      </c>
    </row>
    <row r="22" spans="1:8" ht="16" x14ac:dyDescent="0.2">
      <c r="A22" s="19">
        <v>17</v>
      </c>
      <c r="B22" s="36" t="s">
        <v>194</v>
      </c>
      <c r="C22" s="37">
        <f>'05_Horizonte_20A'!B54</f>
        <v>0</v>
      </c>
      <c r="D22" s="24" t="s">
        <v>129</v>
      </c>
      <c r="E22" s="2" t="s">
        <v>221</v>
      </c>
    </row>
    <row r="25" spans="1:8" x14ac:dyDescent="0.2">
      <c r="A25" s="19">
        <v>18</v>
      </c>
      <c r="B25" s="24" t="s">
        <v>222</v>
      </c>
      <c r="C25" s="20" t="str">
        <f>IF(OR('01_Entidad'!C13="",'01_Entidad'!C16="",'01_Entidad'!C18="",'01_Entidad'!C19="",'01_Entidad'!C20="",'01_Entidad'!D26="",AND('01_Entidad'!C21&gt;=2,'01_Entidad'!D27=""),AND('01_Entidad'!C21&gt;=3,'01_Entidad'!D28=""),'01_Entidad'!C30&lt;=0,'01_Entidad'!C30&gt;24),"REVISAR ENTIDAD",IF(COUNTIF('02_Oferta_Proponente'!P7:P14,"PENDIENTE*")+COUNTIF('02_Oferta_Proponente'!P7:P14,"NO CUMPLE*")+COUNTIF('02_Oferta_Proponente'!P7:P14,"REVISAR*")&gt;0,"REVISAR OFERTA",IF(SUMPRODUCT(--('03_Operacion_Energia'!A6:A29&lt;&gt;""),--('03_Operacion_Energia'!C6:C29="SI"),--('03_Operacion_Energia'!F6:F29=""))&gt;0,"REVISAR POTENCIAS","OK")))</f>
        <v>OK</v>
      </c>
      <c r="D25" s="24"/>
      <c r="E25" s="24" t="s">
        <v>223</v>
      </c>
    </row>
    <row r="28" spans="1:8" ht="23" customHeight="1" x14ac:dyDescent="0.2">
      <c r="A28" s="38" t="s">
        <v>224</v>
      </c>
      <c r="B28" s="39"/>
      <c r="C28" s="39"/>
      <c r="D28" s="39"/>
      <c r="E28" s="39"/>
      <c r="F28" s="39"/>
      <c r="G28" s="39"/>
      <c r="H28" s="39"/>
    </row>
    <row r="29" spans="1:8" x14ac:dyDescent="0.2">
      <c r="A29" s="8" t="s">
        <v>97</v>
      </c>
      <c r="B29" s="8" t="s">
        <v>98</v>
      </c>
      <c r="C29" s="8" t="s">
        <v>99</v>
      </c>
      <c r="D29" s="8" t="s">
        <v>100</v>
      </c>
      <c r="E29" s="8" t="s">
        <v>225</v>
      </c>
      <c r="F29" s="8" t="s">
        <v>133</v>
      </c>
      <c r="G29" s="8" t="s">
        <v>226</v>
      </c>
      <c r="H29" s="8" t="s">
        <v>91</v>
      </c>
    </row>
    <row r="30" spans="1:8" x14ac:dyDescent="0.2">
      <c r="A30" s="20" t="str">
        <f>'02_Oferta_Proponente'!A7</f>
        <v/>
      </c>
      <c r="B30" s="20">
        <f>'02_Oferta_Proponente'!B7</f>
        <v>0</v>
      </c>
      <c r="C30" s="20" t="str">
        <f>'02_Oferta_Proponente'!C7</f>
        <v>M1</v>
      </c>
      <c r="D30" s="27">
        <f>'02_Oferta_Proponente'!D7</f>
        <v>0</v>
      </c>
      <c r="E30" s="20">
        <f>'02_Oferta_Proponente'!F7</f>
        <v>0</v>
      </c>
      <c r="F30" s="25">
        <f>'02_Oferta_Proponente'!G7</f>
        <v>0</v>
      </c>
      <c r="G30" s="31">
        <f>'04_Costos_Iniciales'!I6</f>
        <v>0</v>
      </c>
      <c r="H30" s="20" t="str">
        <f>'02_Oferta_Proponente'!P7</f>
        <v/>
      </c>
    </row>
    <row r="31" spans="1:8" x14ac:dyDescent="0.2">
      <c r="A31" s="20" t="str">
        <f>'02_Oferta_Proponente'!A8</f>
        <v/>
      </c>
      <c r="B31" s="20">
        <f>'02_Oferta_Proponente'!B8</f>
        <v>0</v>
      </c>
      <c r="C31" s="20">
        <f>'02_Oferta_Proponente'!C8</f>
        <v>0</v>
      </c>
      <c r="D31" s="27">
        <f>'02_Oferta_Proponente'!D8</f>
        <v>0</v>
      </c>
      <c r="E31" s="20">
        <f>'02_Oferta_Proponente'!F8</f>
        <v>0</v>
      </c>
      <c r="F31" s="25">
        <f>'02_Oferta_Proponente'!G8</f>
        <v>0</v>
      </c>
      <c r="G31" s="31">
        <f>'04_Costos_Iniciales'!I7</f>
        <v>0</v>
      </c>
      <c r="H31" s="20" t="str">
        <f>'02_Oferta_Proponente'!P8</f>
        <v/>
      </c>
    </row>
    <row r="32" spans="1:8" x14ac:dyDescent="0.2">
      <c r="A32" s="20" t="str">
        <f>'02_Oferta_Proponente'!A9</f>
        <v/>
      </c>
      <c r="B32" s="20">
        <f>'02_Oferta_Proponente'!B9</f>
        <v>0</v>
      </c>
      <c r="C32" s="20">
        <f>'02_Oferta_Proponente'!C9</f>
        <v>0</v>
      </c>
      <c r="D32" s="27">
        <f>'02_Oferta_Proponente'!D9</f>
        <v>0</v>
      </c>
      <c r="E32" s="20">
        <f>'02_Oferta_Proponente'!F9</f>
        <v>0</v>
      </c>
      <c r="F32" s="25">
        <f>'02_Oferta_Proponente'!G9</f>
        <v>0</v>
      </c>
      <c r="G32" s="31">
        <f>'04_Costos_Iniciales'!I8</f>
        <v>0</v>
      </c>
      <c r="H32" s="20" t="str">
        <f>'02_Oferta_Proponente'!P9</f>
        <v/>
      </c>
    </row>
    <row r="33" spans="1:8" x14ac:dyDescent="0.2">
      <c r="A33" s="20" t="str">
        <f>'02_Oferta_Proponente'!A10</f>
        <v/>
      </c>
      <c r="B33" s="20">
        <f>'02_Oferta_Proponente'!B10</f>
        <v>0</v>
      </c>
      <c r="C33" s="20">
        <f>'02_Oferta_Proponente'!C10</f>
        <v>0</v>
      </c>
      <c r="D33" s="27">
        <f>'02_Oferta_Proponente'!D10</f>
        <v>0</v>
      </c>
      <c r="E33" s="20">
        <f>'02_Oferta_Proponente'!F10</f>
        <v>0</v>
      </c>
      <c r="F33" s="25">
        <f>'02_Oferta_Proponente'!G10</f>
        <v>0</v>
      </c>
      <c r="G33" s="31">
        <f>'04_Costos_Iniciales'!I9</f>
        <v>0</v>
      </c>
      <c r="H33" s="20" t="str">
        <f>'02_Oferta_Proponente'!P10</f>
        <v/>
      </c>
    </row>
    <row r="34" spans="1:8" x14ac:dyDescent="0.2">
      <c r="A34" s="20" t="str">
        <f>'02_Oferta_Proponente'!A11</f>
        <v/>
      </c>
      <c r="B34" s="20">
        <f>'02_Oferta_Proponente'!B11</f>
        <v>0</v>
      </c>
      <c r="C34" s="20">
        <f>'02_Oferta_Proponente'!C11</f>
        <v>0</v>
      </c>
      <c r="D34" s="27">
        <f>'02_Oferta_Proponente'!D11</f>
        <v>0</v>
      </c>
      <c r="E34" s="20">
        <f>'02_Oferta_Proponente'!F11</f>
        <v>0</v>
      </c>
      <c r="F34" s="25">
        <f>'02_Oferta_Proponente'!G11</f>
        <v>0</v>
      </c>
      <c r="G34" s="31">
        <f>'04_Costos_Iniciales'!I10</f>
        <v>0</v>
      </c>
      <c r="H34" s="20" t="str">
        <f>'02_Oferta_Proponente'!P11</f>
        <v/>
      </c>
    </row>
    <row r="35" spans="1:8" x14ac:dyDescent="0.2">
      <c r="A35" s="20" t="str">
        <f>'02_Oferta_Proponente'!A12</f>
        <v/>
      </c>
      <c r="B35" s="20">
        <f>'02_Oferta_Proponente'!B12</f>
        <v>0</v>
      </c>
      <c r="C35" s="20">
        <f>'02_Oferta_Proponente'!C12</f>
        <v>0</v>
      </c>
      <c r="D35" s="27">
        <f>'02_Oferta_Proponente'!D12</f>
        <v>0</v>
      </c>
      <c r="E35" s="20">
        <f>'02_Oferta_Proponente'!F12</f>
        <v>0</v>
      </c>
      <c r="F35" s="25">
        <f>'02_Oferta_Proponente'!G12</f>
        <v>0</v>
      </c>
      <c r="G35" s="31">
        <f>'04_Costos_Iniciales'!I11</f>
        <v>0</v>
      </c>
      <c r="H35" s="20" t="str">
        <f>'02_Oferta_Proponente'!P12</f>
        <v/>
      </c>
    </row>
    <row r="36" spans="1:8" x14ac:dyDescent="0.2">
      <c r="A36" s="20" t="str">
        <f>'02_Oferta_Proponente'!A13</f>
        <v/>
      </c>
      <c r="B36" s="20">
        <f>'02_Oferta_Proponente'!B13</f>
        <v>0</v>
      </c>
      <c r="C36" s="20">
        <f>'02_Oferta_Proponente'!C13</f>
        <v>0</v>
      </c>
      <c r="D36" s="27">
        <f>'02_Oferta_Proponente'!D13</f>
        <v>0</v>
      </c>
      <c r="E36" s="20">
        <f>'02_Oferta_Proponente'!F13</f>
        <v>0</v>
      </c>
      <c r="F36" s="25">
        <f>'02_Oferta_Proponente'!G13</f>
        <v>0</v>
      </c>
      <c r="G36" s="31">
        <f>'04_Costos_Iniciales'!I12</f>
        <v>0</v>
      </c>
      <c r="H36" s="20" t="str">
        <f>'02_Oferta_Proponente'!P13</f>
        <v/>
      </c>
    </row>
    <row r="37" spans="1:8" x14ac:dyDescent="0.2">
      <c r="A37" s="20" t="str">
        <f>'02_Oferta_Proponente'!A14</f>
        <v/>
      </c>
      <c r="B37" s="20">
        <f>'02_Oferta_Proponente'!B14</f>
        <v>0</v>
      </c>
      <c r="C37" s="20">
        <f>'02_Oferta_Proponente'!C14</f>
        <v>0</v>
      </c>
      <c r="D37" s="27">
        <f>'02_Oferta_Proponente'!D14</f>
        <v>0</v>
      </c>
      <c r="E37" s="20">
        <f>'02_Oferta_Proponente'!F14</f>
        <v>0</v>
      </c>
      <c r="F37" s="25">
        <f>'02_Oferta_Proponente'!G14</f>
        <v>0</v>
      </c>
      <c r="G37" s="31">
        <f>'04_Costos_Iniciales'!I13</f>
        <v>0</v>
      </c>
      <c r="H37" s="20" t="str">
        <f>'02_Oferta_Proponente'!P14</f>
        <v/>
      </c>
    </row>
    <row r="41" spans="1:8" x14ac:dyDescent="0.2">
      <c r="B41" t="s">
        <v>285</v>
      </c>
    </row>
    <row r="42" spans="1:8" x14ac:dyDescent="0.2">
      <c r="B42" t="s">
        <v>284</v>
      </c>
    </row>
    <row r="43" spans="1:8" x14ac:dyDescent="0.2">
      <c r="B43" t="s">
        <v>286</v>
      </c>
    </row>
    <row r="44" spans="1:8" x14ac:dyDescent="0.2">
      <c r="B44" t="s">
        <v>95</v>
      </c>
    </row>
  </sheetData>
  <sheetProtection autoFilter="0"/>
  <mergeCells count="4">
    <mergeCell ref="A28:H28"/>
    <mergeCell ref="A4:H4"/>
    <mergeCell ref="A2:H2"/>
    <mergeCell ref="A1:H1"/>
  </mergeCells>
  <conditionalFormatting sqref="C25">
    <cfRule type="expression" dxfId="1" priority="1">
      <formula>C25="OK"</formula>
    </cfRule>
    <cfRule type="expression" dxfId="0" priority="2">
      <formula>C25&lt;&gt;"OK"</formula>
    </cfRule>
  </conditionalFormatting>
  <pageMargins left="0.75" right="0.75" top="1" bottom="1" header="0.5" footer="0.5"/>
  <pageSetup fitToHeight="0" orientation="landscape"/>
  <headerFooter>
    <oddFooter>&amp;CCAUE - RETILAP 2026 | Alumbrado público vial&amp;RPágina &amp;P de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F16"/>
  <sheetViews>
    <sheetView showGridLines="0" workbookViewId="0">
      <selection activeCell="E25" sqref="E25"/>
    </sheetView>
  </sheetViews>
  <sheetFormatPr baseColWidth="10" defaultColWidth="8.83203125" defaultRowHeight="15" x14ac:dyDescent="0.2"/>
  <cols>
    <col min="1" max="1" width="7" customWidth="1"/>
    <col min="2" max="2" width="24" customWidth="1"/>
    <col min="3" max="3" width="56" customWidth="1"/>
    <col min="4" max="4" width="28" customWidth="1"/>
    <col min="5" max="5" width="52" customWidth="1"/>
    <col min="6" max="6" width="25" customWidth="1"/>
  </cols>
  <sheetData>
    <row r="1" spans="1:6" ht="28" customHeight="1" x14ac:dyDescent="0.2">
      <c r="A1" s="41" t="s">
        <v>227</v>
      </c>
      <c r="B1" s="39"/>
      <c r="C1" s="39"/>
      <c r="D1" s="39"/>
      <c r="E1" s="39"/>
      <c r="F1" s="39"/>
    </row>
    <row r="2" spans="1:6" ht="34" customHeight="1" x14ac:dyDescent="0.2">
      <c r="A2" s="40" t="s">
        <v>228</v>
      </c>
      <c r="B2" s="39"/>
      <c r="C2" s="39"/>
      <c r="D2" s="39"/>
      <c r="E2" s="39"/>
      <c r="F2" s="39"/>
    </row>
    <row r="4" spans="1:6" x14ac:dyDescent="0.2">
      <c r="A4" s="8" t="s">
        <v>24</v>
      </c>
      <c r="B4" s="8" t="s">
        <v>229</v>
      </c>
      <c r="C4" s="8" t="s">
        <v>230</v>
      </c>
      <c r="D4" s="8" t="s">
        <v>231</v>
      </c>
      <c r="E4" s="8" t="s">
        <v>232</v>
      </c>
      <c r="F4" s="8" t="s">
        <v>233</v>
      </c>
    </row>
    <row r="5" spans="1:6" ht="48" customHeight="1" x14ac:dyDescent="0.2">
      <c r="A5" s="6">
        <v>1</v>
      </c>
      <c r="B5" s="6" t="s">
        <v>234</v>
      </c>
      <c r="C5" s="6" t="s">
        <v>235</v>
      </c>
      <c r="D5" s="6" t="s">
        <v>236</v>
      </c>
      <c r="E5" s="6" t="s">
        <v>237</v>
      </c>
      <c r="F5" s="6" t="s">
        <v>238</v>
      </c>
    </row>
    <row r="6" spans="1:6" ht="48" customHeight="1" x14ac:dyDescent="0.2">
      <c r="A6" s="6">
        <v>2</v>
      </c>
      <c r="B6" s="6" t="s">
        <v>239</v>
      </c>
      <c r="C6" s="6" t="s">
        <v>240</v>
      </c>
      <c r="D6" s="6" t="s">
        <v>241</v>
      </c>
      <c r="E6" s="6" t="s">
        <v>242</v>
      </c>
      <c r="F6" s="6" t="s">
        <v>243</v>
      </c>
    </row>
    <row r="7" spans="1:6" ht="48" customHeight="1" x14ac:dyDescent="0.2">
      <c r="A7" s="6">
        <v>3</v>
      </c>
      <c r="B7" s="6" t="s">
        <v>244</v>
      </c>
      <c r="C7" s="6" t="s">
        <v>245</v>
      </c>
      <c r="D7" s="6" t="s">
        <v>246</v>
      </c>
      <c r="E7" s="6" t="s">
        <v>242</v>
      </c>
      <c r="F7" s="6" t="s">
        <v>247</v>
      </c>
    </row>
    <row r="8" spans="1:6" ht="48" customHeight="1" x14ac:dyDescent="0.2">
      <c r="A8" s="6">
        <v>4</v>
      </c>
      <c r="B8" s="6" t="s">
        <v>248</v>
      </c>
      <c r="C8" s="6" t="s">
        <v>249</v>
      </c>
      <c r="D8" s="6" t="s">
        <v>250</v>
      </c>
      <c r="E8" s="6" t="s">
        <v>242</v>
      </c>
      <c r="F8" s="6" t="s">
        <v>247</v>
      </c>
    </row>
    <row r="9" spans="1:6" ht="48" customHeight="1" x14ac:dyDescent="0.2">
      <c r="A9" s="6">
        <v>5</v>
      </c>
      <c r="B9" s="6" t="s">
        <v>137</v>
      </c>
      <c r="C9" s="6" t="s">
        <v>251</v>
      </c>
      <c r="D9" s="6" t="s">
        <v>252</v>
      </c>
      <c r="E9" s="6" t="s">
        <v>242</v>
      </c>
      <c r="F9" s="6" t="s">
        <v>253</v>
      </c>
    </row>
    <row r="10" spans="1:6" ht="48" customHeight="1" x14ac:dyDescent="0.2">
      <c r="A10" s="6">
        <v>6</v>
      </c>
      <c r="B10" s="6" t="s">
        <v>254</v>
      </c>
      <c r="C10" s="6" t="s">
        <v>255</v>
      </c>
      <c r="D10" s="6" t="s">
        <v>256</v>
      </c>
      <c r="E10" s="6" t="s">
        <v>242</v>
      </c>
      <c r="F10" s="6" t="s">
        <v>257</v>
      </c>
    </row>
    <row r="11" spans="1:6" ht="48" customHeight="1" x14ac:dyDescent="0.2">
      <c r="A11" s="6">
        <v>7</v>
      </c>
      <c r="B11" s="6" t="s">
        <v>258</v>
      </c>
      <c r="C11" s="6" t="s">
        <v>259</v>
      </c>
      <c r="D11" s="6" t="s">
        <v>260</v>
      </c>
      <c r="E11" s="6" t="s">
        <v>242</v>
      </c>
      <c r="F11" s="6" t="s">
        <v>261</v>
      </c>
    </row>
    <row r="12" spans="1:6" ht="48" customHeight="1" x14ac:dyDescent="0.2">
      <c r="A12" s="6">
        <v>8</v>
      </c>
      <c r="B12" s="6" t="s">
        <v>262</v>
      </c>
      <c r="C12" s="6" t="s">
        <v>263</v>
      </c>
      <c r="D12" s="6" t="s">
        <v>264</v>
      </c>
      <c r="E12" s="6" t="s">
        <v>242</v>
      </c>
      <c r="F12" s="6" t="s">
        <v>265</v>
      </c>
    </row>
    <row r="13" spans="1:6" ht="48" customHeight="1" x14ac:dyDescent="0.2">
      <c r="A13" s="6">
        <v>9</v>
      </c>
      <c r="B13" s="6" t="s">
        <v>266</v>
      </c>
      <c r="C13" s="6" t="s">
        <v>267</v>
      </c>
      <c r="D13" s="6" t="s">
        <v>268</v>
      </c>
      <c r="E13" s="6" t="s">
        <v>269</v>
      </c>
      <c r="F13" s="6" t="s">
        <v>261</v>
      </c>
    </row>
    <row r="14" spans="1:6" ht="48" customHeight="1" x14ac:dyDescent="0.2">
      <c r="A14" s="6">
        <v>10</v>
      </c>
      <c r="B14" s="6" t="s">
        <v>270</v>
      </c>
      <c r="C14" s="6" t="s">
        <v>271</v>
      </c>
      <c r="D14" s="6" t="s">
        <v>272</v>
      </c>
      <c r="E14" s="6" t="s">
        <v>242</v>
      </c>
      <c r="F14" s="6" t="s">
        <v>273</v>
      </c>
    </row>
    <row r="15" spans="1:6" ht="48" customHeight="1" x14ac:dyDescent="0.2">
      <c r="A15" s="6">
        <v>11</v>
      </c>
      <c r="B15" s="6" t="s">
        <v>274</v>
      </c>
      <c r="C15" s="6" t="s">
        <v>275</v>
      </c>
      <c r="D15" s="6" t="s">
        <v>276</v>
      </c>
      <c r="E15" s="6" t="s">
        <v>242</v>
      </c>
      <c r="F15" s="6" t="s">
        <v>277</v>
      </c>
    </row>
    <row r="16" spans="1:6" ht="48" customHeight="1" x14ac:dyDescent="0.2">
      <c r="A16" s="6">
        <v>12</v>
      </c>
      <c r="B16" s="6" t="s">
        <v>278</v>
      </c>
      <c r="C16" s="6" t="s">
        <v>279</v>
      </c>
      <c r="D16" s="6" t="s">
        <v>280</v>
      </c>
      <c r="E16" s="6" t="s">
        <v>242</v>
      </c>
      <c r="F16" s="6" t="s">
        <v>238</v>
      </c>
    </row>
  </sheetData>
  <sheetProtection autoFilter="0"/>
  <mergeCells count="2">
    <mergeCell ref="A2:F2"/>
    <mergeCell ref="A1:F1"/>
  </mergeCells>
  <pageMargins left="0.75" right="0.75" top="1" bottom="1" header="0.5" footer="0.5"/>
  <pageSetup fitToHeight="0" orientation="landscape"/>
  <headerFooter>
    <oddFooter>&amp;CCAUE - RETILAP 2026 | Alumbrado público vial&amp;RPágina &amp;P de &amp;N</oddFooter>
  </headerFooter>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8</vt:i4>
      </vt:variant>
    </vt:vector>
  </HeadingPairs>
  <TitlesOfParts>
    <vt:vector size="8" baseType="lpstr">
      <vt:lpstr>00_Guia</vt:lpstr>
      <vt:lpstr>01_Entidad</vt:lpstr>
      <vt:lpstr>02_Oferta_Proponente</vt:lpstr>
      <vt:lpstr>03_Operacion_Energia</vt:lpstr>
      <vt:lpstr>04_Costos_Iniciales</vt:lpstr>
      <vt:lpstr>05_Horizonte_20A</vt:lpstr>
      <vt:lpstr>06_Resumen_CAUE</vt:lpstr>
      <vt:lpstr>07_Fuentes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Luis Felipe Aranzalez Bravo</cp:lastModifiedBy>
  <dcterms:created xsi:type="dcterms:W3CDTF">2026-08-12T13:22:35Z</dcterms:created>
  <dcterms:modified xsi:type="dcterms:W3CDTF">2026-08-22T00:27:50Z</dcterms:modified>
</cp:coreProperties>
</file>