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mc:AlternateContent xmlns:mc="http://schemas.openxmlformats.org/markup-compatibility/2006">
    <mc:Choice Requires="x15">
      <x15ac:absPath xmlns:x15ac="http://schemas.microsoft.com/office/spreadsheetml/2010/11/ac" url="D:\USER\2\Mis documentos\Ing Yesid\iquira\PLAN MAESTRO AC IQUIRA\PROCESO PRECONTRACTUAL\OBRA CIVIL\"/>
    </mc:Choice>
  </mc:AlternateContent>
  <xr:revisionPtr revIDLastSave="0" documentId="13_ncr:1_{074D59EB-3935-4911-9C38-32CAD7AACC65}" xr6:coauthVersionLast="47" xr6:coauthVersionMax="47" xr10:uidLastSave="{00000000-0000-0000-0000-000000000000}"/>
  <bookViews>
    <workbookView xWindow="-120" yWindow="-120" windowWidth="29040" windowHeight="15720" tabRatio="882" firstSheet="1" activeTab="4" xr2:uid="{00000000-000D-0000-FFFF-FFFF00000000}"/>
  </bookViews>
  <sheets>
    <sheet name="Indice" sheetId="23" state="hidden" r:id="rId1"/>
    <sheet name="PTO OC PLIEGO" sheetId="24" r:id="rId2"/>
    <sheet name="PTO OFICIAL" sheetId="53" state="hidden" r:id="rId3"/>
    <sheet name="UNITARIOS" sheetId="8" r:id="rId4"/>
    <sheet name="AIU" sheetId="31" r:id="rId5"/>
    <sheet name="03" sheetId="30" state="hidden" r:id="rId6"/>
    <sheet name="04" sheetId="29" state="hidden" r:id="rId7"/>
    <sheet name="05" sheetId="28" state="hidden" r:id="rId8"/>
    <sheet name="06" sheetId="27" state="hidden" r:id="rId9"/>
    <sheet name="07" sheetId="25" state="hidden" r:id="rId10"/>
    <sheet name="08" sheetId="10" state="hidden" r:id="rId11"/>
    <sheet name="09" sheetId="35" state="hidden" r:id="rId12"/>
    <sheet name="10" sheetId="26" state="hidden" r:id="rId13"/>
    <sheet name="11" sheetId="7" state="hidden" r:id="rId14"/>
    <sheet name="13" sheetId="36" state="hidden" r:id="rId15"/>
    <sheet name="14" sheetId="13" state="hidden" r:id="rId16"/>
    <sheet name="15" sheetId="14" state="hidden" r:id="rId17"/>
    <sheet name="16" sheetId="47" state="hidden" r:id="rId18"/>
    <sheet name="17" sheetId="17" state="hidden" r:id="rId19"/>
    <sheet name="18" sheetId="16" state="hidden" r:id="rId20"/>
    <sheet name="19" sheetId="20" state="hidden" r:id="rId21"/>
    <sheet name="20" sheetId="46" state="hidden" r:id="rId22"/>
    <sheet name="21" sheetId="50" state="hidden" r:id="rId23"/>
    <sheet name="Hoja1" sheetId="51" state="hidden" r:id="rId24"/>
    <sheet name="CONRETOS" sheetId="52" state="hidden" r:id="rId25"/>
  </sheets>
  <functionGroups builtInGroupCount="19"/>
  <definedNames>
    <definedName name="_xlnm._FilterDatabase" localSheetId="10" hidden="1">'08'!$A$5:$Z$119</definedName>
    <definedName name="_xlnm._FilterDatabase" localSheetId="3" hidden="1">UNITARIOS!$A$1:$A$3887</definedName>
    <definedName name="_xleta.SUM" hidden="1" xlm="1">#NAME?</definedName>
    <definedName name="AA_APUS">UNITARIOS!$A:$N</definedName>
    <definedName name="AA_Cantidadesredes">'15'!$B$5:$E$12</definedName>
    <definedName name="AA_Cimentacion">'15'!$T$5:$V$15</definedName>
    <definedName name="AA_Codos">'17'!#REF!</definedName>
    <definedName name="AA_Cuadrillas">'07'!$A$23:$O$52</definedName>
    <definedName name="AA_Equipos">'09'!$D$6:$L$21</definedName>
    <definedName name="AA_Materiales">'08'!$C:$R</definedName>
    <definedName name="AA_Presupuesto">'PTO OC PLIEGO'!$H$12:$N$176</definedName>
    <definedName name="AA_Unitarios">'11'!$B:$M</definedName>
    <definedName name="_xlnm.Print_Area" localSheetId="5">'03'!$A$1:$Q$50</definedName>
    <definedName name="_xlnm.Print_Area" localSheetId="6">'04'!$A$1:$Q$48</definedName>
    <definedName name="_xlnm.Print_Area" localSheetId="7">'05'!$A$1:$Q$38</definedName>
    <definedName name="_xlnm.Print_Area" localSheetId="8">'06'!$A$1:$K$86</definedName>
    <definedName name="_xlnm.Print_Area" localSheetId="9">'07'!$A$1:$O$65</definedName>
    <definedName name="_xlnm.Print_Area" localSheetId="10">'08'!$A$1:$R$132</definedName>
    <definedName name="_xlnm.Print_Area" localSheetId="11">'09'!$A$1:$M$34</definedName>
    <definedName name="_xlnm.Print_Area" localSheetId="12">'10'!$A$1:$S$35</definedName>
    <definedName name="_xlnm.Print_Area" localSheetId="13">'11'!$A$1:$N$113</definedName>
    <definedName name="_xlnm.Print_Area" localSheetId="14">'13'!$A$1:$Q$52</definedName>
    <definedName name="_xlnm.Print_Area" localSheetId="15">'14'!$A$1:$AF$515</definedName>
    <definedName name="_xlnm.Print_Area" localSheetId="16">'15'!$A$1:$AC$155</definedName>
    <definedName name="_xlnm.Print_Area" localSheetId="17">'16'!$A$1:$AA$503</definedName>
    <definedName name="_xlnm.Print_Area" localSheetId="18">'17'!$A$1:$N$236</definedName>
    <definedName name="_xlnm.Print_Area" localSheetId="19">'18'!$A$1:$AC$57</definedName>
    <definedName name="_xlnm.Print_Area" localSheetId="20">'19'!$A$1:$BA$314</definedName>
    <definedName name="_xlnm.Print_Area" localSheetId="21">'20'!$A$1:$H$1325</definedName>
    <definedName name="_xlnm.Print_Area" localSheetId="22">'21'!$A$1:$K$253</definedName>
    <definedName name="_xlnm.Print_Area" localSheetId="4">AIU!$A$1:$Q$67</definedName>
    <definedName name="_xlnm.Print_Area" localSheetId="0">Indice!$A$1:$V$60</definedName>
    <definedName name="_xlnm.Print_Area" localSheetId="1">'PTO OC PLIEGO'!$A$1:$N$221</definedName>
    <definedName name="_xlnm.Print_Area" localSheetId="3">UNITARIOS!$A$1:$N$3888</definedName>
    <definedName name="_xlnm.Print_Titles" localSheetId="9">'07'!$23:$23</definedName>
    <definedName name="_xlnm.Print_Titles" localSheetId="10">'08'!$5:$5</definedName>
    <definedName name="_xlnm.Print_Titles" localSheetId="13">'11'!$8:$8</definedName>
    <definedName name="_xlnm.Print_Titles" localSheetId="18">'17'!$2:$3</definedName>
    <definedName name="_xlnm.Print_Titles" localSheetId="1">'PTO OC PLIEGO'!$16:$16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0" i="31" l="1"/>
  <c r="O31" i="31"/>
  <c r="G192" i="24"/>
  <c r="O51" i="31"/>
  <c r="O50" i="31"/>
  <c r="O49" i="31"/>
  <c r="O48" i="31"/>
  <c r="O47" i="31"/>
  <c r="O46" i="31"/>
  <c r="G191" i="24"/>
  <c r="G189" i="24"/>
  <c r="M192" i="53"/>
  <c r="B137" i="53" l="1"/>
  <c r="B137" i="24"/>
  <c r="I137" i="24"/>
  <c r="M210" i="24"/>
  <c r="M14" i="30" l="1"/>
  <c r="M15" i="30"/>
  <c r="H14" i="30"/>
  <c r="Q36" i="23"/>
  <c r="M186" i="53"/>
  <c r="K186" i="53"/>
  <c r="M185" i="53"/>
  <c r="K185" i="53"/>
  <c r="K184" i="53"/>
  <c r="K183" i="53"/>
  <c r="K182" i="53"/>
  <c r="K181" i="53"/>
  <c r="K180" i="53"/>
  <c r="W177" i="53"/>
  <c r="J177" i="53"/>
  <c r="W176" i="53"/>
  <c r="W175" i="53"/>
  <c r="J174" i="53"/>
  <c r="W173" i="53"/>
  <c r="J173" i="53"/>
  <c r="W172" i="53"/>
  <c r="W171" i="53"/>
  <c r="J171" i="53"/>
  <c r="W170" i="53"/>
  <c r="J170" i="53"/>
  <c r="W169" i="53"/>
  <c r="W168" i="53"/>
  <c r="J168" i="53"/>
  <c r="W167" i="53"/>
  <c r="J167" i="53"/>
  <c r="W166" i="53"/>
  <c r="W165" i="53"/>
  <c r="J165" i="53"/>
  <c r="W164" i="53"/>
  <c r="W163" i="53"/>
  <c r="J163" i="53"/>
  <c r="W162" i="53"/>
  <c r="J162" i="53"/>
  <c r="W161" i="53"/>
  <c r="J161" i="53"/>
  <c r="W160" i="53"/>
  <c r="J160" i="53"/>
  <c r="W159" i="53"/>
  <c r="J159" i="53"/>
  <c r="W158" i="53"/>
  <c r="J158" i="53"/>
  <c r="W157" i="53"/>
  <c r="J157" i="53"/>
  <c r="W156" i="53"/>
  <c r="J156" i="53"/>
  <c r="W155" i="53"/>
  <c r="J155" i="53"/>
  <c r="W154" i="53"/>
  <c r="J154" i="53"/>
  <c r="W153" i="53"/>
  <c r="J153" i="53"/>
  <c r="W152" i="53"/>
  <c r="J152" i="53"/>
  <c r="W151" i="53"/>
  <c r="J151" i="53"/>
  <c r="W150" i="53"/>
  <c r="J150" i="53"/>
  <c r="W149" i="53"/>
  <c r="J149" i="53"/>
  <c r="J148" i="53"/>
  <c r="J147" i="53"/>
  <c r="S146" i="53"/>
  <c r="S147" i="53" s="1"/>
  <c r="J146" i="53"/>
  <c r="S145" i="53"/>
  <c r="R145" i="53"/>
  <c r="R147" i="53" s="1"/>
  <c r="W147" i="53" s="1"/>
  <c r="J145" i="53"/>
  <c r="W144" i="53"/>
  <c r="S144" i="53"/>
  <c r="R144" i="53"/>
  <c r="J144" i="53"/>
  <c r="J143" i="53"/>
  <c r="W141" i="53"/>
  <c r="J141" i="53"/>
  <c r="W140" i="53"/>
  <c r="J140" i="53"/>
  <c r="R139" i="53"/>
  <c r="R146" i="53" s="1"/>
  <c r="J139" i="53"/>
  <c r="W138" i="53"/>
  <c r="W137" i="53"/>
  <c r="R137" i="53"/>
  <c r="J137" i="53"/>
  <c r="W136" i="53"/>
  <c r="W135" i="53"/>
  <c r="J135" i="53"/>
  <c r="W134" i="53"/>
  <c r="J134" i="53"/>
  <c r="J176" i="53" s="1"/>
  <c r="W133" i="53"/>
  <c r="J130" i="53"/>
  <c r="J129" i="53"/>
  <c r="J118" i="53"/>
  <c r="J117" i="53"/>
  <c r="J115" i="53"/>
  <c r="J114" i="53"/>
  <c r="J113" i="53"/>
  <c r="J112" i="53"/>
  <c r="J111" i="53"/>
  <c r="J110" i="53"/>
  <c r="J109" i="53"/>
  <c r="J108" i="53"/>
  <c r="J107" i="53"/>
  <c r="J106" i="53"/>
  <c r="J105" i="53"/>
  <c r="J104" i="53"/>
  <c r="J102" i="53"/>
  <c r="J100" i="53"/>
  <c r="J98" i="53"/>
  <c r="J120" i="53" s="1"/>
  <c r="J96" i="53"/>
  <c r="J91" i="53"/>
  <c r="J90" i="53"/>
  <c r="J88" i="53"/>
  <c r="J87" i="53"/>
  <c r="J86" i="53"/>
  <c r="J85" i="53"/>
  <c r="J84" i="53"/>
  <c r="J83" i="53"/>
  <c r="J82" i="53"/>
  <c r="J81" i="53"/>
  <c r="J80" i="53"/>
  <c r="J79" i="53"/>
  <c r="J78" i="53"/>
  <c r="J76" i="53"/>
  <c r="J74" i="53"/>
  <c r="J72" i="53"/>
  <c r="J66" i="53"/>
  <c r="J60" i="53"/>
  <c r="J59" i="53"/>
  <c r="J57" i="53"/>
  <c r="J56" i="53"/>
  <c r="J55" i="53"/>
  <c r="J54" i="53"/>
  <c r="J53" i="53"/>
  <c r="J52" i="53"/>
  <c r="J51" i="53"/>
  <c r="J50" i="53"/>
  <c r="J49" i="53"/>
  <c r="J48" i="53"/>
  <c r="J47" i="53"/>
  <c r="J46" i="53"/>
  <c r="J45" i="53"/>
  <c r="J43" i="53"/>
  <c r="J41" i="53"/>
  <c r="J39" i="53"/>
  <c r="J37" i="53"/>
  <c r="J30" i="53"/>
  <c r="J29" i="53"/>
  <c r="J28" i="53"/>
  <c r="J27" i="53"/>
  <c r="J25" i="53"/>
  <c r="J23" i="53"/>
  <c r="J22" i="53"/>
  <c r="J20" i="53"/>
  <c r="J32" i="53" s="1"/>
  <c r="J18" i="53"/>
  <c r="M13" i="53"/>
  <c r="A12" i="53"/>
  <c r="I1821" i="8"/>
  <c r="H18" i="29"/>
  <c r="K18" i="29" s="1"/>
  <c r="O18" i="29" s="1"/>
  <c r="M18" i="29"/>
  <c r="R148" i="53" l="1"/>
  <c r="W148" i="53" s="1"/>
  <c r="W146" i="53"/>
  <c r="J62" i="53"/>
  <c r="W139" i="53"/>
  <c r="W145" i="53"/>
  <c r="S148" i="53"/>
  <c r="H15" i="30"/>
  <c r="C15" i="30"/>
  <c r="C14" i="30"/>
  <c r="P49" i="26"/>
  <c r="M49" i="26"/>
  <c r="J49" i="26"/>
  <c r="G49" i="26"/>
  <c r="D49" i="26"/>
  <c r="N40" i="26"/>
  <c r="R40" i="26" s="1"/>
  <c r="Q37" i="23" l="1"/>
  <c r="Q39" i="23"/>
  <c r="Q40" i="23"/>
  <c r="Q38" i="23"/>
  <c r="H2992" i="8"/>
  <c r="H918" i="8"/>
  <c r="H873" i="8"/>
  <c r="H13" i="28" l="1"/>
  <c r="H12" i="28"/>
  <c r="H19" i="29"/>
  <c r="H17" i="29"/>
  <c r="H16" i="29"/>
  <c r="H15" i="29"/>
  <c r="H14" i="29"/>
  <c r="H13" i="29"/>
  <c r="H12" i="29"/>
  <c r="C32" i="29"/>
  <c r="M32" i="29"/>
  <c r="K32" i="29"/>
  <c r="M34" i="31"/>
  <c r="O34" i="31" s="1"/>
  <c r="O32" i="29" l="1"/>
  <c r="C20" i="14"/>
  <c r="J177" i="24" s="1"/>
  <c r="W177" i="24"/>
  <c r="K16" i="14"/>
  <c r="J165" i="24" s="1"/>
  <c r="K182" i="24" l="1"/>
  <c r="K180" i="24"/>
  <c r="I3853" i="8"/>
  <c r="H3853" i="8"/>
  <c r="I3813" i="8"/>
  <c r="H3813" i="8"/>
  <c r="I3772" i="8"/>
  <c r="H3772" i="8"/>
  <c r="I3730" i="8"/>
  <c r="H3730" i="8"/>
  <c r="I3688" i="8"/>
  <c r="M3688" i="8" s="1"/>
  <c r="H3688" i="8"/>
  <c r="I3646" i="8"/>
  <c r="H3646" i="8"/>
  <c r="H3614" i="8"/>
  <c r="H3615" i="8"/>
  <c r="I3615" i="8"/>
  <c r="H3632" i="8"/>
  <c r="I3604" i="8"/>
  <c r="H3604" i="8"/>
  <c r="H3590" i="8"/>
  <c r="I3562" i="8"/>
  <c r="H3562" i="8"/>
  <c r="H3548" i="8"/>
  <c r="I3521" i="8"/>
  <c r="H3521" i="8"/>
  <c r="H3507" i="8"/>
  <c r="I3480" i="8"/>
  <c r="H3480" i="8"/>
  <c r="I3439" i="8"/>
  <c r="H3439" i="8"/>
  <c r="I3397" i="8"/>
  <c r="H3397" i="8"/>
  <c r="I3358" i="8"/>
  <c r="M3358" i="8" s="1"/>
  <c r="I3359" i="8"/>
  <c r="M3359" i="8" s="1"/>
  <c r="I3360" i="8"/>
  <c r="M3360" i="8" s="1"/>
  <c r="H3358" i="8"/>
  <c r="H3359" i="8"/>
  <c r="H3360" i="8"/>
  <c r="I3311" i="8"/>
  <c r="H3311" i="8"/>
  <c r="H3297" i="8"/>
  <c r="I3269" i="8"/>
  <c r="H3269" i="8"/>
  <c r="I3228" i="8"/>
  <c r="H3228" i="8"/>
  <c r="I3187" i="8"/>
  <c r="H3187" i="8"/>
  <c r="I3148" i="8"/>
  <c r="H3148" i="8"/>
  <c r="I3107" i="8"/>
  <c r="M3107" i="8" s="1"/>
  <c r="H3107" i="8"/>
  <c r="H3050" i="8"/>
  <c r="I3026" i="8"/>
  <c r="M3026" i="8" s="1"/>
  <c r="H3026" i="8"/>
  <c r="I3024" i="8"/>
  <c r="H3024" i="8"/>
  <c r="H3010" i="8"/>
  <c r="I2985" i="8"/>
  <c r="M2985" i="8" s="1"/>
  <c r="H2985" i="8"/>
  <c r="I2984" i="8"/>
  <c r="M2984" i="8" s="1"/>
  <c r="H2984" i="8"/>
  <c r="I2983" i="8"/>
  <c r="H2983" i="8"/>
  <c r="I2945" i="8"/>
  <c r="M2945" i="8" s="1"/>
  <c r="H2945" i="8"/>
  <c r="H2911" i="8"/>
  <c r="M2863" i="8"/>
  <c r="H2929" i="8"/>
  <c r="I2904" i="8"/>
  <c r="M2904" i="8" s="1"/>
  <c r="H2904" i="8"/>
  <c r="I2903" i="8"/>
  <c r="M2903" i="8" s="1"/>
  <c r="H2903" i="8"/>
  <c r="I2902" i="8"/>
  <c r="H2902" i="8"/>
  <c r="M2864" i="8"/>
  <c r="I2864" i="8"/>
  <c r="H2864" i="8"/>
  <c r="I2863" i="8"/>
  <c r="H2863" i="8"/>
  <c r="I2862" i="8"/>
  <c r="H2862" i="8"/>
  <c r="H2888" i="8"/>
  <c r="H2848" i="8"/>
  <c r="I2822" i="8"/>
  <c r="H2822" i="8"/>
  <c r="H2808" i="8"/>
  <c r="H2790" i="8"/>
  <c r="I2781" i="8"/>
  <c r="H2781" i="8"/>
  <c r="I2737" i="8"/>
  <c r="H2737" i="8"/>
  <c r="H2723" i="8"/>
  <c r="I2695" i="8"/>
  <c r="H2695" i="8"/>
  <c r="I2694" i="8"/>
  <c r="H2694" i="8"/>
  <c r="I2693" i="8"/>
  <c r="H2693" i="8"/>
  <c r="I2649" i="8"/>
  <c r="H2649" i="8"/>
  <c r="I2605" i="8"/>
  <c r="H2605" i="8"/>
  <c r="I2561" i="8"/>
  <c r="H2561" i="8"/>
  <c r="I2517" i="8"/>
  <c r="H2517" i="8"/>
  <c r="H2503" i="8"/>
  <c r="I2475" i="8"/>
  <c r="H2475" i="8"/>
  <c r="I2474" i="8"/>
  <c r="H2474" i="8"/>
  <c r="I2473" i="8"/>
  <c r="H2473" i="8"/>
  <c r="H2459" i="8"/>
  <c r="I2431" i="8"/>
  <c r="H2431" i="8"/>
  <c r="I2430" i="8"/>
  <c r="H2430" i="8"/>
  <c r="I2429" i="8"/>
  <c r="H2429" i="8"/>
  <c r="H2415" i="8"/>
  <c r="I2385" i="8"/>
  <c r="H2385" i="8"/>
  <c r="H2371" i="8"/>
  <c r="I2343" i="8"/>
  <c r="M2343" i="8" s="1"/>
  <c r="H2343" i="8"/>
  <c r="I2342" i="8"/>
  <c r="M2342" i="8" s="1"/>
  <c r="H2342" i="8"/>
  <c r="I2341" i="8"/>
  <c r="M2341" i="8" s="1"/>
  <c r="H2341" i="8"/>
  <c r="I2299" i="8"/>
  <c r="M2299" i="8" s="1"/>
  <c r="H2299" i="8"/>
  <c r="I2298" i="8"/>
  <c r="M2298" i="8" s="1"/>
  <c r="H2298" i="8"/>
  <c r="I2297" i="8"/>
  <c r="M2297" i="8" s="1"/>
  <c r="H2297" i="8"/>
  <c r="I2253" i="8"/>
  <c r="M2253" i="8" s="1"/>
  <c r="H2253" i="8"/>
  <c r="H2239" i="8"/>
  <c r="H2221" i="8"/>
  <c r="H2197" i="8"/>
  <c r="H2180" i="8"/>
  <c r="I2171" i="8"/>
  <c r="I2172" i="8"/>
  <c r="I2173" i="8"/>
  <c r="I2174" i="8"/>
  <c r="I2175" i="8"/>
  <c r="H2173" i="8"/>
  <c r="H2174" i="8"/>
  <c r="H2175" i="8"/>
  <c r="H2171" i="8"/>
  <c r="H2172" i="8"/>
  <c r="I2170" i="8"/>
  <c r="M2170" i="8" s="1"/>
  <c r="H2170" i="8"/>
  <c r="I2127" i="8"/>
  <c r="H2127" i="8"/>
  <c r="I2085" i="8"/>
  <c r="M2085" i="8" s="1"/>
  <c r="H2085" i="8"/>
  <c r="H2012" i="8"/>
  <c r="M2004" i="8"/>
  <c r="M2005" i="8"/>
  <c r="M1921" i="8"/>
  <c r="M82" i="52"/>
  <c r="K82" i="52"/>
  <c r="I82" i="52"/>
  <c r="H82" i="52"/>
  <c r="M81" i="52"/>
  <c r="K81" i="52"/>
  <c r="I81" i="52"/>
  <c r="H81" i="52"/>
  <c r="M80" i="52"/>
  <c r="K80" i="52"/>
  <c r="I80" i="52"/>
  <c r="H80" i="52"/>
  <c r="M79" i="52"/>
  <c r="K79" i="52"/>
  <c r="I79" i="52"/>
  <c r="H79" i="52"/>
  <c r="H78" i="52"/>
  <c r="M73" i="52"/>
  <c r="M72" i="52"/>
  <c r="M71" i="52"/>
  <c r="M70" i="52"/>
  <c r="M69" i="52"/>
  <c r="M64" i="52"/>
  <c r="I64" i="52"/>
  <c r="H64" i="52"/>
  <c r="M63" i="52"/>
  <c r="I63" i="52"/>
  <c r="H63" i="52"/>
  <c r="M62" i="52"/>
  <c r="I62" i="52"/>
  <c r="H62" i="52"/>
  <c r="M61" i="52"/>
  <c r="I61" i="52"/>
  <c r="H61" i="52"/>
  <c r="H60" i="52"/>
  <c r="M55" i="52"/>
  <c r="I55" i="52"/>
  <c r="H55" i="52"/>
  <c r="M54" i="52"/>
  <c r="I54" i="52"/>
  <c r="H54" i="52"/>
  <c r="I53" i="52"/>
  <c r="M53" i="52" s="1"/>
  <c r="H53" i="52"/>
  <c r="I52" i="52"/>
  <c r="M52" i="52" s="1"/>
  <c r="H52" i="52"/>
  <c r="I51" i="52"/>
  <c r="M51" i="52" s="1"/>
  <c r="H51" i="52"/>
  <c r="I50" i="52"/>
  <c r="M50" i="52" s="1"/>
  <c r="H50" i="52"/>
  <c r="B46" i="52"/>
  <c r="H1688" i="8"/>
  <c r="M1688" i="8" s="1"/>
  <c r="H1646" i="8"/>
  <c r="M1646" i="8" s="1"/>
  <c r="M27" i="52"/>
  <c r="M40" i="52"/>
  <c r="K40" i="52"/>
  <c r="I40" i="52"/>
  <c r="H40" i="52"/>
  <c r="M39" i="52"/>
  <c r="K39" i="52"/>
  <c r="I39" i="52"/>
  <c r="H39" i="52"/>
  <c r="M38" i="52"/>
  <c r="K38" i="52"/>
  <c r="I38" i="52"/>
  <c r="H38" i="52"/>
  <c r="M37" i="52"/>
  <c r="K37" i="52"/>
  <c r="I37" i="52"/>
  <c r="H37" i="52"/>
  <c r="H36" i="52"/>
  <c r="M31" i="52"/>
  <c r="M30" i="52"/>
  <c r="M29" i="52"/>
  <c r="M28" i="52"/>
  <c r="M22" i="52"/>
  <c r="I22" i="52"/>
  <c r="H22" i="52"/>
  <c r="M21" i="52"/>
  <c r="I21" i="52"/>
  <c r="H21" i="52"/>
  <c r="M20" i="52"/>
  <c r="I20" i="52"/>
  <c r="H20" i="52"/>
  <c r="M19" i="52"/>
  <c r="I19" i="52"/>
  <c r="H19" i="52"/>
  <c r="H18" i="52"/>
  <c r="I13" i="52"/>
  <c r="M13" i="52" s="1"/>
  <c r="H13" i="52"/>
  <c r="I12" i="52"/>
  <c r="M12" i="52" s="1"/>
  <c r="H12" i="52"/>
  <c r="I11" i="52"/>
  <c r="M11" i="52" s="1"/>
  <c r="H11" i="52"/>
  <c r="I10" i="52"/>
  <c r="M10" i="52" s="1"/>
  <c r="H10" i="52"/>
  <c r="I9" i="52"/>
  <c r="M9" i="52" s="1"/>
  <c r="H9" i="52"/>
  <c r="I8" i="52"/>
  <c r="M8" i="52" s="1"/>
  <c r="H8" i="52"/>
  <c r="B4" i="52"/>
  <c r="I904" i="8"/>
  <c r="M904" i="8" s="1"/>
  <c r="H904" i="8"/>
  <c r="I903" i="8"/>
  <c r="M903" i="8" s="1"/>
  <c r="H903" i="8"/>
  <c r="I902" i="8"/>
  <c r="M902" i="8" s="1"/>
  <c r="H902" i="8"/>
  <c r="I901" i="8"/>
  <c r="M901" i="8" s="1"/>
  <c r="H901" i="8"/>
  <c r="I900" i="8"/>
  <c r="M900" i="8" s="1"/>
  <c r="H900" i="8"/>
  <c r="I899" i="8"/>
  <c r="M899" i="8" s="1"/>
  <c r="H899" i="8"/>
  <c r="I898" i="8"/>
  <c r="M898" i="8" s="1"/>
  <c r="H898" i="8"/>
  <c r="I897" i="8"/>
  <c r="M897" i="8" s="1"/>
  <c r="H897" i="8"/>
  <c r="I896" i="8"/>
  <c r="M896" i="8" s="1"/>
  <c r="H896" i="8"/>
  <c r="M873" i="8"/>
  <c r="I859" i="8"/>
  <c r="M859" i="8" s="1"/>
  <c r="H859" i="8"/>
  <c r="I858" i="8"/>
  <c r="M858" i="8" s="1"/>
  <c r="H858" i="8"/>
  <c r="I857" i="8"/>
  <c r="M857" i="8" s="1"/>
  <c r="H857" i="8"/>
  <c r="H828" i="8"/>
  <c r="M828" i="8" s="1"/>
  <c r="I814" i="8"/>
  <c r="M814" i="8" s="1"/>
  <c r="H814" i="8"/>
  <c r="I812" i="8"/>
  <c r="M812" i="8" s="1"/>
  <c r="H812" i="8"/>
  <c r="I813" i="8"/>
  <c r="M813" i="8" s="1"/>
  <c r="H813" i="8"/>
  <c r="I769" i="8"/>
  <c r="M769" i="8" s="1"/>
  <c r="H769" i="8"/>
  <c r="I768" i="8"/>
  <c r="M768" i="8" s="1"/>
  <c r="H768" i="8"/>
  <c r="H562" i="8"/>
  <c r="H445" i="8"/>
  <c r="M445" i="8" s="1"/>
  <c r="M403" i="8"/>
  <c r="I59" i="8"/>
  <c r="M59" i="8" s="1"/>
  <c r="H142" i="10"/>
  <c r="H141" i="10"/>
  <c r="V28" i="14"/>
  <c r="V29" i="14"/>
  <c r="V30" i="14"/>
  <c r="V31" i="14"/>
  <c r="V32" i="14"/>
  <c r="V33" i="14"/>
  <c r="V34" i="14"/>
  <c r="V35" i="14"/>
  <c r="V36" i="14"/>
  <c r="V37" i="14"/>
  <c r="V38" i="14"/>
  <c r="V27" i="14"/>
  <c r="R45" i="14"/>
  <c r="R46" i="14"/>
  <c r="R47" i="14"/>
  <c r="R48" i="14"/>
  <c r="R49" i="14"/>
  <c r="R50" i="14"/>
  <c r="R51" i="14"/>
  <c r="R52" i="14"/>
  <c r="R53" i="14"/>
  <c r="R54" i="14"/>
  <c r="R55" i="14"/>
  <c r="R56" i="14"/>
  <c r="R57" i="14"/>
  <c r="R58" i="14"/>
  <c r="R59" i="14"/>
  <c r="R60" i="14"/>
  <c r="R61" i="14"/>
  <c r="R62" i="14"/>
  <c r="R63" i="14"/>
  <c r="R64" i="14"/>
  <c r="R65" i="14"/>
  <c r="R66" i="14"/>
  <c r="R67" i="14"/>
  <c r="R68" i="14"/>
  <c r="R69" i="14"/>
  <c r="R70" i="14"/>
  <c r="R71" i="14"/>
  <c r="R72" i="14"/>
  <c r="R73" i="14"/>
  <c r="R74" i="14"/>
  <c r="R75" i="14"/>
  <c r="R76" i="14"/>
  <c r="R77" i="14"/>
  <c r="R78" i="14"/>
  <c r="R79" i="14"/>
  <c r="R80" i="14"/>
  <c r="R81" i="14"/>
  <c r="R82" i="14"/>
  <c r="R83" i="14"/>
  <c r="R84" i="14"/>
  <c r="R85" i="14"/>
  <c r="R86" i="14"/>
  <c r="R87" i="14"/>
  <c r="R88" i="14"/>
  <c r="R89" i="14"/>
  <c r="R90" i="14"/>
  <c r="R91" i="14"/>
  <c r="R92" i="14"/>
  <c r="R93" i="14"/>
  <c r="R94" i="14"/>
  <c r="R95" i="14"/>
  <c r="R96" i="14"/>
  <c r="R97" i="14"/>
  <c r="R98" i="14"/>
  <c r="R99" i="14"/>
  <c r="R100" i="14"/>
  <c r="R101" i="14"/>
  <c r="R102" i="14"/>
  <c r="R103" i="14"/>
  <c r="R104" i="14"/>
  <c r="R105" i="14"/>
  <c r="R106" i="14"/>
  <c r="R107" i="14"/>
  <c r="R108" i="14"/>
  <c r="R109" i="14"/>
  <c r="R110" i="14"/>
  <c r="R111" i="14"/>
  <c r="R112" i="14"/>
  <c r="R113" i="14"/>
  <c r="R114" i="14"/>
  <c r="R115" i="14"/>
  <c r="R116" i="14"/>
  <c r="R117" i="14"/>
  <c r="R118" i="14"/>
  <c r="R119" i="14"/>
  <c r="R120" i="14"/>
  <c r="R121" i="14"/>
  <c r="R122" i="14"/>
  <c r="R123" i="14"/>
  <c r="R44" i="14"/>
  <c r="R43" i="14"/>
  <c r="T391" i="13"/>
  <c r="J118" i="24" s="1"/>
  <c r="T402" i="13"/>
  <c r="J117" i="24" s="1"/>
  <c r="T225" i="13"/>
  <c r="J114" i="24" s="1"/>
  <c r="T435" i="13"/>
  <c r="J107" i="24" s="1"/>
  <c r="B490" i="13"/>
  <c r="B479" i="13"/>
  <c r="B468" i="13"/>
  <c r="B457" i="13"/>
  <c r="B446" i="13"/>
  <c r="B435" i="13"/>
  <c r="T424" i="13"/>
  <c r="J106" i="24" s="1"/>
  <c r="B424" i="13"/>
  <c r="T280" i="13"/>
  <c r="J105" i="24" s="1"/>
  <c r="T413" i="13"/>
  <c r="J104" i="24" s="1"/>
  <c r="B413" i="13"/>
  <c r="J90" i="24"/>
  <c r="P402" i="13"/>
  <c r="J91" i="24" s="1"/>
  <c r="P391" i="13"/>
  <c r="B402" i="13"/>
  <c r="B391" i="13"/>
  <c r="P380" i="13"/>
  <c r="J88" i="24" s="1"/>
  <c r="P369" i="13"/>
  <c r="J87" i="24" s="1"/>
  <c r="P358" i="13"/>
  <c r="J86" i="24" s="1"/>
  <c r="P347" i="13"/>
  <c r="J85" i="24" s="1"/>
  <c r="P335" i="13"/>
  <c r="J84" i="24" s="1"/>
  <c r="P324" i="13"/>
  <c r="J83" i="24" s="1"/>
  <c r="P313" i="13"/>
  <c r="J82" i="24" s="1"/>
  <c r="P302" i="13"/>
  <c r="J81" i="24" s="1"/>
  <c r="B380" i="13"/>
  <c r="B369" i="13"/>
  <c r="B358" i="13"/>
  <c r="B347" i="13"/>
  <c r="B335" i="13"/>
  <c r="B324" i="13"/>
  <c r="B313" i="13"/>
  <c r="B302" i="13"/>
  <c r="P291" i="13"/>
  <c r="J80" i="24" s="1"/>
  <c r="B291" i="13"/>
  <c r="P280" i="13"/>
  <c r="J79" i="24" s="1"/>
  <c r="B280" i="13"/>
  <c r="J78" i="24"/>
  <c r="P269" i="13"/>
  <c r="B269" i="13"/>
  <c r="P49" i="13"/>
  <c r="J76" i="24" s="1"/>
  <c r="P38" i="13"/>
  <c r="J74" i="24" s="1"/>
  <c r="L258" i="13"/>
  <c r="J60" i="24" s="1"/>
  <c r="L247" i="13"/>
  <c r="J59" i="24" s="1"/>
  <c r="B258" i="13"/>
  <c r="B247" i="13"/>
  <c r="L159" i="13"/>
  <c r="J50" i="24" s="1"/>
  <c r="L148" i="13"/>
  <c r="J49" i="24" s="1"/>
  <c r="J48" i="24"/>
  <c r="J46" i="24"/>
  <c r="T236" i="13"/>
  <c r="J115" i="24" s="1"/>
  <c r="L236" i="13"/>
  <c r="J57" i="24" s="1"/>
  <c r="L225" i="13"/>
  <c r="J56" i="24" s="1"/>
  <c r="B225" i="13"/>
  <c r="B236" i="13"/>
  <c r="T214" i="13"/>
  <c r="J113" i="24" s="1"/>
  <c r="L214" i="13"/>
  <c r="J55" i="24" s="1"/>
  <c r="B214" i="13"/>
  <c r="L203" i="13"/>
  <c r="J54" i="24" s="1"/>
  <c r="B203" i="13"/>
  <c r="L192" i="13"/>
  <c r="J53" i="24" s="1"/>
  <c r="B192" i="13"/>
  <c r="L181" i="13"/>
  <c r="J52" i="24" s="1"/>
  <c r="B181" i="13"/>
  <c r="L170" i="13"/>
  <c r="J51" i="24" s="1"/>
  <c r="B170" i="13"/>
  <c r="B159" i="13"/>
  <c r="B148" i="13"/>
  <c r="L126" i="13"/>
  <c r="J47" i="24" s="1"/>
  <c r="L137" i="13"/>
  <c r="B137" i="13"/>
  <c r="B126" i="13"/>
  <c r="L115" i="13"/>
  <c r="B115" i="13"/>
  <c r="L104" i="13"/>
  <c r="J45" i="24" s="1"/>
  <c r="B104" i="13"/>
  <c r="H93" i="13"/>
  <c r="J30" i="24" s="1"/>
  <c r="B93" i="13"/>
  <c r="H82" i="13"/>
  <c r="J29" i="24" s="1"/>
  <c r="B82" i="13"/>
  <c r="H71" i="13"/>
  <c r="J28" i="24" s="1"/>
  <c r="B71" i="13"/>
  <c r="H60" i="13"/>
  <c r="J27" i="24" s="1"/>
  <c r="B60" i="13"/>
  <c r="J102" i="24"/>
  <c r="L49" i="13"/>
  <c r="J43" i="24" s="1"/>
  <c r="H49" i="13"/>
  <c r="J25" i="24" s="1"/>
  <c r="M32" i="52" l="1"/>
  <c r="L4" i="52" s="1"/>
  <c r="M74" i="52"/>
  <c r="L46" i="52" s="1"/>
  <c r="M56" i="52"/>
  <c r="J46" i="52" s="1"/>
  <c r="M905" i="8"/>
  <c r="M14" i="52"/>
  <c r="J4" i="52" s="1"/>
  <c r="H143" i="10"/>
  <c r="T38" i="13"/>
  <c r="J100" i="24" s="1"/>
  <c r="L38" i="13"/>
  <c r="J41" i="24" s="1"/>
  <c r="B49" i="13"/>
  <c r="H38" i="13"/>
  <c r="J23" i="24" s="1"/>
  <c r="B38" i="13"/>
  <c r="H35" i="13"/>
  <c r="H27" i="13" s="1"/>
  <c r="J22" i="24" s="1"/>
  <c r="B27" i="13"/>
  <c r="Z55" i="14"/>
  <c r="Z56" i="14"/>
  <c r="Z57" i="14"/>
  <c r="Z45" i="14"/>
  <c r="Z46" i="14"/>
  <c r="Z47" i="14"/>
  <c r="Z48" i="14"/>
  <c r="Z49" i="14"/>
  <c r="Z50" i="14"/>
  <c r="Z51" i="14"/>
  <c r="Z52" i="14"/>
  <c r="Z53" i="14"/>
  <c r="Z54" i="14"/>
  <c r="Z58" i="14"/>
  <c r="Z59" i="14"/>
  <c r="Z60" i="14"/>
  <c r="Z61" i="14"/>
  <c r="Z62" i="14"/>
  <c r="Z63" i="14"/>
  <c r="Z64" i="14"/>
  <c r="Z65" i="14"/>
  <c r="Z66" i="14"/>
  <c r="Z67" i="14"/>
  <c r="Z68" i="14"/>
  <c r="Z69" i="14"/>
  <c r="Z70" i="14"/>
  <c r="Z71" i="14"/>
  <c r="Z72" i="14"/>
  <c r="Z73" i="14"/>
  <c r="Z74" i="14"/>
  <c r="Z75" i="14"/>
  <c r="Z76" i="14"/>
  <c r="Z77" i="14"/>
  <c r="Z78" i="14"/>
  <c r="Z79" i="14"/>
  <c r="Z80" i="14"/>
  <c r="Z81" i="14"/>
  <c r="Z82" i="14"/>
  <c r="Z83" i="14"/>
  <c r="Z84" i="14"/>
  <c r="Z85" i="14"/>
  <c r="Z86" i="14"/>
  <c r="Z87" i="14"/>
  <c r="Z88" i="14"/>
  <c r="Z89" i="14"/>
  <c r="Z90" i="14"/>
  <c r="Z91" i="14"/>
  <c r="Z92" i="14"/>
  <c r="Z93" i="14"/>
  <c r="Z94" i="14"/>
  <c r="Z95" i="14"/>
  <c r="Z96" i="14"/>
  <c r="Z97" i="14"/>
  <c r="Z98" i="14"/>
  <c r="Z99" i="14"/>
  <c r="Z100" i="14"/>
  <c r="Z101" i="14"/>
  <c r="Z102" i="14"/>
  <c r="Z103" i="14"/>
  <c r="Z104" i="14"/>
  <c r="Z105" i="14"/>
  <c r="Z106" i="14"/>
  <c r="Z107" i="14"/>
  <c r="Z108" i="14"/>
  <c r="Z109" i="14"/>
  <c r="Z110" i="14"/>
  <c r="Z111" i="14"/>
  <c r="Z112" i="14"/>
  <c r="Z113" i="14"/>
  <c r="Z114" i="14"/>
  <c r="Z115" i="14"/>
  <c r="Z116" i="14"/>
  <c r="Z117" i="14"/>
  <c r="Z118" i="14"/>
  <c r="Z119" i="14"/>
  <c r="Z120" i="14"/>
  <c r="Z121" i="14"/>
  <c r="Z122" i="14"/>
  <c r="Z123" i="14"/>
  <c r="Z44" i="14"/>
  <c r="Z43" i="14"/>
  <c r="Y45" i="14"/>
  <c r="Y46" i="14"/>
  <c r="Y47" i="14"/>
  <c r="Y48" i="14"/>
  <c r="Y49" i="14"/>
  <c r="Y50" i="14"/>
  <c r="Y51" i="14"/>
  <c r="Y52" i="14"/>
  <c r="Y53" i="14"/>
  <c r="Y54" i="14"/>
  <c r="Y55" i="14"/>
  <c r="Y56" i="14"/>
  <c r="Y57" i="14"/>
  <c r="Y58" i="14"/>
  <c r="Y59" i="14"/>
  <c r="Y60" i="14"/>
  <c r="Y61" i="14"/>
  <c r="Y62" i="14"/>
  <c r="Y63" i="14"/>
  <c r="Y64" i="14"/>
  <c r="Y65" i="14"/>
  <c r="Y66" i="14"/>
  <c r="Y67" i="14"/>
  <c r="Y68" i="14"/>
  <c r="Y69" i="14"/>
  <c r="Y70" i="14"/>
  <c r="Y71" i="14"/>
  <c r="Y72" i="14"/>
  <c r="Y73" i="14"/>
  <c r="Y74" i="14"/>
  <c r="Y75" i="14"/>
  <c r="Y76" i="14"/>
  <c r="Y77" i="14"/>
  <c r="Y78" i="14"/>
  <c r="Y79" i="14"/>
  <c r="Y80" i="14"/>
  <c r="Y81" i="14"/>
  <c r="Y82" i="14"/>
  <c r="Y83" i="14"/>
  <c r="Y84" i="14"/>
  <c r="Y85" i="14"/>
  <c r="Y86" i="14"/>
  <c r="Y87" i="14"/>
  <c r="Y88" i="14"/>
  <c r="Y89" i="14"/>
  <c r="Y90" i="14"/>
  <c r="Y91" i="14"/>
  <c r="Y92" i="14"/>
  <c r="Y93" i="14"/>
  <c r="Y94" i="14"/>
  <c r="Y95" i="14"/>
  <c r="Y96" i="14"/>
  <c r="Y97" i="14"/>
  <c r="Y98" i="14"/>
  <c r="Y99" i="14"/>
  <c r="Y100" i="14"/>
  <c r="Y101" i="14"/>
  <c r="Y102" i="14"/>
  <c r="Y103" i="14"/>
  <c r="Y104" i="14"/>
  <c r="Y105" i="14"/>
  <c r="Y106" i="14"/>
  <c r="Y107" i="14"/>
  <c r="Y108" i="14"/>
  <c r="Y109" i="14"/>
  <c r="Y110" i="14"/>
  <c r="Y111" i="14"/>
  <c r="Y112" i="14"/>
  <c r="Y113" i="14"/>
  <c r="Y114" i="14"/>
  <c r="Y115" i="14"/>
  <c r="Y116" i="14"/>
  <c r="Y117" i="14"/>
  <c r="Y118" i="14"/>
  <c r="Y119" i="14"/>
  <c r="Y120" i="14"/>
  <c r="Y121" i="14"/>
  <c r="Y122" i="14"/>
  <c r="Y123" i="14"/>
  <c r="Y44" i="14"/>
  <c r="Y43" i="14"/>
  <c r="J158" i="24"/>
  <c r="J157" i="24"/>
  <c r="J156" i="24"/>
  <c r="W156" i="24"/>
  <c r="J155" i="24"/>
  <c r="C106" i="17"/>
  <c r="C105" i="17"/>
  <c r="C104" i="17"/>
  <c r="C103" i="17"/>
  <c r="C132" i="17"/>
  <c r="J162" i="24" s="1"/>
  <c r="C133" i="17"/>
  <c r="J163" i="24" s="1"/>
  <c r="C131" i="17"/>
  <c r="J161" i="24" s="1"/>
  <c r="H8" i="17"/>
  <c r="J159" i="24" s="1"/>
  <c r="D8" i="17"/>
  <c r="J160" i="24" s="1"/>
  <c r="E8" i="17"/>
  <c r="J153" i="24" s="1"/>
  <c r="C222" i="17"/>
  <c r="J147" i="24" s="1"/>
  <c r="C223" i="17"/>
  <c r="J148" i="24" s="1"/>
  <c r="J145" i="24"/>
  <c r="J144" i="24"/>
  <c r="J143" i="24"/>
  <c r="J28" i="16"/>
  <c r="J151" i="24" s="1"/>
  <c r="A28" i="16"/>
  <c r="A17" i="16"/>
  <c r="F28" i="16"/>
  <c r="F17" i="16"/>
  <c r="J150" i="24" s="1"/>
  <c r="F6" i="16"/>
  <c r="N6" i="16"/>
  <c r="J149" i="24" s="1"/>
  <c r="A6" i="16"/>
  <c r="W28" i="14"/>
  <c r="W29" i="14"/>
  <c r="W30" i="14"/>
  <c r="W31" i="14"/>
  <c r="W32" i="14"/>
  <c r="W33" i="14"/>
  <c r="W34" i="14"/>
  <c r="W35" i="14"/>
  <c r="W36" i="14"/>
  <c r="W37" i="14"/>
  <c r="W38" i="14"/>
  <c r="W27" i="14"/>
  <c r="W45" i="14"/>
  <c r="W46" i="14"/>
  <c r="W47" i="14"/>
  <c r="W48" i="14"/>
  <c r="W49" i="14"/>
  <c r="W50" i="14"/>
  <c r="W51" i="14"/>
  <c r="W52" i="14"/>
  <c r="W53" i="14"/>
  <c r="W54" i="14"/>
  <c r="W55" i="14"/>
  <c r="W56" i="14"/>
  <c r="W57" i="14"/>
  <c r="W58" i="14"/>
  <c r="W59" i="14"/>
  <c r="W60" i="14"/>
  <c r="W61" i="14"/>
  <c r="W62" i="14"/>
  <c r="W63" i="14"/>
  <c r="W64" i="14"/>
  <c r="W65" i="14"/>
  <c r="W66" i="14"/>
  <c r="W67" i="14"/>
  <c r="W68" i="14"/>
  <c r="W69" i="14"/>
  <c r="W70" i="14"/>
  <c r="W71" i="14"/>
  <c r="W72" i="14"/>
  <c r="W73" i="14"/>
  <c r="W74" i="14"/>
  <c r="W75" i="14"/>
  <c r="W76" i="14"/>
  <c r="W77" i="14"/>
  <c r="W78" i="14"/>
  <c r="W79" i="14"/>
  <c r="W80" i="14"/>
  <c r="W81" i="14"/>
  <c r="W82" i="14"/>
  <c r="W83" i="14"/>
  <c r="W84" i="14"/>
  <c r="W85" i="14"/>
  <c r="W86" i="14"/>
  <c r="W87" i="14"/>
  <c r="W88" i="14"/>
  <c r="W89" i="14"/>
  <c r="W90" i="14"/>
  <c r="W91" i="14"/>
  <c r="W92" i="14"/>
  <c r="W93" i="14"/>
  <c r="W94" i="14"/>
  <c r="W95" i="14"/>
  <c r="W96" i="14"/>
  <c r="W97" i="14"/>
  <c r="W98" i="14"/>
  <c r="W99" i="14"/>
  <c r="W100" i="14"/>
  <c r="W101" i="14"/>
  <c r="W102" i="14"/>
  <c r="W103" i="14"/>
  <c r="W104" i="14"/>
  <c r="W105" i="14"/>
  <c r="W106" i="14"/>
  <c r="W107" i="14"/>
  <c r="W108" i="14"/>
  <c r="W109" i="14"/>
  <c r="W110" i="14"/>
  <c r="W111" i="14"/>
  <c r="W112" i="14"/>
  <c r="W113" i="14"/>
  <c r="W114" i="14"/>
  <c r="W115" i="14"/>
  <c r="W116" i="14"/>
  <c r="W117" i="14"/>
  <c r="W118" i="14"/>
  <c r="W119" i="14"/>
  <c r="W120" i="14"/>
  <c r="W121" i="14"/>
  <c r="W122" i="14"/>
  <c r="W123" i="14"/>
  <c r="W44" i="14"/>
  <c r="W128" i="14"/>
  <c r="W126" i="14" s="1"/>
  <c r="W127" i="14"/>
  <c r="W26" i="14"/>
  <c r="W43" i="14"/>
  <c r="U28" i="14"/>
  <c r="U29" i="14"/>
  <c r="U30" i="14"/>
  <c r="U31" i="14"/>
  <c r="U32" i="14"/>
  <c r="U33" i="14"/>
  <c r="U34" i="14"/>
  <c r="U35" i="14"/>
  <c r="U36" i="14"/>
  <c r="U37" i="14"/>
  <c r="U38" i="14"/>
  <c r="U27" i="14"/>
  <c r="U45" i="14"/>
  <c r="U46" i="14"/>
  <c r="U47" i="14"/>
  <c r="U48" i="14"/>
  <c r="U49" i="14"/>
  <c r="U50" i="14"/>
  <c r="U51" i="14"/>
  <c r="U52" i="14"/>
  <c r="U53" i="14"/>
  <c r="U54" i="14"/>
  <c r="U55" i="14"/>
  <c r="U56" i="14"/>
  <c r="U57" i="14"/>
  <c r="U58" i="14"/>
  <c r="U59" i="14"/>
  <c r="U60" i="14"/>
  <c r="U61" i="14"/>
  <c r="U62" i="14"/>
  <c r="U63" i="14"/>
  <c r="U64" i="14"/>
  <c r="U65" i="14"/>
  <c r="U66" i="14"/>
  <c r="U67" i="14"/>
  <c r="U68" i="14"/>
  <c r="U69" i="14"/>
  <c r="U70" i="14"/>
  <c r="U71" i="14"/>
  <c r="U72" i="14"/>
  <c r="U73" i="14"/>
  <c r="U74" i="14"/>
  <c r="U75" i="14"/>
  <c r="U76" i="14"/>
  <c r="U77" i="14"/>
  <c r="U78" i="14"/>
  <c r="U79" i="14"/>
  <c r="U80" i="14"/>
  <c r="U81" i="14"/>
  <c r="U82" i="14"/>
  <c r="U83" i="14"/>
  <c r="U84" i="14"/>
  <c r="U85" i="14"/>
  <c r="U86" i="14"/>
  <c r="U87" i="14"/>
  <c r="U88" i="14"/>
  <c r="U89" i="14"/>
  <c r="U90" i="14"/>
  <c r="U91" i="14"/>
  <c r="U92" i="14"/>
  <c r="U93" i="14"/>
  <c r="U94" i="14"/>
  <c r="U95" i="14"/>
  <c r="U96" i="14"/>
  <c r="U97" i="14"/>
  <c r="U98" i="14"/>
  <c r="U99" i="14"/>
  <c r="U100" i="14"/>
  <c r="U101" i="14"/>
  <c r="U102" i="14"/>
  <c r="U103" i="14"/>
  <c r="U104" i="14"/>
  <c r="U105" i="14"/>
  <c r="U106" i="14"/>
  <c r="U107" i="14"/>
  <c r="U108" i="14"/>
  <c r="U109" i="14"/>
  <c r="U110" i="14"/>
  <c r="U111" i="14"/>
  <c r="U112" i="14"/>
  <c r="U113" i="14"/>
  <c r="U114" i="14"/>
  <c r="U115" i="14"/>
  <c r="U116" i="14"/>
  <c r="U117" i="14"/>
  <c r="U118" i="14"/>
  <c r="U119" i="14"/>
  <c r="U120" i="14"/>
  <c r="U121" i="14"/>
  <c r="U122" i="14"/>
  <c r="U123" i="14"/>
  <c r="U44" i="14"/>
  <c r="U128" i="14"/>
  <c r="W25" i="14" l="1"/>
  <c r="W42" i="14"/>
  <c r="J141" i="24" s="1"/>
  <c r="Y42" i="14"/>
  <c r="J167" i="24" s="1"/>
  <c r="Z42" i="14"/>
  <c r="J168" i="24" s="1"/>
  <c r="R137" i="24"/>
  <c r="W137" i="24" s="1"/>
  <c r="W136" i="24"/>
  <c r="X128" i="14"/>
  <c r="X126" i="14" s="1"/>
  <c r="R128" i="14"/>
  <c r="R126" i="14" s="1"/>
  <c r="Q128" i="14"/>
  <c r="Q126" i="14" s="1"/>
  <c r="P128" i="14"/>
  <c r="O128" i="14"/>
  <c r="T128" i="14" s="1"/>
  <c r="T126" i="14" s="1"/>
  <c r="G128" i="14"/>
  <c r="X127" i="14"/>
  <c r="V126" i="14"/>
  <c r="U126" i="14"/>
  <c r="P126" i="14"/>
  <c r="O126" i="14" l="1"/>
  <c r="S128" i="14"/>
  <c r="S126" i="14" s="1"/>
  <c r="T16" i="13" l="1"/>
  <c r="J98" i="24" s="1"/>
  <c r="L16" i="13"/>
  <c r="J39" i="24" s="1"/>
  <c r="H16" i="13"/>
  <c r="J20" i="24" s="1"/>
  <c r="B16" i="13"/>
  <c r="X45" i="14"/>
  <c r="X46" i="14"/>
  <c r="X47" i="14"/>
  <c r="X48" i="14"/>
  <c r="X49" i="14"/>
  <c r="X50" i="14"/>
  <c r="X51" i="14"/>
  <c r="X52" i="14"/>
  <c r="X53" i="14"/>
  <c r="X54" i="14"/>
  <c r="X55" i="14"/>
  <c r="X56" i="14"/>
  <c r="X57" i="14"/>
  <c r="X58" i="14"/>
  <c r="X59" i="14"/>
  <c r="X60" i="14"/>
  <c r="X61" i="14"/>
  <c r="X62" i="14"/>
  <c r="X63" i="14"/>
  <c r="X64" i="14"/>
  <c r="X65" i="14"/>
  <c r="X66" i="14"/>
  <c r="X67" i="14"/>
  <c r="X68" i="14"/>
  <c r="X69" i="14"/>
  <c r="X70" i="14"/>
  <c r="X71" i="14"/>
  <c r="X72" i="14"/>
  <c r="X73" i="14"/>
  <c r="X74" i="14"/>
  <c r="X75" i="14"/>
  <c r="X76" i="14"/>
  <c r="X77" i="14"/>
  <c r="X78" i="14"/>
  <c r="X79" i="14"/>
  <c r="X80" i="14"/>
  <c r="X81" i="14"/>
  <c r="X82" i="14"/>
  <c r="X83" i="14"/>
  <c r="X84" i="14"/>
  <c r="X85" i="14"/>
  <c r="X86" i="14"/>
  <c r="X87" i="14"/>
  <c r="X88" i="14"/>
  <c r="X89" i="14"/>
  <c r="X90" i="14"/>
  <c r="X91" i="14"/>
  <c r="X92" i="14"/>
  <c r="X93" i="14"/>
  <c r="X94" i="14"/>
  <c r="X95" i="14"/>
  <c r="X96" i="14"/>
  <c r="X97" i="14"/>
  <c r="X98" i="14"/>
  <c r="X99" i="14"/>
  <c r="X100" i="14"/>
  <c r="X101" i="14"/>
  <c r="X102" i="14"/>
  <c r="X103" i="14"/>
  <c r="X104" i="14"/>
  <c r="X105" i="14"/>
  <c r="X106" i="14"/>
  <c r="X107" i="14"/>
  <c r="X108" i="14"/>
  <c r="X109" i="14"/>
  <c r="X110" i="14"/>
  <c r="X111" i="14"/>
  <c r="X112" i="14"/>
  <c r="X113" i="14"/>
  <c r="X114" i="14"/>
  <c r="X115" i="14"/>
  <c r="X116" i="14"/>
  <c r="X117" i="14"/>
  <c r="X118" i="14"/>
  <c r="X119" i="14"/>
  <c r="X120" i="14"/>
  <c r="X121" i="14"/>
  <c r="X122" i="14"/>
  <c r="X123" i="14"/>
  <c r="X44" i="14"/>
  <c r="X43" i="14"/>
  <c r="N25" i="14"/>
  <c r="J130" i="24" s="1"/>
  <c r="I7" i="14"/>
  <c r="B123" i="14"/>
  <c r="B122" i="14"/>
  <c r="B121" i="14"/>
  <c r="B120" i="14"/>
  <c r="B119" i="14"/>
  <c r="B118" i="14"/>
  <c r="B117" i="14"/>
  <c r="B116" i="14"/>
  <c r="B115" i="14"/>
  <c r="B114" i="14"/>
  <c r="B113" i="14"/>
  <c r="B112" i="14"/>
  <c r="B111" i="14"/>
  <c r="B110" i="14"/>
  <c r="B109" i="14"/>
  <c r="B108" i="14"/>
  <c r="B107" i="14"/>
  <c r="B106" i="14"/>
  <c r="B105" i="14"/>
  <c r="B104" i="14"/>
  <c r="B103" i="14"/>
  <c r="B102" i="14"/>
  <c r="B101" i="14"/>
  <c r="B100" i="14"/>
  <c r="B99" i="14"/>
  <c r="B98" i="14"/>
  <c r="B97" i="14"/>
  <c r="B96" i="14"/>
  <c r="B95" i="14"/>
  <c r="B94" i="14"/>
  <c r="B93" i="14"/>
  <c r="B92" i="14"/>
  <c r="B91" i="14"/>
  <c r="B90" i="14"/>
  <c r="B89" i="14"/>
  <c r="B88" i="14"/>
  <c r="B87" i="14"/>
  <c r="B86" i="14"/>
  <c r="B85" i="14"/>
  <c r="B84" i="14"/>
  <c r="B83" i="14"/>
  <c r="B82" i="14"/>
  <c r="B81" i="14"/>
  <c r="B80" i="14"/>
  <c r="B79" i="14"/>
  <c r="B78" i="14"/>
  <c r="B77" i="14"/>
  <c r="B76" i="14"/>
  <c r="B75" i="14"/>
  <c r="B74" i="14"/>
  <c r="B73" i="14"/>
  <c r="B72" i="14"/>
  <c r="B71" i="14"/>
  <c r="B70" i="14"/>
  <c r="B69" i="14"/>
  <c r="B68" i="14"/>
  <c r="B67" i="14"/>
  <c r="B66" i="14"/>
  <c r="B65" i="14"/>
  <c r="B64" i="14"/>
  <c r="B63" i="14"/>
  <c r="B62" i="14"/>
  <c r="B61" i="14"/>
  <c r="B60" i="14"/>
  <c r="B59" i="14"/>
  <c r="B58" i="14"/>
  <c r="B57" i="14"/>
  <c r="B56" i="14"/>
  <c r="B55" i="14"/>
  <c r="B54" i="14"/>
  <c r="B53" i="14"/>
  <c r="B52" i="14"/>
  <c r="B51" i="14"/>
  <c r="B50" i="14"/>
  <c r="B49" i="14"/>
  <c r="B48" i="14"/>
  <c r="B47" i="14"/>
  <c r="B46" i="14"/>
  <c r="B45" i="14"/>
  <c r="B44" i="14"/>
  <c r="V42" i="14"/>
  <c r="U42" i="14"/>
  <c r="D7" i="14"/>
  <c r="J32" i="24" l="1"/>
  <c r="J62" i="24"/>
  <c r="J120" i="24"/>
  <c r="X42" i="14"/>
  <c r="J135" i="24" s="1"/>
  <c r="Q123" i="14" l="1"/>
  <c r="P123" i="14"/>
  <c r="O123" i="14"/>
  <c r="T123" i="14" s="1"/>
  <c r="G123" i="14"/>
  <c r="Q122" i="14"/>
  <c r="P122" i="14"/>
  <c r="O122" i="14"/>
  <c r="T122" i="14" s="1"/>
  <c r="G122" i="14"/>
  <c r="Q121" i="14"/>
  <c r="P121" i="14"/>
  <c r="O121" i="14"/>
  <c r="T121" i="14" s="1"/>
  <c r="G121" i="14"/>
  <c r="Q120" i="14"/>
  <c r="P120" i="14"/>
  <c r="O120" i="14"/>
  <c r="T120" i="14" s="1"/>
  <c r="G120" i="14"/>
  <c r="Q119" i="14"/>
  <c r="P119" i="14"/>
  <c r="O119" i="14"/>
  <c r="T119" i="14" s="1"/>
  <c r="G119" i="14"/>
  <c r="Q118" i="14"/>
  <c r="P118" i="14"/>
  <c r="O118" i="14"/>
  <c r="T118" i="14" s="1"/>
  <c r="G118" i="14"/>
  <c r="Q117" i="14"/>
  <c r="P117" i="14"/>
  <c r="O117" i="14"/>
  <c r="T117" i="14" s="1"/>
  <c r="G117" i="14"/>
  <c r="Q116" i="14"/>
  <c r="P116" i="14"/>
  <c r="O116" i="14"/>
  <c r="T116" i="14" s="1"/>
  <c r="G116" i="14"/>
  <c r="Q115" i="14"/>
  <c r="P115" i="14"/>
  <c r="O115" i="14"/>
  <c r="T115" i="14" s="1"/>
  <c r="G115" i="14"/>
  <c r="Q114" i="14"/>
  <c r="P114" i="14"/>
  <c r="O114" i="14"/>
  <c r="T114" i="14" s="1"/>
  <c r="G114" i="14"/>
  <c r="Q113" i="14"/>
  <c r="P113" i="14"/>
  <c r="O113" i="14"/>
  <c r="T113" i="14" s="1"/>
  <c r="G113" i="14"/>
  <c r="Q112" i="14"/>
  <c r="P112" i="14"/>
  <c r="O112" i="14"/>
  <c r="S112" i="14" s="1"/>
  <c r="G112" i="14"/>
  <c r="Q111" i="14"/>
  <c r="P111" i="14"/>
  <c r="O111" i="14"/>
  <c r="S111" i="14" s="1"/>
  <c r="G111" i="14"/>
  <c r="Q110" i="14"/>
  <c r="P110" i="14"/>
  <c r="O110" i="14"/>
  <c r="S110" i="14" s="1"/>
  <c r="G110" i="14"/>
  <c r="Q109" i="14"/>
  <c r="P109" i="14"/>
  <c r="O109" i="14"/>
  <c r="S109" i="14" s="1"/>
  <c r="G109" i="14"/>
  <c r="Q108" i="14"/>
  <c r="P108" i="14"/>
  <c r="O108" i="14"/>
  <c r="S108" i="14" s="1"/>
  <c r="G108" i="14"/>
  <c r="Q107" i="14"/>
  <c r="P107" i="14"/>
  <c r="O107" i="14"/>
  <c r="S107" i="14" s="1"/>
  <c r="G107" i="14"/>
  <c r="Q106" i="14"/>
  <c r="P106" i="14"/>
  <c r="O106" i="14"/>
  <c r="S106" i="14" s="1"/>
  <c r="G106" i="14"/>
  <c r="Q105" i="14"/>
  <c r="P105" i="14"/>
  <c r="O105" i="14"/>
  <c r="S105" i="14" s="1"/>
  <c r="G105" i="14"/>
  <c r="Q104" i="14"/>
  <c r="P104" i="14"/>
  <c r="O104" i="14"/>
  <c r="S104" i="14" s="1"/>
  <c r="G104" i="14"/>
  <c r="Q103" i="14"/>
  <c r="P103" i="14"/>
  <c r="O103" i="14"/>
  <c r="S103" i="14" s="1"/>
  <c r="G103" i="14"/>
  <c r="Q102" i="14"/>
  <c r="P102" i="14"/>
  <c r="O102" i="14"/>
  <c r="S102" i="14" s="1"/>
  <c r="G102" i="14"/>
  <c r="Q101" i="14"/>
  <c r="P101" i="14"/>
  <c r="O101" i="14"/>
  <c r="S101" i="14" s="1"/>
  <c r="G101" i="14"/>
  <c r="Q100" i="14"/>
  <c r="P100" i="14"/>
  <c r="O100" i="14"/>
  <c r="S100" i="14" s="1"/>
  <c r="G100" i="14"/>
  <c r="Q99" i="14"/>
  <c r="P99" i="14"/>
  <c r="O99" i="14"/>
  <c r="S99" i="14" s="1"/>
  <c r="G99" i="14"/>
  <c r="Q98" i="14"/>
  <c r="P98" i="14"/>
  <c r="O98" i="14"/>
  <c r="S98" i="14" s="1"/>
  <c r="G98" i="14"/>
  <c r="Q97" i="14"/>
  <c r="P97" i="14"/>
  <c r="O97" i="14"/>
  <c r="S97" i="14" s="1"/>
  <c r="G97" i="14"/>
  <c r="Q96" i="14"/>
  <c r="P96" i="14"/>
  <c r="O96" i="14"/>
  <c r="S96" i="14" s="1"/>
  <c r="G96" i="14"/>
  <c r="Q95" i="14"/>
  <c r="P95" i="14"/>
  <c r="O95" i="14"/>
  <c r="S95" i="14" s="1"/>
  <c r="G95" i="14"/>
  <c r="Q94" i="14"/>
  <c r="P94" i="14"/>
  <c r="O94" i="14"/>
  <c r="S94" i="14" s="1"/>
  <c r="G94" i="14"/>
  <c r="Q93" i="14"/>
  <c r="P93" i="14"/>
  <c r="O93" i="14"/>
  <c r="S93" i="14" s="1"/>
  <c r="G93" i="14"/>
  <c r="Q92" i="14"/>
  <c r="P92" i="14"/>
  <c r="O92" i="14"/>
  <c r="S92" i="14" s="1"/>
  <c r="G92" i="14"/>
  <c r="Q91" i="14"/>
  <c r="P91" i="14"/>
  <c r="O91" i="14"/>
  <c r="S91" i="14" s="1"/>
  <c r="G91" i="14"/>
  <c r="Q90" i="14"/>
  <c r="P90" i="14"/>
  <c r="O90" i="14"/>
  <c r="S90" i="14" s="1"/>
  <c r="G90" i="14"/>
  <c r="Q89" i="14"/>
  <c r="P89" i="14"/>
  <c r="O89" i="14"/>
  <c r="S89" i="14" s="1"/>
  <c r="G89" i="14"/>
  <c r="Q88" i="14"/>
  <c r="P88" i="14"/>
  <c r="O88" i="14"/>
  <c r="S88" i="14" s="1"/>
  <c r="G88" i="14"/>
  <c r="Q87" i="14"/>
  <c r="P87" i="14"/>
  <c r="O87" i="14"/>
  <c r="S87" i="14" s="1"/>
  <c r="G87" i="14"/>
  <c r="Q86" i="14"/>
  <c r="P86" i="14"/>
  <c r="O86" i="14"/>
  <c r="S86" i="14" s="1"/>
  <c r="G86" i="14"/>
  <c r="Q85" i="14"/>
  <c r="P85" i="14"/>
  <c r="O85" i="14"/>
  <c r="S85" i="14" s="1"/>
  <c r="G85" i="14"/>
  <c r="Q84" i="14"/>
  <c r="P84" i="14"/>
  <c r="O84" i="14"/>
  <c r="S84" i="14" s="1"/>
  <c r="G84" i="14"/>
  <c r="Q83" i="14"/>
  <c r="P83" i="14"/>
  <c r="O83" i="14"/>
  <c r="S83" i="14" s="1"/>
  <c r="G83" i="14"/>
  <c r="Q82" i="14"/>
  <c r="P82" i="14"/>
  <c r="O82" i="14"/>
  <c r="S82" i="14" s="1"/>
  <c r="G82" i="14"/>
  <c r="Q81" i="14"/>
  <c r="P81" i="14"/>
  <c r="O81" i="14"/>
  <c r="S81" i="14" s="1"/>
  <c r="G81" i="14"/>
  <c r="Q80" i="14"/>
  <c r="P80" i="14"/>
  <c r="O80" i="14"/>
  <c r="S80" i="14" s="1"/>
  <c r="G80" i="14"/>
  <c r="Q79" i="14"/>
  <c r="P79" i="14"/>
  <c r="O79" i="14"/>
  <c r="S79" i="14" s="1"/>
  <c r="G79" i="14"/>
  <c r="Q78" i="14"/>
  <c r="P78" i="14"/>
  <c r="O78" i="14"/>
  <c r="S78" i="14" s="1"/>
  <c r="G78" i="14"/>
  <c r="Q77" i="14"/>
  <c r="P77" i="14"/>
  <c r="O77" i="14"/>
  <c r="S77" i="14" s="1"/>
  <c r="G77" i="14"/>
  <c r="Q76" i="14"/>
  <c r="P76" i="14"/>
  <c r="O76" i="14"/>
  <c r="S76" i="14" s="1"/>
  <c r="G76" i="14"/>
  <c r="Q75" i="14"/>
  <c r="P75" i="14"/>
  <c r="O75" i="14"/>
  <c r="S75" i="14" s="1"/>
  <c r="G75" i="14"/>
  <c r="Q74" i="14"/>
  <c r="P74" i="14"/>
  <c r="O74" i="14"/>
  <c r="S74" i="14" s="1"/>
  <c r="G74" i="14"/>
  <c r="Q73" i="14"/>
  <c r="P73" i="14"/>
  <c r="O73" i="14"/>
  <c r="S73" i="14" s="1"/>
  <c r="G73" i="14"/>
  <c r="Q72" i="14"/>
  <c r="P72" i="14"/>
  <c r="O72" i="14"/>
  <c r="S72" i="14" s="1"/>
  <c r="G72" i="14"/>
  <c r="Q71" i="14"/>
  <c r="P71" i="14"/>
  <c r="O71" i="14"/>
  <c r="S71" i="14" s="1"/>
  <c r="G71" i="14"/>
  <c r="Q70" i="14"/>
  <c r="P70" i="14"/>
  <c r="O70" i="14"/>
  <c r="S70" i="14" s="1"/>
  <c r="G70" i="14"/>
  <c r="Q69" i="14"/>
  <c r="P69" i="14"/>
  <c r="O69" i="14"/>
  <c r="S69" i="14" s="1"/>
  <c r="G69" i="14"/>
  <c r="Q68" i="14"/>
  <c r="P68" i="14"/>
  <c r="O68" i="14"/>
  <c r="S68" i="14" s="1"/>
  <c r="G68" i="14"/>
  <c r="Q67" i="14"/>
  <c r="P67" i="14"/>
  <c r="O67" i="14"/>
  <c r="S67" i="14" s="1"/>
  <c r="G67" i="14"/>
  <c r="Q66" i="14"/>
  <c r="P66" i="14"/>
  <c r="O66" i="14"/>
  <c r="S66" i="14" s="1"/>
  <c r="G66" i="14"/>
  <c r="Q65" i="14"/>
  <c r="P65" i="14"/>
  <c r="O65" i="14"/>
  <c r="S65" i="14" s="1"/>
  <c r="G65" i="14"/>
  <c r="Q64" i="14"/>
  <c r="P64" i="14"/>
  <c r="O64" i="14"/>
  <c r="S64" i="14" s="1"/>
  <c r="G64" i="14"/>
  <c r="Q63" i="14"/>
  <c r="P63" i="14"/>
  <c r="O63" i="14"/>
  <c r="S63" i="14" s="1"/>
  <c r="G63" i="14"/>
  <c r="Q62" i="14"/>
  <c r="P62" i="14"/>
  <c r="O62" i="14"/>
  <c r="S62" i="14" s="1"/>
  <c r="G62" i="14"/>
  <c r="Q61" i="14"/>
  <c r="P61" i="14"/>
  <c r="O61" i="14"/>
  <c r="S61" i="14" s="1"/>
  <c r="G61" i="14"/>
  <c r="Q60" i="14"/>
  <c r="P60" i="14"/>
  <c r="O60" i="14"/>
  <c r="S60" i="14" s="1"/>
  <c r="G60" i="14"/>
  <c r="Q59" i="14"/>
  <c r="P59" i="14"/>
  <c r="O59" i="14"/>
  <c r="S59" i="14" s="1"/>
  <c r="G59" i="14"/>
  <c r="Q58" i="14"/>
  <c r="P58" i="14"/>
  <c r="O58" i="14"/>
  <c r="S58" i="14" s="1"/>
  <c r="G58" i="14"/>
  <c r="Q57" i="14"/>
  <c r="P57" i="14"/>
  <c r="O57" i="14"/>
  <c r="S57" i="14" s="1"/>
  <c r="G57" i="14"/>
  <c r="Q56" i="14"/>
  <c r="P56" i="14"/>
  <c r="O56" i="14"/>
  <c r="S56" i="14" s="1"/>
  <c r="G56" i="14"/>
  <c r="Q55" i="14"/>
  <c r="P55" i="14"/>
  <c r="O55" i="14"/>
  <c r="S55" i="14" s="1"/>
  <c r="G55" i="14"/>
  <c r="Q54" i="14"/>
  <c r="P54" i="14"/>
  <c r="O54" i="14"/>
  <c r="S54" i="14" s="1"/>
  <c r="G54" i="14"/>
  <c r="Q53" i="14"/>
  <c r="P53" i="14"/>
  <c r="O53" i="14"/>
  <c r="S53" i="14" s="1"/>
  <c r="G53" i="14"/>
  <c r="Q52" i="14"/>
  <c r="P52" i="14"/>
  <c r="O52" i="14"/>
  <c r="S52" i="14" s="1"/>
  <c r="G52" i="14"/>
  <c r="Q51" i="14"/>
  <c r="P51" i="14"/>
  <c r="O51" i="14"/>
  <c r="S51" i="14" s="1"/>
  <c r="G51" i="14"/>
  <c r="Q50" i="14"/>
  <c r="P50" i="14"/>
  <c r="O50" i="14"/>
  <c r="S50" i="14" s="1"/>
  <c r="G50" i="14"/>
  <c r="Q49" i="14"/>
  <c r="P49" i="14"/>
  <c r="O49" i="14"/>
  <c r="S49" i="14" s="1"/>
  <c r="G49" i="14"/>
  <c r="Q48" i="14"/>
  <c r="P48" i="14"/>
  <c r="O48" i="14"/>
  <c r="S48" i="14" s="1"/>
  <c r="G48" i="14"/>
  <c r="Q47" i="14"/>
  <c r="P47" i="14"/>
  <c r="O47" i="14"/>
  <c r="S47" i="14" s="1"/>
  <c r="G47" i="14"/>
  <c r="Q46" i="14"/>
  <c r="P46" i="14"/>
  <c r="O46" i="14"/>
  <c r="S46" i="14" s="1"/>
  <c r="G46" i="14"/>
  <c r="Q45" i="14"/>
  <c r="P45" i="14"/>
  <c r="O45" i="14"/>
  <c r="S45" i="14" s="1"/>
  <c r="G45" i="14"/>
  <c r="G44" i="14"/>
  <c r="O44" i="14"/>
  <c r="S44" i="14" s="1"/>
  <c r="P44" i="14"/>
  <c r="Q44" i="14"/>
  <c r="B28" i="14"/>
  <c r="B29" i="14"/>
  <c r="B30" i="14"/>
  <c r="B31" i="14"/>
  <c r="B32" i="14"/>
  <c r="B33" i="14"/>
  <c r="B34" i="14"/>
  <c r="B35" i="14"/>
  <c r="B36" i="14"/>
  <c r="B37" i="14"/>
  <c r="B38" i="14"/>
  <c r="B27" i="14"/>
  <c r="P38" i="14"/>
  <c r="Q38" i="14"/>
  <c r="R38" i="14"/>
  <c r="X38" i="14"/>
  <c r="G38" i="14"/>
  <c r="O38" i="14" s="1"/>
  <c r="F30" i="51"/>
  <c r="E30" i="51"/>
  <c r="D30" i="51"/>
  <c r="C30" i="51"/>
  <c r="B30" i="51"/>
  <c r="G29" i="51"/>
  <c r="G27" i="51"/>
  <c r="G26" i="51"/>
  <c r="G25" i="51"/>
  <c r="G24" i="51"/>
  <c r="G23" i="51"/>
  <c r="G22" i="51"/>
  <c r="G21" i="51"/>
  <c r="G20" i="51"/>
  <c r="G19" i="51"/>
  <c r="G18" i="51"/>
  <c r="G16" i="51"/>
  <c r="F16" i="51"/>
  <c r="E16" i="51"/>
  <c r="D16" i="51"/>
  <c r="C16" i="51"/>
  <c r="B16" i="51"/>
  <c r="G15" i="51"/>
  <c r="F15" i="51"/>
  <c r="E15" i="51"/>
  <c r="D15" i="51"/>
  <c r="C15" i="51"/>
  <c r="B15" i="51"/>
  <c r="G12" i="51"/>
  <c r="F12" i="51"/>
  <c r="F17" i="51" s="1"/>
  <c r="E12" i="51"/>
  <c r="E17" i="51" s="1"/>
  <c r="D12" i="51"/>
  <c r="C12" i="51"/>
  <c r="B12" i="51"/>
  <c r="B17" i="51" s="1"/>
  <c r="G5" i="51"/>
  <c r="G4" i="51"/>
  <c r="G3" i="51"/>
  <c r="G227" i="50"/>
  <c r="G216" i="50"/>
  <c r="G205" i="50"/>
  <c r="G194" i="50"/>
  <c r="G183" i="50"/>
  <c r="G172" i="50"/>
  <c r="G161" i="50"/>
  <c r="G150" i="50"/>
  <c r="G139" i="50"/>
  <c r="G128" i="50"/>
  <c r="G117" i="50"/>
  <c r="G106" i="50"/>
  <c r="G95" i="50"/>
  <c r="G84" i="50"/>
  <c r="G73" i="50"/>
  <c r="G62" i="50"/>
  <c r="G51" i="50"/>
  <c r="G40" i="50"/>
  <c r="G29" i="50"/>
  <c r="G18" i="50"/>
  <c r="G7" i="50"/>
  <c r="AG289" i="20"/>
  <c r="E289" i="20"/>
  <c r="AF287" i="20"/>
  <c r="E287" i="20"/>
  <c r="AE285" i="20"/>
  <c r="E285" i="20"/>
  <c r="AC283" i="20"/>
  <c r="E283" i="20"/>
  <c r="AA281" i="20"/>
  <c r="E281" i="20"/>
  <c r="Y279" i="20"/>
  <c r="E279" i="20"/>
  <c r="AS276" i="20"/>
  <c r="AR276" i="20"/>
  <c r="AQ276" i="20"/>
  <c r="AP276" i="20"/>
  <c r="E276" i="20"/>
  <c r="AS274" i="20"/>
  <c r="AR274" i="20"/>
  <c r="AQ274" i="20"/>
  <c r="AP274" i="20"/>
  <c r="E274" i="20"/>
  <c r="AS272" i="20"/>
  <c r="AR272" i="20"/>
  <c r="AQ272" i="20"/>
  <c r="AP272" i="20"/>
  <c r="E272" i="20"/>
  <c r="AS270" i="20"/>
  <c r="AR270" i="20"/>
  <c r="AQ270" i="20"/>
  <c r="AP270" i="20"/>
  <c r="E270" i="20"/>
  <c r="AS268" i="20"/>
  <c r="AR268" i="20"/>
  <c r="AQ268" i="20"/>
  <c r="AP268" i="20"/>
  <c r="E268" i="20"/>
  <c r="AS266" i="20"/>
  <c r="AR266" i="20"/>
  <c r="AQ266" i="20"/>
  <c r="AP266" i="20"/>
  <c r="E266" i="20"/>
  <c r="X264" i="20"/>
  <c r="E264" i="20"/>
  <c r="X262" i="20"/>
  <c r="E262" i="20"/>
  <c r="X260" i="20"/>
  <c r="E260" i="20"/>
  <c r="X258" i="20"/>
  <c r="W258" i="20"/>
  <c r="E258" i="20"/>
  <c r="W256" i="20"/>
  <c r="E256" i="20"/>
  <c r="X254" i="20"/>
  <c r="W254" i="20"/>
  <c r="E254" i="20"/>
  <c r="W252" i="20"/>
  <c r="E252" i="20"/>
  <c r="W250" i="20"/>
  <c r="E250" i="20"/>
  <c r="W248" i="20"/>
  <c r="E248" i="20"/>
  <c r="W246" i="20"/>
  <c r="E246" i="20"/>
  <c r="W244" i="20"/>
  <c r="E244" i="20"/>
  <c r="W242" i="20"/>
  <c r="E242" i="20"/>
  <c r="V240" i="20"/>
  <c r="E240" i="20"/>
  <c r="V238" i="20"/>
  <c r="E238" i="20"/>
  <c r="V236" i="20"/>
  <c r="E236" i="20"/>
  <c r="V234" i="20"/>
  <c r="E234" i="20"/>
  <c r="V232" i="20"/>
  <c r="E232" i="20"/>
  <c r="V230" i="20"/>
  <c r="E230" i="20"/>
  <c r="V228" i="20"/>
  <c r="E228" i="20"/>
  <c r="W226" i="20"/>
  <c r="V226" i="20"/>
  <c r="E226" i="20"/>
  <c r="W224" i="20"/>
  <c r="V224" i="20"/>
  <c r="E224" i="20"/>
  <c r="W222" i="20"/>
  <c r="V222" i="20"/>
  <c r="E222" i="20"/>
  <c r="X220" i="20"/>
  <c r="W220" i="20"/>
  <c r="V220" i="20"/>
  <c r="E220" i="20"/>
  <c r="U218" i="20"/>
  <c r="E218" i="20"/>
  <c r="T216" i="20"/>
  <c r="E216" i="20"/>
  <c r="AS214" i="20"/>
  <c r="AR214" i="20"/>
  <c r="AQ214" i="20"/>
  <c r="AP214" i="20"/>
  <c r="AO214" i="20"/>
  <c r="X214" i="20"/>
  <c r="W214" i="20"/>
  <c r="V214" i="20"/>
  <c r="E214" i="20"/>
  <c r="S212" i="20"/>
  <c r="E212" i="20"/>
  <c r="R210" i="20"/>
  <c r="E210" i="20"/>
  <c r="AJ208" i="20"/>
  <c r="AI208" i="20"/>
  <c r="AH208" i="20"/>
  <c r="E208" i="20"/>
  <c r="G206" i="20"/>
  <c r="E206" i="20"/>
  <c r="G204" i="20"/>
  <c r="E204" i="20"/>
  <c r="AJ202" i="20"/>
  <c r="AI202" i="20"/>
  <c r="AH202" i="20"/>
  <c r="E202" i="20"/>
  <c r="V200" i="20"/>
  <c r="E200" i="20"/>
  <c r="W200" i="20" s="1"/>
  <c r="W201" i="20" s="1"/>
  <c r="W198" i="20"/>
  <c r="V198" i="20"/>
  <c r="E198" i="20"/>
  <c r="O196" i="20"/>
  <c r="E196" i="20"/>
  <c r="J195" i="20"/>
  <c r="F195" i="20" s="1"/>
  <c r="E195" i="20"/>
  <c r="G193" i="20"/>
  <c r="E193" i="20"/>
  <c r="G191" i="20"/>
  <c r="E191" i="20"/>
  <c r="AO189" i="20"/>
  <c r="E189" i="20"/>
  <c r="F188" i="20"/>
  <c r="E188" i="20"/>
  <c r="AS187" i="20"/>
  <c r="AR187" i="20"/>
  <c r="AQ187" i="20"/>
  <c r="AP187" i="20"/>
  <c r="F187" i="20" s="1"/>
  <c r="E187" i="20"/>
  <c r="AS186" i="20"/>
  <c r="AQ186" i="20"/>
  <c r="AP186" i="20"/>
  <c r="F186" i="20" s="1"/>
  <c r="E186" i="20"/>
  <c r="AR186" i="20" s="1"/>
  <c r="Q185" i="20"/>
  <c r="P185" i="20"/>
  <c r="F185" i="20" s="1"/>
  <c r="F184" i="20" s="1"/>
  <c r="E185" i="20"/>
  <c r="AS182" i="20"/>
  <c r="AR182" i="20"/>
  <c r="AQ182" i="20"/>
  <c r="AP182" i="20"/>
  <c r="E182" i="20"/>
  <c r="X180" i="20"/>
  <c r="E180" i="20"/>
  <c r="X178" i="20"/>
  <c r="E178" i="20"/>
  <c r="AO176" i="20"/>
  <c r="X176" i="20"/>
  <c r="E176" i="20"/>
  <c r="AS174" i="20"/>
  <c r="AR174" i="20"/>
  <c r="AQ174" i="20"/>
  <c r="AP174" i="20"/>
  <c r="AO174" i="20"/>
  <c r="X174" i="20"/>
  <c r="W174" i="20"/>
  <c r="V174" i="20"/>
  <c r="E174" i="20"/>
  <c r="AR175" i="20" s="1"/>
  <c r="AS172" i="20"/>
  <c r="AR172" i="20"/>
  <c r="AQ172" i="20"/>
  <c r="AP172" i="20"/>
  <c r="AO172" i="20"/>
  <c r="X172" i="20"/>
  <c r="W172" i="20"/>
  <c r="V172" i="20"/>
  <c r="E172" i="20"/>
  <c r="O170" i="20"/>
  <c r="E170" i="20"/>
  <c r="M168" i="20"/>
  <c r="E168" i="20"/>
  <c r="O166" i="20"/>
  <c r="E166" i="20"/>
  <c r="O164" i="20"/>
  <c r="L164" i="20"/>
  <c r="E164" i="20"/>
  <c r="O162" i="20"/>
  <c r="E162" i="20"/>
  <c r="E152" i="20"/>
  <c r="E149" i="20"/>
  <c r="E147" i="20"/>
  <c r="E145" i="20"/>
  <c r="E143" i="20"/>
  <c r="E141" i="20"/>
  <c r="E140" i="20"/>
  <c r="E138" i="20"/>
  <c r="E137" i="20"/>
  <c r="P135" i="20"/>
  <c r="E135" i="20"/>
  <c r="P133" i="20"/>
  <c r="E133" i="20"/>
  <c r="E131" i="20"/>
  <c r="E129" i="20"/>
  <c r="E127" i="20"/>
  <c r="E125" i="20"/>
  <c r="E123" i="20"/>
  <c r="E121" i="20"/>
  <c r="E119" i="20"/>
  <c r="R117" i="20"/>
  <c r="E117" i="20"/>
  <c r="E115" i="20"/>
  <c r="E113" i="20"/>
  <c r="P111" i="20"/>
  <c r="O111" i="20"/>
  <c r="N111" i="20"/>
  <c r="E111" i="20"/>
  <c r="O109" i="20"/>
  <c r="E109" i="20"/>
  <c r="Q107" i="20"/>
  <c r="E107" i="20"/>
  <c r="J106" i="20"/>
  <c r="F106" i="20" s="1"/>
  <c r="E106" i="20"/>
  <c r="E104" i="20"/>
  <c r="E102" i="20"/>
  <c r="E100" i="20"/>
  <c r="E98" i="20"/>
  <c r="P96" i="20"/>
  <c r="E96" i="20"/>
  <c r="E94" i="20"/>
  <c r="R93" i="20"/>
  <c r="F93" i="20" s="1"/>
  <c r="E93" i="20"/>
  <c r="E92" i="20"/>
  <c r="Q89" i="20"/>
  <c r="P89" i="20"/>
  <c r="O89" i="20"/>
  <c r="N89" i="20"/>
  <c r="E89" i="20"/>
  <c r="Q90" i="20" s="1"/>
  <c r="K87" i="20"/>
  <c r="E87" i="20"/>
  <c r="Q85" i="20"/>
  <c r="P85" i="20"/>
  <c r="O85" i="20"/>
  <c r="N85" i="20"/>
  <c r="E85" i="20"/>
  <c r="Q83" i="20"/>
  <c r="P83" i="20"/>
  <c r="O83" i="20"/>
  <c r="N83" i="20"/>
  <c r="E83" i="20"/>
  <c r="Q81" i="20"/>
  <c r="P81" i="20"/>
  <c r="O81" i="20"/>
  <c r="N81" i="20"/>
  <c r="E81" i="20"/>
  <c r="AB71" i="20"/>
  <c r="E71" i="20"/>
  <c r="Z68" i="20"/>
  <c r="E68" i="20"/>
  <c r="AA66" i="20"/>
  <c r="Z66" i="20"/>
  <c r="E66" i="20"/>
  <c r="E64" i="20"/>
  <c r="E62" i="20"/>
  <c r="E60" i="20"/>
  <c r="E58" i="20"/>
  <c r="Q56" i="20"/>
  <c r="E56" i="20"/>
  <c r="Q54" i="20"/>
  <c r="E54" i="20"/>
  <c r="E52" i="20"/>
  <c r="E50" i="20"/>
  <c r="E48" i="20"/>
  <c r="E46" i="20"/>
  <c r="AA44" i="20"/>
  <c r="E44" i="20"/>
  <c r="AA42" i="20"/>
  <c r="Z42" i="20"/>
  <c r="E42" i="20"/>
  <c r="Q41" i="20"/>
  <c r="P41" i="20"/>
  <c r="E41" i="20"/>
  <c r="P39" i="20"/>
  <c r="E39" i="20"/>
  <c r="R37" i="20"/>
  <c r="E37" i="20"/>
  <c r="K36" i="20"/>
  <c r="F36" i="20" s="1"/>
  <c r="E36" i="20"/>
  <c r="E34" i="20"/>
  <c r="H32" i="20"/>
  <c r="E32" i="20"/>
  <c r="E30" i="20"/>
  <c r="Q28" i="20"/>
  <c r="E28" i="20"/>
  <c r="T27" i="20"/>
  <c r="E27" i="20"/>
  <c r="T26" i="20"/>
  <c r="F26" i="20" s="1"/>
  <c r="F25" i="20" s="1"/>
  <c r="E26" i="20"/>
  <c r="R23" i="20"/>
  <c r="E23" i="20"/>
  <c r="Q21" i="20"/>
  <c r="P21" i="20"/>
  <c r="E21" i="20"/>
  <c r="L19" i="20"/>
  <c r="E19" i="20"/>
  <c r="R17" i="20"/>
  <c r="E17" i="20"/>
  <c r="Q16" i="20"/>
  <c r="P16" i="20"/>
  <c r="E16" i="20"/>
  <c r="Q14" i="20"/>
  <c r="P14" i="20"/>
  <c r="E14" i="20"/>
  <c r="AA2" i="20"/>
  <c r="A1" i="20"/>
  <c r="Z28" i="16"/>
  <c r="V28" i="16"/>
  <c r="R28" i="16"/>
  <c r="N28" i="16"/>
  <c r="Z27" i="16"/>
  <c r="V27" i="16"/>
  <c r="R27" i="16"/>
  <c r="N27" i="16"/>
  <c r="J27" i="16"/>
  <c r="F27" i="16"/>
  <c r="N25" i="16"/>
  <c r="N17" i="16" s="1"/>
  <c r="Z24" i="16"/>
  <c r="Z25" i="16" s="1"/>
  <c r="Z17" i="16" s="1"/>
  <c r="V17" i="16"/>
  <c r="R17" i="16"/>
  <c r="J17" i="16"/>
  <c r="Z16" i="16"/>
  <c r="V16" i="16"/>
  <c r="R16" i="16"/>
  <c r="N16" i="16"/>
  <c r="J16" i="16"/>
  <c r="F16" i="16"/>
  <c r="Z13" i="16"/>
  <c r="Z6" i="16" s="1"/>
  <c r="R13" i="16"/>
  <c r="R6" i="16" s="1"/>
  <c r="N13" i="16"/>
  <c r="V6" i="16"/>
  <c r="J6" i="16"/>
  <c r="C221" i="17"/>
  <c r="C186" i="17"/>
  <c r="C185" i="17"/>
  <c r="C184" i="17"/>
  <c r="J146" i="24" s="1"/>
  <c r="C183" i="17"/>
  <c r="I100" i="17"/>
  <c r="I99" i="17"/>
  <c r="I98" i="17"/>
  <c r="I97" i="17"/>
  <c r="I96" i="17"/>
  <c r="I95" i="17"/>
  <c r="I94" i="17"/>
  <c r="I93" i="17"/>
  <c r="I92" i="17"/>
  <c r="I91" i="17"/>
  <c r="I90" i="17"/>
  <c r="I89" i="17"/>
  <c r="I88" i="17"/>
  <c r="I87" i="17"/>
  <c r="I86" i="17"/>
  <c r="I85" i="17"/>
  <c r="I84" i="17"/>
  <c r="I83" i="17"/>
  <c r="I82" i="17"/>
  <c r="I81" i="17"/>
  <c r="F77" i="17"/>
  <c r="F76" i="17"/>
  <c r="F75" i="17"/>
  <c r="F74" i="17"/>
  <c r="F73" i="17"/>
  <c r="J8" i="17"/>
  <c r="I8" i="17"/>
  <c r="G8" i="17"/>
  <c r="J152" i="24" s="1"/>
  <c r="F8" i="17"/>
  <c r="J154" i="24" s="1"/>
  <c r="O471" i="47"/>
  <c r="O474" i="47" s="1"/>
  <c r="O468" i="47" s="1"/>
  <c r="K471" i="47"/>
  <c r="K474" i="47" s="1"/>
  <c r="K468" i="47" s="1"/>
  <c r="G471" i="47"/>
  <c r="G474" i="47" s="1"/>
  <c r="G468" i="47" s="1"/>
  <c r="K463" i="47"/>
  <c r="O460" i="47"/>
  <c r="O463" i="47" s="1"/>
  <c r="O457" i="47" s="1"/>
  <c r="K460" i="47"/>
  <c r="G460" i="47"/>
  <c r="G463" i="47" s="1"/>
  <c r="G457" i="47" s="1"/>
  <c r="K457" i="47"/>
  <c r="O446" i="47"/>
  <c r="K446" i="47"/>
  <c r="G446" i="47"/>
  <c r="O440" i="47"/>
  <c r="O439" i="47" s="1"/>
  <c r="O438" i="47" s="1"/>
  <c r="O442" i="47" s="1"/>
  <c r="O435" i="47" s="1"/>
  <c r="K440" i="47"/>
  <c r="G440" i="47"/>
  <c r="G439" i="47" s="1"/>
  <c r="G438" i="47" s="1"/>
  <c r="G442" i="47" s="1"/>
  <c r="G435" i="47" s="1"/>
  <c r="K439" i="47"/>
  <c r="K438" i="47" s="1"/>
  <c r="K442" i="47" s="1"/>
  <c r="K435" i="47" s="1"/>
  <c r="O430" i="47"/>
  <c r="G430" i="47"/>
  <c r="G424" i="47" s="1"/>
  <c r="O427" i="47"/>
  <c r="K427" i="47"/>
  <c r="K430" i="47" s="1"/>
  <c r="K424" i="47" s="1"/>
  <c r="G427" i="47"/>
  <c r="O424" i="47"/>
  <c r="K419" i="47"/>
  <c r="O416" i="47"/>
  <c r="O419" i="47" s="1"/>
  <c r="O413" i="47" s="1"/>
  <c r="K416" i="47"/>
  <c r="G416" i="47"/>
  <c r="G419" i="47" s="1"/>
  <c r="G413" i="47" s="1"/>
  <c r="K413" i="47"/>
  <c r="O408" i="47"/>
  <c r="G408" i="47"/>
  <c r="G402" i="47" s="1"/>
  <c r="O405" i="47"/>
  <c r="K405" i="47"/>
  <c r="K408" i="47" s="1"/>
  <c r="K402" i="47" s="1"/>
  <c r="G405" i="47"/>
  <c r="O402" i="47"/>
  <c r="K397" i="47"/>
  <c r="O394" i="47"/>
  <c r="O397" i="47" s="1"/>
  <c r="O391" i="47" s="1"/>
  <c r="K394" i="47"/>
  <c r="G394" i="47"/>
  <c r="G397" i="47" s="1"/>
  <c r="G391" i="47" s="1"/>
  <c r="K391" i="47"/>
  <c r="O386" i="47"/>
  <c r="O380" i="47" s="1"/>
  <c r="K386" i="47"/>
  <c r="G386" i="47"/>
  <c r="G380" i="47" s="1"/>
  <c r="K380" i="47"/>
  <c r="O374" i="47"/>
  <c r="O369" i="47" s="1"/>
  <c r="K374" i="47"/>
  <c r="G374" i="47"/>
  <c r="G369" i="47" s="1"/>
  <c r="K369" i="47"/>
  <c r="O363" i="47"/>
  <c r="O358" i="47" s="1"/>
  <c r="K363" i="47"/>
  <c r="G363" i="47"/>
  <c r="G358" i="47" s="1"/>
  <c r="K358" i="47"/>
  <c r="O352" i="47"/>
  <c r="K352" i="47"/>
  <c r="O349" i="47"/>
  <c r="K349" i="47"/>
  <c r="K347" i="47" s="1"/>
  <c r="O347" i="47"/>
  <c r="G341" i="47"/>
  <c r="G336" i="47" s="1"/>
  <c r="O326" i="47"/>
  <c r="K326" i="47"/>
  <c r="G326" i="47"/>
  <c r="S325" i="47"/>
  <c r="O325" i="47"/>
  <c r="K325" i="47"/>
  <c r="G325" i="47"/>
  <c r="O315" i="47"/>
  <c r="K315" i="47"/>
  <c r="G315" i="47"/>
  <c r="S314" i="47"/>
  <c r="O314" i="47"/>
  <c r="K314" i="47"/>
  <c r="G314" i="47"/>
  <c r="S303" i="47"/>
  <c r="S296" i="47"/>
  <c r="S299" i="47" s="1"/>
  <c r="S292" i="47" s="1"/>
  <c r="S288" i="47"/>
  <c r="S281" i="47" s="1"/>
  <c r="S285" i="47"/>
  <c r="S274" i="47"/>
  <c r="S277" i="47" s="1"/>
  <c r="S270" i="47" s="1"/>
  <c r="O260" i="47"/>
  <c r="K260" i="47"/>
  <c r="G260" i="47"/>
  <c r="S259" i="47"/>
  <c r="O259" i="47"/>
  <c r="K259" i="47"/>
  <c r="G259" i="47"/>
  <c r="S248" i="47"/>
  <c r="S237" i="47"/>
  <c r="S226" i="47"/>
  <c r="O212" i="47"/>
  <c r="O204" i="47" s="1"/>
  <c r="K212" i="47"/>
  <c r="K204" i="47" s="1"/>
  <c r="G212" i="47"/>
  <c r="G204" i="47" s="1"/>
  <c r="G200" i="47"/>
  <c r="G201" i="47" s="1"/>
  <c r="G193" i="47" s="1"/>
  <c r="O190" i="47"/>
  <c r="O182" i="47" s="1"/>
  <c r="K190" i="47"/>
  <c r="G190" i="47"/>
  <c r="G182" i="47" s="1"/>
  <c r="S187" i="47"/>
  <c r="S186" i="47"/>
  <c r="K182" i="47"/>
  <c r="S171" i="47"/>
  <c r="O171" i="47"/>
  <c r="K171" i="47"/>
  <c r="G171" i="47"/>
  <c r="O168" i="47"/>
  <c r="K168" i="47"/>
  <c r="G168" i="47"/>
  <c r="S160" i="47"/>
  <c r="O160" i="47"/>
  <c r="O153" i="47" s="1"/>
  <c r="K160" i="47"/>
  <c r="G160" i="47"/>
  <c r="G153" i="47" s="1"/>
  <c r="O154" i="47"/>
  <c r="K154" i="47"/>
  <c r="G154" i="47"/>
  <c r="K153" i="47"/>
  <c r="G152" i="47"/>
  <c r="O146" i="47"/>
  <c r="K146" i="47"/>
  <c r="G146" i="47"/>
  <c r="S138" i="47"/>
  <c r="O138" i="47"/>
  <c r="O152" i="47" s="1"/>
  <c r="K138" i="47"/>
  <c r="K152" i="47" s="1"/>
  <c r="G138" i="47"/>
  <c r="O135" i="47"/>
  <c r="O127" i="47" s="1"/>
  <c r="K135" i="47"/>
  <c r="K127" i="47" s="1"/>
  <c r="G135" i="47"/>
  <c r="G127" i="47" s="1"/>
  <c r="O124" i="47"/>
  <c r="O116" i="47" s="1"/>
  <c r="K124" i="47"/>
  <c r="K116" i="47" s="1"/>
  <c r="G124" i="47"/>
  <c r="G116" i="47" s="1"/>
  <c r="O113" i="47"/>
  <c r="K113" i="47"/>
  <c r="G113" i="47"/>
  <c r="S105" i="47"/>
  <c r="O105" i="47"/>
  <c r="O151" i="47" s="1"/>
  <c r="K105" i="47"/>
  <c r="G105" i="47"/>
  <c r="G151" i="47" s="1"/>
  <c r="O96" i="47"/>
  <c r="K96" i="47"/>
  <c r="K94" i="47" s="1"/>
  <c r="G96" i="47"/>
  <c r="G94" i="47" s="1"/>
  <c r="O94" i="47"/>
  <c r="O90" i="47"/>
  <c r="O83" i="47" s="1"/>
  <c r="K90" i="47"/>
  <c r="K83" i="47" s="1"/>
  <c r="G90" i="47"/>
  <c r="G83" i="47"/>
  <c r="O79" i="47"/>
  <c r="K79" i="47"/>
  <c r="G79" i="47"/>
  <c r="S72" i="47"/>
  <c r="O72" i="47"/>
  <c r="K72" i="47"/>
  <c r="G72" i="47"/>
  <c r="O14" i="47"/>
  <c r="O13" i="47"/>
  <c r="O12" i="47"/>
  <c r="O11" i="47"/>
  <c r="O10" i="47"/>
  <c r="O9" i="47"/>
  <c r="O8" i="47"/>
  <c r="X37" i="14"/>
  <c r="Y37" i="14" s="1"/>
  <c r="R37" i="14"/>
  <c r="Q37" i="14"/>
  <c r="P37" i="14"/>
  <c r="G37" i="14"/>
  <c r="O37" i="14" s="1"/>
  <c r="X36" i="14"/>
  <c r="Y36" i="14" s="1"/>
  <c r="R36" i="14"/>
  <c r="Q36" i="14"/>
  <c r="P36" i="14"/>
  <c r="G36" i="14"/>
  <c r="O36" i="14" s="1"/>
  <c r="X35" i="14"/>
  <c r="Y35" i="14" s="1"/>
  <c r="R35" i="14"/>
  <c r="Q35" i="14"/>
  <c r="P35" i="14"/>
  <c r="G35" i="14"/>
  <c r="O35" i="14" s="1"/>
  <c r="X34" i="14"/>
  <c r="R34" i="14"/>
  <c r="Q34" i="14"/>
  <c r="P34" i="14"/>
  <c r="G34" i="14"/>
  <c r="O34" i="14" s="1"/>
  <c r="X33" i="14"/>
  <c r="Y33" i="14" s="1"/>
  <c r="R33" i="14"/>
  <c r="Q33" i="14"/>
  <c r="P33" i="14"/>
  <c r="G33" i="14"/>
  <c r="O33" i="14" s="1"/>
  <c r="X32" i="14"/>
  <c r="Y32" i="14" s="1"/>
  <c r="R32" i="14"/>
  <c r="Q32" i="14"/>
  <c r="P32" i="14"/>
  <c r="G32" i="14"/>
  <c r="O32" i="14" s="1"/>
  <c r="X31" i="14"/>
  <c r="Y31" i="14" s="1"/>
  <c r="R31" i="14"/>
  <c r="Q31" i="14"/>
  <c r="P31" i="14"/>
  <c r="G31" i="14"/>
  <c r="O31" i="14" s="1"/>
  <c r="X30" i="14"/>
  <c r="AA30" i="14" s="1"/>
  <c r="R30" i="14"/>
  <c r="Q30" i="14"/>
  <c r="P30" i="14"/>
  <c r="G30" i="14"/>
  <c r="O30" i="14" s="1"/>
  <c r="X29" i="14"/>
  <c r="R29" i="14"/>
  <c r="Q29" i="14"/>
  <c r="P29" i="14"/>
  <c r="G29" i="14"/>
  <c r="O29" i="14" s="1"/>
  <c r="X28" i="14"/>
  <c r="AA28" i="14" s="1"/>
  <c r="R28" i="14"/>
  <c r="Q28" i="14"/>
  <c r="P28" i="14"/>
  <c r="G28" i="14"/>
  <c r="X27" i="14"/>
  <c r="Y27" i="14" s="1"/>
  <c r="G27" i="14"/>
  <c r="V21" i="14"/>
  <c r="S21" i="14"/>
  <c r="D12" i="14"/>
  <c r="D11" i="14"/>
  <c r="D10" i="14"/>
  <c r="D9" i="14"/>
  <c r="D8" i="14"/>
  <c r="T490" i="13"/>
  <c r="J112" i="24" s="1"/>
  <c r="P489" i="13"/>
  <c r="L489" i="13"/>
  <c r="H489" i="13"/>
  <c r="T479" i="13"/>
  <c r="J111" i="24" s="1"/>
  <c r="P478" i="13"/>
  <c r="L478" i="13"/>
  <c r="H478" i="13"/>
  <c r="T468" i="13"/>
  <c r="J110" i="24" s="1"/>
  <c r="P467" i="13"/>
  <c r="L467" i="13"/>
  <c r="H467" i="13"/>
  <c r="T457" i="13"/>
  <c r="J109" i="24" s="1"/>
  <c r="P456" i="13"/>
  <c r="L456" i="13"/>
  <c r="H456" i="13"/>
  <c r="T446" i="13"/>
  <c r="J108" i="24" s="1"/>
  <c r="P445" i="13"/>
  <c r="L445" i="13"/>
  <c r="H445" i="13"/>
  <c r="P435" i="13"/>
  <c r="P434" i="13"/>
  <c r="L434" i="13"/>
  <c r="H434" i="13"/>
  <c r="P424" i="13"/>
  <c r="P423" i="13"/>
  <c r="L423" i="13"/>
  <c r="H423" i="13"/>
  <c r="L413" i="13"/>
  <c r="P412" i="13"/>
  <c r="L412" i="13"/>
  <c r="H412" i="13"/>
  <c r="L402" i="13"/>
  <c r="P401" i="13"/>
  <c r="L401" i="13"/>
  <c r="H401" i="13"/>
  <c r="L391" i="13"/>
  <c r="P390" i="13"/>
  <c r="L390" i="13"/>
  <c r="H390" i="13"/>
  <c r="L380" i="13"/>
  <c r="P379" i="13"/>
  <c r="L379" i="13"/>
  <c r="H379" i="13"/>
  <c r="T376" i="13"/>
  <c r="T369" i="13" s="1"/>
  <c r="L369" i="13"/>
  <c r="P368" i="13"/>
  <c r="L368" i="13"/>
  <c r="H368" i="13"/>
  <c r="L358" i="13"/>
  <c r="P357" i="13"/>
  <c r="L357" i="13"/>
  <c r="H357" i="13"/>
  <c r="T347" i="13"/>
  <c r="L347" i="13"/>
  <c r="P346" i="13"/>
  <c r="L346" i="13"/>
  <c r="H346" i="13"/>
  <c r="L335" i="13"/>
  <c r="H335" i="13"/>
  <c r="P334" i="13"/>
  <c r="L334" i="13"/>
  <c r="H334" i="13"/>
  <c r="L324" i="13"/>
  <c r="H324" i="13"/>
  <c r="P323" i="13"/>
  <c r="L323" i="13"/>
  <c r="H323" i="13"/>
  <c r="H313" i="13"/>
  <c r="P312" i="13"/>
  <c r="L312" i="13"/>
  <c r="H312" i="13"/>
  <c r="T302" i="13"/>
  <c r="L302" i="13"/>
  <c r="H302" i="13"/>
  <c r="P301" i="13"/>
  <c r="L301" i="13"/>
  <c r="H301" i="13"/>
  <c r="T291" i="13"/>
  <c r="L291" i="13"/>
  <c r="H291" i="13"/>
  <c r="P290" i="13"/>
  <c r="L290" i="13"/>
  <c r="H290" i="13"/>
  <c r="L280" i="13"/>
  <c r="H280" i="13"/>
  <c r="P279" i="13"/>
  <c r="L279" i="13"/>
  <c r="H279" i="13"/>
  <c r="H269" i="13"/>
  <c r="P268" i="13"/>
  <c r="L268" i="13"/>
  <c r="H268" i="13"/>
  <c r="P263" i="13"/>
  <c r="P258" i="13" s="1"/>
  <c r="X258" i="13"/>
  <c r="T258" i="13"/>
  <c r="H258" i="13"/>
  <c r="T257" i="13"/>
  <c r="P257" i="13"/>
  <c r="L257" i="13"/>
  <c r="H257" i="13"/>
  <c r="T254" i="13"/>
  <c r="T247" i="13"/>
  <c r="H247" i="13"/>
  <c r="T246" i="13"/>
  <c r="P246" i="13"/>
  <c r="L246" i="13"/>
  <c r="H246" i="13"/>
  <c r="X236" i="13"/>
  <c r="T235" i="13"/>
  <c r="P235" i="13"/>
  <c r="L235" i="13"/>
  <c r="H235" i="13"/>
  <c r="H225" i="13"/>
  <c r="P224" i="13"/>
  <c r="L224" i="13"/>
  <c r="H224" i="13"/>
  <c r="L222" i="13"/>
  <c r="H214" i="13"/>
  <c r="T213" i="13"/>
  <c r="P213" i="13"/>
  <c r="L213" i="13"/>
  <c r="H213" i="13"/>
  <c r="L211" i="13"/>
  <c r="P202" i="13"/>
  <c r="L202" i="13"/>
  <c r="H202" i="13"/>
  <c r="L200" i="13"/>
  <c r="T192" i="13"/>
  <c r="T191" i="13"/>
  <c r="P191" i="13"/>
  <c r="L191" i="13"/>
  <c r="H191" i="13"/>
  <c r="T181" i="13"/>
  <c r="T180" i="13"/>
  <c r="P180" i="13"/>
  <c r="L180" i="13"/>
  <c r="H180" i="13"/>
  <c r="T170" i="13"/>
  <c r="H170" i="13"/>
  <c r="T169" i="13"/>
  <c r="P169" i="13"/>
  <c r="L169" i="13"/>
  <c r="H169" i="13"/>
  <c r="T167" i="13"/>
  <c r="T159" i="13" s="1"/>
  <c r="H159" i="13"/>
  <c r="T158" i="13"/>
  <c r="P158" i="13"/>
  <c r="L158" i="13"/>
  <c r="H158" i="13"/>
  <c r="P156" i="13"/>
  <c r="P148" i="13" s="1"/>
  <c r="X148" i="13"/>
  <c r="T148" i="13"/>
  <c r="H148" i="13"/>
  <c r="X147" i="13"/>
  <c r="T147" i="13"/>
  <c r="P147" i="13"/>
  <c r="L147" i="13"/>
  <c r="H147" i="13"/>
  <c r="X145" i="13"/>
  <c r="X137" i="13" s="1"/>
  <c r="L145" i="13"/>
  <c r="T137" i="13"/>
  <c r="X136" i="13"/>
  <c r="T136" i="13"/>
  <c r="P136" i="13"/>
  <c r="L136" i="13"/>
  <c r="H136" i="13"/>
  <c r="T126" i="13"/>
  <c r="P126" i="13"/>
  <c r="H126" i="13"/>
  <c r="X125" i="13"/>
  <c r="T125" i="13"/>
  <c r="P125" i="13"/>
  <c r="L125" i="13"/>
  <c r="H125" i="13"/>
  <c r="X114" i="13"/>
  <c r="T114" i="13"/>
  <c r="P114" i="13"/>
  <c r="L114" i="13"/>
  <c r="H114" i="13"/>
  <c r="X104" i="13"/>
  <c r="T104" i="13"/>
  <c r="X103" i="13"/>
  <c r="T103" i="13"/>
  <c r="P103" i="13"/>
  <c r="L103" i="13"/>
  <c r="H103" i="13"/>
  <c r="X93" i="13"/>
  <c r="T93" i="13"/>
  <c r="P93" i="13"/>
  <c r="L93" i="13"/>
  <c r="X92" i="13"/>
  <c r="T92" i="13"/>
  <c r="P92" i="13"/>
  <c r="L92" i="13"/>
  <c r="H92" i="13"/>
  <c r="T90" i="13"/>
  <c r="L90" i="13"/>
  <c r="L82" i="13" s="1"/>
  <c r="T82" i="13"/>
  <c r="X81" i="13"/>
  <c r="T81" i="13"/>
  <c r="P81" i="13"/>
  <c r="L81" i="13"/>
  <c r="H81" i="13"/>
  <c r="T71" i="13"/>
  <c r="L71" i="13"/>
  <c r="X70" i="13"/>
  <c r="T70" i="13"/>
  <c r="P70" i="13"/>
  <c r="L70" i="13"/>
  <c r="H70" i="13"/>
  <c r="X60" i="13"/>
  <c r="T60" i="13"/>
  <c r="L60" i="13"/>
  <c r="X59" i="13"/>
  <c r="T59" i="13"/>
  <c r="P59" i="13"/>
  <c r="L59" i="13"/>
  <c r="H59" i="13"/>
  <c r="X57" i="13"/>
  <c r="L57" i="13"/>
  <c r="H57" i="13"/>
  <c r="X49" i="13"/>
  <c r="X48" i="13"/>
  <c r="T48" i="13"/>
  <c r="P48" i="13"/>
  <c r="L48" i="13"/>
  <c r="H48" i="13"/>
  <c r="X37" i="13"/>
  <c r="T37" i="13"/>
  <c r="P37" i="13"/>
  <c r="L37" i="13"/>
  <c r="H37" i="13"/>
  <c r="T35" i="13"/>
  <c r="P35" i="13"/>
  <c r="P27" i="13" s="1"/>
  <c r="L35" i="13"/>
  <c r="T27" i="13"/>
  <c r="L27" i="13"/>
  <c r="X26" i="13"/>
  <c r="T26" i="13"/>
  <c r="P26" i="13"/>
  <c r="L26" i="13"/>
  <c r="H26" i="13"/>
  <c r="H22" i="13"/>
  <c r="X15" i="13"/>
  <c r="T15" i="13"/>
  <c r="P15" i="13"/>
  <c r="L15" i="13"/>
  <c r="H15" i="13"/>
  <c r="X12" i="13"/>
  <c r="X5" i="13" s="1"/>
  <c r="T12" i="13"/>
  <c r="P12" i="13"/>
  <c r="P5" i="13" s="1"/>
  <c r="J72" i="24" s="1"/>
  <c r="T5" i="13"/>
  <c r="L5" i="13"/>
  <c r="H5" i="13"/>
  <c r="O34" i="36"/>
  <c r="O32" i="36"/>
  <c r="O31" i="36"/>
  <c r="K30" i="36"/>
  <c r="O30" i="36" s="1"/>
  <c r="K29" i="36"/>
  <c r="M28" i="36"/>
  <c r="K28" i="36"/>
  <c r="M20" i="36"/>
  <c r="K20" i="36"/>
  <c r="K19" i="36"/>
  <c r="O19" i="36" s="1"/>
  <c r="M18" i="36"/>
  <c r="K18" i="36"/>
  <c r="M17" i="36"/>
  <c r="K17" i="36"/>
  <c r="M16" i="36"/>
  <c r="K16" i="36"/>
  <c r="K15" i="36"/>
  <c r="O15" i="36" s="1"/>
  <c r="M14" i="36"/>
  <c r="K14" i="36"/>
  <c r="K13" i="36"/>
  <c r="O13" i="36" s="1"/>
  <c r="K12" i="36"/>
  <c r="O12" i="36" s="1"/>
  <c r="L3" i="36"/>
  <c r="B2" i="36"/>
  <c r="M3885" i="8"/>
  <c r="K3885" i="8"/>
  <c r="I3885" i="8"/>
  <c r="H3885" i="8"/>
  <c r="M3884" i="8"/>
  <c r="K3884" i="8"/>
  <c r="I3884" i="8"/>
  <c r="H3884" i="8"/>
  <c r="M3883" i="8"/>
  <c r="K3883" i="8"/>
  <c r="I3883" i="8"/>
  <c r="H3883" i="8"/>
  <c r="M3882" i="8"/>
  <c r="K3882" i="8"/>
  <c r="I3882" i="8"/>
  <c r="H3882" i="8"/>
  <c r="M3881" i="8"/>
  <c r="K3881" i="8"/>
  <c r="I3881" i="8"/>
  <c r="H3881" i="8"/>
  <c r="M3876" i="8"/>
  <c r="M3875" i="8"/>
  <c r="M3874" i="8"/>
  <c r="M3873" i="8"/>
  <c r="M3872" i="8"/>
  <c r="M3867" i="8"/>
  <c r="I3867" i="8"/>
  <c r="H3867" i="8"/>
  <c r="M3866" i="8"/>
  <c r="I3866" i="8"/>
  <c r="H3866" i="8"/>
  <c r="M3865" i="8"/>
  <c r="I3865" i="8"/>
  <c r="H3865" i="8"/>
  <c r="M3864" i="8"/>
  <c r="I3864" i="8"/>
  <c r="H3864" i="8"/>
  <c r="M3863" i="8"/>
  <c r="H3863" i="8"/>
  <c r="M3858" i="8"/>
  <c r="I3858" i="8"/>
  <c r="H3858" i="8"/>
  <c r="M3857" i="8"/>
  <c r="I3857" i="8"/>
  <c r="H3857" i="8"/>
  <c r="M3856" i="8"/>
  <c r="I3856" i="8"/>
  <c r="H3856" i="8"/>
  <c r="M3855" i="8"/>
  <c r="I3855" i="8"/>
  <c r="H3855" i="8"/>
  <c r="M3854" i="8"/>
  <c r="I3854" i="8"/>
  <c r="H3854" i="8"/>
  <c r="M3853" i="8"/>
  <c r="B3849" i="8"/>
  <c r="M3843" i="8"/>
  <c r="K3843" i="8"/>
  <c r="I3843" i="8"/>
  <c r="H3843" i="8"/>
  <c r="M3842" i="8"/>
  <c r="K3842" i="8"/>
  <c r="I3842" i="8"/>
  <c r="H3842" i="8"/>
  <c r="M3841" i="8"/>
  <c r="K3841" i="8"/>
  <c r="I3841" i="8"/>
  <c r="H3841" i="8"/>
  <c r="M3840" i="8"/>
  <c r="K3840" i="8"/>
  <c r="I3840" i="8"/>
  <c r="H3840" i="8"/>
  <c r="K3839" i="8"/>
  <c r="H3839" i="8"/>
  <c r="M3834" i="8"/>
  <c r="M3833" i="8"/>
  <c r="M3832" i="8"/>
  <c r="M3831" i="8"/>
  <c r="M3825" i="8"/>
  <c r="I3825" i="8"/>
  <c r="H3825" i="8"/>
  <c r="M3824" i="8"/>
  <c r="I3824" i="8"/>
  <c r="H3824" i="8"/>
  <c r="M3823" i="8"/>
  <c r="I3823" i="8"/>
  <c r="H3823" i="8"/>
  <c r="M3822" i="8"/>
  <c r="I3822" i="8"/>
  <c r="H3822" i="8"/>
  <c r="H3821" i="8"/>
  <c r="M3816" i="8"/>
  <c r="I3816" i="8"/>
  <c r="H3816" i="8"/>
  <c r="M3815" i="8"/>
  <c r="I3815" i="8"/>
  <c r="H3815" i="8"/>
  <c r="M3814" i="8"/>
  <c r="I3814" i="8"/>
  <c r="H3814" i="8"/>
  <c r="M3813" i="8"/>
  <c r="B3809" i="8"/>
  <c r="M3803" i="8"/>
  <c r="K3803" i="8"/>
  <c r="I3803" i="8"/>
  <c r="H3803" i="8"/>
  <c r="M3802" i="8"/>
  <c r="K3802" i="8"/>
  <c r="I3802" i="8"/>
  <c r="H3802" i="8"/>
  <c r="M3801" i="8"/>
  <c r="K3801" i="8"/>
  <c r="I3801" i="8"/>
  <c r="H3801" i="8"/>
  <c r="M3800" i="8"/>
  <c r="K3800" i="8"/>
  <c r="I3800" i="8"/>
  <c r="H3800" i="8"/>
  <c r="K3799" i="8"/>
  <c r="H3799" i="8"/>
  <c r="M3794" i="8"/>
  <c r="M3793" i="8"/>
  <c r="M3792" i="8"/>
  <c r="M3791" i="8"/>
  <c r="M3785" i="8"/>
  <c r="I3785" i="8"/>
  <c r="H3785" i="8"/>
  <c r="M3784" i="8"/>
  <c r="I3784" i="8"/>
  <c r="H3784" i="8"/>
  <c r="M3783" i="8"/>
  <c r="I3783" i="8"/>
  <c r="H3783" i="8"/>
  <c r="M3782" i="8"/>
  <c r="I3782" i="8"/>
  <c r="H3782" i="8"/>
  <c r="H3781" i="8"/>
  <c r="M3776" i="8"/>
  <c r="I3776" i="8"/>
  <c r="H3776" i="8"/>
  <c r="M3775" i="8"/>
  <c r="I3775" i="8"/>
  <c r="H3775" i="8"/>
  <c r="M3774" i="8"/>
  <c r="I3774" i="8"/>
  <c r="H3774" i="8"/>
  <c r="M3773" i="8"/>
  <c r="I3773" i="8"/>
  <c r="H3773" i="8"/>
  <c r="M3772" i="8"/>
  <c r="B3768" i="8"/>
  <c r="M3762" i="8"/>
  <c r="K3762" i="8"/>
  <c r="I3762" i="8"/>
  <c r="H3762" i="8"/>
  <c r="M3761" i="8"/>
  <c r="K3761" i="8"/>
  <c r="I3761" i="8"/>
  <c r="H3761" i="8"/>
  <c r="M3760" i="8"/>
  <c r="K3760" i="8"/>
  <c r="I3760" i="8"/>
  <c r="H3760" i="8"/>
  <c r="M3759" i="8"/>
  <c r="K3759" i="8"/>
  <c r="I3759" i="8"/>
  <c r="H3759" i="8"/>
  <c r="H3758" i="8"/>
  <c r="M3753" i="8"/>
  <c r="M3752" i="8"/>
  <c r="M3751" i="8"/>
  <c r="M3750" i="8"/>
  <c r="M3749" i="8"/>
  <c r="M3744" i="8"/>
  <c r="I3744" i="8"/>
  <c r="H3744" i="8"/>
  <c r="M3743" i="8"/>
  <c r="I3743" i="8"/>
  <c r="H3743" i="8"/>
  <c r="I3742" i="8"/>
  <c r="M3742" i="8" s="1"/>
  <c r="H3742" i="8"/>
  <c r="I3741" i="8"/>
  <c r="M3741" i="8" s="1"/>
  <c r="H3741" i="8"/>
  <c r="H3740" i="8"/>
  <c r="M3735" i="8"/>
  <c r="I3735" i="8"/>
  <c r="H3735" i="8"/>
  <c r="M3734" i="8"/>
  <c r="I3734" i="8"/>
  <c r="H3734" i="8"/>
  <c r="M3733" i="8"/>
  <c r="I3733" i="8"/>
  <c r="H3733" i="8"/>
  <c r="M3732" i="8"/>
  <c r="I3732" i="8"/>
  <c r="H3732" i="8"/>
  <c r="M3731" i="8"/>
  <c r="I3731" i="8"/>
  <c r="H3731" i="8"/>
  <c r="M3730" i="8"/>
  <c r="B3726" i="8"/>
  <c r="M3720" i="8"/>
  <c r="K3720" i="8"/>
  <c r="I3720" i="8"/>
  <c r="H3720" i="8"/>
  <c r="M3719" i="8"/>
  <c r="K3719" i="8"/>
  <c r="I3719" i="8"/>
  <c r="H3719" i="8"/>
  <c r="M3718" i="8"/>
  <c r="K3718" i="8"/>
  <c r="I3718" i="8"/>
  <c r="H3718" i="8"/>
  <c r="M3717" i="8"/>
  <c r="K3717" i="8"/>
  <c r="I3717" i="8"/>
  <c r="H3717" i="8"/>
  <c r="H3716" i="8"/>
  <c r="M3711" i="8"/>
  <c r="M3710" i="8"/>
  <c r="M3709" i="8"/>
  <c r="M3708" i="8"/>
  <c r="M3707" i="8"/>
  <c r="M3702" i="8"/>
  <c r="I3702" i="8"/>
  <c r="H3702" i="8"/>
  <c r="M3701" i="8"/>
  <c r="I3701" i="8"/>
  <c r="H3701" i="8"/>
  <c r="M3700" i="8"/>
  <c r="I3700" i="8"/>
  <c r="H3700" i="8"/>
  <c r="M3699" i="8"/>
  <c r="I3699" i="8"/>
  <c r="H3699" i="8"/>
  <c r="H3698" i="8"/>
  <c r="M3693" i="8"/>
  <c r="I3693" i="8"/>
  <c r="H3693" i="8"/>
  <c r="M3692" i="8"/>
  <c r="I3692" i="8"/>
  <c r="H3692" i="8"/>
  <c r="M3691" i="8"/>
  <c r="I3691" i="8"/>
  <c r="H3691" i="8"/>
  <c r="M3690" i="8"/>
  <c r="I3690" i="8"/>
  <c r="H3690" i="8"/>
  <c r="M3689" i="8"/>
  <c r="I3689" i="8"/>
  <c r="H3689" i="8"/>
  <c r="B3684" i="8"/>
  <c r="M3678" i="8"/>
  <c r="K3678" i="8"/>
  <c r="I3678" i="8"/>
  <c r="H3678" i="8"/>
  <c r="M3677" i="8"/>
  <c r="K3677" i="8"/>
  <c r="I3677" i="8"/>
  <c r="H3677" i="8"/>
  <c r="M3676" i="8"/>
  <c r="K3676" i="8"/>
  <c r="I3676" i="8"/>
  <c r="H3676" i="8"/>
  <c r="M3675" i="8"/>
  <c r="K3675" i="8"/>
  <c r="I3675" i="8"/>
  <c r="H3675" i="8"/>
  <c r="H3674" i="8"/>
  <c r="M3669" i="8"/>
  <c r="M3668" i="8"/>
  <c r="M3667" i="8"/>
  <c r="M3666" i="8"/>
  <c r="M3665" i="8"/>
  <c r="M3660" i="8"/>
  <c r="I3660" i="8"/>
  <c r="H3660" i="8"/>
  <c r="M3659" i="8"/>
  <c r="I3659" i="8"/>
  <c r="H3659" i="8"/>
  <c r="M3658" i="8"/>
  <c r="I3658" i="8"/>
  <c r="H3658" i="8"/>
  <c r="M3657" i="8"/>
  <c r="I3657" i="8"/>
  <c r="H3657" i="8"/>
  <c r="H3656" i="8"/>
  <c r="M3651" i="8"/>
  <c r="I3651" i="8"/>
  <c r="H3651" i="8"/>
  <c r="M3650" i="8"/>
  <c r="I3650" i="8"/>
  <c r="H3650" i="8"/>
  <c r="M3649" i="8"/>
  <c r="I3649" i="8"/>
  <c r="H3649" i="8"/>
  <c r="M3648" i="8"/>
  <c r="I3648" i="8"/>
  <c r="H3648" i="8"/>
  <c r="I3647" i="8"/>
  <c r="M3647" i="8" s="1"/>
  <c r="H3647" i="8"/>
  <c r="M3646" i="8"/>
  <c r="B3642" i="8"/>
  <c r="M3636" i="8"/>
  <c r="K3636" i="8"/>
  <c r="I3636" i="8"/>
  <c r="H3636" i="8"/>
  <c r="M3635" i="8"/>
  <c r="K3635" i="8"/>
  <c r="I3635" i="8"/>
  <c r="H3635" i="8"/>
  <c r="M3634" i="8"/>
  <c r="K3634" i="8"/>
  <c r="I3634" i="8"/>
  <c r="H3634" i="8"/>
  <c r="M3633" i="8"/>
  <c r="K3633" i="8"/>
  <c r="I3633" i="8"/>
  <c r="H3633" i="8"/>
  <c r="M3627" i="8"/>
  <c r="M3626" i="8"/>
  <c r="M3625" i="8"/>
  <c r="M3624" i="8"/>
  <c r="M3623" i="8"/>
  <c r="M3618" i="8"/>
  <c r="I3618" i="8"/>
  <c r="H3618" i="8"/>
  <c r="M3617" i="8"/>
  <c r="I3617" i="8"/>
  <c r="H3617" i="8"/>
  <c r="M3616" i="8"/>
  <c r="I3616" i="8"/>
  <c r="H3616" i="8"/>
  <c r="M3615" i="8"/>
  <c r="M3609" i="8"/>
  <c r="I3609" i="8"/>
  <c r="H3609" i="8"/>
  <c r="M3608" i="8"/>
  <c r="I3608" i="8"/>
  <c r="H3608" i="8"/>
  <c r="M3607" i="8"/>
  <c r="I3607" i="8"/>
  <c r="H3607" i="8"/>
  <c r="M3606" i="8"/>
  <c r="I3606" i="8"/>
  <c r="H3606" i="8"/>
  <c r="M3605" i="8"/>
  <c r="I3605" i="8"/>
  <c r="H3605" i="8"/>
  <c r="M3604" i="8"/>
  <c r="B3600" i="8"/>
  <c r="M3594" i="8"/>
  <c r="K3594" i="8"/>
  <c r="I3594" i="8"/>
  <c r="H3594" i="8"/>
  <c r="M3593" i="8"/>
  <c r="K3593" i="8"/>
  <c r="I3593" i="8"/>
  <c r="H3593" i="8"/>
  <c r="M3592" i="8"/>
  <c r="K3592" i="8"/>
  <c r="I3592" i="8"/>
  <c r="H3592" i="8"/>
  <c r="M3591" i="8"/>
  <c r="K3591" i="8"/>
  <c r="I3591" i="8"/>
  <c r="H3591" i="8"/>
  <c r="M3585" i="8"/>
  <c r="M3584" i="8"/>
  <c r="M3583" i="8"/>
  <c r="M3582" i="8"/>
  <c r="M3576" i="8"/>
  <c r="I3576" i="8"/>
  <c r="H3576" i="8"/>
  <c r="M3575" i="8"/>
  <c r="I3575" i="8"/>
  <c r="H3575" i="8"/>
  <c r="M3574" i="8"/>
  <c r="I3574" i="8"/>
  <c r="H3574" i="8"/>
  <c r="M3573" i="8"/>
  <c r="I3573" i="8"/>
  <c r="H3573" i="8"/>
  <c r="H3572" i="8"/>
  <c r="M3567" i="8"/>
  <c r="I3567" i="8"/>
  <c r="H3567" i="8"/>
  <c r="M3566" i="8"/>
  <c r="I3566" i="8"/>
  <c r="H3566" i="8"/>
  <c r="M3565" i="8"/>
  <c r="I3565" i="8"/>
  <c r="H3565" i="8"/>
  <c r="M3564" i="8"/>
  <c r="I3564" i="8"/>
  <c r="H3564" i="8"/>
  <c r="I3563" i="8"/>
  <c r="M3563" i="8" s="1"/>
  <c r="H3563" i="8"/>
  <c r="M3562" i="8"/>
  <c r="B3558" i="8"/>
  <c r="M3552" i="8"/>
  <c r="K3552" i="8"/>
  <c r="I3552" i="8"/>
  <c r="H3552" i="8"/>
  <c r="M3551" i="8"/>
  <c r="K3551" i="8"/>
  <c r="I3551" i="8"/>
  <c r="H3551" i="8"/>
  <c r="M3550" i="8"/>
  <c r="K3550" i="8"/>
  <c r="I3550" i="8"/>
  <c r="H3550" i="8"/>
  <c r="M3549" i="8"/>
  <c r="K3549" i="8"/>
  <c r="I3549" i="8"/>
  <c r="H3549" i="8"/>
  <c r="M3543" i="8"/>
  <c r="M3542" i="8"/>
  <c r="M3541" i="8"/>
  <c r="M3540" i="8"/>
  <c r="M3534" i="8"/>
  <c r="I3534" i="8"/>
  <c r="H3534" i="8"/>
  <c r="M3533" i="8"/>
  <c r="I3533" i="8"/>
  <c r="H3533" i="8"/>
  <c r="M3532" i="8"/>
  <c r="I3532" i="8"/>
  <c r="H3532" i="8"/>
  <c r="M3531" i="8"/>
  <c r="I3531" i="8"/>
  <c r="H3531" i="8"/>
  <c r="H3530" i="8"/>
  <c r="M3525" i="8"/>
  <c r="I3525" i="8"/>
  <c r="H3525" i="8"/>
  <c r="M3524" i="8"/>
  <c r="I3524" i="8"/>
  <c r="H3524" i="8"/>
  <c r="M3523" i="8"/>
  <c r="I3523" i="8"/>
  <c r="H3523" i="8"/>
  <c r="M3522" i="8"/>
  <c r="I3522" i="8"/>
  <c r="H3522" i="8"/>
  <c r="M3521" i="8"/>
  <c r="B3517" i="8"/>
  <c r="M3511" i="8"/>
  <c r="K3511" i="8"/>
  <c r="I3511" i="8"/>
  <c r="H3511" i="8"/>
  <c r="M3510" i="8"/>
  <c r="K3510" i="8"/>
  <c r="I3510" i="8"/>
  <c r="H3510" i="8"/>
  <c r="M3509" i="8"/>
  <c r="K3509" i="8"/>
  <c r="I3509" i="8"/>
  <c r="H3509" i="8"/>
  <c r="M3508" i="8"/>
  <c r="K3508" i="8"/>
  <c r="I3508" i="8"/>
  <c r="H3508" i="8"/>
  <c r="M3502" i="8"/>
  <c r="M3501" i="8"/>
  <c r="M3500" i="8"/>
  <c r="M3499" i="8"/>
  <c r="M3493" i="8"/>
  <c r="I3493" i="8"/>
  <c r="H3493" i="8"/>
  <c r="M3492" i="8"/>
  <c r="I3492" i="8"/>
  <c r="H3492" i="8"/>
  <c r="M3491" i="8"/>
  <c r="I3491" i="8"/>
  <c r="H3491" i="8"/>
  <c r="M3490" i="8"/>
  <c r="I3490" i="8"/>
  <c r="H3490" i="8"/>
  <c r="H3489" i="8"/>
  <c r="M3484" i="8"/>
  <c r="I3484" i="8"/>
  <c r="H3484" i="8"/>
  <c r="M3483" i="8"/>
  <c r="I3483" i="8"/>
  <c r="H3483" i="8"/>
  <c r="M3482" i="8"/>
  <c r="I3482" i="8"/>
  <c r="H3482" i="8"/>
  <c r="M3481" i="8"/>
  <c r="I3481" i="8"/>
  <c r="H3481" i="8"/>
  <c r="M3480" i="8"/>
  <c r="B3476" i="8"/>
  <c r="M3470" i="8"/>
  <c r="K3470" i="8"/>
  <c r="I3470" i="8"/>
  <c r="H3470" i="8"/>
  <c r="M3469" i="8"/>
  <c r="K3469" i="8"/>
  <c r="I3469" i="8"/>
  <c r="H3469" i="8"/>
  <c r="M3468" i="8"/>
  <c r="K3468" i="8"/>
  <c r="I3468" i="8"/>
  <c r="H3468" i="8"/>
  <c r="M3467" i="8"/>
  <c r="K3467" i="8"/>
  <c r="I3467" i="8"/>
  <c r="H3467" i="8"/>
  <c r="H3466" i="8"/>
  <c r="M3461" i="8"/>
  <c r="M3460" i="8"/>
  <c r="M3459" i="8"/>
  <c r="M3458" i="8"/>
  <c r="M3452" i="8"/>
  <c r="I3452" i="8"/>
  <c r="H3452" i="8"/>
  <c r="M3451" i="8"/>
  <c r="I3451" i="8"/>
  <c r="H3451" i="8"/>
  <c r="M3450" i="8"/>
  <c r="I3450" i="8"/>
  <c r="H3450" i="8"/>
  <c r="M3449" i="8"/>
  <c r="I3449" i="8"/>
  <c r="H3449" i="8"/>
  <c r="H3448" i="8"/>
  <c r="M3443" i="8"/>
  <c r="I3443" i="8"/>
  <c r="H3443" i="8"/>
  <c r="M3442" i="8"/>
  <c r="I3442" i="8"/>
  <c r="H3442" i="8"/>
  <c r="M3441" i="8"/>
  <c r="I3441" i="8"/>
  <c r="H3441" i="8"/>
  <c r="M3440" i="8"/>
  <c r="I3440" i="8"/>
  <c r="H3440" i="8"/>
  <c r="M3439" i="8"/>
  <c r="B3435" i="8"/>
  <c r="M3429" i="8"/>
  <c r="K3429" i="8"/>
  <c r="I3429" i="8"/>
  <c r="H3429" i="8"/>
  <c r="M3428" i="8"/>
  <c r="K3428" i="8"/>
  <c r="I3428" i="8"/>
  <c r="H3428" i="8"/>
  <c r="M3427" i="8"/>
  <c r="K3427" i="8"/>
  <c r="I3427" i="8"/>
  <c r="H3427" i="8"/>
  <c r="M3426" i="8"/>
  <c r="K3426" i="8"/>
  <c r="I3426" i="8"/>
  <c r="H3426" i="8"/>
  <c r="H3425" i="8"/>
  <c r="M3420" i="8"/>
  <c r="M3419" i="8"/>
  <c r="M3418" i="8"/>
  <c r="M3417" i="8"/>
  <c r="M3411" i="8"/>
  <c r="I3411" i="8"/>
  <c r="H3411" i="8"/>
  <c r="M3410" i="8"/>
  <c r="I3410" i="8"/>
  <c r="H3410" i="8"/>
  <c r="M3409" i="8"/>
  <c r="I3409" i="8"/>
  <c r="H3409" i="8"/>
  <c r="M3408" i="8"/>
  <c r="I3408" i="8"/>
  <c r="H3408" i="8"/>
  <c r="H3407" i="8"/>
  <c r="I3402" i="8"/>
  <c r="M3402" i="8" s="1"/>
  <c r="H3402" i="8"/>
  <c r="I3401" i="8"/>
  <c r="M3401" i="8" s="1"/>
  <c r="H3401" i="8"/>
  <c r="M3400" i="8"/>
  <c r="I3400" i="8"/>
  <c r="H3400" i="8"/>
  <c r="I3399" i="8"/>
  <c r="M3399" i="8" s="1"/>
  <c r="H3399" i="8"/>
  <c r="I3398" i="8"/>
  <c r="H3398" i="8"/>
  <c r="M3397" i="8"/>
  <c r="B3393" i="8"/>
  <c r="M3387" i="8"/>
  <c r="K3387" i="8"/>
  <c r="I3387" i="8"/>
  <c r="H3387" i="8"/>
  <c r="M3386" i="8"/>
  <c r="K3386" i="8"/>
  <c r="I3386" i="8"/>
  <c r="H3386" i="8"/>
  <c r="M3385" i="8"/>
  <c r="K3385" i="8"/>
  <c r="I3385" i="8"/>
  <c r="H3385" i="8"/>
  <c r="M3384" i="8"/>
  <c r="K3384" i="8"/>
  <c r="I3384" i="8"/>
  <c r="H3384" i="8"/>
  <c r="H3383" i="8"/>
  <c r="M3378" i="8"/>
  <c r="M3377" i="8"/>
  <c r="M3376" i="8"/>
  <c r="M3375" i="8"/>
  <c r="M3369" i="8"/>
  <c r="I3369" i="8"/>
  <c r="H3369" i="8"/>
  <c r="M3368" i="8"/>
  <c r="I3368" i="8"/>
  <c r="H3368" i="8"/>
  <c r="M3367" i="8"/>
  <c r="I3367" i="8"/>
  <c r="H3367" i="8"/>
  <c r="M3366" i="8"/>
  <c r="I3366" i="8"/>
  <c r="H3366" i="8"/>
  <c r="H3365" i="8"/>
  <c r="I3357" i="8"/>
  <c r="M3357" i="8" s="1"/>
  <c r="H3357" i="8"/>
  <c r="I3356" i="8"/>
  <c r="M3356" i="8" s="1"/>
  <c r="H3356" i="8"/>
  <c r="I3355" i="8"/>
  <c r="M3355" i="8" s="1"/>
  <c r="H3355" i="8"/>
  <c r="I3354" i="8"/>
  <c r="M3354" i="8" s="1"/>
  <c r="H3354" i="8"/>
  <c r="I3353" i="8"/>
  <c r="M3353" i="8" s="1"/>
  <c r="H3353" i="8"/>
  <c r="I3352" i="8"/>
  <c r="M3352" i="8" s="1"/>
  <c r="H3352" i="8"/>
  <c r="B3348" i="8"/>
  <c r="M3342" i="8"/>
  <c r="K3342" i="8"/>
  <c r="I3342" i="8"/>
  <c r="H3342" i="8"/>
  <c r="M3341" i="8"/>
  <c r="K3341" i="8"/>
  <c r="I3341" i="8"/>
  <c r="H3341" i="8"/>
  <c r="M3340" i="8"/>
  <c r="K3340" i="8"/>
  <c r="I3340" i="8"/>
  <c r="H3340" i="8"/>
  <c r="M3339" i="8"/>
  <c r="K3339" i="8"/>
  <c r="I3339" i="8"/>
  <c r="H3339" i="8"/>
  <c r="H3338" i="8"/>
  <c r="M3333" i="8"/>
  <c r="M3332" i="8"/>
  <c r="M3331" i="8"/>
  <c r="M3330" i="8"/>
  <c r="M3324" i="8"/>
  <c r="I3324" i="8"/>
  <c r="H3324" i="8"/>
  <c r="M3323" i="8"/>
  <c r="I3323" i="8"/>
  <c r="H3323" i="8"/>
  <c r="M3322" i="8"/>
  <c r="I3322" i="8"/>
  <c r="H3322" i="8"/>
  <c r="M3321" i="8"/>
  <c r="I3321" i="8"/>
  <c r="H3321" i="8"/>
  <c r="H3320" i="8"/>
  <c r="M3315" i="8"/>
  <c r="I3315" i="8"/>
  <c r="H3315" i="8"/>
  <c r="M3314" i="8"/>
  <c r="I3314" i="8"/>
  <c r="H3314" i="8"/>
  <c r="I3313" i="8"/>
  <c r="M3313" i="8" s="1"/>
  <c r="H3313" i="8"/>
  <c r="I3312" i="8"/>
  <c r="M3312" i="8" s="1"/>
  <c r="H3312" i="8"/>
  <c r="M3311" i="8"/>
  <c r="B3307" i="8"/>
  <c r="M3301" i="8"/>
  <c r="K3301" i="8"/>
  <c r="I3301" i="8"/>
  <c r="H3301" i="8"/>
  <c r="M3300" i="8"/>
  <c r="K3300" i="8"/>
  <c r="I3300" i="8"/>
  <c r="H3300" i="8"/>
  <c r="M3299" i="8"/>
  <c r="K3299" i="8"/>
  <c r="I3299" i="8"/>
  <c r="H3299" i="8"/>
  <c r="M3298" i="8"/>
  <c r="K3298" i="8"/>
  <c r="I3298" i="8"/>
  <c r="H3298" i="8"/>
  <c r="M3292" i="8"/>
  <c r="M3291" i="8"/>
  <c r="M3290" i="8"/>
  <c r="M3283" i="8"/>
  <c r="I3283" i="8"/>
  <c r="H3283" i="8"/>
  <c r="M3282" i="8"/>
  <c r="I3282" i="8"/>
  <c r="H3282" i="8"/>
  <c r="I3281" i="8"/>
  <c r="H3281" i="8"/>
  <c r="I3280" i="8"/>
  <c r="H3280" i="8"/>
  <c r="H3279" i="8"/>
  <c r="M3274" i="8"/>
  <c r="M3273" i="8"/>
  <c r="M3272" i="8"/>
  <c r="M3271" i="8"/>
  <c r="M3270" i="8"/>
  <c r="M3269" i="8"/>
  <c r="B3265" i="8"/>
  <c r="M3259" i="8"/>
  <c r="K3259" i="8"/>
  <c r="I3259" i="8"/>
  <c r="H3259" i="8"/>
  <c r="M3258" i="8"/>
  <c r="K3258" i="8"/>
  <c r="I3258" i="8"/>
  <c r="H3258" i="8"/>
  <c r="M3257" i="8"/>
  <c r="K3257" i="8"/>
  <c r="I3257" i="8"/>
  <c r="H3257" i="8"/>
  <c r="H3256" i="8"/>
  <c r="M3251" i="8"/>
  <c r="M3250" i="8"/>
  <c r="M3249" i="8"/>
  <c r="M3248" i="8"/>
  <c r="M3247" i="8"/>
  <c r="M3242" i="8"/>
  <c r="I3242" i="8"/>
  <c r="H3242" i="8"/>
  <c r="M3241" i="8"/>
  <c r="I3241" i="8"/>
  <c r="H3241" i="8"/>
  <c r="M3240" i="8"/>
  <c r="I3240" i="8"/>
  <c r="H3240" i="8"/>
  <c r="M3239" i="8"/>
  <c r="H3238" i="8"/>
  <c r="M3233" i="8"/>
  <c r="I3233" i="8"/>
  <c r="H3233" i="8"/>
  <c r="M3232" i="8"/>
  <c r="I3232" i="8"/>
  <c r="H3232" i="8"/>
  <c r="M3231" i="8"/>
  <c r="M3230" i="8"/>
  <c r="M3229" i="8"/>
  <c r="M3228" i="8"/>
  <c r="B3224" i="8"/>
  <c r="M3218" i="8"/>
  <c r="K3218" i="8"/>
  <c r="I3218" i="8"/>
  <c r="H3218" i="8"/>
  <c r="M3217" i="8"/>
  <c r="K3217" i="8"/>
  <c r="I3217" i="8"/>
  <c r="H3217" i="8"/>
  <c r="M3216" i="8"/>
  <c r="K3216" i="8"/>
  <c r="I3216" i="8"/>
  <c r="H3216" i="8"/>
  <c r="H3215" i="8"/>
  <c r="M3210" i="8"/>
  <c r="M3209" i="8"/>
  <c r="M3208" i="8"/>
  <c r="M3201" i="8"/>
  <c r="I3201" i="8"/>
  <c r="H3201" i="8"/>
  <c r="I3200" i="8"/>
  <c r="H3200" i="8"/>
  <c r="I3199" i="8"/>
  <c r="M3199" i="8" s="1"/>
  <c r="H3199" i="8"/>
  <c r="I3198" i="8"/>
  <c r="M3198" i="8" s="1"/>
  <c r="H3198" i="8"/>
  <c r="H3197" i="8"/>
  <c r="M3192" i="8"/>
  <c r="I3192" i="8"/>
  <c r="H3192" i="8"/>
  <c r="M3191" i="8"/>
  <c r="I3191" i="8"/>
  <c r="H3191" i="8"/>
  <c r="M3190" i="8"/>
  <c r="I3190" i="8"/>
  <c r="H3190" i="8"/>
  <c r="M3189" i="8"/>
  <c r="I3189" i="8"/>
  <c r="H3189" i="8"/>
  <c r="M3188" i="8"/>
  <c r="I3188" i="8"/>
  <c r="H3188" i="8"/>
  <c r="M3187" i="8"/>
  <c r="B3183" i="8"/>
  <c r="M3177" i="8"/>
  <c r="K3177" i="8"/>
  <c r="I3177" i="8"/>
  <c r="H3177" i="8"/>
  <c r="M3176" i="8"/>
  <c r="K3176" i="8"/>
  <c r="I3176" i="8"/>
  <c r="H3176" i="8"/>
  <c r="M3175" i="8"/>
  <c r="K3175" i="8"/>
  <c r="I3175" i="8"/>
  <c r="H3175" i="8"/>
  <c r="H3174" i="8"/>
  <c r="M3169" i="8"/>
  <c r="M3168" i="8"/>
  <c r="M3167" i="8"/>
  <c r="M3166" i="8"/>
  <c r="M3160" i="8"/>
  <c r="I3160" i="8"/>
  <c r="H3160" i="8"/>
  <c r="M3159" i="8"/>
  <c r="I3159" i="8"/>
  <c r="H3159" i="8"/>
  <c r="M3158" i="8"/>
  <c r="I3158" i="8"/>
  <c r="H3158" i="8"/>
  <c r="I3157" i="8"/>
  <c r="M3157" i="8" s="1"/>
  <c r="H3157" i="8"/>
  <c r="H3156" i="8"/>
  <c r="M3151" i="8"/>
  <c r="I3151" i="8"/>
  <c r="H3151" i="8"/>
  <c r="M3150" i="8"/>
  <c r="I3150" i="8"/>
  <c r="H3150" i="8"/>
  <c r="M3148" i="8"/>
  <c r="B3144" i="8"/>
  <c r="M3138" i="8"/>
  <c r="K3138" i="8"/>
  <c r="I3138" i="8"/>
  <c r="H3138" i="8"/>
  <c r="M3137" i="8"/>
  <c r="K3137" i="8"/>
  <c r="I3137" i="8"/>
  <c r="H3137" i="8"/>
  <c r="M3136" i="8"/>
  <c r="K3136" i="8"/>
  <c r="I3136" i="8"/>
  <c r="H3136" i="8"/>
  <c r="H3135" i="8"/>
  <c r="M3130" i="8"/>
  <c r="M3129" i="8"/>
  <c r="M3128" i="8"/>
  <c r="M3127" i="8"/>
  <c r="M3126" i="8"/>
  <c r="M3121" i="8"/>
  <c r="I3121" i="8"/>
  <c r="H3121" i="8"/>
  <c r="M3120" i="8"/>
  <c r="I3120" i="8"/>
  <c r="H3120" i="8"/>
  <c r="M3119" i="8"/>
  <c r="I3119" i="8"/>
  <c r="H3119" i="8"/>
  <c r="M3118" i="8"/>
  <c r="I3118" i="8"/>
  <c r="H3118" i="8"/>
  <c r="H3117" i="8"/>
  <c r="M3112" i="8"/>
  <c r="I3112" i="8"/>
  <c r="H3112" i="8"/>
  <c r="M3111" i="8"/>
  <c r="I3111" i="8"/>
  <c r="H3111" i="8"/>
  <c r="M3110" i="8"/>
  <c r="I3110" i="8"/>
  <c r="H3110" i="8"/>
  <c r="I3109" i="8"/>
  <c r="H3109" i="8"/>
  <c r="I3108" i="8"/>
  <c r="M3108" i="8" s="1"/>
  <c r="H3108" i="8"/>
  <c r="B3103" i="8"/>
  <c r="M3097" i="8"/>
  <c r="K3097" i="8"/>
  <c r="I3097" i="8"/>
  <c r="H3097" i="8"/>
  <c r="M3096" i="8"/>
  <c r="K3096" i="8"/>
  <c r="I3096" i="8"/>
  <c r="H3096" i="8"/>
  <c r="M3095" i="8"/>
  <c r="K3095" i="8"/>
  <c r="I3095" i="8"/>
  <c r="H3095" i="8"/>
  <c r="M3094" i="8"/>
  <c r="K3094" i="8"/>
  <c r="I3094" i="8"/>
  <c r="H3094" i="8"/>
  <c r="H3093" i="8"/>
  <c r="M3088" i="8"/>
  <c r="M3087" i="8"/>
  <c r="M3086" i="8"/>
  <c r="M3085" i="8"/>
  <c r="M3079" i="8"/>
  <c r="I3079" i="8"/>
  <c r="H3079" i="8"/>
  <c r="M3078" i="8"/>
  <c r="I3078" i="8"/>
  <c r="H3078" i="8"/>
  <c r="M3077" i="8"/>
  <c r="I3077" i="8"/>
  <c r="H3077" i="8"/>
  <c r="M3076" i="8"/>
  <c r="I3076" i="8"/>
  <c r="H3076" i="8"/>
  <c r="H3075" i="8"/>
  <c r="M3070" i="8"/>
  <c r="I3070" i="8"/>
  <c r="H3070" i="8"/>
  <c r="I3069" i="8"/>
  <c r="H3069" i="8"/>
  <c r="I3068" i="8"/>
  <c r="H3068" i="8"/>
  <c r="I3067" i="8"/>
  <c r="H3067" i="8"/>
  <c r="I3066" i="8"/>
  <c r="H3066" i="8"/>
  <c r="I3065" i="8"/>
  <c r="H3065" i="8"/>
  <c r="I3064" i="8"/>
  <c r="H3064" i="8"/>
  <c r="B3060" i="8"/>
  <c r="M3054" i="8"/>
  <c r="K3054" i="8"/>
  <c r="I3054" i="8"/>
  <c r="H3054" i="8"/>
  <c r="M3053" i="8"/>
  <c r="K3053" i="8"/>
  <c r="I3053" i="8"/>
  <c r="H3053" i="8"/>
  <c r="M3052" i="8"/>
  <c r="K3052" i="8"/>
  <c r="I3052" i="8"/>
  <c r="H3052" i="8"/>
  <c r="M3051" i="8"/>
  <c r="K3051" i="8"/>
  <c r="I3051" i="8"/>
  <c r="H3051" i="8"/>
  <c r="M3045" i="8"/>
  <c r="M3044" i="8"/>
  <c r="M3043" i="8"/>
  <c r="M3042" i="8"/>
  <c r="M3041" i="8"/>
  <c r="M3036" i="8"/>
  <c r="I3036" i="8"/>
  <c r="H3036" i="8"/>
  <c r="M3035" i="8"/>
  <c r="I3035" i="8"/>
  <c r="H3035" i="8"/>
  <c r="M3034" i="8"/>
  <c r="I3034" i="8"/>
  <c r="H3034" i="8"/>
  <c r="M3033" i="8"/>
  <c r="I3033" i="8"/>
  <c r="H3033" i="8"/>
  <c r="H3032" i="8"/>
  <c r="M3027" i="8"/>
  <c r="I3027" i="8"/>
  <c r="H3027" i="8"/>
  <c r="I3025" i="8"/>
  <c r="M3025" i="8" s="1"/>
  <c r="H3025" i="8"/>
  <c r="M3024" i="8"/>
  <c r="B3020" i="8"/>
  <c r="M3014" i="8"/>
  <c r="K3014" i="8"/>
  <c r="I3014" i="8"/>
  <c r="H3014" i="8"/>
  <c r="M3013" i="8"/>
  <c r="K3013" i="8"/>
  <c r="I3013" i="8"/>
  <c r="H3013" i="8"/>
  <c r="M3012" i="8"/>
  <c r="K3012" i="8"/>
  <c r="I3012" i="8"/>
  <c r="H3012" i="8"/>
  <c r="M3011" i="8"/>
  <c r="K3011" i="8"/>
  <c r="I3011" i="8"/>
  <c r="H3011" i="8"/>
  <c r="M3005" i="8"/>
  <c r="M3004" i="8"/>
  <c r="M3003" i="8"/>
  <c r="M3002" i="8"/>
  <c r="M2996" i="8"/>
  <c r="I2996" i="8"/>
  <c r="H2996" i="8"/>
  <c r="M2995" i="8"/>
  <c r="I2995" i="8"/>
  <c r="H2995" i="8"/>
  <c r="M2994" i="8"/>
  <c r="I2994" i="8"/>
  <c r="H2994" i="8"/>
  <c r="M2993" i="8"/>
  <c r="I2993" i="8"/>
  <c r="H2993" i="8"/>
  <c r="M2987" i="8"/>
  <c r="I2987" i="8"/>
  <c r="H2987" i="8"/>
  <c r="M2983" i="8"/>
  <c r="B2979" i="8"/>
  <c r="M2973" i="8"/>
  <c r="K2973" i="8"/>
  <c r="I2973" i="8"/>
  <c r="H2973" i="8"/>
  <c r="M2972" i="8"/>
  <c r="K2972" i="8"/>
  <c r="I2972" i="8"/>
  <c r="H2972" i="8"/>
  <c r="M2971" i="8"/>
  <c r="K2971" i="8"/>
  <c r="I2971" i="8"/>
  <c r="H2971" i="8"/>
  <c r="M2970" i="8"/>
  <c r="K2970" i="8"/>
  <c r="I2970" i="8"/>
  <c r="H2970" i="8"/>
  <c r="H2969" i="8"/>
  <c r="M2964" i="8"/>
  <c r="M2963" i="8"/>
  <c r="M2962" i="8"/>
  <c r="M2961" i="8"/>
  <c r="M2960" i="8"/>
  <c r="M2955" i="8"/>
  <c r="I2955" i="8"/>
  <c r="H2955" i="8"/>
  <c r="M2954" i="8"/>
  <c r="I2954" i="8"/>
  <c r="H2954" i="8"/>
  <c r="M2953" i="8"/>
  <c r="I2953" i="8"/>
  <c r="H2953" i="8"/>
  <c r="M2952" i="8"/>
  <c r="I2952" i="8"/>
  <c r="H2952" i="8"/>
  <c r="H2951" i="8"/>
  <c r="M2946" i="8"/>
  <c r="I2946" i="8"/>
  <c r="H2946" i="8"/>
  <c r="I2944" i="8"/>
  <c r="M2944" i="8" s="1"/>
  <c r="H2944" i="8"/>
  <c r="I2943" i="8"/>
  <c r="M2943" i="8" s="1"/>
  <c r="H2943" i="8"/>
  <c r="B2939" i="8"/>
  <c r="M2933" i="8"/>
  <c r="K2933" i="8"/>
  <c r="I2933" i="8"/>
  <c r="H2933" i="8"/>
  <c r="M2932" i="8"/>
  <c r="K2932" i="8"/>
  <c r="I2932" i="8"/>
  <c r="H2932" i="8"/>
  <c r="M2931" i="8"/>
  <c r="K2931" i="8"/>
  <c r="I2931" i="8"/>
  <c r="H2931" i="8"/>
  <c r="M2930" i="8"/>
  <c r="K2930" i="8"/>
  <c r="I2930" i="8"/>
  <c r="H2930" i="8"/>
  <c r="M2924" i="8"/>
  <c r="M2923" i="8"/>
  <c r="M2922" i="8"/>
  <c r="M2921" i="8"/>
  <c r="M2915" i="8"/>
  <c r="I2915" i="8"/>
  <c r="H2915" i="8"/>
  <c r="M2914" i="8"/>
  <c r="I2914" i="8"/>
  <c r="H2914" i="8"/>
  <c r="M2913" i="8"/>
  <c r="I2913" i="8"/>
  <c r="H2913" i="8"/>
  <c r="M2912" i="8"/>
  <c r="I2912" i="8"/>
  <c r="H2912" i="8"/>
  <c r="M2906" i="8"/>
  <c r="I2906" i="8"/>
  <c r="H2906" i="8"/>
  <c r="M2902" i="8"/>
  <c r="B2898" i="8"/>
  <c r="M2892" i="8"/>
  <c r="K2892" i="8"/>
  <c r="I2892" i="8"/>
  <c r="H2892" i="8"/>
  <c r="M2891" i="8"/>
  <c r="K2891" i="8"/>
  <c r="I2891" i="8"/>
  <c r="H2891" i="8"/>
  <c r="M2890" i="8"/>
  <c r="K2890" i="8"/>
  <c r="I2890" i="8"/>
  <c r="H2890" i="8"/>
  <c r="M2889" i="8"/>
  <c r="K2889" i="8"/>
  <c r="I2889" i="8"/>
  <c r="H2889" i="8"/>
  <c r="M2883" i="8"/>
  <c r="M2882" i="8"/>
  <c r="M2881" i="8"/>
  <c r="M2880" i="8"/>
  <c r="M2879" i="8"/>
  <c r="M2874" i="8"/>
  <c r="I2874" i="8"/>
  <c r="H2874" i="8"/>
  <c r="M2873" i="8"/>
  <c r="I2873" i="8"/>
  <c r="H2873" i="8"/>
  <c r="M2872" i="8"/>
  <c r="I2872" i="8"/>
  <c r="H2872" i="8"/>
  <c r="M2871" i="8"/>
  <c r="I2871" i="8"/>
  <c r="H2871" i="8"/>
  <c r="H2870" i="8"/>
  <c r="M2865" i="8"/>
  <c r="I2865" i="8"/>
  <c r="H2865" i="8"/>
  <c r="M2862" i="8"/>
  <c r="B2858" i="8"/>
  <c r="M2852" i="8"/>
  <c r="K2852" i="8"/>
  <c r="I2852" i="8"/>
  <c r="H2852" i="8"/>
  <c r="M2851" i="8"/>
  <c r="K2851" i="8"/>
  <c r="I2851" i="8"/>
  <c r="H2851" i="8"/>
  <c r="M2850" i="8"/>
  <c r="K2850" i="8"/>
  <c r="I2850" i="8"/>
  <c r="H2850" i="8"/>
  <c r="M2849" i="8"/>
  <c r="K2849" i="8"/>
  <c r="I2849" i="8"/>
  <c r="H2849" i="8"/>
  <c r="M2843" i="8"/>
  <c r="M2842" i="8"/>
  <c r="M2841" i="8"/>
  <c r="M2840" i="8"/>
  <c r="M2839" i="8"/>
  <c r="M2834" i="8"/>
  <c r="I2834" i="8"/>
  <c r="H2834" i="8"/>
  <c r="M2833" i="8"/>
  <c r="I2833" i="8"/>
  <c r="H2833" i="8"/>
  <c r="M2832" i="8"/>
  <c r="I2832" i="8"/>
  <c r="H2832" i="8"/>
  <c r="M2831" i="8"/>
  <c r="I2831" i="8"/>
  <c r="H2831" i="8"/>
  <c r="H2830" i="8"/>
  <c r="M2825" i="8"/>
  <c r="I2825" i="8"/>
  <c r="H2825" i="8"/>
  <c r="M2823" i="8"/>
  <c r="M2822" i="8"/>
  <c r="B2818" i="8"/>
  <c r="M2812" i="8"/>
  <c r="K2812" i="8"/>
  <c r="I2812" i="8"/>
  <c r="H2812" i="8"/>
  <c r="M2811" i="8"/>
  <c r="K2811" i="8"/>
  <c r="I2811" i="8"/>
  <c r="H2811" i="8"/>
  <c r="M2810" i="8"/>
  <c r="K2810" i="8"/>
  <c r="I2810" i="8"/>
  <c r="H2810" i="8"/>
  <c r="M2809" i="8"/>
  <c r="K2809" i="8"/>
  <c r="I2809" i="8"/>
  <c r="H2809" i="8"/>
  <c r="M2803" i="8"/>
  <c r="M2802" i="8"/>
  <c r="M2801" i="8"/>
  <c r="M2800" i="8"/>
  <c r="M2794" i="8"/>
  <c r="I2794" i="8"/>
  <c r="H2794" i="8"/>
  <c r="M2793" i="8"/>
  <c r="I2793" i="8"/>
  <c r="H2793" i="8"/>
  <c r="M2792" i="8"/>
  <c r="I2792" i="8"/>
  <c r="H2792" i="8"/>
  <c r="M2791" i="8"/>
  <c r="I2791" i="8"/>
  <c r="H2791" i="8"/>
  <c r="M2785" i="8"/>
  <c r="I2785" i="8"/>
  <c r="H2785" i="8"/>
  <c r="M2781" i="8"/>
  <c r="B2777" i="8"/>
  <c r="M2771" i="8"/>
  <c r="K2771" i="8"/>
  <c r="I2771" i="8"/>
  <c r="H2771" i="8"/>
  <c r="M2770" i="8"/>
  <c r="K2770" i="8"/>
  <c r="I2770" i="8"/>
  <c r="H2770" i="8"/>
  <c r="M2769" i="8"/>
  <c r="K2769" i="8"/>
  <c r="I2769" i="8"/>
  <c r="H2769" i="8"/>
  <c r="M2768" i="8"/>
  <c r="K2768" i="8"/>
  <c r="I2768" i="8"/>
  <c r="H2768" i="8"/>
  <c r="H2767" i="8"/>
  <c r="M2762" i="8"/>
  <c r="M2761" i="8"/>
  <c r="M2760" i="8"/>
  <c r="M2759" i="8"/>
  <c r="M2753" i="8"/>
  <c r="I2753" i="8"/>
  <c r="H2753" i="8"/>
  <c r="M2752" i="8"/>
  <c r="I2752" i="8"/>
  <c r="H2752" i="8"/>
  <c r="M2751" i="8"/>
  <c r="I2751" i="8"/>
  <c r="H2751" i="8"/>
  <c r="M2750" i="8"/>
  <c r="I2750" i="8"/>
  <c r="H2750" i="8"/>
  <c r="H2749" i="8"/>
  <c r="M2744" i="8"/>
  <c r="I2744" i="8"/>
  <c r="H2744" i="8"/>
  <c r="M2743" i="8"/>
  <c r="I2743" i="8"/>
  <c r="H2743" i="8"/>
  <c r="M2742" i="8"/>
  <c r="I2742" i="8"/>
  <c r="H2742" i="8"/>
  <c r="M2741" i="8"/>
  <c r="I2741" i="8"/>
  <c r="H2741" i="8"/>
  <c r="M2740" i="8"/>
  <c r="I2740" i="8"/>
  <c r="H2740" i="8"/>
  <c r="M2739" i="8"/>
  <c r="I2739" i="8"/>
  <c r="H2739" i="8"/>
  <c r="M2738" i="8"/>
  <c r="I2738" i="8"/>
  <c r="H2738" i="8"/>
  <c r="M2737" i="8"/>
  <c r="B2733" i="8"/>
  <c r="M2727" i="8"/>
  <c r="K2727" i="8"/>
  <c r="I2727" i="8"/>
  <c r="H2727" i="8"/>
  <c r="M2726" i="8"/>
  <c r="K2726" i="8"/>
  <c r="I2726" i="8"/>
  <c r="H2726" i="8"/>
  <c r="M2725" i="8"/>
  <c r="K2725" i="8"/>
  <c r="I2725" i="8"/>
  <c r="H2725" i="8"/>
  <c r="M2724" i="8"/>
  <c r="K2724" i="8"/>
  <c r="I2724" i="8"/>
  <c r="H2724" i="8"/>
  <c r="M2718" i="8"/>
  <c r="M2717" i="8"/>
  <c r="M2716" i="8"/>
  <c r="M2715" i="8"/>
  <c r="M2709" i="8"/>
  <c r="I2709" i="8"/>
  <c r="H2709" i="8"/>
  <c r="M2708" i="8"/>
  <c r="I2708" i="8"/>
  <c r="H2708" i="8"/>
  <c r="M2707" i="8"/>
  <c r="I2707" i="8"/>
  <c r="H2707" i="8"/>
  <c r="M2706" i="8"/>
  <c r="I2706" i="8"/>
  <c r="H2706" i="8"/>
  <c r="H2705" i="8"/>
  <c r="M2700" i="8"/>
  <c r="I2700" i="8"/>
  <c r="H2700" i="8"/>
  <c r="M2699" i="8"/>
  <c r="I2699" i="8"/>
  <c r="H2699" i="8"/>
  <c r="M2698" i="8"/>
  <c r="I2698" i="8"/>
  <c r="H2698" i="8"/>
  <c r="M2697" i="8"/>
  <c r="I2697" i="8"/>
  <c r="H2697" i="8"/>
  <c r="M2696" i="8"/>
  <c r="I2696" i="8"/>
  <c r="H2696" i="8"/>
  <c r="M2695" i="8"/>
  <c r="M2694" i="8"/>
  <c r="M2693" i="8"/>
  <c r="B2689" i="8"/>
  <c r="M2683" i="8"/>
  <c r="K2683" i="8"/>
  <c r="I2683" i="8"/>
  <c r="H2683" i="8"/>
  <c r="M2682" i="8"/>
  <c r="K2682" i="8"/>
  <c r="I2682" i="8"/>
  <c r="H2682" i="8"/>
  <c r="M2681" i="8"/>
  <c r="K2681" i="8"/>
  <c r="I2681" i="8"/>
  <c r="H2681" i="8"/>
  <c r="M2680" i="8"/>
  <c r="K2680" i="8"/>
  <c r="I2680" i="8"/>
  <c r="H2680" i="8"/>
  <c r="H2679" i="8"/>
  <c r="M2674" i="8"/>
  <c r="M2673" i="8"/>
  <c r="M2672" i="8"/>
  <c r="M2671" i="8"/>
  <c r="M2665" i="8"/>
  <c r="I2665" i="8"/>
  <c r="H2665" i="8"/>
  <c r="M2664" i="8"/>
  <c r="I2664" i="8"/>
  <c r="H2664" i="8"/>
  <c r="M2663" i="8"/>
  <c r="I2663" i="8"/>
  <c r="H2663" i="8"/>
  <c r="M2662" i="8"/>
  <c r="I2662" i="8"/>
  <c r="H2662" i="8"/>
  <c r="H2661" i="8"/>
  <c r="M2656" i="8"/>
  <c r="I2656" i="8"/>
  <c r="H2656" i="8"/>
  <c r="M2655" i="8"/>
  <c r="I2655" i="8"/>
  <c r="H2655" i="8"/>
  <c r="M2654" i="8"/>
  <c r="I2654" i="8"/>
  <c r="H2654" i="8"/>
  <c r="M2653" i="8"/>
  <c r="I2653" i="8"/>
  <c r="H2653" i="8"/>
  <c r="M2652" i="8"/>
  <c r="I2652" i="8"/>
  <c r="H2652" i="8"/>
  <c r="I2651" i="8"/>
  <c r="M2651" i="8" s="1"/>
  <c r="H2651" i="8"/>
  <c r="I2650" i="8"/>
  <c r="M2650" i="8" s="1"/>
  <c r="H2650" i="8"/>
  <c r="M2649" i="8"/>
  <c r="B2645" i="8"/>
  <c r="M2639" i="8"/>
  <c r="K2639" i="8"/>
  <c r="I2639" i="8"/>
  <c r="H2639" i="8"/>
  <c r="M2638" i="8"/>
  <c r="K2638" i="8"/>
  <c r="I2638" i="8"/>
  <c r="H2638" i="8"/>
  <c r="M2637" i="8"/>
  <c r="K2637" i="8"/>
  <c r="I2637" i="8"/>
  <c r="H2637" i="8"/>
  <c r="M2636" i="8"/>
  <c r="K2636" i="8"/>
  <c r="I2636" i="8"/>
  <c r="H2636" i="8"/>
  <c r="H2635" i="8"/>
  <c r="M2630" i="8"/>
  <c r="M2629" i="8"/>
  <c r="M2628" i="8"/>
  <c r="M2627" i="8"/>
  <c r="M2621" i="8"/>
  <c r="I2621" i="8"/>
  <c r="H2621" i="8"/>
  <c r="M2620" i="8"/>
  <c r="I2620" i="8"/>
  <c r="H2620" i="8"/>
  <c r="M2619" i="8"/>
  <c r="I2619" i="8"/>
  <c r="H2619" i="8"/>
  <c r="M2618" i="8"/>
  <c r="I2618" i="8"/>
  <c r="H2618" i="8"/>
  <c r="H2617" i="8"/>
  <c r="M2612" i="8"/>
  <c r="I2612" i="8"/>
  <c r="H2612" i="8"/>
  <c r="M2611" i="8"/>
  <c r="I2611" i="8"/>
  <c r="H2611" i="8"/>
  <c r="M2610" i="8"/>
  <c r="I2610" i="8"/>
  <c r="H2610" i="8"/>
  <c r="M2609" i="8"/>
  <c r="I2609" i="8"/>
  <c r="H2609" i="8"/>
  <c r="M2608" i="8"/>
  <c r="I2608" i="8"/>
  <c r="H2608" i="8"/>
  <c r="M2607" i="8"/>
  <c r="I2607" i="8"/>
  <c r="H2607" i="8"/>
  <c r="M2606" i="8"/>
  <c r="I2606" i="8"/>
  <c r="H2606" i="8"/>
  <c r="M2605" i="8"/>
  <c r="B2601" i="8"/>
  <c r="M2595" i="8"/>
  <c r="K2595" i="8"/>
  <c r="I2595" i="8"/>
  <c r="H2595" i="8"/>
  <c r="M2594" i="8"/>
  <c r="K2594" i="8"/>
  <c r="I2594" i="8"/>
  <c r="H2594" i="8"/>
  <c r="M2593" i="8"/>
  <c r="K2593" i="8"/>
  <c r="I2593" i="8"/>
  <c r="H2593" i="8"/>
  <c r="M2592" i="8"/>
  <c r="K2592" i="8"/>
  <c r="I2592" i="8"/>
  <c r="H2592" i="8"/>
  <c r="H2591" i="8"/>
  <c r="M2586" i="8"/>
  <c r="M2585" i="8"/>
  <c r="M2584" i="8"/>
  <c r="M2583" i="8"/>
  <c r="M2577" i="8"/>
  <c r="I2577" i="8"/>
  <c r="H2577" i="8"/>
  <c r="M2576" i="8"/>
  <c r="I2576" i="8"/>
  <c r="H2576" i="8"/>
  <c r="M2575" i="8"/>
  <c r="I2575" i="8"/>
  <c r="H2575" i="8"/>
  <c r="M2574" i="8"/>
  <c r="I2574" i="8"/>
  <c r="H2574" i="8"/>
  <c r="H2573" i="8"/>
  <c r="M2568" i="8"/>
  <c r="I2568" i="8"/>
  <c r="H2568" i="8"/>
  <c r="M2567" i="8"/>
  <c r="I2567" i="8"/>
  <c r="H2567" i="8"/>
  <c r="M2566" i="8"/>
  <c r="I2566" i="8"/>
  <c r="H2566" i="8"/>
  <c r="M2565" i="8"/>
  <c r="I2565" i="8"/>
  <c r="H2565" i="8"/>
  <c r="M2564" i="8"/>
  <c r="I2564" i="8"/>
  <c r="H2564" i="8"/>
  <c r="M2563" i="8"/>
  <c r="I2563" i="8"/>
  <c r="H2563" i="8"/>
  <c r="M2562" i="8"/>
  <c r="I2562" i="8"/>
  <c r="H2562" i="8"/>
  <c r="M2561" i="8"/>
  <c r="B2557" i="8"/>
  <c r="M2551" i="8"/>
  <c r="K2551" i="8"/>
  <c r="I2551" i="8"/>
  <c r="H2551" i="8"/>
  <c r="M2550" i="8"/>
  <c r="K2550" i="8"/>
  <c r="I2550" i="8"/>
  <c r="H2550" i="8"/>
  <c r="M2549" i="8"/>
  <c r="K2549" i="8"/>
  <c r="I2549" i="8"/>
  <c r="H2549" i="8"/>
  <c r="M2548" i="8"/>
  <c r="K2548" i="8"/>
  <c r="I2548" i="8"/>
  <c r="H2548" i="8"/>
  <c r="H2547" i="8"/>
  <c r="M2542" i="8"/>
  <c r="M2541" i="8"/>
  <c r="M2540" i="8"/>
  <c r="M2539" i="8"/>
  <c r="M2533" i="8"/>
  <c r="I2533" i="8"/>
  <c r="H2533" i="8"/>
  <c r="M2532" i="8"/>
  <c r="I2532" i="8"/>
  <c r="H2532" i="8"/>
  <c r="M2531" i="8"/>
  <c r="I2531" i="8"/>
  <c r="H2531" i="8"/>
  <c r="M2530" i="8"/>
  <c r="I2530" i="8"/>
  <c r="H2530" i="8"/>
  <c r="H2529" i="8"/>
  <c r="M2524" i="8"/>
  <c r="I2524" i="8"/>
  <c r="H2524" i="8"/>
  <c r="M2523" i="8"/>
  <c r="I2523" i="8"/>
  <c r="H2523" i="8"/>
  <c r="M2522" i="8"/>
  <c r="I2522" i="8"/>
  <c r="H2522" i="8"/>
  <c r="M2521" i="8"/>
  <c r="I2521" i="8"/>
  <c r="H2521" i="8"/>
  <c r="M2520" i="8"/>
  <c r="I2520" i="8"/>
  <c r="H2520" i="8"/>
  <c r="M2519" i="8"/>
  <c r="I2519" i="8"/>
  <c r="H2519" i="8"/>
  <c r="M2518" i="8"/>
  <c r="I2518" i="8"/>
  <c r="H2518" i="8"/>
  <c r="M2517" i="8"/>
  <c r="B2513" i="8"/>
  <c r="M2507" i="8"/>
  <c r="K2507" i="8"/>
  <c r="I2507" i="8"/>
  <c r="H2507" i="8"/>
  <c r="M2506" i="8"/>
  <c r="K2506" i="8"/>
  <c r="I2506" i="8"/>
  <c r="H2506" i="8"/>
  <c r="M2505" i="8"/>
  <c r="K2505" i="8"/>
  <c r="I2505" i="8"/>
  <c r="H2505" i="8"/>
  <c r="M2504" i="8"/>
  <c r="K2504" i="8"/>
  <c r="I2504" i="8"/>
  <c r="H2504" i="8"/>
  <c r="M2498" i="8"/>
  <c r="M2497" i="8"/>
  <c r="M2496" i="8"/>
  <c r="M2495" i="8"/>
  <c r="M2489" i="8"/>
  <c r="I2489" i="8"/>
  <c r="H2489" i="8"/>
  <c r="M2488" i="8"/>
  <c r="I2488" i="8"/>
  <c r="H2488" i="8"/>
  <c r="M2487" i="8"/>
  <c r="I2487" i="8"/>
  <c r="H2487" i="8"/>
  <c r="M2486" i="8"/>
  <c r="I2486" i="8"/>
  <c r="H2486" i="8"/>
  <c r="H2485" i="8"/>
  <c r="M2480" i="8"/>
  <c r="I2480" i="8"/>
  <c r="H2480" i="8"/>
  <c r="M2479" i="8"/>
  <c r="I2479" i="8"/>
  <c r="H2479" i="8"/>
  <c r="M2478" i="8"/>
  <c r="I2478" i="8"/>
  <c r="H2478" i="8"/>
  <c r="M2477" i="8"/>
  <c r="I2477" i="8"/>
  <c r="H2477" i="8"/>
  <c r="M2476" i="8"/>
  <c r="I2476" i="8"/>
  <c r="H2476" i="8"/>
  <c r="M2475" i="8"/>
  <c r="M2474" i="8"/>
  <c r="M2473" i="8"/>
  <c r="B2469" i="8"/>
  <c r="M2463" i="8"/>
  <c r="K2463" i="8"/>
  <c r="I2463" i="8"/>
  <c r="H2463" i="8"/>
  <c r="M2462" i="8"/>
  <c r="K2462" i="8"/>
  <c r="I2462" i="8"/>
  <c r="H2462" i="8"/>
  <c r="M2461" i="8"/>
  <c r="K2461" i="8"/>
  <c r="I2461" i="8"/>
  <c r="H2461" i="8"/>
  <c r="M2460" i="8"/>
  <c r="K2460" i="8"/>
  <c r="I2460" i="8"/>
  <c r="H2460" i="8"/>
  <c r="M2454" i="8"/>
  <c r="M2453" i="8"/>
  <c r="M2452" i="8"/>
  <c r="M2451" i="8"/>
  <c r="M2445" i="8"/>
  <c r="I2445" i="8"/>
  <c r="H2445" i="8"/>
  <c r="M2444" i="8"/>
  <c r="I2444" i="8"/>
  <c r="H2444" i="8"/>
  <c r="M2443" i="8"/>
  <c r="I2443" i="8"/>
  <c r="H2443" i="8"/>
  <c r="M2442" i="8"/>
  <c r="I2442" i="8"/>
  <c r="H2442" i="8"/>
  <c r="H2441" i="8"/>
  <c r="M2436" i="8"/>
  <c r="I2436" i="8"/>
  <c r="H2436" i="8"/>
  <c r="M2435" i="8"/>
  <c r="I2435" i="8"/>
  <c r="H2435" i="8"/>
  <c r="M2434" i="8"/>
  <c r="I2434" i="8"/>
  <c r="H2434" i="8"/>
  <c r="M2433" i="8"/>
  <c r="I2433" i="8"/>
  <c r="H2433" i="8"/>
  <c r="M2432" i="8"/>
  <c r="I2432" i="8"/>
  <c r="H2432" i="8"/>
  <c r="M2431" i="8"/>
  <c r="M2430" i="8"/>
  <c r="M2429" i="8"/>
  <c r="B2425" i="8"/>
  <c r="M2419" i="8"/>
  <c r="K2419" i="8"/>
  <c r="I2419" i="8"/>
  <c r="H2419" i="8"/>
  <c r="M2418" i="8"/>
  <c r="K2418" i="8"/>
  <c r="I2418" i="8"/>
  <c r="H2418" i="8"/>
  <c r="M2417" i="8"/>
  <c r="K2417" i="8"/>
  <c r="I2417" i="8"/>
  <c r="H2417" i="8"/>
  <c r="M2416" i="8"/>
  <c r="K2416" i="8"/>
  <c r="I2416" i="8"/>
  <c r="H2416" i="8"/>
  <c r="M2410" i="8"/>
  <c r="M2409" i="8"/>
  <c r="M2408" i="8"/>
  <c r="M2407" i="8"/>
  <c r="M2401" i="8"/>
  <c r="I2401" i="8"/>
  <c r="H2401" i="8"/>
  <c r="M2400" i="8"/>
  <c r="I2400" i="8"/>
  <c r="H2400" i="8"/>
  <c r="M2399" i="8"/>
  <c r="I2399" i="8"/>
  <c r="H2399" i="8"/>
  <c r="M2398" i="8"/>
  <c r="I2398" i="8"/>
  <c r="H2398" i="8"/>
  <c r="H2397" i="8"/>
  <c r="M2392" i="8"/>
  <c r="I2392" i="8"/>
  <c r="H2392" i="8"/>
  <c r="M2391" i="8"/>
  <c r="I2391" i="8"/>
  <c r="H2391" i="8"/>
  <c r="M2390" i="8"/>
  <c r="I2390" i="8"/>
  <c r="H2390" i="8"/>
  <c r="M2389" i="8"/>
  <c r="I2389" i="8"/>
  <c r="H2389" i="8"/>
  <c r="M2388" i="8"/>
  <c r="I2388" i="8"/>
  <c r="H2388" i="8"/>
  <c r="M2387" i="8"/>
  <c r="I2387" i="8"/>
  <c r="H2387" i="8"/>
  <c r="M2386" i="8"/>
  <c r="I2386" i="8"/>
  <c r="H2386" i="8"/>
  <c r="M2385" i="8"/>
  <c r="B2381" i="8"/>
  <c r="M2375" i="8"/>
  <c r="K2375" i="8"/>
  <c r="I2375" i="8"/>
  <c r="H2375" i="8"/>
  <c r="M2374" i="8"/>
  <c r="K2374" i="8"/>
  <c r="I2374" i="8"/>
  <c r="H2374" i="8"/>
  <c r="M2373" i="8"/>
  <c r="K2373" i="8"/>
  <c r="I2373" i="8"/>
  <c r="H2373" i="8"/>
  <c r="M2372" i="8"/>
  <c r="K2372" i="8"/>
  <c r="I2372" i="8"/>
  <c r="H2372" i="8"/>
  <c r="M2366" i="8"/>
  <c r="M2365" i="8"/>
  <c r="M2364" i="8"/>
  <c r="M2363" i="8"/>
  <c r="M2357" i="8"/>
  <c r="I2357" i="8"/>
  <c r="H2357" i="8"/>
  <c r="M2356" i="8"/>
  <c r="I2356" i="8"/>
  <c r="H2356" i="8"/>
  <c r="M2355" i="8"/>
  <c r="I2355" i="8"/>
  <c r="H2355" i="8"/>
  <c r="M2354" i="8"/>
  <c r="I2354" i="8"/>
  <c r="H2354" i="8"/>
  <c r="H2353" i="8"/>
  <c r="M2348" i="8"/>
  <c r="I2348" i="8"/>
  <c r="H2348" i="8"/>
  <c r="M2347" i="8"/>
  <c r="I2347" i="8"/>
  <c r="H2347" i="8"/>
  <c r="M2346" i="8"/>
  <c r="I2346" i="8"/>
  <c r="H2346" i="8"/>
  <c r="M2345" i="8"/>
  <c r="I2345" i="8"/>
  <c r="H2345" i="8"/>
  <c r="M2344" i="8"/>
  <c r="I2344" i="8"/>
  <c r="H2344" i="8"/>
  <c r="B2337" i="8"/>
  <c r="M2331" i="8"/>
  <c r="K2331" i="8"/>
  <c r="I2331" i="8"/>
  <c r="H2331" i="8"/>
  <c r="M2330" i="8"/>
  <c r="K2330" i="8"/>
  <c r="I2330" i="8"/>
  <c r="H2330" i="8"/>
  <c r="M2329" i="8"/>
  <c r="K2329" i="8"/>
  <c r="I2329" i="8"/>
  <c r="H2329" i="8"/>
  <c r="M2328" i="8"/>
  <c r="K2328" i="8"/>
  <c r="I2328" i="8"/>
  <c r="H2328" i="8"/>
  <c r="H2327" i="8"/>
  <c r="M2322" i="8"/>
  <c r="M2321" i="8"/>
  <c r="M2320" i="8"/>
  <c r="M2319" i="8"/>
  <c r="M2313" i="8"/>
  <c r="I2313" i="8"/>
  <c r="H2313" i="8"/>
  <c r="M2312" i="8"/>
  <c r="I2312" i="8"/>
  <c r="H2312" i="8"/>
  <c r="M2311" i="8"/>
  <c r="I2311" i="8"/>
  <c r="H2311" i="8"/>
  <c r="M2310" i="8"/>
  <c r="I2310" i="8"/>
  <c r="H2310" i="8"/>
  <c r="H2309" i="8"/>
  <c r="M2304" i="8"/>
  <c r="I2304" i="8"/>
  <c r="H2304" i="8"/>
  <c r="M2303" i="8"/>
  <c r="I2303" i="8"/>
  <c r="H2303" i="8"/>
  <c r="M2302" i="8"/>
  <c r="I2302" i="8"/>
  <c r="H2302" i="8"/>
  <c r="M2301" i="8"/>
  <c r="I2301" i="8"/>
  <c r="H2301" i="8"/>
  <c r="M2300" i="8"/>
  <c r="I2300" i="8"/>
  <c r="H2300" i="8"/>
  <c r="B2293" i="8"/>
  <c r="M2287" i="8"/>
  <c r="K2287" i="8"/>
  <c r="I2287" i="8"/>
  <c r="H2287" i="8"/>
  <c r="M2286" i="8"/>
  <c r="K2286" i="8"/>
  <c r="I2286" i="8"/>
  <c r="H2286" i="8"/>
  <c r="M2285" i="8"/>
  <c r="K2285" i="8"/>
  <c r="I2285" i="8"/>
  <c r="H2285" i="8"/>
  <c r="M2284" i="8"/>
  <c r="K2284" i="8"/>
  <c r="I2284" i="8"/>
  <c r="H2284" i="8"/>
  <c r="H2283" i="8"/>
  <c r="M2278" i="8"/>
  <c r="M2277" i="8"/>
  <c r="M2276" i="8"/>
  <c r="M2275" i="8"/>
  <c r="M2269" i="8"/>
  <c r="I2269" i="8"/>
  <c r="H2269" i="8"/>
  <c r="M2268" i="8"/>
  <c r="I2268" i="8"/>
  <c r="H2268" i="8"/>
  <c r="M2267" i="8"/>
  <c r="I2267" i="8"/>
  <c r="H2267" i="8"/>
  <c r="M2266" i="8"/>
  <c r="I2266" i="8"/>
  <c r="H2266" i="8"/>
  <c r="H2265" i="8"/>
  <c r="M2260" i="8"/>
  <c r="I2260" i="8"/>
  <c r="H2260" i="8"/>
  <c r="M2259" i="8"/>
  <c r="I2259" i="8"/>
  <c r="H2259" i="8"/>
  <c r="M2258" i="8"/>
  <c r="I2258" i="8"/>
  <c r="H2258" i="8"/>
  <c r="M2257" i="8"/>
  <c r="I2257" i="8"/>
  <c r="H2257" i="8"/>
  <c r="M2256" i="8"/>
  <c r="I2256" i="8"/>
  <c r="H2256" i="8"/>
  <c r="M2255" i="8"/>
  <c r="I2255" i="8"/>
  <c r="H2255" i="8"/>
  <c r="M2254" i="8"/>
  <c r="I2254" i="8"/>
  <c r="H2254" i="8"/>
  <c r="B2249" i="8"/>
  <c r="M2243" i="8"/>
  <c r="K2243" i="8"/>
  <c r="I2243" i="8"/>
  <c r="H2243" i="8"/>
  <c r="M2242" i="8"/>
  <c r="K2242" i="8"/>
  <c r="I2242" i="8"/>
  <c r="H2242" i="8"/>
  <c r="M2241" i="8"/>
  <c r="K2241" i="8"/>
  <c r="I2241" i="8"/>
  <c r="H2241" i="8"/>
  <c r="M2240" i="8"/>
  <c r="K2240" i="8"/>
  <c r="I2240" i="8"/>
  <c r="H2240" i="8"/>
  <c r="M2234" i="8"/>
  <c r="M2233" i="8"/>
  <c r="M2232" i="8"/>
  <c r="M2231" i="8"/>
  <c r="M2230" i="8"/>
  <c r="M2225" i="8"/>
  <c r="I2225" i="8"/>
  <c r="H2225" i="8"/>
  <c r="M2224" i="8"/>
  <c r="I2224" i="8"/>
  <c r="H2224" i="8"/>
  <c r="M2223" i="8"/>
  <c r="I2223" i="8"/>
  <c r="H2223" i="8"/>
  <c r="M2222" i="8"/>
  <c r="I2222" i="8"/>
  <c r="H2222" i="8"/>
  <c r="M2216" i="8"/>
  <c r="I2216" i="8"/>
  <c r="H2216" i="8"/>
  <c r="M2215" i="8"/>
  <c r="I2215" i="8"/>
  <c r="H2215" i="8"/>
  <c r="M2214" i="8"/>
  <c r="I2214" i="8"/>
  <c r="H2214" i="8"/>
  <c r="I2213" i="8"/>
  <c r="M2213" i="8" s="1"/>
  <c r="H2213" i="8"/>
  <c r="I2212" i="8"/>
  <c r="M2212" i="8" s="1"/>
  <c r="H2212" i="8"/>
  <c r="I2211" i="8"/>
  <c r="M2211" i="8" s="1"/>
  <c r="H2211" i="8"/>
  <c r="B2207" i="8"/>
  <c r="M2201" i="8"/>
  <c r="I2201" i="8"/>
  <c r="H2201" i="8"/>
  <c r="M2200" i="8"/>
  <c r="I2200" i="8"/>
  <c r="H2200" i="8"/>
  <c r="M2199" i="8"/>
  <c r="I2199" i="8"/>
  <c r="H2199" i="8"/>
  <c r="M2198" i="8"/>
  <c r="I2198" i="8"/>
  <c r="H2198" i="8"/>
  <c r="M2192" i="8"/>
  <c r="M2191" i="8"/>
  <c r="M2190" i="8"/>
  <c r="M2175" i="8"/>
  <c r="M2174" i="8"/>
  <c r="M2173" i="8"/>
  <c r="B2166" i="8"/>
  <c r="M2160" i="8"/>
  <c r="K2160" i="8"/>
  <c r="I2160" i="8"/>
  <c r="H2160" i="8"/>
  <c r="M2159" i="8"/>
  <c r="K2159" i="8"/>
  <c r="I2159" i="8"/>
  <c r="H2159" i="8"/>
  <c r="K2158" i="8"/>
  <c r="H2158" i="8"/>
  <c r="K2157" i="8"/>
  <c r="I2157" i="8"/>
  <c r="H2157" i="8"/>
  <c r="H2156" i="8"/>
  <c r="M2151" i="8"/>
  <c r="M2150" i="8"/>
  <c r="M2149" i="8"/>
  <c r="M2148" i="8"/>
  <c r="M2142" i="8"/>
  <c r="I2142" i="8"/>
  <c r="H2142" i="8"/>
  <c r="I2141" i="8"/>
  <c r="M2141" i="8" s="1"/>
  <c r="H2141" i="8"/>
  <c r="I2140" i="8"/>
  <c r="M2140" i="8" s="1"/>
  <c r="H2140" i="8"/>
  <c r="I2139" i="8"/>
  <c r="M2139" i="8" s="1"/>
  <c r="H2139" i="8"/>
  <c r="H2138" i="8"/>
  <c r="I2132" i="8"/>
  <c r="H2132" i="8"/>
  <c r="I2131" i="8"/>
  <c r="H2131" i="8"/>
  <c r="I2130" i="8"/>
  <c r="H2130" i="8"/>
  <c r="I2129" i="8"/>
  <c r="H2129" i="8"/>
  <c r="I2128" i="8"/>
  <c r="H2128" i="8"/>
  <c r="B2123" i="8"/>
  <c r="M2117" i="8"/>
  <c r="K2117" i="8"/>
  <c r="I2117" i="8"/>
  <c r="H2117" i="8"/>
  <c r="M2116" i="8"/>
  <c r="K2116" i="8"/>
  <c r="I2116" i="8"/>
  <c r="H2116" i="8"/>
  <c r="M2115" i="8"/>
  <c r="K2115" i="8"/>
  <c r="I2115" i="8"/>
  <c r="H2115" i="8"/>
  <c r="M2114" i="8"/>
  <c r="K2114" i="8"/>
  <c r="I2114" i="8"/>
  <c r="H2114" i="8"/>
  <c r="H2113" i="8"/>
  <c r="M2108" i="8"/>
  <c r="M2107" i="8"/>
  <c r="M2106" i="8"/>
  <c r="M2105" i="8"/>
  <c r="M2104" i="8"/>
  <c r="M2099" i="8"/>
  <c r="I2099" i="8"/>
  <c r="H2099" i="8"/>
  <c r="M2098" i="8"/>
  <c r="I2098" i="8"/>
  <c r="H2098" i="8"/>
  <c r="M2097" i="8"/>
  <c r="I2097" i="8"/>
  <c r="H2097" i="8"/>
  <c r="M2096" i="8"/>
  <c r="I2096" i="8"/>
  <c r="H2096" i="8"/>
  <c r="M2095" i="8"/>
  <c r="H2095" i="8"/>
  <c r="I2090" i="8"/>
  <c r="H2090" i="8"/>
  <c r="I2089" i="8"/>
  <c r="H2089" i="8"/>
  <c r="I2088" i="8"/>
  <c r="H2088" i="8"/>
  <c r="I2087" i="8"/>
  <c r="H2087" i="8"/>
  <c r="I2086" i="8"/>
  <c r="H2086" i="8"/>
  <c r="B2081" i="8"/>
  <c r="B58" i="7" s="1"/>
  <c r="M2075" i="8"/>
  <c r="K2075" i="8"/>
  <c r="I2075" i="8"/>
  <c r="H2075" i="8"/>
  <c r="M2074" i="8"/>
  <c r="K2074" i="8"/>
  <c r="I2074" i="8"/>
  <c r="H2074" i="8"/>
  <c r="M2073" i="8"/>
  <c r="K2073" i="8"/>
  <c r="I2073" i="8"/>
  <c r="H2073" i="8"/>
  <c r="M2072" i="8"/>
  <c r="K2072" i="8"/>
  <c r="I2072" i="8"/>
  <c r="H2072" i="8"/>
  <c r="H2071" i="8"/>
  <c r="M2066" i="8"/>
  <c r="M2065" i="8"/>
  <c r="M2064" i="8"/>
  <c r="M2063" i="8"/>
  <c r="M2057" i="8"/>
  <c r="I2057" i="8"/>
  <c r="H2057" i="8"/>
  <c r="M2056" i="8"/>
  <c r="I2056" i="8"/>
  <c r="H2056" i="8"/>
  <c r="M2055" i="8"/>
  <c r="I2055" i="8"/>
  <c r="H2055" i="8"/>
  <c r="M2054" i="8"/>
  <c r="I2054" i="8"/>
  <c r="H2054" i="8"/>
  <c r="H2053" i="8"/>
  <c r="I2048" i="8"/>
  <c r="M2048" i="8" s="1"/>
  <c r="H2048" i="8"/>
  <c r="I2047" i="8"/>
  <c r="M2047" i="8" s="1"/>
  <c r="H2047" i="8"/>
  <c r="I2046" i="8"/>
  <c r="M2046" i="8" s="1"/>
  <c r="H2046" i="8"/>
  <c r="I2045" i="8"/>
  <c r="M2045" i="8" s="1"/>
  <c r="H2045" i="8"/>
  <c r="I2044" i="8"/>
  <c r="M2044" i="8" s="1"/>
  <c r="H2044" i="8"/>
  <c r="B2040" i="8"/>
  <c r="B57" i="7" s="1"/>
  <c r="M2034" i="8"/>
  <c r="K2034" i="8"/>
  <c r="I2034" i="8"/>
  <c r="H2034" i="8"/>
  <c r="M2033" i="8"/>
  <c r="K2033" i="8"/>
  <c r="I2033" i="8"/>
  <c r="H2033" i="8"/>
  <c r="M2032" i="8"/>
  <c r="K2032" i="8"/>
  <c r="I2032" i="8"/>
  <c r="H2032" i="8"/>
  <c r="M2031" i="8"/>
  <c r="K2031" i="8"/>
  <c r="I2031" i="8"/>
  <c r="H2031" i="8"/>
  <c r="H2030" i="8"/>
  <c r="M2025" i="8"/>
  <c r="M2024" i="8"/>
  <c r="M2023" i="8"/>
  <c r="M2022" i="8"/>
  <c r="M2021" i="8"/>
  <c r="M2016" i="8"/>
  <c r="I2016" i="8"/>
  <c r="H2016" i="8"/>
  <c r="M2015" i="8"/>
  <c r="I2015" i="8"/>
  <c r="H2015" i="8"/>
  <c r="M2014" i="8"/>
  <c r="I2014" i="8"/>
  <c r="H2014" i="8"/>
  <c r="M2013" i="8"/>
  <c r="I2013" i="8"/>
  <c r="H2013" i="8"/>
  <c r="I2007" i="8"/>
  <c r="H2007" i="8"/>
  <c r="I2006" i="8"/>
  <c r="H2006" i="8"/>
  <c r="I2005" i="8"/>
  <c r="H2005" i="8"/>
  <c r="I2004" i="8"/>
  <c r="H2004" i="8"/>
  <c r="I2003" i="8"/>
  <c r="H2003" i="8"/>
  <c r="I2002" i="8"/>
  <c r="H2002" i="8"/>
  <c r="B1998" i="8"/>
  <c r="B56" i="7" s="1"/>
  <c r="M1992" i="8"/>
  <c r="K1992" i="8"/>
  <c r="I1992" i="8"/>
  <c r="H1992" i="8"/>
  <c r="M1991" i="8"/>
  <c r="K1991" i="8"/>
  <c r="I1991" i="8"/>
  <c r="H1991" i="8"/>
  <c r="M1990" i="8"/>
  <c r="K1990" i="8"/>
  <c r="I1990" i="8"/>
  <c r="H1990" i="8"/>
  <c r="M1989" i="8"/>
  <c r="K1989" i="8"/>
  <c r="I1989" i="8"/>
  <c r="H1989" i="8"/>
  <c r="H1988" i="8"/>
  <c r="M1983" i="8"/>
  <c r="M1982" i="8"/>
  <c r="M1981" i="8"/>
  <c r="M1980" i="8"/>
  <c r="M1979" i="8"/>
  <c r="M1974" i="8"/>
  <c r="I1974" i="8"/>
  <c r="H1974" i="8"/>
  <c r="M1973" i="8"/>
  <c r="I1973" i="8"/>
  <c r="H1973" i="8"/>
  <c r="M1972" i="8"/>
  <c r="I1972" i="8"/>
  <c r="H1972" i="8"/>
  <c r="M1971" i="8"/>
  <c r="I1971" i="8"/>
  <c r="H1971" i="8"/>
  <c r="H1970" i="8"/>
  <c r="M1965" i="8"/>
  <c r="I1965" i="8"/>
  <c r="H1965" i="8"/>
  <c r="M1964" i="8"/>
  <c r="I1964" i="8"/>
  <c r="H1964" i="8"/>
  <c r="M1963" i="8"/>
  <c r="I1963" i="8"/>
  <c r="H1963" i="8"/>
  <c r="M1962" i="8"/>
  <c r="I1962" i="8"/>
  <c r="H1962" i="8"/>
  <c r="M1961" i="8"/>
  <c r="I1961" i="8"/>
  <c r="H1961" i="8"/>
  <c r="I1960" i="8"/>
  <c r="M1960" i="8" s="1"/>
  <c r="H1960" i="8"/>
  <c r="B1956" i="8"/>
  <c r="B55" i="7" s="1"/>
  <c r="M1950" i="8"/>
  <c r="K1950" i="8"/>
  <c r="I1950" i="8"/>
  <c r="H1950" i="8"/>
  <c r="M1949" i="8"/>
  <c r="K1949" i="8"/>
  <c r="I1949" i="8"/>
  <c r="H1949" i="8"/>
  <c r="M1948" i="8"/>
  <c r="K1948" i="8"/>
  <c r="I1948" i="8"/>
  <c r="H1948" i="8"/>
  <c r="M1947" i="8"/>
  <c r="K1947" i="8"/>
  <c r="I1947" i="8"/>
  <c r="H1947" i="8"/>
  <c r="H1946" i="8"/>
  <c r="M1941" i="8"/>
  <c r="M1940" i="8"/>
  <c r="M1939" i="8"/>
  <c r="M1932" i="8"/>
  <c r="I1932" i="8"/>
  <c r="H1932" i="8"/>
  <c r="M1931" i="8"/>
  <c r="I1931" i="8"/>
  <c r="H1931" i="8"/>
  <c r="M1930" i="8"/>
  <c r="I1930" i="8"/>
  <c r="H1930" i="8"/>
  <c r="I1929" i="8"/>
  <c r="M1929" i="8" s="1"/>
  <c r="H1929" i="8"/>
  <c r="H1928" i="8"/>
  <c r="I1923" i="8"/>
  <c r="M1923" i="8" s="1"/>
  <c r="H1923" i="8"/>
  <c r="I1922" i="8"/>
  <c r="M1922" i="8" s="1"/>
  <c r="H1922" i="8"/>
  <c r="I1921" i="8"/>
  <c r="H1921" i="8"/>
  <c r="I1920" i="8"/>
  <c r="M1920" i="8" s="1"/>
  <c r="H1920" i="8"/>
  <c r="I1919" i="8"/>
  <c r="M1919" i="8" s="1"/>
  <c r="H1919" i="8"/>
  <c r="B1915" i="8"/>
  <c r="B54" i="7" s="1"/>
  <c r="M1909" i="8"/>
  <c r="K1909" i="8"/>
  <c r="I1909" i="8"/>
  <c r="H1909" i="8"/>
  <c r="M1908" i="8"/>
  <c r="K1908" i="8"/>
  <c r="I1908" i="8"/>
  <c r="H1908" i="8"/>
  <c r="M1907" i="8"/>
  <c r="K1907" i="8"/>
  <c r="I1907" i="8"/>
  <c r="H1907" i="8"/>
  <c r="M1906" i="8"/>
  <c r="K1906" i="8"/>
  <c r="I1906" i="8"/>
  <c r="H1906" i="8"/>
  <c r="H1905" i="8"/>
  <c r="M1900" i="8"/>
  <c r="M1899" i="8"/>
  <c r="M1898" i="8"/>
  <c r="M1897" i="8"/>
  <c r="M1891" i="8"/>
  <c r="I1891" i="8"/>
  <c r="H1891" i="8"/>
  <c r="M1890" i="8"/>
  <c r="I1890" i="8"/>
  <c r="H1890" i="8"/>
  <c r="M1889" i="8"/>
  <c r="I1889" i="8"/>
  <c r="H1889" i="8"/>
  <c r="M1888" i="8"/>
  <c r="I1888" i="8"/>
  <c r="H1888" i="8"/>
  <c r="H1887" i="8"/>
  <c r="M1882" i="8"/>
  <c r="I1882" i="8"/>
  <c r="H1882" i="8"/>
  <c r="I1881" i="8"/>
  <c r="M1881" i="8" s="1"/>
  <c r="H1881" i="8"/>
  <c r="M1880" i="8"/>
  <c r="I1880" i="8"/>
  <c r="H1880" i="8"/>
  <c r="I1879" i="8"/>
  <c r="M1879" i="8" s="1"/>
  <c r="H1879" i="8"/>
  <c r="I1878" i="8"/>
  <c r="M1878" i="8" s="1"/>
  <c r="H1878" i="8"/>
  <c r="I1877" i="8"/>
  <c r="M1877" i="8" s="1"/>
  <c r="H1877" i="8"/>
  <c r="B1873" i="8"/>
  <c r="B53" i="7" s="1"/>
  <c r="M1867" i="8"/>
  <c r="K1867" i="8"/>
  <c r="I1867" i="8"/>
  <c r="H1867" i="8"/>
  <c r="M1866" i="8"/>
  <c r="K1866" i="8"/>
  <c r="I1866" i="8"/>
  <c r="H1866" i="8"/>
  <c r="M1865" i="8"/>
  <c r="K1865" i="8"/>
  <c r="I1865" i="8"/>
  <c r="H1865" i="8"/>
  <c r="M1864" i="8"/>
  <c r="K1864" i="8"/>
  <c r="I1864" i="8"/>
  <c r="H1864" i="8"/>
  <c r="H1863" i="8"/>
  <c r="M1858" i="8"/>
  <c r="M1857" i="8"/>
  <c r="M1856" i="8"/>
  <c r="M1855" i="8"/>
  <c r="M1849" i="8"/>
  <c r="I1849" i="8"/>
  <c r="H1849" i="8"/>
  <c r="M1848" i="8"/>
  <c r="I1848" i="8"/>
  <c r="H1848" i="8"/>
  <c r="M1847" i="8"/>
  <c r="I1847" i="8"/>
  <c r="H1847" i="8"/>
  <c r="M1846" i="8"/>
  <c r="I1846" i="8"/>
  <c r="H1846" i="8"/>
  <c r="H1845" i="8"/>
  <c r="M1840" i="8"/>
  <c r="I1840" i="8"/>
  <c r="H1840" i="8"/>
  <c r="M1839" i="8"/>
  <c r="I1839" i="8"/>
  <c r="H1839" i="8"/>
  <c r="M1838" i="8"/>
  <c r="I1838" i="8"/>
  <c r="H1838" i="8"/>
  <c r="M1837" i="8"/>
  <c r="I1837" i="8"/>
  <c r="H1837" i="8"/>
  <c r="M1836" i="8"/>
  <c r="I1836" i="8"/>
  <c r="H1836" i="8"/>
  <c r="I1835" i="8"/>
  <c r="M1835" i="8" s="1"/>
  <c r="H1835" i="8"/>
  <c r="B1831" i="8"/>
  <c r="B52" i="7" s="1"/>
  <c r="M1825" i="8"/>
  <c r="K1825" i="8"/>
  <c r="I1825" i="8"/>
  <c r="H1825" i="8"/>
  <c r="M1824" i="8"/>
  <c r="K1824" i="8"/>
  <c r="I1824" i="8"/>
  <c r="H1824" i="8"/>
  <c r="M1823" i="8"/>
  <c r="K1823" i="8"/>
  <c r="I1823" i="8"/>
  <c r="H1823" i="8"/>
  <c r="M1822" i="8"/>
  <c r="K1822" i="8"/>
  <c r="I1822" i="8"/>
  <c r="H1822" i="8"/>
  <c r="H1821" i="8"/>
  <c r="M1816" i="8"/>
  <c r="M1815" i="8"/>
  <c r="M1814" i="8"/>
  <c r="M1807" i="8"/>
  <c r="I1807" i="8"/>
  <c r="H1807" i="8"/>
  <c r="M1806" i="8"/>
  <c r="I1806" i="8"/>
  <c r="H1806" i="8"/>
  <c r="I1805" i="8"/>
  <c r="H1805" i="8"/>
  <c r="I1804" i="8"/>
  <c r="H1804" i="8"/>
  <c r="H1803" i="8"/>
  <c r="M1798" i="8"/>
  <c r="I1798" i="8"/>
  <c r="H1798" i="8"/>
  <c r="I1797" i="8"/>
  <c r="M1797" i="8" s="1"/>
  <c r="H1797" i="8"/>
  <c r="I1796" i="8"/>
  <c r="M1796" i="8" s="1"/>
  <c r="H1796" i="8"/>
  <c r="I1795" i="8"/>
  <c r="M1795" i="8" s="1"/>
  <c r="H1795" i="8"/>
  <c r="I1794" i="8"/>
  <c r="M1794" i="8" s="1"/>
  <c r="H1794" i="8"/>
  <c r="I1793" i="8"/>
  <c r="M1793" i="8" s="1"/>
  <c r="H1793" i="8"/>
  <c r="B1789" i="8"/>
  <c r="B51" i="7" s="1"/>
  <c r="M1783" i="8"/>
  <c r="K1783" i="8"/>
  <c r="I1783" i="8"/>
  <c r="H1783" i="8"/>
  <c r="M1782" i="8"/>
  <c r="K1782" i="8"/>
  <c r="I1782" i="8"/>
  <c r="H1782" i="8"/>
  <c r="M1781" i="8"/>
  <c r="K1781" i="8"/>
  <c r="I1781" i="8"/>
  <c r="H1781" i="8"/>
  <c r="M1780" i="8"/>
  <c r="K1780" i="8"/>
  <c r="I1780" i="8"/>
  <c r="H1780" i="8"/>
  <c r="H1779" i="8"/>
  <c r="M1774" i="8"/>
  <c r="M1773" i="8"/>
  <c r="M1772" i="8"/>
  <c r="K1771" i="8"/>
  <c r="I1771" i="8"/>
  <c r="M1765" i="8"/>
  <c r="I1765" i="8"/>
  <c r="H1765" i="8"/>
  <c r="I1764" i="8"/>
  <c r="M1764" i="8" s="1"/>
  <c r="H1764" i="8"/>
  <c r="I1763" i="8"/>
  <c r="M1763" i="8" s="1"/>
  <c r="H1763" i="8"/>
  <c r="I1762" i="8"/>
  <c r="M1762" i="8" s="1"/>
  <c r="H1762" i="8"/>
  <c r="H1761" i="8"/>
  <c r="I1756" i="8"/>
  <c r="M1756" i="8" s="1"/>
  <c r="H1756" i="8"/>
  <c r="I1755" i="8"/>
  <c r="M1755" i="8" s="1"/>
  <c r="H1755" i="8"/>
  <c r="I1754" i="8"/>
  <c r="M1754" i="8" s="1"/>
  <c r="H1754" i="8"/>
  <c r="I1753" i="8"/>
  <c r="M1753" i="8" s="1"/>
  <c r="H1753" i="8"/>
  <c r="I1752" i="8"/>
  <c r="M1752" i="8" s="1"/>
  <c r="H1752" i="8"/>
  <c r="H1751" i="8"/>
  <c r="B1747" i="8"/>
  <c r="B50" i="7" s="1"/>
  <c r="M1741" i="8"/>
  <c r="K1741" i="8"/>
  <c r="I1741" i="8"/>
  <c r="H1741" i="8"/>
  <c r="M1740" i="8"/>
  <c r="K1740" i="8"/>
  <c r="I1740" i="8"/>
  <c r="H1740" i="8"/>
  <c r="M1739" i="8"/>
  <c r="K1739" i="8"/>
  <c r="I1739" i="8"/>
  <c r="H1739" i="8"/>
  <c r="M1738" i="8"/>
  <c r="K1738" i="8"/>
  <c r="I1738" i="8"/>
  <c r="H1738" i="8"/>
  <c r="H1737" i="8"/>
  <c r="M1732" i="8"/>
  <c r="M1731" i="8"/>
  <c r="M1730" i="8"/>
  <c r="M1723" i="8"/>
  <c r="I1723" i="8"/>
  <c r="H1723" i="8"/>
  <c r="M1722" i="8"/>
  <c r="I1722" i="8"/>
  <c r="H1722" i="8"/>
  <c r="I1721" i="8"/>
  <c r="M1721" i="8" s="1"/>
  <c r="H1721" i="8"/>
  <c r="I1720" i="8"/>
  <c r="M1720" i="8" s="1"/>
  <c r="H1720" i="8"/>
  <c r="H1719" i="8"/>
  <c r="I1714" i="8"/>
  <c r="M1714" i="8" s="1"/>
  <c r="H1714" i="8"/>
  <c r="I1713" i="8"/>
  <c r="M1713" i="8" s="1"/>
  <c r="H1713" i="8"/>
  <c r="I1712" i="8"/>
  <c r="M1712" i="8" s="1"/>
  <c r="H1712" i="8"/>
  <c r="I1711" i="8"/>
  <c r="M1711" i="8" s="1"/>
  <c r="H1711" i="8"/>
  <c r="I1710" i="8"/>
  <c r="M1710" i="8" s="1"/>
  <c r="H1710" i="8"/>
  <c r="I1709" i="8"/>
  <c r="M1709" i="8" s="1"/>
  <c r="H1709" i="8"/>
  <c r="B1705" i="8"/>
  <c r="B49" i="7" s="1"/>
  <c r="M1699" i="8"/>
  <c r="K1699" i="8"/>
  <c r="I1699" i="8"/>
  <c r="H1699" i="8"/>
  <c r="M1698" i="8"/>
  <c r="K1698" i="8"/>
  <c r="I1698" i="8"/>
  <c r="H1698" i="8"/>
  <c r="H1697" i="8"/>
  <c r="M1692" i="8"/>
  <c r="M1691" i="8"/>
  <c r="M1690" i="8"/>
  <c r="M1689" i="8"/>
  <c r="I1683" i="8"/>
  <c r="M1683" i="8" s="1"/>
  <c r="H1683" i="8"/>
  <c r="I1682" i="8"/>
  <c r="M1682" i="8" s="1"/>
  <c r="H1682" i="8"/>
  <c r="I1681" i="8"/>
  <c r="M1681" i="8" s="1"/>
  <c r="H1681" i="8"/>
  <c r="I1680" i="8"/>
  <c r="M1680" i="8" s="1"/>
  <c r="H1680" i="8"/>
  <c r="H1679" i="8"/>
  <c r="I1674" i="8"/>
  <c r="M1674" i="8" s="1"/>
  <c r="H1674" i="8"/>
  <c r="I1673" i="8"/>
  <c r="M1673" i="8" s="1"/>
  <c r="H1673" i="8"/>
  <c r="I1672" i="8"/>
  <c r="M1672" i="8" s="1"/>
  <c r="H1672" i="8"/>
  <c r="I1671" i="8"/>
  <c r="M1671" i="8" s="1"/>
  <c r="H1671" i="8"/>
  <c r="I1670" i="8"/>
  <c r="M1670" i="8" s="1"/>
  <c r="H1670" i="8"/>
  <c r="I1669" i="8"/>
  <c r="M1669" i="8" s="1"/>
  <c r="H1669" i="8"/>
  <c r="B1665" i="8"/>
  <c r="B48" i="7" s="1"/>
  <c r="M1659" i="8"/>
  <c r="K1659" i="8"/>
  <c r="I1659" i="8"/>
  <c r="H1659" i="8"/>
  <c r="M1658" i="8"/>
  <c r="K1658" i="8"/>
  <c r="I1658" i="8"/>
  <c r="H1658" i="8"/>
  <c r="M1657" i="8"/>
  <c r="K1657" i="8"/>
  <c r="I1657" i="8"/>
  <c r="H1657" i="8"/>
  <c r="M1656" i="8"/>
  <c r="K1656" i="8"/>
  <c r="I1656" i="8"/>
  <c r="H1656" i="8"/>
  <c r="K1655" i="8"/>
  <c r="H1655" i="8"/>
  <c r="M1650" i="8"/>
  <c r="M1649" i="8"/>
  <c r="M1648" i="8"/>
  <c r="M1647" i="8"/>
  <c r="M1641" i="8"/>
  <c r="I1641" i="8"/>
  <c r="H1641" i="8"/>
  <c r="M1640" i="8"/>
  <c r="I1640" i="8"/>
  <c r="H1640" i="8"/>
  <c r="M1639" i="8"/>
  <c r="I1639" i="8"/>
  <c r="H1639" i="8"/>
  <c r="M1638" i="8"/>
  <c r="I1638" i="8"/>
  <c r="H1638" i="8"/>
  <c r="H1637" i="8"/>
  <c r="M1632" i="8"/>
  <c r="I1632" i="8"/>
  <c r="H1632" i="8"/>
  <c r="M1631" i="8"/>
  <c r="I1631" i="8"/>
  <c r="M1630" i="8"/>
  <c r="I1630" i="8"/>
  <c r="H1630" i="8"/>
  <c r="M1629" i="8"/>
  <c r="I1629" i="8"/>
  <c r="H1629" i="8"/>
  <c r="M1628" i="8"/>
  <c r="I1628" i="8"/>
  <c r="H1628" i="8"/>
  <c r="M1627" i="8"/>
  <c r="I1627" i="8"/>
  <c r="H1627" i="8"/>
  <c r="M1626" i="8"/>
  <c r="I1626" i="8"/>
  <c r="H1626" i="8"/>
  <c r="I1625" i="8"/>
  <c r="M1625" i="8" s="1"/>
  <c r="H1625" i="8"/>
  <c r="B1621" i="8"/>
  <c r="B47" i="7" s="1"/>
  <c r="M1615" i="8"/>
  <c r="K1615" i="8"/>
  <c r="I1615" i="8"/>
  <c r="H1615" i="8"/>
  <c r="M1614" i="8"/>
  <c r="K1614" i="8"/>
  <c r="I1614" i="8"/>
  <c r="H1614" i="8"/>
  <c r="M1613" i="8"/>
  <c r="K1613" i="8"/>
  <c r="I1613" i="8"/>
  <c r="H1613" i="8"/>
  <c r="M1612" i="8"/>
  <c r="K1612" i="8"/>
  <c r="I1612" i="8"/>
  <c r="H1612" i="8"/>
  <c r="H1611" i="8"/>
  <c r="M1606" i="8"/>
  <c r="M1605" i="8"/>
  <c r="M1604" i="8"/>
  <c r="M1603" i="8"/>
  <c r="M1602" i="8"/>
  <c r="M1597" i="8"/>
  <c r="I1597" i="8"/>
  <c r="H1597" i="8"/>
  <c r="M1596" i="8"/>
  <c r="I1596" i="8"/>
  <c r="H1596" i="8"/>
  <c r="M1595" i="8"/>
  <c r="H1595" i="8"/>
  <c r="M1594" i="8"/>
  <c r="I1594" i="8"/>
  <c r="H1594" i="8"/>
  <c r="H1593" i="8"/>
  <c r="I1588" i="8"/>
  <c r="M1588" i="8" s="1"/>
  <c r="H1588" i="8"/>
  <c r="M1587" i="8"/>
  <c r="I1587" i="8"/>
  <c r="I1586" i="8"/>
  <c r="M1586" i="8" s="1"/>
  <c r="H1586" i="8"/>
  <c r="I1585" i="8"/>
  <c r="M1585" i="8" s="1"/>
  <c r="H1585" i="8"/>
  <c r="I1584" i="8"/>
  <c r="M1584" i="8" s="1"/>
  <c r="H1584" i="8"/>
  <c r="I1583" i="8"/>
  <c r="M1583" i="8" s="1"/>
  <c r="H1583" i="8"/>
  <c r="I1582" i="8"/>
  <c r="M1582" i="8" s="1"/>
  <c r="H1582" i="8"/>
  <c r="I1581" i="8"/>
  <c r="M1581" i="8" s="1"/>
  <c r="H1581" i="8"/>
  <c r="B1577" i="8"/>
  <c r="B46" i="7" s="1"/>
  <c r="M1571" i="8"/>
  <c r="K1571" i="8"/>
  <c r="I1571" i="8"/>
  <c r="H1571" i="8"/>
  <c r="M1570" i="8"/>
  <c r="K1570" i="8"/>
  <c r="I1570" i="8"/>
  <c r="H1570" i="8"/>
  <c r="M1569" i="8"/>
  <c r="K1569" i="8"/>
  <c r="I1569" i="8"/>
  <c r="H1569" i="8"/>
  <c r="M1568" i="8"/>
  <c r="K1568" i="8"/>
  <c r="I1568" i="8"/>
  <c r="H1568" i="8"/>
  <c r="H1567" i="8"/>
  <c r="M1562" i="8"/>
  <c r="M1561" i="8"/>
  <c r="M1560" i="8"/>
  <c r="M1559" i="8"/>
  <c r="M1558" i="8"/>
  <c r="I1553" i="8"/>
  <c r="M1553" i="8" s="1"/>
  <c r="H1553" i="8"/>
  <c r="I1552" i="8"/>
  <c r="M1552" i="8" s="1"/>
  <c r="H1552" i="8"/>
  <c r="I1551" i="8"/>
  <c r="M1551" i="8" s="1"/>
  <c r="H1551" i="8"/>
  <c r="I1550" i="8"/>
  <c r="M1550" i="8" s="1"/>
  <c r="H1550" i="8"/>
  <c r="H1549" i="8"/>
  <c r="M1544" i="8"/>
  <c r="I1544" i="8"/>
  <c r="H1544" i="8"/>
  <c r="I1543" i="8"/>
  <c r="M1543" i="8" s="1"/>
  <c r="H1543" i="8"/>
  <c r="I1542" i="8"/>
  <c r="M1542" i="8" s="1"/>
  <c r="H1542" i="8"/>
  <c r="I1541" i="8"/>
  <c r="M1541" i="8" s="1"/>
  <c r="H1541" i="8"/>
  <c r="H1540" i="8"/>
  <c r="I1539" i="8"/>
  <c r="M1539" i="8" s="1"/>
  <c r="H1539" i="8"/>
  <c r="B1535" i="8"/>
  <c r="B45" i="7" s="1"/>
  <c r="M1529" i="8"/>
  <c r="K1529" i="8"/>
  <c r="I1529" i="8"/>
  <c r="H1529" i="8"/>
  <c r="M1528" i="8"/>
  <c r="K1528" i="8"/>
  <c r="I1528" i="8"/>
  <c r="H1528" i="8"/>
  <c r="M1527" i="8"/>
  <c r="K1527" i="8"/>
  <c r="I1527" i="8"/>
  <c r="H1527" i="8"/>
  <c r="M1526" i="8"/>
  <c r="K1526" i="8"/>
  <c r="I1526" i="8"/>
  <c r="H1526" i="8"/>
  <c r="H1525" i="8"/>
  <c r="M1520" i="8"/>
  <c r="M1519" i="8"/>
  <c r="M1518" i="8"/>
  <c r="M1517" i="8"/>
  <c r="M1516" i="8"/>
  <c r="M1511" i="8"/>
  <c r="I1511" i="8"/>
  <c r="H1511" i="8"/>
  <c r="M1510" i="8"/>
  <c r="I1510" i="8"/>
  <c r="H1510" i="8"/>
  <c r="M1509" i="8"/>
  <c r="I1509" i="8"/>
  <c r="H1509" i="8"/>
  <c r="M1508" i="8"/>
  <c r="I1508" i="8"/>
  <c r="H1508" i="8"/>
  <c r="H1507" i="8"/>
  <c r="M1502" i="8"/>
  <c r="I1502" i="8"/>
  <c r="H1502" i="8"/>
  <c r="M1501" i="8"/>
  <c r="I1501" i="8"/>
  <c r="H1501" i="8"/>
  <c r="M1500" i="8"/>
  <c r="I1500" i="8"/>
  <c r="H1500" i="8"/>
  <c r="M1499" i="8"/>
  <c r="I1499" i="8"/>
  <c r="H1499" i="8"/>
  <c r="M1498" i="8"/>
  <c r="I1498" i="8"/>
  <c r="H1498" i="8"/>
  <c r="I1497" i="8"/>
  <c r="M1497" i="8" s="1"/>
  <c r="H1497" i="8"/>
  <c r="B1493" i="8"/>
  <c r="B44" i="7" s="1"/>
  <c r="M1487" i="8"/>
  <c r="K1487" i="8"/>
  <c r="I1487" i="8"/>
  <c r="H1487" i="8"/>
  <c r="M1486" i="8"/>
  <c r="K1486" i="8"/>
  <c r="I1486" i="8"/>
  <c r="H1486" i="8"/>
  <c r="M1485" i="8"/>
  <c r="K1485" i="8"/>
  <c r="I1485" i="8"/>
  <c r="H1485" i="8"/>
  <c r="M1484" i="8"/>
  <c r="K1484" i="8"/>
  <c r="I1484" i="8"/>
  <c r="H1484" i="8"/>
  <c r="H1483" i="8"/>
  <c r="M1478" i="8"/>
  <c r="M1477" i="8"/>
  <c r="M1476" i="8"/>
  <c r="M1475" i="8"/>
  <c r="M1474" i="8"/>
  <c r="M1469" i="8"/>
  <c r="I1469" i="8"/>
  <c r="H1469" i="8"/>
  <c r="M1468" i="8"/>
  <c r="I1468" i="8"/>
  <c r="H1468" i="8"/>
  <c r="M1467" i="8"/>
  <c r="I1467" i="8"/>
  <c r="H1467" i="8"/>
  <c r="M1466" i="8"/>
  <c r="I1466" i="8"/>
  <c r="H1466" i="8"/>
  <c r="H1465" i="8"/>
  <c r="M1460" i="8"/>
  <c r="I1460" i="8"/>
  <c r="H1460" i="8"/>
  <c r="M1459" i="8"/>
  <c r="I1459" i="8"/>
  <c r="H1459" i="8"/>
  <c r="M1458" i="8"/>
  <c r="I1458" i="8"/>
  <c r="H1458" i="8"/>
  <c r="M1457" i="8"/>
  <c r="I1457" i="8"/>
  <c r="H1457" i="8"/>
  <c r="M1456" i="8"/>
  <c r="I1456" i="8"/>
  <c r="H1456" i="8"/>
  <c r="I1455" i="8"/>
  <c r="M1455" i="8" s="1"/>
  <c r="H1455" i="8"/>
  <c r="B1451" i="8"/>
  <c r="B43" i="7" s="1"/>
  <c r="M1445" i="8"/>
  <c r="K1445" i="8"/>
  <c r="I1445" i="8"/>
  <c r="H1445" i="8"/>
  <c r="M1444" i="8"/>
  <c r="K1444" i="8"/>
  <c r="I1444" i="8"/>
  <c r="H1444" i="8"/>
  <c r="M1443" i="8"/>
  <c r="K1443" i="8"/>
  <c r="I1443" i="8"/>
  <c r="H1443" i="8"/>
  <c r="M1442" i="8"/>
  <c r="K1442" i="8"/>
  <c r="I1442" i="8"/>
  <c r="H1442" i="8"/>
  <c r="H1441" i="8"/>
  <c r="M1436" i="8"/>
  <c r="M1435" i="8"/>
  <c r="M1434" i="8"/>
  <c r="M1433" i="8"/>
  <c r="M1432" i="8"/>
  <c r="M1427" i="8"/>
  <c r="I1427" i="8"/>
  <c r="H1427" i="8"/>
  <c r="M1426" i="8"/>
  <c r="I1426" i="8"/>
  <c r="H1426" i="8"/>
  <c r="M1425" i="8"/>
  <c r="I1425" i="8"/>
  <c r="H1425" i="8"/>
  <c r="M1424" i="8"/>
  <c r="I1424" i="8"/>
  <c r="H1424" i="8"/>
  <c r="H1423" i="8"/>
  <c r="M1418" i="8"/>
  <c r="I1418" i="8"/>
  <c r="H1418" i="8"/>
  <c r="M1417" i="8"/>
  <c r="I1417" i="8"/>
  <c r="H1417" i="8"/>
  <c r="M1416" i="8"/>
  <c r="I1416" i="8"/>
  <c r="H1416" i="8"/>
  <c r="M1415" i="8"/>
  <c r="I1415" i="8"/>
  <c r="H1415" i="8"/>
  <c r="M1414" i="8"/>
  <c r="I1414" i="8"/>
  <c r="H1414" i="8"/>
  <c r="M1413" i="8"/>
  <c r="I1413" i="8"/>
  <c r="H1413" i="8"/>
  <c r="M1412" i="8"/>
  <c r="I1412" i="8"/>
  <c r="H1412" i="8"/>
  <c r="I1411" i="8"/>
  <c r="M1411" i="8" s="1"/>
  <c r="H1411" i="8"/>
  <c r="B1407" i="8"/>
  <c r="B42" i="7" s="1"/>
  <c r="M1401" i="8"/>
  <c r="K1401" i="8"/>
  <c r="I1401" i="8"/>
  <c r="H1401" i="8"/>
  <c r="M1400" i="8"/>
  <c r="K1400" i="8"/>
  <c r="I1400" i="8"/>
  <c r="H1400" i="8"/>
  <c r="M1399" i="8"/>
  <c r="K1399" i="8"/>
  <c r="I1399" i="8"/>
  <c r="H1399" i="8"/>
  <c r="M1398" i="8"/>
  <c r="K1398" i="8"/>
  <c r="I1398" i="8"/>
  <c r="H1398" i="8"/>
  <c r="H1397" i="8"/>
  <c r="M1392" i="8"/>
  <c r="M1391" i="8"/>
  <c r="M1390" i="8"/>
  <c r="M1389" i="8"/>
  <c r="M1388" i="8"/>
  <c r="M1383" i="8"/>
  <c r="I1383" i="8"/>
  <c r="H1383" i="8"/>
  <c r="M1382" i="8"/>
  <c r="I1382" i="8"/>
  <c r="H1382" i="8"/>
  <c r="M1381" i="8"/>
  <c r="I1381" i="8"/>
  <c r="H1381" i="8"/>
  <c r="M1380" i="8"/>
  <c r="I1380" i="8"/>
  <c r="H1380" i="8"/>
  <c r="H1379" i="8"/>
  <c r="M1374" i="8"/>
  <c r="I1374" i="8"/>
  <c r="H1374" i="8"/>
  <c r="M1373" i="8"/>
  <c r="I1373" i="8"/>
  <c r="H1373" i="8"/>
  <c r="M1372" i="8"/>
  <c r="I1372" i="8"/>
  <c r="H1372" i="8"/>
  <c r="M1371" i="8"/>
  <c r="I1371" i="8"/>
  <c r="H1371" i="8"/>
  <c r="M1370" i="8"/>
  <c r="I1370" i="8"/>
  <c r="H1370" i="8"/>
  <c r="M1369" i="8"/>
  <c r="I1369" i="8"/>
  <c r="H1369" i="8"/>
  <c r="M1368" i="8"/>
  <c r="I1368" i="8"/>
  <c r="H1368" i="8"/>
  <c r="I1367" i="8"/>
  <c r="M1367" i="8" s="1"/>
  <c r="H1367" i="8"/>
  <c r="B1363" i="8"/>
  <c r="B41" i="7" s="1"/>
  <c r="M1357" i="8"/>
  <c r="K1357" i="8"/>
  <c r="I1357" i="8"/>
  <c r="H1357" i="8"/>
  <c r="M1356" i="8"/>
  <c r="K1356" i="8"/>
  <c r="I1356" i="8"/>
  <c r="H1356" i="8"/>
  <c r="M1355" i="8"/>
  <c r="K1355" i="8"/>
  <c r="I1355" i="8"/>
  <c r="H1355" i="8"/>
  <c r="M1354" i="8"/>
  <c r="K1354" i="8"/>
  <c r="I1354" i="8"/>
  <c r="H1354" i="8"/>
  <c r="H1353" i="8"/>
  <c r="M1348" i="8"/>
  <c r="M1347" i="8"/>
  <c r="M1346" i="8"/>
  <c r="M1345" i="8"/>
  <c r="M1344" i="8"/>
  <c r="M1339" i="8"/>
  <c r="I1339" i="8"/>
  <c r="H1339" i="8"/>
  <c r="M1338" i="8"/>
  <c r="I1338" i="8"/>
  <c r="H1338" i="8"/>
  <c r="M1337" i="8"/>
  <c r="I1337" i="8"/>
  <c r="H1337" i="8"/>
  <c r="M1336" i="8"/>
  <c r="I1336" i="8"/>
  <c r="H1336" i="8"/>
  <c r="H1335" i="8"/>
  <c r="M1330" i="8"/>
  <c r="I1330" i="8"/>
  <c r="H1330" i="8"/>
  <c r="M1329" i="8"/>
  <c r="I1329" i="8"/>
  <c r="I1328" i="8"/>
  <c r="M1328" i="8" s="1"/>
  <c r="H1328" i="8"/>
  <c r="I1327" i="8"/>
  <c r="M1327" i="8" s="1"/>
  <c r="H1327" i="8"/>
  <c r="I1326" i="8"/>
  <c r="M1326" i="8" s="1"/>
  <c r="H1326" i="8"/>
  <c r="I1325" i="8"/>
  <c r="M1325" i="8" s="1"/>
  <c r="H1325" i="8"/>
  <c r="I1324" i="8"/>
  <c r="M1324" i="8" s="1"/>
  <c r="H1324" i="8"/>
  <c r="I1323" i="8"/>
  <c r="M1323" i="8" s="1"/>
  <c r="H1323" i="8"/>
  <c r="B1319" i="8"/>
  <c r="B40" i="7" s="1"/>
  <c r="M1313" i="8"/>
  <c r="K1313" i="8"/>
  <c r="I1313" i="8"/>
  <c r="H1313" i="8"/>
  <c r="M1312" i="8"/>
  <c r="K1312" i="8"/>
  <c r="I1312" i="8"/>
  <c r="H1312" i="8"/>
  <c r="M1311" i="8"/>
  <c r="K1311" i="8"/>
  <c r="I1311" i="8"/>
  <c r="H1311" i="8"/>
  <c r="M1310" i="8"/>
  <c r="K1310" i="8"/>
  <c r="I1310" i="8"/>
  <c r="H1310" i="8"/>
  <c r="H1309" i="8"/>
  <c r="M1304" i="8"/>
  <c r="M1303" i="8"/>
  <c r="M1302" i="8"/>
  <c r="M1296" i="8"/>
  <c r="I1296" i="8"/>
  <c r="H1296" i="8"/>
  <c r="M1295" i="8"/>
  <c r="I1295" i="8"/>
  <c r="H1295" i="8"/>
  <c r="M1294" i="8"/>
  <c r="I1294" i="8"/>
  <c r="H1294" i="8"/>
  <c r="I1293" i="8"/>
  <c r="M1293" i="8" s="1"/>
  <c r="H1293" i="8"/>
  <c r="H1292" i="8"/>
  <c r="M1287" i="8"/>
  <c r="I1287" i="8"/>
  <c r="H1287" i="8"/>
  <c r="M1286" i="8"/>
  <c r="I1286" i="8"/>
  <c r="H1286" i="8"/>
  <c r="M1285" i="8"/>
  <c r="I1285" i="8"/>
  <c r="H1285" i="8"/>
  <c r="M1284" i="8"/>
  <c r="I1284" i="8"/>
  <c r="H1284" i="8"/>
  <c r="I1283" i="8"/>
  <c r="M1283" i="8" s="1"/>
  <c r="H1283" i="8"/>
  <c r="B1279" i="8"/>
  <c r="B39" i="7" s="1"/>
  <c r="M1273" i="8"/>
  <c r="K1273" i="8"/>
  <c r="I1273" i="8"/>
  <c r="H1273" i="8"/>
  <c r="M1272" i="8"/>
  <c r="K1272" i="8"/>
  <c r="I1272" i="8"/>
  <c r="H1272" i="8"/>
  <c r="M1271" i="8"/>
  <c r="K1271" i="8"/>
  <c r="I1271" i="8"/>
  <c r="H1271" i="8"/>
  <c r="M1270" i="8"/>
  <c r="K1270" i="8"/>
  <c r="I1270" i="8"/>
  <c r="H1270" i="8"/>
  <c r="H1269" i="8"/>
  <c r="M1264" i="8"/>
  <c r="M1263" i="8"/>
  <c r="M1262" i="8"/>
  <c r="M1261" i="8"/>
  <c r="M1260" i="8"/>
  <c r="M1255" i="8"/>
  <c r="I1255" i="8"/>
  <c r="H1255" i="8"/>
  <c r="M1254" i="8"/>
  <c r="I1254" i="8"/>
  <c r="H1254" i="8"/>
  <c r="M1253" i="8"/>
  <c r="I1253" i="8"/>
  <c r="H1253" i="8"/>
  <c r="M1252" i="8"/>
  <c r="I1252" i="8"/>
  <c r="H1252" i="8"/>
  <c r="H1251" i="8"/>
  <c r="M1246" i="8"/>
  <c r="I1246" i="8"/>
  <c r="H1246" i="8"/>
  <c r="M1245" i="8"/>
  <c r="I1245" i="8"/>
  <c r="H1245" i="8"/>
  <c r="M1244" i="8"/>
  <c r="I1244" i="8"/>
  <c r="H1244" i="8"/>
  <c r="M1243" i="8"/>
  <c r="I1243" i="8"/>
  <c r="H1243" i="8"/>
  <c r="M1242" i="8"/>
  <c r="I1242" i="8"/>
  <c r="H1242" i="8"/>
  <c r="M1241" i="8"/>
  <c r="I1241" i="8"/>
  <c r="H1241" i="8"/>
  <c r="M1240" i="8"/>
  <c r="I1240" i="8"/>
  <c r="H1240" i="8"/>
  <c r="I1239" i="8"/>
  <c r="M1239" i="8" s="1"/>
  <c r="H1239" i="8"/>
  <c r="B1235" i="8"/>
  <c r="B38" i="7" s="1"/>
  <c r="M1229" i="8"/>
  <c r="K1229" i="8"/>
  <c r="I1229" i="8"/>
  <c r="H1229" i="8"/>
  <c r="M1228" i="8"/>
  <c r="K1228" i="8"/>
  <c r="I1228" i="8"/>
  <c r="H1228" i="8"/>
  <c r="M1227" i="8"/>
  <c r="K1227" i="8"/>
  <c r="I1227" i="8"/>
  <c r="H1227" i="8"/>
  <c r="M1226" i="8"/>
  <c r="K1226" i="8"/>
  <c r="I1226" i="8"/>
  <c r="H1226" i="8"/>
  <c r="H1225" i="8"/>
  <c r="M1220" i="8"/>
  <c r="M1219" i="8"/>
  <c r="M1218" i="8"/>
  <c r="M1217" i="8"/>
  <c r="M1216" i="8"/>
  <c r="M1211" i="8"/>
  <c r="I1211" i="8"/>
  <c r="H1211" i="8"/>
  <c r="M1210" i="8"/>
  <c r="I1210" i="8"/>
  <c r="H1210" i="8"/>
  <c r="M1209" i="8"/>
  <c r="I1209" i="8"/>
  <c r="H1209" i="8"/>
  <c r="M1208" i="8"/>
  <c r="I1208" i="8"/>
  <c r="H1208" i="8"/>
  <c r="H1207" i="8"/>
  <c r="M1202" i="8"/>
  <c r="I1202" i="8"/>
  <c r="H1202" i="8"/>
  <c r="M1201" i="8"/>
  <c r="I1201" i="8"/>
  <c r="H1201" i="8"/>
  <c r="M1200" i="8"/>
  <c r="I1200" i="8"/>
  <c r="H1200" i="8"/>
  <c r="M1199" i="8"/>
  <c r="I1199" i="8"/>
  <c r="H1199" i="8"/>
  <c r="M1198" i="8"/>
  <c r="I1198" i="8"/>
  <c r="H1198" i="8"/>
  <c r="M1197" i="8"/>
  <c r="I1197" i="8"/>
  <c r="H1197" i="8"/>
  <c r="I1196" i="8"/>
  <c r="M1196" i="8" s="1"/>
  <c r="H1196" i="8"/>
  <c r="I1195" i="8"/>
  <c r="M1195" i="8" s="1"/>
  <c r="H1195" i="8"/>
  <c r="B1191" i="8"/>
  <c r="B37" i="7" s="1"/>
  <c r="M1185" i="8"/>
  <c r="K1185" i="8"/>
  <c r="I1185" i="8"/>
  <c r="H1185" i="8"/>
  <c r="M1184" i="8"/>
  <c r="K1184" i="8"/>
  <c r="I1184" i="8"/>
  <c r="H1184" i="8"/>
  <c r="M1183" i="8"/>
  <c r="K1183" i="8"/>
  <c r="I1183" i="8"/>
  <c r="H1183" i="8"/>
  <c r="M1182" i="8"/>
  <c r="K1182" i="8"/>
  <c r="I1182" i="8"/>
  <c r="H1182" i="8"/>
  <c r="H1181" i="8"/>
  <c r="M1176" i="8"/>
  <c r="M1175" i="8"/>
  <c r="M1174" i="8"/>
  <c r="M1173" i="8"/>
  <c r="M1172" i="8"/>
  <c r="M1167" i="8"/>
  <c r="I1167" i="8"/>
  <c r="H1167" i="8"/>
  <c r="M1166" i="8"/>
  <c r="I1166" i="8"/>
  <c r="H1166" i="8"/>
  <c r="M1165" i="8"/>
  <c r="I1165" i="8"/>
  <c r="H1165" i="8"/>
  <c r="M1164" i="8"/>
  <c r="I1164" i="8"/>
  <c r="H1164" i="8"/>
  <c r="H1163" i="8"/>
  <c r="M1158" i="8"/>
  <c r="I1158" i="8"/>
  <c r="H1158" i="8"/>
  <c r="M1157" i="8"/>
  <c r="I1157" i="8"/>
  <c r="H1157" i="8"/>
  <c r="M1156" i="8"/>
  <c r="I1156" i="8"/>
  <c r="H1156" i="8"/>
  <c r="M1155" i="8"/>
  <c r="I1155" i="8"/>
  <c r="H1155" i="8"/>
  <c r="M1154" i="8"/>
  <c r="I1154" i="8"/>
  <c r="H1154" i="8"/>
  <c r="M1153" i="8"/>
  <c r="I1153" i="8"/>
  <c r="H1153" i="8"/>
  <c r="M1152" i="8"/>
  <c r="I1152" i="8"/>
  <c r="H1152" i="8"/>
  <c r="I1151" i="8"/>
  <c r="M1151" i="8" s="1"/>
  <c r="H1151" i="8"/>
  <c r="B1147" i="8"/>
  <c r="B36" i="7" s="1"/>
  <c r="M1141" i="8"/>
  <c r="K1141" i="8"/>
  <c r="I1141" i="8"/>
  <c r="H1141" i="8"/>
  <c r="M1140" i="8"/>
  <c r="K1140" i="8"/>
  <c r="I1140" i="8"/>
  <c r="H1140" i="8"/>
  <c r="M1139" i="8"/>
  <c r="K1139" i="8"/>
  <c r="I1139" i="8"/>
  <c r="H1139" i="8"/>
  <c r="M1138" i="8"/>
  <c r="K1138" i="8"/>
  <c r="I1138" i="8"/>
  <c r="H1138" i="8"/>
  <c r="H1137" i="8"/>
  <c r="M1132" i="8"/>
  <c r="M1131" i="8"/>
  <c r="M1130" i="8"/>
  <c r="M1129" i="8"/>
  <c r="M1123" i="8"/>
  <c r="I1123" i="8"/>
  <c r="H1123" i="8"/>
  <c r="M1122" i="8"/>
  <c r="I1122" i="8"/>
  <c r="H1122" i="8"/>
  <c r="M1121" i="8"/>
  <c r="I1121" i="8"/>
  <c r="H1121" i="8"/>
  <c r="M1120" i="8"/>
  <c r="I1120" i="8"/>
  <c r="H1120" i="8"/>
  <c r="H1119" i="8"/>
  <c r="M1114" i="8"/>
  <c r="I1114" i="8"/>
  <c r="H1114" i="8"/>
  <c r="M1113" i="8"/>
  <c r="I1113" i="8"/>
  <c r="H1113" i="8"/>
  <c r="M1112" i="8"/>
  <c r="I1112" i="8"/>
  <c r="H1112" i="8"/>
  <c r="M1111" i="8"/>
  <c r="I1111" i="8"/>
  <c r="H1111" i="8"/>
  <c r="M1110" i="8"/>
  <c r="I1110" i="8"/>
  <c r="H1110" i="8"/>
  <c r="I1109" i="8"/>
  <c r="M1109" i="8" s="1"/>
  <c r="H1109" i="8"/>
  <c r="B1105" i="8"/>
  <c r="M1099" i="8"/>
  <c r="K1099" i="8"/>
  <c r="I1099" i="8"/>
  <c r="H1099" i="8"/>
  <c r="M1098" i="8"/>
  <c r="K1098" i="8"/>
  <c r="I1098" i="8"/>
  <c r="H1098" i="8"/>
  <c r="M1097" i="8"/>
  <c r="K1097" i="8"/>
  <c r="I1097" i="8"/>
  <c r="H1097" i="8"/>
  <c r="M1096" i="8"/>
  <c r="K1096" i="8"/>
  <c r="I1096" i="8"/>
  <c r="H1096" i="8"/>
  <c r="H1095" i="8"/>
  <c r="M1090" i="8"/>
  <c r="M1089" i="8"/>
  <c r="M1088" i="8"/>
  <c r="M1087" i="8"/>
  <c r="M1081" i="8"/>
  <c r="I1081" i="8"/>
  <c r="H1081" i="8"/>
  <c r="M1080" i="8"/>
  <c r="I1080" i="8"/>
  <c r="H1080" i="8"/>
  <c r="M1079" i="8"/>
  <c r="I1079" i="8"/>
  <c r="H1079" i="8"/>
  <c r="M1078" i="8"/>
  <c r="I1078" i="8"/>
  <c r="H1078" i="8"/>
  <c r="H1077" i="8"/>
  <c r="M1072" i="8"/>
  <c r="I1072" i="8"/>
  <c r="H1072" i="8"/>
  <c r="M1071" i="8"/>
  <c r="I1071" i="8"/>
  <c r="H1071" i="8"/>
  <c r="M1070" i="8"/>
  <c r="I1070" i="8"/>
  <c r="H1070" i="8"/>
  <c r="M1069" i="8"/>
  <c r="I1069" i="8"/>
  <c r="H1069" i="8"/>
  <c r="M1068" i="8"/>
  <c r="I1068" i="8"/>
  <c r="H1068" i="8"/>
  <c r="I1067" i="8"/>
  <c r="M1067" i="8" s="1"/>
  <c r="H1067" i="8"/>
  <c r="B1063" i="8"/>
  <c r="B34" i="7" s="1"/>
  <c r="M1057" i="8"/>
  <c r="K1057" i="8"/>
  <c r="I1057" i="8"/>
  <c r="H1057" i="8"/>
  <c r="M1056" i="8"/>
  <c r="K1056" i="8"/>
  <c r="I1056" i="8"/>
  <c r="H1056" i="8"/>
  <c r="M1055" i="8"/>
  <c r="K1055" i="8"/>
  <c r="I1055" i="8"/>
  <c r="H1055" i="8"/>
  <c r="M1054" i="8"/>
  <c r="K1054" i="8"/>
  <c r="I1054" i="8"/>
  <c r="H1054" i="8"/>
  <c r="H1053" i="8"/>
  <c r="M1048" i="8"/>
  <c r="M1047" i="8"/>
  <c r="M1046" i="8"/>
  <c r="M1045" i="8"/>
  <c r="M1044" i="8"/>
  <c r="M1039" i="8"/>
  <c r="I1039" i="8"/>
  <c r="H1039" i="8"/>
  <c r="M1038" i="8"/>
  <c r="I1038" i="8"/>
  <c r="H1038" i="8"/>
  <c r="M1037" i="8"/>
  <c r="I1037" i="8"/>
  <c r="H1037" i="8"/>
  <c r="M1036" i="8"/>
  <c r="I1036" i="8"/>
  <c r="H1036" i="8"/>
  <c r="H1035" i="8"/>
  <c r="M1030" i="8"/>
  <c r="I1030" i="8"/>
  <c r="H1030" i="8"/>
  <c r="M1029" i="8"/>
  <c r="I1029" i="8"/>
  <c r="H1029" i="8"/>
  <c r="M1028" i="8"/>
  <c r="I1028" i="8"/>
  <c r="H1028" i="8"/>
  <c r="M1027" i="8"/>
  <c r="I1027" i="8"/>
  <c r="H1027" i="8"/>
  <c r="M1026" i="8"/>
  <c r="I1026" i="8"/>
  <c r="H1026" i="8"/>
  <c r="I1025" i="8"/>
  <c r="M1025" i="8" s="1"/>
  <c r="H1025" i="8"/>
  <c r="B1021" i="8"/>
  <c r="B33" i="7" s="1"/>
  <c r="M1015" i="8"/>
  <c r="K1015" i="8"/>
  <c r="I1015" i="8"/>
  <c r="H1015" i="8"/>
  <c r="M1014" i="8"/>
  <c r="K1014" i="8"/>
  <c r="I1014" i="8"/>
  <c r="H1014" i="8"/>
  <c r="M1013" i="8"/>
  <c r="K1013" i="8"/>
  <c r="I1013" i="8"/>
  <c r="H1013" i="8"/>
  <c r="M1012" i="8"/>
  <c r="K1012" i="8"/>
  <c r="I1012" i="8"/>
  <c r="H1012" i="8"/>
  <c r="H1011" i="8"/>
  <c r="M1006" i="8"/>
  <c r="M1005" i="8"/>
  <c r="M1004" i="8"/>
  <c r="M1003" i="8"/>
  <c r="M1002" i="8"/>
  <c r="M997" i="8"/>
  <c r="I997" i="8"/>
  <c r="H997" i="8"/>
  <c r="M996" i="8"/>
  <c r="I996" i="8"/>
  <c r="H996" i="8"/>
  <c r="M995" i="8"/>
  <c r="I995" i="8"/>
  <c r="H995" i="8"/>
  <c r="M994" i="8"/>
  <c r="I994" i="8"/>
  <c r="H994" i="8"/>
  <c r="H993" i="8"/>
  <c r="M988" i="8"/>
  <c r="I988" i="8"/>
  <c r="H988" i="8"/>
  <c r="M987" i="8"/>
  <c r="I987" i="8"/>
  <c r="H987" i="8"/>
  <c r="M986" i="8"/>
  <c r="I986" i="8"/>
  <c r="H986" i="8"/>
  <c r="M985" i="8"/>
  <c r="I985" i="8"/>
  <c r="H985" i="8"/>
  <c r="M984" i="8"/>
  <c r="I984" i="8"/>
  <c r="H984" i="8"/>
  <c r="I983" i="8"/>
  <c r="M983" i="8" s="1"/>
  <c r="H983" i="8"/>
  <c r="B979" i="8"/>
  <c r="B32" i="7" s="1"/>
  <c r="M973" i="8"/>
  <c r="K973" i="8"/>
  <c r="I973" i="8"/>
  <c r="H973" i="8"/>
  <c r="M972" i="8"/>
  <c r="K972" i="8"/>
  <c r="I972" i="8"/>
  <c r="H972" i="8"/>
  <c r="M971" i="8"/>
  <c r="K971" i="8"/>
  <c r="I971" i="8"/>
  <c r="H971" i="8"/>
  <c r="M970" i="8"/>
  <c r="K970" i="8"/>
  <c r="I970" i="8"/>
  <c r="H970" i="8"/>
  <c r="H969" i="8"/>
  <c r="M964" i="8"/>
  <c r="M963" i="8"/>
  <c r="M962" i="8"/>
  <c r="M961" i="8"/>
  <c r="M960" i="8"/>
  <c r="M955" i="8"/>
  <c r="I955" i="8"/>
  <c r="H955" i="8"/>
  <c r="M954" i="8"/>
  <c r="I954" i="8"/>
  <c r="H954" i="8"/>
  <c r="M953" i="8"/>
  <c r="I953" i="8"/>
  <c r="H953" i="8"/>
  <c r="M952" i="8"/>
  <c r="I952" i="8"/>
  <c r="H952" i="8"/>
  <c r="H951" i="8"/>
  <c r="M946" i="8"/>
  <c r="I946" i="8"/>
  <c r="H946" i="8"/>
  <c r="M945" i="8"/>
  <c r="I945" i="8"/>
  <c r="H945" i="8"/>
  <c r="M944" i="8"/>
  <c r="I944" i="8"/>
  <c r="H944" i="8"/>
  <c r="M943" i="8"/>
  <c r="I943" i="8"/>
  <c r="H943" i="8"/>
  <c r="I942" i="8"/>
  <c r="M942" i="8" s="1"/>
  <c r="H942" i="8"/>
  <c r="I941" i="8"/>
  <c r="M941" i="8" s="1"/>
  <c r="H941" i="8"/>
  <c r="B937" i="8"/>
  <c r="B31" i="7" s="1"/>
  <c r="M931" i="8"/>
  <c r="K931" i="8"/>
  <c r="I931" i="8"/>
  <c r="H931" i="8"/>
  <c r="M930" i="8"/>
  <c r="K930" i="8"/>
  <c r="I930" i="8"/>
  <c r="H930" i="8"/>
  <c r="M929" i="8"/>
  <c r="K929" i="8"/>
  <c r="I929" i="8"/>
  <c r="H929" i="8"/>
  <c r="M928" i="8"/>
  <c r="K928" i="8"/>
  <c r="I928" i="8"/>
  <c r="H928" i="8"/>
  <c r="H927" i="8"/>
  <c r="M922" i="8"/>
  <c r="M921" i="8"/>
  <c r="M920" i="8"/>
  <c r="M919" i="8"/>
  <c r="M913" i="8"/>
  <c r="I913" i="8"/>
  <c r="H913" i="8"/>
  <c r="M912" i="8"/>
  <c r="I912" i="8"/>
  <c r="H912" i="8"/>
  <c r="I911" i="8"/>
  <c r="M911" i="8" s="1"/>
  <c r="H911" i="8"/>
  <c r="I910" i="8"/>
  <c r="M910" i="8" s="1"/>
  <c r="H910" i="8"/>
  <c r="H909" i="8"/>
  <c r="B892" i="8"/>
  <c r="B30" i="7" s="1"/>
  <c r="M886" i="8"/>
  <c r="K886" i="8"/>
  <c r="I886" i="8"/>
  <c r="H886" i="8"/>
  <c r="M885" i="8"/>
  <c r="K885" i="8"/>
  <c r="I885" i="8"/>
  <c r="H885" i="8"/>
  <c r="M884" i="8"/>
  <c r="K884" i="8"/>
  <c r="I884" i="8"/>
  <c r="H884" i="8"/>
  <c r="M883" i="8"/>
  <c r="K883" i="8"/>
  <c r="I883" i="8"/>
  <c r="H883" i="8"/>
  <c r="H882" i="8"/>
  <c r="M877" i="8"/>
  <c r="M876" i="8"/>
  <c r="M875" i="8"/>
  <c r="M874" i="8"/>
  <c r="M868" i="8"/>
  <c r="I868" i="8"/>
  <c r="H868" i="8"/>
  <c r="M867" i="8"/>
  <c r="I867" i="8"/>
  <c r="H867" i="8"/>
  <c r="M866" i="8"/>
  <c r="I866" i="8"/>
  <c r="H866" i="8"/>
  <c r="M865" i="8"/>
  <c r="I865" i="8"/>
  <c r="H865" i="8"/>
  <c r="H864" i="8"/>
  <c r="I856" i="8"/>
  <c r="M856" i="8" s="1"/>
  <c r="H856" i="8"/>
  <c r="I855" i="8"/>
  <c r="M855" i="8" s="1"/>
  <c r="H855" i="8"/>
  <c r="I854" i="8"/>
  <c r="M854" i="8" s="1"/>
  <c r="H854" i="8"/>
  <c r="I853" i="8"/>
  <c r="M853" i="8" s="1"/>
  <c r="H853" i="8"/>
  <c r="I852" i="8"/>
  <c r="M852" i="8" s="1"/>
  <c r="H852" i="8"/>
  <c r="I851" i="8"/>
  <c r="M851" i="8" s="1"/>
  <c r="H851" i="8"/>
  <c r="B847" i="8"/>
  <c r="B29" i="7" s="1"/>
  <c r="M841" i="8"/>
  <c r="K841" i="8"/>
  <c r="I841" i="8"/>
  <c r="H841" i="8"/>
  <c r="M840" i="8"/>
  <c r="K840" i="8"/>
  <c r="I840" i="8"/>
  <c r="H840" i="8"/>
  <c r="M839" i="8"/>
  <c r="K839" i="8"/>
  <c r="I839" i="8"/>
  <c r="H839" i="8"/>
  <c r="M838" i="8"/>
  <c r="K838" i="8"/>
  <c r="I838" i="8"/>
  <c r="H838" i="8"/>
  <c r="H837" i="8"/>
  <c r="M832" i="8"/>
  <c r="M831" i="8"/>
  <c r="M830" i="8"/>
  <c r="M829" i="8"/>
  <c r="M823" i="8"/>
  <c r="I823" i="8"/>
  <c r="H823" i="8"/>
  <c r="M822" i="8"/>
  <c r="I822" i="8"/>
  <c r="H822" i="8"/>
  <c r="M821" i="8"/>
  <c r="I821" i="8"/>
  <c r="H821" i="8"/>
  <c r="M820" i="8"/>
  <c r="I820" i="8"/>
  <c r="H820" i="8"/>
  <c r="H819" i="8"/>
  <c r="I811" i="8"/>
  <c r="M811" i="8" s="1"/>
  <c r="H811" i="8"/>
  <c r="I810" i="8"/>
  <c r="M810" i="8" s="1"/>
  <c r="H810" i="8"/>
  <c r="I809" i="8"/>
  <c r="M809" i="8" s="1"/>
  <c r="H809" i="8"/>
  <c r="I808" i="8"/>
  <c r="M808" i="8" s="1"/>
  <c r="H808" i="8"/>
  <c r="I807" i="8"/>
  <c r="M807" i="8" s="1"/>
  <c r="H807" i="8"/>
  <c r="I806" i="8"/>
  <c r="M806" i="8" s="1"/>
  <c r="H806" i="8"/>
  <c r="B802" i="8"/>
  <c r="B28" i="7" s="1"/>
  <c r="M796" i="8"/>
  <c r="K796" i="8"/>
  <c r="I796" i="8"/>
  <c r="H796" i="8"/>
  <c r="M795" i="8"/>
  <c r="K795" i="8"/>
  <c r="I795" i="8"/>
  <c r="H795" i="8"/>
  <c r="M794" i="8"/>
  <c r="K794" i="8"/>
  <c r="I794" i="8"/>
  <c r="H794" i="8"/>
  <c r="M793" i="8"/>
  <c r="K793" i="8"/>
  <c r="I793" i="8"/>
  <c r="H793" i="8"/>
  <c r="H792" i="8"/>
  <c r="M787" i="8"/>
  <c r="M786" i="8"/>
  <c r="M785" i="8"/>
  <c r="M784" i="8"/>
  <c r="M778" i="8"/>
  <c r="I778" i="8"/>
  <c r="H778" i="8"/>
  <c r="M777" i="8"/>
  <c r="I777" i="8"/>
  <c r="H777" i="8"/>
  <c r="M776" i="8"/>
  <c r="I776" i="8"/>
  <c r="H776" i="8"/>
  <c r="M775" i="8"/>
  <c r="I775" i="8"/>
  <c r="H775" i="8"/>
  <c r="H774" i="8"/>
  <c r="I767" i="8"/>
  <c r="M767" i="8" s="1"/>
  <c r="H767" i="8"/>
  <c r="I766" i="8"/>
  <c r="M766" i="8" s="1"/>
  <c r="H766" i="8"/>
  <c r="I765" i="8"/>
  <c r="M765" i="8" s="1"/>
  <c r="H765" i="8"/>
  <c r="I764" i="8"/>
  <c r="M764" i="8" s="1"/>
  <c r="H764" i="8"/>
  <c r="I763" i="8"/>
  <c r="M763" i="8" s="1"/>
  <c r="H763" i="8"/>
  <c r="I762" i="8"/>
  <c r="M762" i="8" s="1"/>
  <c r="H762" i="8"/>
  <c r="B758" i="8"/>
  <c r="B27" i="7" s="1"/>
  <c r="M752" i="8"/>
  <c r="K752" i="8"/>
  <c r="I752" i="8"/>
  <c r="H752" i="8"/>
  <c r="M751" i="8"/>
  <c r="K751" i="8"/>
  <c r="I751" i="8"/>
  <c r="H751" i="8"/>
  <c r="M750" i="8"/>
  <c r="K750" i="8"/>
  <c r="I750" i="8"/>
  <c r="H750" i="8"/>
  <c r="M749" i="8"/>
  <c r="K749" i="8"/>
  <c r="I749" i="8"/>
  <c r="H749" i="8"/>
  <c r="H748" i="8"/>
  <c r="M743" i="8"/>
  <c r="M742" i="8"/>
  <c r="M741" i="8"/>
  <c r="M740" i="8"/>
  <c r="M734" i="8"/>
  <c r="I734" i="8"/>
  <c r="H734" i="8"/>
  <c r="M733" i="8"/>
  <c r="I733" i="8"/>
  <c r="H733" i="8"/>
  <c r="M732" i="8"/>
  <c r="I732" i="8"/>
  <c r="H732" i="8"/>
  <c r="M731" i="8"/>
  <c r="I731" i="8"/>
  <c r="H731" i="8"/>
  <c r="H730" i="8"/>
  <c r="M725" i="8"/>
  <c r="I725" i="8"/>
  <c r="H725" i="8"/>
  <c r="M724" i="8"/>
  <c r="I724" i="8"/>
  <c r="H724" i="8"/>
  <c r="M723" i="8"/>
  <c r="I723" i="8"/>
  <c r="H723" i="8"/>
  <c r="M722" i="8"/>
  <c r="I722" i="8"/>
  <c r="H722" i="8"/>
  <c r="M721" i="8"/>
  <c r="I721" i="8"/>
  <c r="H721" i="8"/>
  <c r="I720" i="8"/>
  <c r="M720" i="8" s="1"/>
  <c r="H720" i="8"/>
  <c r="B716" i="8"/>
  <c r="B26" i="7" s="1"/>
  <c r="M710" i="8"/>
  <c r="K710" i="8"/>
  <c r="I710" i="8"/>
  <c r="H710" i="8"/>
  <c r="M709" i="8"/>
  <c r="K709" i="8"/>
  <c r="I709" i="8"/>
  <c r="H709" i="8"/>
  <c r="M708" i="8"/>
  <c r="K708" i="8"/>
  <c r="I708" i="8"/>
  <c r="H708" i="8"/>
  <c r="M707" i="8"/>
  <c r="K707" i="8"/>
  <c r="I707" i="8"/>
  <c r="H707" i="8"/>
  <c r="H706" i="8"/>
  <c r="M701" i="8"/>
  <c r="M700" i="8"/>
  <c r="M699" i="8"/>
  <c r="M698" i="8"/>
  <c r="M692" i="8"/>
  <c r="I692" i="8"/>
  <c r="H692" i="8"/>
  <c r="M691" i="8"/>
  <c r="I691" i="8"/>
  <c r="H691" i="8"/>
  <c r="M690" i="8"/>
  <c r="I690" i="8"/>
  <c r="H690" i="8"/>
  <c r="M689" i="8"/>
  <c r="I689" i="8"/>
  <c r="H689" i="8"/>
  <c r="H688" i="8"/>
  <c r="M683" i="8"/>
  <c r="I683" i="8"/>
  <c r="H683" i="8"/>
  <c r="M682" i="8"/>
  <c r="I682" i="8"/>
  <c r="H682" i="8"/>
  <c r="M681" i="8"/>
  <c r="I681" i="8"/>
  <c r="H681" i="8"/>
  <c r="I680" i="8"/>
  <c r="M680" i="8" s="1"/>
  <c r="H680" i="8"/>
  <c r="I679" i="8"/>
  <c r="M679" i="8" s="1"/>
  <c r="H679" i="8"/>
  <c r="I678" i="8"/>
  <c r="M678" i="8" s="1"/>
  <c r="H678" i="8"/>
  <c r="B674" i="8"/>
  <c r="B25" i="7" s="1"/>
  <c r="M668" i="8"/>
  <c r="K668" i="8"/>
  <c r="I668" i="8"/>
  <c r="H668" i="8"/>
  <c r="M667" i="8"/>
  <c r="K667" i="8"/>
  <c r="I667" i="8"/>
  <c r="H667" i="8"/>
  <c r="M666" i="8"/>
  <c r="K666" i="8"/>
  <c r="I666" i="8"/>
  <c r="H666" i="8"/>
  <c r="K665" i="8"/>
  <c r="I665" i="8"/>
  <c r="M665" i="8" s="1"/>
  <c r="H665" i="8"/>
  <c r="H664" i="8"/>
  <c r="M659" i="8"/>
  <c r="M658" i="8"/>
  <c r="M657" i="8"/>
  <c r="M650" i="8"/>
  <c r="I650" i="8"/>
  <c r="H650" i="8"/>
  <c r="M649" i="8"/>
  <c r="I649" i="8"/>
  <c r="H649" i="8"/>
  <c r="M648" i="8"/>
  <c r="I648" i="8"/>
  <c r="H648" i="8"/>
  <c r="I647" i="8"/>
  <c r="M647" i="8" s="1"/>
  <c r="H647" i="8"/>
  <c r="H646" i="8"/>
  <c r="I641" i="8"/>
  <c r="M641" i="8" s="1"/>
  <c r="H641" i="8"/>
  <c r="I640" i="8"/>
  <c r="M640" i="8" s="1"/>
  <c r="H640" i="8"/>
  <c r="I639" i="8"/>
  <c r="M639" i="8" s="1"/>
  <c r="H639" i="8"/>
  <c r="I638" i="8"/>
  <c r="M638" i="8" s="1"/>
  <c r="H638" i="8"/>
  <c r="I637" i="8"/>
  <c r="M637" i="8" s="1"/>
  <c r="H637" i="8"/>
  <c r="I636" i="8"/>
  <c r="M636" i="8" s="1"/>
  <c r="H636" i="8"/>
  <c r="B632" i="8"/>
  <c r="B24" i="7" s="1"/>
  <c r="M626" i="8"/>
  <c r="K626" i="8"/>
  <c r="I626" i="8"/>
  <c r="H626" i="8"/>
  <c r="M625" i="8"/>
  <c r="K625" i="8"/>
  <c r="I625" i="8"/>
  <c r="H625" i="8"/>
  <c r="M624" i="8"/>
  <c r="K624" i="8"/>
  <c r="I624" i="8"/>
  <c r="H624" i="8"/>
  <c r="M623" i="8"/>
  <c r="K623" i="8"/>
  <c r="I623" i="8"/>
  <c r="H623" i="8"/>
  <c r="H622" i="8"/>
  <c r="M617" i="8"/>
  <c r="M616" i="8"/>
  <c r="M615" i="8"/>
  <c r="M614" i="8"/>
  <c r="M613" i="8"/>
  <c r="M608" i="8"/>
  <c r="I608" i="8"/>
  <c r="H608" i="8"/>
  <c r="M607" i="8"/>
  <c r="I607" i="8"/>
  <c r="H607" i="8"/>
  <c r="M606" i="8"/>
  <c r="I606" i="8"/>
  <c r="H606" i="8"/>
  <c r="M605" i="8"/>
  <c r="I605" i="8"/>
  <c r="H605" i="8"/>
  <c r="H604" i="8"/>
  <c r="M599" i="8"/>
  <c r="I599" i="8"/>
  <c r="H599" i="8"/>
  <c r="M598" i="8"/>
  <c r="I598" i="8"/>
  <c r="H598" i="8"/>
  <c r="M597" i="8"/>
  <c r="I597" i="8"/>
  <c r="H597" i="8"/>
  <c r="M596" i="8"/>
  <c r="I596" i="8"/>
  <c r="H596" i="8"/>
  <c r="M595" i="8"/>
  <c r="I595" i="8"/>
  <c r="H595" i="8"/>
  <c r="I594" i="8"/>
  <c r="M594" i="8" s="1"/>
  <c r="H594" i="8"/>
  <c r="B590" i="8"/>
  <c r="B23" i="7" s="1"/>
  <c r="M584" i="8"/>
  <c r="K584" i="8"/>
  <c r="I584" i="8"/>
  <c r="H584" i="8"/>
  <c r="M583" i="8"/>
  <c r="K583" i="8"/>
  <c r="I583" i="8"/>
  <c r="H583" i="8"/>
  <c r="M582" i="8"/>
  <c r="K582" i="8"/>
  <c r="I582" i="8"/>
  <c r="H582" i="8"/>
  <c r="M581" i="8"/>
  <c r="K581" i="8"/>
  <c r="I581" i="8"/>
  <c r="H581" i="8"/>
  <c r="H580" i="8"/>
  <c r="M575" i="8"/>
  <c r="M574" i="8"/>
  <c r="M573" i="8"/>
  <c r="M572" i="8"/>
  <c r="M571" i="8"/>
  <c r="M566" i="8"/>
  <c r="I566" i="8"/>
  <c r="H566" i="8"/>
  <c r="M565" i="8"/>
  <c r="I565" i="8"/>
  <c r="H565" i="8"/>
  <c r="M564" i="8"/>
  <c r="I564" i="8"/>
  <c r="H564" i="8"/>
  <c r="M563" i="8"/>
  <c r="I563" i="8"/>
  <c r="H563" i="8"/>
  <c r="M557" i="8"/>
  <c r="I557" i="8"/>
  <c r="H557" i="8"/>
  <c r="M556" i="8"/>
  <c r="I556" i="8"/>
  <c r="H556" i="8"/>
  <c r="M555" i="8"/>
  <c r="I555" i="8"/>
  <c r="H555" i="8"/>
  <c r="M554" i="8"/>
  <c r="I554" i="8"/>
  <c r="H554" i="8"/>
  <c r="I553" i="8"/>
  <c r="M553" i="8" s="1"/>
  <c r="H553" i="8"/>
  <c r="I552" i="8"/>
  <c r="M552" i="8" s="1"/>
  <c r="H552" i="8"/>
  <c r="B548" i="8"/>
  <c r="B22" i="7" s="1"/>
  <c r="M542" i="8"/>
  <c r="K542" i="8"/>
  <c r="I542" i="8"/>
  <c r="H542" i="8"/>
  <c r="M541" i="8"/>
  <c r="K541" i="8"/>
  <c r="I541" i="8"/>
  <c r="H541" i="8"/>
  <c r="M540" i="8"/>
  <c r="K540" i="8"/>
  <c r="I540" i="8"/>
  <c r="H540" i="8"/>
  <c r="M539" i="8"/>
  <c r="K539" i="8"/>
  <c r="I539" i="8"/>
  <c r="H539" i="8"/>
  <c r="H538" i="8"/>
  <c r="M533" i="8"/>
  <c r="M532" i="8"/>
  <c r="M531" i="8"/>
  <c r="M530" i="8"/>
  <c r="M524" i="8"/>
  <c r="I524" i="8"/>
  <c r="H524" i="8"/>
  <c r="M523" i="8"/>
  <c r="I523" i="8"/>
  <c r="H523" i="8"/>
  <c r="M522" i="8"/>
  <c r="I522" i="8"/>
  <c r="H522" i="8"/>
  <c r="M521" i="8"/>
  <c r="I521" i="8"/>
  <c r="H521" i="8"/>
  <c r="H520" i="8"/>
  <c r="M515" i="8"/>
  <c r="I515" i="8"/>
  <c r="H515" i="8"/>
  <c r="M514" i="8"/>
  <c r="I514" i="8"/>
  <c r="H514" i="8"/>
  <c r="M513" i="8"/>
  <c r="I513" i="8"/>
  <c r="H513" i="8"/>
  <c r="M512" i="8"/>
  <c r="I512" i="8"/>
  <c r="H512" i="8"/>
  <c r="I511" i="8"/>
  <c r="M511" i="8" s="1"/>
  <c r="H511" i="8"/>
  <c r="I510" i="8"/>
  <c r="M510" i="8" s="1"/>
  <c r="H510" i="8"/>
  <c r="B506" i="8"/>
  <c r="B21" i="7" s="1"/>
  <c r="M500" i="8"/>
  <c r="K500" i="8"/>
  <c r="I500" i="8"/>
  <c r="H500" i="8"/>
  <c r="M499" i="8"/>
  <c r="K499" i="8"/>
  <c r="I499" i="8"/>
  <c r="H499" i="8"/>
  <c r="M498" i="8"/>
  <c r="K498" i="8"/>
  <c r="I498" i="8"/>
  <c r="H498" i="8"/>
  <c r="M497" i="8"/>
  <c r="K497" i="8"/>
  <c r="I497" i="8"/>
  <c r="H497" i="8"/>
  <c r="H496" i="8"/>
  <c r="M491" i="8"/>
  <c r="M490" i="8"/>
  <c r="M489" i="8"/>
  <c r="M482" i="8"/>
  <c r="I482" i="8"/>
  <c r="H482" i="8"/>
  <c r="M481" i="8"/>
  <c r="I481" i="8"/>
  <c r="H481" i="8"/>
  <c r="M480" i="8"/>
  <c r="I480" i="8"/>
  <c r="H480" i="8"/>
  <c r="I479" i="8"/>
  <c r="M479" i="8" s="1"/>
  <c r="H479" i="8"/>
  <c r="H478" i="8"/>
  <c r="M473" i="8"/>
  <c r="I473" i="8"/>
  <c r="H473" i="8"/>
  <c r="M472" i="8"/>
  <c r="I472" i="8"/>
  <c r="H472" i="8"/>
  <c r="M471" i="8"/>
  <c r="I471" i="8"/>
  <c r="H471" i="8"/>
  <c r="M470" i="8"/>
  <c r="I470" i="8"/>
  <c r="H470" i="8"/>
  <c r="M469" i="8"/>
  <c r="I469" i="8"/>
  <c r="H469" i="8"/>
  <c r="I468" i="8"/>
  <c r="M468" i="8" s="1"/>
  <c r="H468" i="8"/>
  <c r="B464" i="8"/>
  <c r="B20" i="7" s="1"/>
  <c r="M458" i="8"/>
  <c r="K458" i="8"/>
  <c r="I458" i="8"/>
  <c r="H458" i="8"/>
  <c r="M457" i="8"/>
  <c r="K457" i="8"/>
  <c r="I457" i="8"/>
  <c r="H457" i="8"/>
  <c r="M456" i="8"/>
  <c r="K456" i="8"/>
  <c r="I456" i="8"/>
  <c r="H456" i="8"/>
  <c r="M455" i="8"/>
  <c r="K455" i="8"/>
  <c r="I455" i="8"/>
  <c r="H455" i="8"/>
  <c r="H454" i="8"/>
  <c r="M449" i="8"/>
  <c r="M448" i="8"/>
  <c r="M447" i="8"/>
  <c r="M440" i="8"/>
  <c r="I440" i="8"/>
  <c r="H440" i="8"/>
  <c r="M439" i="8"/>
  <c r="I439" i="8"/>
  <c r="H439" i="8"/>
  <c r="M438" i="8"/>
  <c r="I438" i="8"/>
  <c r="H438" i="8"/>
  <c r="I437" i="8"/>
  <c r="M437" i="8" s="1"/>
  <c r="H437" i="8"/>
  <c r="H436" i="8"/>
  <c r="I431" i="8"/>
  <c r="M431" i="8" s="1"/>
  <c r="H431" i="8"/>
  <c r="I430" i="8"/>
  <c r="M430" i="8" s="1"/>
  <c r="H430" i="8"/>
  <c r="I429" i="8"/>
  <c r="M429" i="8" s="1"/>
  <c r="H429" i="8"/>
  <c r="I428" i="8"/>
  <c r="M428" i="8" s="1"/>
  <c r="H428" i="8"/>
  <c r="I427" i="8"/>
  <c r="M427" i="8" s="1"/>
  <c r="H427" i="8"/>
  <c r="I426" i="8"/>
  <c r="M426" i="8" s="1"/>
  <c r="H426" i="8"/>
  <c r="B422" i="8"/>
  <c r="B19" i="7" s="1"/>
  <c r="M416" i="8"/>
  <c r="K416" i="8"/>
  <c r="I416" i="8"/>
  <c r="H416" i="8"/>
  <c r="M415" i="8"/>
  <c r="K415" i="8"/>
  <c r="I415" i="8"/>
  <c r="H415" i="8"/>
  <c r="M414" i="8"/>
  <c r="K414" i="8"/>
  <c r="I414" i="8"/>
  <c r="H414" i="8"/>
  <c r="M413" i="8"/>
  <c r="K413" i="8"/>
  <c r="I413" i="8"/>
  <c r="H413" i="8"/>
  <c r="H412" i="8"/>
  <c r="M407" i="8"/>
  <c r="M406" i="8"/>
  <c r="M405" i="8"/>
  <c r="M404" i="8"/>
  <c r="M398" i="8"/>
  <c r="I398" i="8"/>
  <c r="H398" i="8"/>
  <c r="M397" i="8"/>
  <c r="I397" i="8"/>
  <c r="H397" i="8"/>
  <c r="M396" i="8"/>
  <c r="I396" i="8"/>
  <c r="H396" i="8"/>
  <c r="M395" i="8"/>
  <c r="I395" i="8"/>
  <c r="H395" i="8"/>
  <c r="H394" i="8"/>
  <c r="M389" i="8"/>
  <c r="I389" i="8"/>
  <c r="H389" i="8"/>
  <c r="M388" i="8"/>
  <c r="I388" i="8"/>
  <c r="H388" i="8"/>
  <c r="M387" i="8"/>
  <c r="I387" i="8"/>
  <c r="H387" i="8"/>
  <c r="I386" i="8"/>
  <c r="M386" i="8" s="1"/>
  <c r="H386" i="8"/>
  <c r="I385" i="8"/>
  <c r="M385" i="8" s="1"/>
  <c r="H385" i="8"/>
  <c r="B381" i="8"/>
  <c r="B18" i="7" s="1"/>
  <c r="M375" i="8"/>
  <c r="K375" i="8"/>
  <c r="I375" i="8"/>
  <c r="H375" i="8"/>
  <c r="M374" i="8"/>
  <c r="K374" i="8"/>
  <c r="I374" i="8"/>
  <c r="H374" i="8"/>
  <c r="M373" i="8"/>
  <c r="K373" i="8"/>
  <c r="I373" i="8"/>
  <c r="H373" i="8"/>
  <c r="M372" i="8"/>
  <c r="K372" i="8"/>
  <c r="I372" i="8"/>
  <c r="H372" i="8"/>
  <c r="H371" i="8"/>
  <c r="M366" i="8"/>
  <c r="M365" i="8"/>
  <c r="M364" i="8"/>
  <c r="M363" i="8"/>
  <c r="M357" i="8"/>
  <c r="I357" i="8"/>
  <c r="H357" i="8"/>
  <c r="M356" i="8"/>
  <c r="I356" i="8"/>
  <c r="H356" i="8"/>
  <c r="M355" i="8"/>
  <c r="I355" i="8"/>
  <c r="H355" i="8"/>
  <c r="M354" i="8"/>
  <c r="I354" i="8"/>
  <c r="H354" i="8"/>
  <c r="H353" i="8"/>
  <c r="M348" i="8"/>
  <c r="I348" i="8"/>
  <c r="H348" i="8"/>
  <c r="M347" i="8"/>
  <c r="I347" i="8"/>
  <c r="H347" i="8"/>
  <c r="M346" i="8"/>
  <c r="I346" i="8"/>
  <c r="H346" i="8"/>
  <c r="I345" i="8"/>
  <c r="M345" i="8" s="1"/>
  <c r="H345" i="8"/>
  <c r="I344" i="8"/>
  <c r="M344" i="8" s="1"/>
  <c r="H344" i="8"/>
  <c r="I343" i="8"/>
  <c r="M343" i="8" s="1"/>
  <c r="H343" i="8"/>
  <c r="I342" i="8"/>
  <c r="M342" i="8" s="1"/>
  <c r="H342" i="8"/>
  <c r="I341" i="8"/>
  <c r="M341" i="8" s="1"/>
  <c r="H341" i="8"/>
  <c r="B337" i="8"/>
  <c r="B17" i="7" s="1"/>
  <c r="M331" i="8"/>
  <c r="K331" i="8"/>
  <c r="I331" i="8"/>
  <c r="H331" i="8"/>
  <c r="M330" i="8"/>
  <c r="K330" i="8"/>
  <c r="I330" i="8"/>
  <c r="H330" i="8"/>
  <c r="M329" i="8"/>
  <c r="K329" i="8"/>
  <c r="I329" i="8"/>
  <c r="H329" i="8"/>
  <c r="M328" i="8"/>
  <c r="K328" i="8"/>
  <c r="I328" i="8"/>
  <c r="H328" i="8"/>
  <c r="H327" i="8"/>
  <c r="M322" i="8"/>
  <c r="M321" i="8"/>
  <c r="M320" i="8"/>
  <c r="M319" i="8"/>
  <c r="M313" i="8"/>
  <c r="I313" i="8"/>
  <c r="H313" i="8"/>
  <c r="M312" i="8"/>
  <c r="I312" i="8"/>
  <c r="H312" i="8"/>
  <c r="M311" i="8"/>
  <c r="I311" i="8"/>
  <c r="H311" i="8"/>
  <c r="I310" i="8"/>
  <c r="M310" i="8" s="1"/>
  <c r="H310" i="8"/>
  <c r="H309" i="8"/>
  <c r="M304" i="8"/>
  <c r="I304" i="8"/>
  <c r="H304" i="8"/>
  <c r="I303" i="8"/>
  <c r="M303" i="8" s="1"/>
  <c r="H303" i="8"/>
  <c r="I302" i="8"/>
  <c r="M302" i="8" s="1"/>
  <c r="H302" i="8"/>
  <c r="I301" i="8"/>
  <c r="M301" i="8" s="1"/>
  <c r="H301" i="8"/>
  <c r="I300" i="8"/>
  <c r="M300" i="8" s="1"/>
  <c r="H300" i="8"/>
  <c r="B296" i="8"/>
  <c r="B16" i="7" s="1"/>
  <c r="M290" i="8"/>
  <c r="K290" i="8"/>
  <c r="I290" i="8"/>
  <c r="H290" i="8"/>
  <c r="M289" i="8"/>
  <c r="K289" i="8"/>
  <c r="I289" i="8"/>
  <c r="H289" i="8"/>
  <c r="M288" i="8"/>
  <c r="K288" i="8"/>
  <c r="I288" i="8"/>
  <c r="H288" i="8"/>
  <c r="M287" i="8"/>
  <c r="K287" i="8"/>
  <c r="I287" i="8"/>
  <c r="H287" i="8"/>
  <c r="H286" i="8"/>
  <c r="M281" i="8"/>
  <c r="M280" i="8"/>
  <c r="M279" i="8"/>
  <c r="M278" i="8"/>
  <c r="M277" i="8"/>
  <c r="M272" i="8"/>
  <c r="I272" i="8"/>
  <c r="H272" i="8"/>
  <c r="M271" i="8"/>
  <c r="I271" i="8"/>
  <c r="H271" i="8"/>
  <c r="I270" i="8"/>
  <c r="M270" i="8" s="1"/>
  <c r="H270" i="8"/>
  <c r="I269" i="8"/>
  <c r="M269" i="8" s="1"/>
  <c r="H269" i="8"/>
  <c r="H268" i="8"/>
  <c r="M263" i="8"/>
  <c r="I263" i="8"/>
  <c r="H263" i="8"/>
  <c r="M262" i="8"/>
  <c r="I262" i="8"/>
  <c r="H262" i="8"/>
  <c r="M261" i="8"/>
  <c r="I261" i="8"/>
  <c r="H261" i="8"/>
  <c r="I260" i="8"/>
  <c r="M260" i="8" s="1"/>
  <c r="H260" i="8"/>
  <c r="I259" i="8"/>
  <c r="M259" i="8" s="1"/>
  <c r="H259" i="8"/>
  <c r="B255" i="8"/>
  <c r="B15" i="7" s="1"/>
  <c r="M249" i="8"/>
  <c r="K249" i="8"/>
  <c r="I249" i="8"/>
  <c r="H249" i="8"/>
  <c r="M248" i="8"/>
  <c r="K248" i="8"/>
  <c r="I248" i="8"/>
  <c r="H248" i="8"/>
  <c r="M247" i="8"/>
  <c r="K247" i="8"/>
  <c r="I247" i="8"/>
  <c r="H247" i="8"/>
  <c r="M246" i="8"/>
  <c r="K246" i="8"/>
  <c r="I246" i="8"/>
  <c r="H246" i="8"/>
  <c r="H245" i="8"/>
  <c r="M240" i="8"/>
  <c r="M239" i="8"/>
  <c r="M238" i="8"/>
  <c r="M237" i="8"/>
  <c r="M236" i="8"/>
  <c r="M231" i="8"/>
  <c r="I231" i="8"/>
  <c r="H231" i="8"/>
  <c r="M230" i="8"/>
  <c r="I230" i="8"/>
  <c r="H230" i="8"/>
  <c r="I229" i="8"/>
  <c r="M229" i="8" s="1"/>
  <c r="H229" i="8"/>
  <c r="I228" i="8"/>
  <c r="M228" i="8" s="1"/>
  <c r="H228" i="8"/>
  <c r="H227" i="8"/>
  <c r="M222" i="8"/>
  <c r="I222" i="8"/>
  <c r="H222" i="8"/>
  <c r="M221" i="8"/>
  <c r="I221" i="8"/>
  <c r="H221" i="8"/>
  <c r="M220" i="8"/>
  <c r="I220" i="8"/>
  <c r="H220" i="8"/>
  <c r="M219" i="8"/>
  <c r="I219" i="8"/>
  <c r="H219" i="8"/>
  <c r="I218" i="8"/>
  <c r="M218" i="8" s="1"/>
  <c r="H218" i="8"/>
  <c r="I217" i="8"/>
  <c r="M217" i="8" s="1"/>
  <c r="H217" i="8"/>
  <c r="B213" i="8"/>
  <c r="B14" i="7" s="1"/>
  <c r="M207" i="8"/>
  <c r="K207" i="8"/>
  <c r="I207" i="8"/>
  <c r="H207" i="8"/>
  <c r="M206" i="8"/>
  <c r="K206" i="8"/>
  <c r="I206" i="8"/>
  <c r="H206" i="8"/>
  <c r="M205" i="8"/>
  <c r="K205" i="8"/>
  <c r="I205" i="8"/>
  <c r="H205" i="8"/>
  <c r="M204" i="8"/>
  <c r="K204" i="8"/>
  <c r="I204" i="8"/>
  <c r="H204" i="8"/>
  <c r="H203" i="8"/>
  <c r="M198" i="8"/>
  <c r="M197" i="8"/>
  <c r="M196" i="8"/>
  <c r="M195" i="8"/>
  <c r="M194" i="8"/>
  <c r="M189" i="8"/>
  <c r="I189" i="8"/>
  <c r="H189" i="8"/>
  <c r="M188" i="8"/>
  <c r="I188" i="8"/>
  <c r="H188" i="8"/>
  <c r="I187" i="8"/>
  <c r="M187" i="8" s="1"/>
  <c r="H187" i="8"/>
  <c r="I186" i="8"/>
  <c r="M186" i="8" s="1"/>
  <c r="H186" i="8"/>
  <c r="H185" i="8"/>
  <c r="M180" i="8"/>
  <c r="I180" i="8"/>
  <c r="H180" i="8"/>
  <c r="M179" i="8"/>
  <c r="I179" i="8"/>
  <c r="H179" i="8"/>
  <c r="M178" i="8"/>
  <c r="I178" i="8"/>
  <c r="H178" i="8"/>
  <c r="M177" i="8"/>
  <c r="I177" i="8"/>
  <c r="H177" i="8"/>
  <c r="I176" i="8"/>
  <c r="M176" i="8" s="1"/>
  <c r="H176" i="8"/>
  <c r="I175" i="8"/>
  <c r="M175" i="8" s="1"/>
  <c r="H175" i="8"/>
  <c r="B171" i="8"/>
  <c r="B13" i="7" s="1"/>
  <c r="M165" i="8"/>
  <c r="K165" i="8"/>
  <c r="I165" i="8"/>
  <c r="H165" i="8"/>
  <c r="M164" i="8"/>
  <c r="K164" i="8"/>
  <c r="I164" i="8"/>
  <c r="H164" i="8"/>
  <c r="M163" i="8"/>
  <c r="K163" i="8"/>
  <c r="I163" i="8"/>
  <c r="H163" i="8"/>
  <c r="M162" i="8"/>
  <c r="K162" i="8"/>
  <c r="I162" i="8"/>
  <c r="H162" i="8"/>
  <c r="H161" i="8"/>
  <c r="M156" i="8"/>
  <c r="M155" i="8"/>
  <c r="M154" i="8"/>
  <c r="M153" i="8"/>
  <c r="M152" i="8"/>
  <c r="M147" i="8"/>
  <c r="I147" i="8"/>
  <c r="H147" i="8"/>
  <c r="M146" i="8"/>
  <c r="I146" i="8"/>
  <c r="H146" i="8"/>
  <c r="M145" i="8"/>
  <c r="I145" i="8"/>
  <c r="H145" i="8"/>
  <c r="M144" i="8"/>
  <c r="I144" i="8"/>
  <c r="H144" i="8"/>
  <c r="H143" i="8"/>
  <c r="I138" i="8"/>
  <c r="M138" i="8" s="1"/>
  <c r="H138" i="8"/>
  <c r="I137" i="8"/>
  <c r="M137" i="8" s="1"/>
  <c r="H137" i="8"/>
  <c r="I136" i="8"/>
  <c r="M136" i="8" s="1"/>
  <c r="H136" i="8"/>
  <c r="I135" i="8"/>
  <c r="M135" i="8" s="1"/>
  <c r="H135" i="8"/>
  <c r="I134" i="8"/>
  <c r="M134" i="8" s="1"/>
  <c r="H134" i="8"/>
  <c r="I133" i="8"/>
  <c r="M133" i="8" s="1"/>
  <c r="H133" i="8"/>
  <c r="I132" i="8"/>
  <c r="M132" i="8" s="1"/>
  <c r="H132" i="8"/>
  <c r="I131" i="8"/>
  <c r="M131" i="8" s="1"/>
  <c r="H131" i="8"/>
  <c r="B127" i="8"/>
  <c r="B12" i="7" s="1"/>
  <c r="M121" i="8"/>
  <c r="K121" i="8"/>
  <c r="I121" i="8"/>
  <c r="H121" i="8"/>
  <c r="M120" i="8"/>
  <c r="K120" i="8"/>
  <c r="I120" i="8"/>
  <c r="H120" i="8"/>
  <c r="M119" i="8"/>
  <c r="K119" i="8"/>
  <c r="H119" i="8"/>
  <c r="M118" i="8"/>
  <c r="K118" i="8"/>
  <c r="I118" i="8"/>
  <c r="H118" i="8"/>
  <c r="H117" i="8"/>
  <c r="M112" i="8"/>
  <c r="M111" i="8"/>
  <c r="M110" i="8"/>
  <c r="M109" i="8"/>
  <c r="M108" i="8"/>
  <c r="M103" i="8"/>
  <c r="I103" i="8"/>
  <c r="H103" i="8"/>
  <c r="M102" i="8"/>
  <c r="I102" i="8"/>
  <c r="H102" i="8"/>
  <c r="M101" i="8"/>
  <c r="I101" i="8"/>
  <c r="H101" i="8"/>
  <c r="I100" i="8"/>
  <c r="M100" i="8" s="1"/>
  <c r="H100" i="8"/>
  <c r="H99" i="8"/>
  <c r="M94" i="8"/>
  <c r="I94" i="8"/>
  <c r="H94" i="8"/>
  <c r="M93" i="8"/>
  <c r="I93" i="8"/>
  <c r="H93" i="8"/>
  <c r="M92" i="8"/>
  <c r="I92" i="8"/>
  <c r="H92" i="8"/>
  <c r="M91" i="8"/>
  <c r="I91" i="8"/>
  <c r="H91" i="8"/>
  <c r="M90" i="8"/>
  <c r="I90" i="8"/>
  <c r="H90" i="8"/>
  <c r="B86" i="8"/>
  <c r="B11" i="7" s="1"/>
  <c r="M80" i="8"/>
  <c r="K80" i="8"/>
  <c r="I80" i="8"/>
  <c r="H80" i="8"/>
  <c r="M79" i="8"/>
  <c r="K79" i="8"/>
  <c r="I79" i="8"/>
  <c r="H79" i="8"/>
  <c r="M78" i="8"/>
  <c r="K78" i="8"/>
  <c r="I78" i="8"/>
  <c r="H78" i="8"/>
  <c r="M77" i="8"/>
  <c r="K77" i="8"/>
  <c r="I77" i="8"/>
  <c r="H77" i="8"/>
  <c r="H76" i="8"/>
  <c r="M71" i="8"/>
  <c r="M70" i="8"/>
  <c r="M69" i="8"/>
  <c r="M68" i="8"/>
  <c r="M62" i="8"/>
  <c r="I62" i="8"/>
  <c r="H62" i="8"/>
  <c r="M61" i="8"/>
  <c r="I61" i="8"/>
  <c r="H61" i="8"/>
  <c r="M60" i="8"/>
  <c r="I60" i="8"/>
  <c r="H60" i="8"/>
  <c r="H59" i="8"/>
  <c r="H58" i="8"/>
  <c r="M53" i="8"/>
  <c r="I53" i="8"/>
  <c r="H53" i="8"/>
  <c r="M52" i="8"/>
  <c r="I52" i="8"/>
  <c r="H52" i="8"/>
  <c r="I51" i="8"/>
  <c r="M51" i="8" s="1"/>
  <c r="H51" i="8"/>
  <c r="I50" i="8"/>
  <c r="M50" i="8" s="1"/>
  <c r="H50" i="8"/>
  <c r="I49" i="8"/>
  <c r="M49" i="8" s="1"/>
  <c r="H49" i="8"/>
  <c r="B45" i="8"/>
  <c r="B10" i="7" s="1"/>
  <c r="M39" i="8"/>
  <c r="K39" i="8"/>
  <c r="I39" i="8"/>
  <c r="H39" i="8"/>
  <c r="M38" i="8"/>
  <c r="K38" i="8"/>
  <c r="I38" i="8"/>
  <c r="H38" i="8"/>
  <c r="M37" i="8"/>
  <c r="K37" i="8"/>
  <c r="I37" i="8"/>
  <c r="H37" i="8"/>
  <c r="M36" i="8"/>
  <c r="K36" i="8"/>
  <c r="I36" i="8"/>
  <c r="H36" i="8"/>
  <c r="H35" i="8"/>
  <c r="M30" i="8"/>
  <c r="M29" i="8"/>
  <c r="M28" i="8"/>
  <c r="M27" i="8"/>
  <c r="M26" i="8"/>
  <c r="M21" i="8"/>
  <c r="I21" i="8"/>
  <c r="H21" i="8"/>
  <c r="M20" i="8"/>
  <c r="I20" i="8"/>
  <c r="H20" i="8"/>
  <c r="M19" i="8"/>
  <c r="I19" i="8"/>
  <c r="H19" i="8"/>
  <c r="I18" i="8"/>
  <c r="M18" i="8" s="1"/>
  <c r="H18" i="8"/>
  <c r="H17" i="8"/>
  <c r="M12" i="8"/>
  <c r="I12" i="8"/>
  <c r="H12" i="8"/>
  <c r="M11" i="8"/>
  <c r="I11" i="8"/>
  <c r="H11" i="8"/>
  <c r="M10" i="8"/>
  <c r="I10" i="8"/>
  <c r="H10" i="8"/>
  <c r="I9" i="8"/>
  <c r="M9" i="8" s="1"/>
  <c r="H9" i="8"/>
  <c r="I8" i="8"/>
  <c r="M8" i="8" s="1"/>
  <c r="H8" i="8"/>
  <c r="B4" i="8"/>
  <c r="B9" i="7" s="1"/>
  <c r="H58" i="7"/>
  <c r="H57" i="7"/>
  <c r="H56" i="7"/>
  <c r="H55" i="7"/>
  <c r="H54" i="7"/>
  <c r="H53" i="7"/>
  <c r="H52" i="7"/>
  <c r="H51" i="7"/>
  <c r="H50" i="7"/>
  <c r="H49" i="7"/>
  <c r="H48" i="7"/>
  <c r="H47" i="7"/>
  <c r="H46" i="7"/>
  <c r="H45" i="7"/>
  <c r="H44" i="7"/>
  <c r="H43" i="7"/>
  <c r="H42" i="7"/>
  <c r="H41" i="7"/>
  <c r="H40" i="7"/>
  <c r="H39" i="7"/>
  <c r="H38" i="7"/>
  <c r="H37" i="7"/>
  <c r="H36" i="7"/>
  <c r="H35" i="7"/>
  <c r="B35" i="7"/>
  <c r="H34" i="7"/>
  <c r="H33" i="7"/>
  <c r="H32" i="7"/>
  <c r="H31" i="7"/>
  <c r="H30" i="7"/>
  <c r="H29" i="7"/>
  <c r="H28" i="7"/>
  <c r="H27" i="7"/>
  <c r="H26" i="7"/>
  <c r="H25" i="7"/>
  <c r="H24" i="7"/>
  <c r="H23" i="7"/>
  <c r="H22" i="7"/>
  <c r="H21" i="7"/>
  <c r="H20" i="7"/>
  <c r="H19" i="7"/>
  <c r="H18" i="7"/>
  <c r="H17" i="7"/>
  <c r="H16" i="7"/>
  <c r="H15" i="7"/>
  <c r="H14" i="7"/>
  <c r="H13" i="7"/>
  <c r="H12" i="7"/>
  <c r="H11" i="7"/>
  <c r="H10" i="7"/>
  <c r="H9" i="7"/>
  <c r="L2" i="7"/>
  <c r="A1" i="7"/>
  <c r="P18" i="26"/>
  <c r="M18" i="26"/>
  <c r="J18" i="26"/>
  <c r="G18" i="26"/>
  <c r="D18" i="26"/>
  <c r="N9" i="26"/>
  <c r="R9" i="26" s="1"/>
  <c r="N3" i="26"/>
  <c r="B2" i="26"/>
  <c r="K3" i="35"/>
  <c r="B2" i="35"/>
  <c r="W119" i="10"/>
  <c r="T119" i="10"/>
  <c r="Z118" i="10"/>
  <c r="Z117" i="10"/>
  <c r="Z116" i="10"/>
  <c r="Z115" i="10"/>
  <c r="Z114" i="10"/>
  <c r="Z113" i="10"/>
  <c r="Z112" i="10"/>
  <c r="Z111" i="10"/>
  <c r="Z110" i="10"/>
  <c r="W109" i="10"/>
  <c r="Z109" i="10" s="1"/>
  <c r="W108" i="10"/>
  <c r="T108" i="10"/>
  <c r="Z107" i="10"/>
  <c r="W106" i="10"/>
  <c r="T106" i="10"/>
  <c r="W105" i="10"/>
  <c r="T105" i="10"/>
  <c r="W104" i="10"/>
  <c r="Z104" i="10" s="1"/>
  <c r="W103" i="10"/>
  <c r="T103" i="10"/>
  <c r="W102" i="10"/>
  <c r="T102" i="10"/>
  <c r="Z101" i="10"/>
  <c r="Z100" i="10"/>
  <c r="W99" i="10"/>
  <c r="T99" i="10"/>
  <c r="Z98" i="10"/>
  <c r="Z97" i="10"/>
  <c r="W95" i="10"/>
  <c r="T95" i="10"/>
  <c r="W94" i="10"/>
  <c r="T94" i="10"/>
  <c r="W93" i="10"/>
  <c r="T93" i="10"/>
  <c r="W92" i="10"/>
  <c r="T92" i="10"/>
  <c r="W91" i="10"/>
  <c r="T91" i="10"/>
  <c r="Z90" i="10"/>
  <c r="Z89" i="10"/>
  <c r="W88" i="10"/>
  <c r="T88" i="10"/>
  <c r="Z87" i="10"/>
  <c r="W86" i="10"/>
  <c r="T86" i="10"/>
  <c r="W85" i="10"/>
  <c r="T85" i="10"/>
  <c r="Z84" i="10"/>
  <c r="Z83" i="10"/>
  <c r="Z82" i="10"/>
  <c r="Z81" i="10"/>
  <c r="Z80" i="10"/>
  <c r="W79" i="10"/>
  <c r="T79" i="10"/>
  <c r="W78" i="10"/>
  <c r="T78" i="10"/>
  <c r="Z77" i="10"/>
  <c r="Z76" i="10"/>
  <c r="Z75" i="10"/>
  <c r="Z74" i="10"/>
  <c r="Z73" i="10"/>
  <c r="W72" i="10"/>
  <c r="T72" i="10"/>
  <c r="Z71" i="10"/>
  <c r="Z70" i="10"/>
  <c r="Z68" i="10"/>
  <c r="W67" i="10"/>
  <c r="Z67" i="10" s="1"/>
  <c r="W66" i="10"/>
  <c r="Z66" i="10" s="1"/>
  <c r="W65" i="10"/>
  <c r="T65" i="10"/>
  <c r="Z64" i="10"/>
  <c r="Z63" i="10"/>
  <c r="W62" i="10"/>
  <c r="Z62" i="10" s="1"/>
  <c r="W61" i="10"/>
  <c r="T61" i="10"/>
  <c r="W60" i="10"/>
  <c r="T60" i="10"/>
  <c r="Z59" i="10"/>
  <c r="Z58" i="10"/>
  <c r="Z57" i="10"/>
  <c r="Z56" i="10"/>
  <c r="Z55" i="10"/>
  <c r="Z54" i="10"/>
  <c r="Z53" i="10"/>
  <c r="W52" i="10"/>
  <c r="T52" i="10"/>
  <c r="W51" i="10"/>
  <c r="T51" i="10"/>
  <c r="W50" i="10"/>
  <c r="T50" i="10"/>
  <c r="W49" i="10"/>
  <c r="Z49" i="10" s="1"/>
  <c r="W48" i="10"/>
  <c r="Z48" i="10" s="1"/>
  <c r="W47" i="10"/>
  <c r="T47" i="10"/>
  <c r="W46" i="10"/>
  <c r="T46" i="10"/>
  <c r="W45" i="10"/>
  <c r="T45" i="10"/>
  <c r="W44" i="10"/>
  <c r="T44" i="10"/>
  <c r="Z41" i="10"/>
  <c r="W40" i="10"/>
  <c r="T40" i="10"/>
  <c r="W38" i="10"/>
  <c r="Z38" i="10" s="1"/>
  <c r="W37" i="10"/>
  <c r="T37" i="10"/>
  <c r="W35" i="10"/>
  <c r="T35" i="10"/>
  <c r="W34" i="10"/>
  <c r="T34" i="10"/>
  <c r="W33" i="10"/>
  <c r="T33" i="10"/>
  <c r="W32" i="10"/>
  <c r="T32" i="10"/>
  <c r="W31" i="10"/>
  <c r="T31" i="10"/>
  <c r="W29" i="10"/>
  <c r="T29" i="10"/>
  <c r="W27" i="10"/>
  <c r="T27" i="10"/>
  <c r="Z26" i="10"/>
  <c r="W25" i="10"/>
  <c r="T25" i="10"/>
  <c r="W24" i="10"/>
  <c r="T24" i="10"/>
  <c r="W23" i="10"/>
  <c r="T23" i="10"/>
  <c r="W22" i="10"/>
  <c r="T22" i="10"/>
  <c r="W21" i="10"/>
  <c r="T21" i="10"/>
  <c r="Z20" i="10"/>
  <c r="W19" i="10"/>
  <c r="T19" i="10"/>
  <c r="Z18" i="10"/>
  <c r="W17" i="10"/>
  <c r="T17" i="10"/>
  <c r="W16" i="10"/>
  <c r="Z16" i="10" s="1"/>
  <c r="Z15" i="10"/>
  <c r="Z14" i="10"/>
  <c r="Z13" i="10"/>
  <c r="W12" i="10"/>
  <c r="Z12" i="10" s="1"/>
  <c r="W11" i="10"/>
  <c r="T11" i="10"/>
  <c r="W10" i="10"/>
  <c r="T10" i="10"/>
  <c r="W9" i="10"/>
  <c r="T9" i="10"/>
  <c r="W8" i="10"/>
  <c r="T8" i="10"/>
  <c r="Z6" i="10"/>
  <c r="Q2" i="10"/>
  <c r="A1" i="10"/>
  <c r="N2" i="25"/>
  <c r="A1" i="25"/>
  <c r="J70" i="27"/>
  <c r="J64" i="27"/>
  <c r="J55" i="27"/>
  <c r="J42" i="27"/>
  <c r="J37" i="27"/>
  <c r="J28" i="27"/>
  <c r="J22" i="27"/>
  <c r="J21" i="27"/>
  <c r="J14" i="27"/>
  <c r="I10" i="27"/>
  <c r="D10" i="27"/>
  <c r="M14" i="25" s="1"/>
  <c r="G21" i="25" s="1"/>
  <c r="G3" i="27"/>
  <c r="B2" i="27"/>
  <c r="M13" i="28"/>
  <c r="K13" i="28"/>
  <c r="M12" i="28"/>
  <c r="K12" i="28"/>
  <c r="L3" i="28"/>
  <c r="B2" i="28"/>
  <c r="M31" i="29"/>
  <c r="K31" i="29"/>
  <c r="M30" i="29"/>
  <c r="K30" i="29"/>
  <c r="M29" i="29"/>
  <c r="K29" i="29"/>
  <c r="M28" i="29"/>
  <c r="K28" i="29"/>
  <c r="M27" i="29"/>
  <c r="K27" i="29"/>
  <c r="M19" i="29"/>
  <c r="K19" i="29"/>
  <c r="M17" i="29"/>
  <c r="K17" i="29"/>
  <c r="M16" i="29"/>
  <c r="K16" i="29"/>
  <c r="M15" i="29"/>
  <c r="K15" i="29"/>
  <c r="M14" i="29"/>
  <c r="K14" i="29"/>
  <c r="M13" i="29"/>
  <c r="K13" i="29"/>
  <c r="M12" i="29"/>
  <c r="K12" i="29"/>
  <c r="I12" i="29"/>
  <c r="L3" i="29"/>
  <c r="B2" i="29"/>
  <c r="L3" i="30"/>
  <c r="B2" i="30"/>
  <c r="M33" i="31"/>
  <c r="O33" i="31" s="1"/>
  <c r="M32" i="31"/>
  <c r="O32" i="31" s="1"/>
  <c r="M30" i="31"/>
  <c r="O30" i="31" s="1"/>
  <c r="M29" i="31"/>
  <c r="O29" i="31" s="1"/>
  <c r="M28" i="31"/>
  <c r="O28" i="31" s="1"/>
  <c r="K15" i="30"/>
  <c r="M20" i="31"/>
  <c r="M19" i="31"/>
  <c r="M18" i="31"/>
  <c r="M17" i="31"/>
  <c r="M16" i="31"/>
  <c r="M15" i="31"/>
  <c r="M14" i="31"/>
  <c r="L3" i="31"/>
  <c r="B2" i="31"/>
  <c r="K186" i="24"/>
  <c r="W176" i="24"/>
  <c r="W175" i="24"/>
  <c r="W173" i="24"/>
  <c r="W172" i="24"/>
  <c r="W171" i="24"/>
  <c r="W170" i="24"/>
  <c r="W169" i="24"/>
  <c r="W168" i="24"/>
  <c r="W167" i="24"/>
  <c r="W166" i="24"/>
  <c r="W165" i="24"/>
  <c r="W164" i="24"/>
  <c r="W163" i="24"/>
  <c r="W162" i="24"/>
  <c r="W161" i="24"/>
  <c r="W160" i="24"/>
  <c r="W159" i="24"/>
  <c r="W158" i="24"/>
  <c r="W157" i="24"/>
  <c r="W155" i="24"/>
  <c r="W154" i="24"/>
  <c r="W153" i="24"/>
  <c r="W152" i="24"/>
  <c r="W151" i="24"/>
  <c r="W150" i="24"/>
  <c r="W149" i="24"/>
  <c r="S146" i="24"/>
  <c r="S145" i="24"/>
  <c r="S144" i="24"/>
  <c r="R144" i="24"/>
  <c r="W144" i="24" s="1"/>
  <c r="W141" i="24"/>
  <c r="W140" i="24"/>
  <c r="W138" i="24"/>
  <c r="W135" i="24"/>
  <c r="W134" i="24"/>
  <c r="W133" i="24"/>
  <c r="M186" i="24"/>
  <c r="T39" i="23" s="1"/>
  <c r="K185" i="24"/>
  <c r="J96" i="24"/>
  <c r="AE152" i="20"/>
  <c r="AC100" i="20"/>
  <c r="AB123" i="20"/>
  <c r="AA121" i="20"/>
  <c r="Z125" i="20"/>
  <c r="Y127" i="20"/>
  <c r="U143" i="20"/>
  <c r="T141" i="20"/>
  <c r="J37" i="24"/>
  <c r="X62" i="20"/>
  <c r="W60" i="20"/>
  <c r="S46" i="20"/>
  <c r="O41" i="20"/>
  <c r="F41" i="20" s="1"/>
  <c r="N21" i="20"/>
  <c r="J18" i="24"/>
  <c r="M13" i="24"/>
  <c r="A12" i="24"/>
  <c r="K7" i="23"/>
  <c r="I162" i="53" l="1"/>
  <c r="I161" i="53"/>
  <c r="I160" i="53"/>
  <c r="I159" i="53"/>
  <c r="I145" i="53"/>
  <c r="I141" i="53"/>
  <c r="I140" i="53"/>
  <c r="I132" i="53"/>
  <c r="I120" i="53"/>
  <c r="I100" i="53"/>
  <c r="I46" i="53"/>
  <c r="I39" i="53"/>
  <c r="I30" i="53"/>
  <c r="I25" i="53"/>
  <c r="I176" i="53"/>
  <c r="I168" i="53"/>
  <c r="I167" i="53"/>
  <c r="I158" i="53"/>
  <c r="I157" i="53"/>
  <c r="I156" i="53"/>
  <c r="I155" i="53"/>
  <c r="I139" i="53"/>
  <c r="I135" i="53"/>
  <c r="I134" i="53"/>
  <c r="I102" i="53"/>
  <c r="I47" i="53"/>
  <c r="I41" i="53"/>
  <c r="I32" i="53"/>
  <c r="I27" i="53"/>
  <c r="I20" i="53"/>
  <c r="I22" i="53"/>
  <c r="I177" i="53"/>
  <c r="I165" i="53"/>
  <c r="I154" i="53"/>
  <c r="I153" i="53"/>
  <c r="I152" i="53"/>
  <c r="I151" i="53"/>
  <c r="I147" i="53"/>
  <c r="I146" i="53"/>
  <c r="I131" i="53"/>
  <c r="I130" i="53"/>
  <c r="I129" i="53"/>
  <c r="I96" i="53"/>
  <c r="I76" i="53"/>
  <c r="I74" i="53"/>
  <c r="I72" i="53"/>
  <c r="I62" i="53"/>
  <c r="I43" i="53"/>
  <c r="I28" i="53"/>
  <c r="I163" i="53"/>
  <c r="I150" i="53"/>
  <c r="I144" i="53"/>
  <c r="I18" i="53"/>
  <c r="I148" i="53"/>
  <c r="I45" i="53"/>
  <c r="I23" i="53"/>
  <c r="I143" i="53"/>
  <c r="I98" i="53"/>
  <c r="I66" i="53"/>
  <c r="I29" i="53"/>
  <c r="I149" i="53"/>
  <c r="I37" i="53"/>
  <c r="O20" i="36"/>
  <c r="O223" i="47"/>
  <c r="O216" i="47" s="1"/>
  <c r="O215" i="47" s="1"/>
  <c r="K151" i="47"/>
  <c r="K157" i="47" s="1"/>
  <c r="K149" i="47" s="1"/>
  <c r="G157" i="47"/>
  <c r="G149" i="47" s="1"/>
  <c r="O17" i="31"/>
  <c r="K14" i="30"/>
  <c r="O14" i="30" s="1"/>
  <c r="I44" i="27"/>
  <c r="O14" i="36"/>
  <c r="O16" i="36"/>
  <c r="O18" i="36"/>
  <c r="O28" i="36"/>
  <c r="C17" i="51"/>
  <c r="G17" i="51"/>
  <c r="G30" i="51"/>
  <c r="O157" i="47"/>
  <c r="O149" i="47" s="1"/>
  <c r="O19" i="31"/>
  <c r="O20" i="31"/>
  <c r="O17" i="36"/>
  <c r="S190" i="47"/>
  <c r="S182" i="47" s="1"/>
  <c r="K223" i="47"/>
  <c r="K216" i="47" s="1"/>
  <c r="K215" i="47" s="1"/>
  <c r="D17" i="51"/>
  <c r="G48" i="20"/>
  <c r="G49" i="20" s="1"/>
  <c r="F48" i="20" s="1"/>
  <c r="M19" i="26"/>
  <c r="G50" i="26"/>
  <c r="M50" i="26"/>
  <c r="P50" i="26"/>
  <c r="J50" i="26"/>
  <c r="D50" i="26"/>
  <c r="O14" i="29"/>
  <c r="Z21" i="10"/>
  <c r="Z25" i="10"/>
  <c r="M3886" i="8"/>
  <c r="N3849" i="8" s="1"/>
  <c r="L100" i="7" s="1"/>
  <c r="W61" i="20"/>
  <c r="F60" i="20" s="1"/>
  <c r="M2907" i="8"/>
  <c r="H2898" i="8" s="1"/>
  <c r="J3" i="27"/>
  <c r="K1697" i="8" s="1"/>
  <c r="J72" i="27"/>
  <c r="J73" i="27" s="1"/>
  <c r="I3" i="27" s="1"/>
  <c r="G223" i="47"/>
  <c r="G216" i="47" s="1"/>
  <c r="G215" i="47" s="1"/>
  <c r="J19" i="26"/>
  <c r="I177" i="24"/>
  <c r="I120" i="24"/>
  <c r="T217" i="20"/>
  <c r="F216" i="20" s="1"/>
  <c r="C13" i="51"/>
  <c r="C14" i="51" s="1"/>
  <c r="E13" i="51"/>
  <c r="E14" i="51" s="1"/>
  <c r="G13" i="51"/>
  <c r="G14" i="51" s="1"/>
  <c r="D19" i="26"/>
  <c r="P19" i="26"/>
  <c r="S147" i="24"/>
  <c r="S148" i="24" s="1"/>
  <c r="O35" i="31"/>
  <c r="O16" i="29"/>
  <c r="O27" i="29"/>
  <c r="O28" i="29"/>
  <c r="O29" i="29"/>
  <c r="O30" i="29"/>
  <c r="O31" i="29"/>
  <c r="G19" i="26"/>
  <c r="B13" i="51"/>
  <c r="B14" i="51" s="1"/>
  <c r="D13" i="51"/>
  <c r="D14" i="51" s="1"/>
  <c r="F13" i="51"/>
  <c r="F14" i="51" s="1"/>
  <c r="O21" i="36"/>
  <c r="M29" i="36"/>
  <c r="O29" i="36" s="1"/>
  <c r="M33" i="36"/>
  <c r="O33" i="36" s="1"/>
  <c r="O13" i="28"/>
  <c r="O12" i="28"/>
  <c r="O15" i="30"/>
  <c r="O19" i="29"/>
  <c r="O17" i="29"/>
  <c r="O13" i="29"/>
  <c r="O15" i="29"/>
  <c r="O12" i="29"/>
  <c r="O14" i="31"/>
  <c r="O15" i="31"/>
  <c r="O16" i="31"/>
  <c r="O18" i="31"/>
  <c r="O23" i="28"/>
  <c r="O112" i="20"/>
  <c r="AH203" i="20"/>
  <c r="F202" i="20" s="1"/>
  <c r="R211" i="20"/>
  <c r="F210" i="20" s="1"/>
  <c r="V231" i="20"/>
  <c r="F230" i="20" s="1"/>
  <c r="V235" i="20"/>
  <c r="F234" i="20" s="1"/>
  <c r="V239" i="20"/>
  <c r="F238" i="20" s="1"/>
  <c r="W243" i="20"/>
  <c r="F242" i="20" s="1"/>
  <c r="W247" i="20"/>
  <c r="F246" i="20" s="1"/>
  <c r="W251" i="20"/>
  <c r="F250" i="20" s="1"/>
  <c r="M169" i="20"/>
  <c r="F168" i="20" s="1"/>
  <c r="AB72" i="20"/>
  <c r="F71" i="20" s="1"/>
  <c r="F70" i="20" s="1"/>
  <c r="S213" i="20"/>
  <c r="F212" i="20" s="1"/>
  <c r="V229" i="20"/>
  <c r="F228" i="20" s="1"/>
  <c r="V233" i="20"/>
  <c r="F232" i="20" s="1"/>
  <c r="V237" i="20"/>
  <c r="F236" i="20" s="1"/>
  <c r="V241" i="20"/>
  <c r="F240" i="20" s="1"/>
  <c r="W245" i="20"/>
  <c r="F244" i="20" s="1"/>
  <c r="W249" i="20"/>
  <c r="F248" i="20" s="1"/>
  <c r="AA282" i="20"/>
  <c r="F281" i="20" s="1"/>
  <c r="T142" i="20"/>
  <c r="F141" i="20" s="1"/>
  <c r="M3859" i="8"/>
  <c r="J3849" i="8" s="1"/>
  <c r="F3849" i="8" s="1"/>
  <c r="M3361" i="8"/>
  <c r="J3348" i="8" s="1"/>
  <c r="J88" i="7" s="1"/>
  <c r="M3444" i="8"/>
  <c r="J3435" i="8" s="1"/>
  <c r="J90" i="7" s="1"/>
  <c r="M3526" i="8"/>
  <c r="J3517" i="8" s="1"/>
  <c r="J92" i="7" s="1"/>
  <c r="M3610" i="8"/>
  <c r="J3600" i="8" s="1"/>
  <c r="J94" i="7" s="1"/>
  <c r="M3777" i="8"/>
  <c r="M3485" i="8"/>
  <c r="J3476" i="8" s="1"/>
  <c r="J91" i="7" s="1"/>
  <c r="M3652" i="8"/>
  <c r="J3642" i="8" s="1"/>
  <c r="J95" i="7" s="1"/>
  <c r="M3817" i="8"/>
  <c r="I3830" i="8" s="1"/>
  <c r="M3830" i="8" s="1"/>
  <c r="M3835" i="8" s="1"/>
  <c r="L3809" i="8" s="1"/>
  <c r="K99" i="7" s="1"/>
  <c r="M3568" i="8"/>
  <c r="J3558" i="8" s="1"/>
  <c r="J93" i="7" s="1"/>
  <c r="M2261" i="8"/>
  <c r="J2249" i="8" s="1"/>
  <c r="J62" i="7" s="1"/>
  <c r="M2349" i="8"/>
  <c r="M3152" i="8"/>
  <c r="J3144" i="8" s="1"/>
  <c r="J83" i="7" s="1"/>
  <c r="M3316" i="8"/>
  <c r="J3307" i="8" s="1"/>
  <c r="M2786" i="8"/>
  <c r="J2777" i="8" s="1"/>
  <c r="J74" i="7" s="1"/>
  <c r="M2305" i="8"/>
  <c r="M3193" i="8"/>
  <c r="M3206" i="8" s="1"/>
  <c r="M2569" i="8"/>
  <c r="J2557" i="8" s="1"/>
  <c r="J69" i="7" s="1"/>
  <c r="M2745" i="8"/>
  <c r="J2733" i="8" s="1"/>
  <c r="J73" i="7" s="1"/>
  <c r="M2393" i="8"/>
  <c r="M2437" i="8"/>
  <c r="J2425" i="8" s="1"/>
  <c r="J66" i="7" s="1"/>
  <c r="M2525" i="8"/>
  <c r="J2513" i="8" s="1"/>
  <c r="J68" i="7" s="1"/>
  <c r="M2613" i="8"/>
  <c r="J2601" i="8" s="1"/>
  <c r="J70" i="7" s="1"/>
  <c r="M2988" i="8"/>
  <c r="H2979" i="8" s="1"/>
  <c r="M2947" i="8"/>
  <c r="J2939" i="8" s="1"/>
  <c r="J78" i="7" s="1"/>
  <c r="M2866" i="8"/>
  <c r="J2858" i="8" s="1"/>
  <c r="J76" i="7" s="1"/>
  <c r="M2826" i="8"/>
  <c r="J2818" i="8" s="1"/>
  <c r="M2701" i="8"/>
  <c r="M2657" i="8"/>
  <c r="J2645" i="8" s="1"/>
  <c r="J71" i="7" s="1"/>
  <c r="M2481" i="8"/>
  <c r="J2469" i="8" s="1"/>
  <c r="J67" i="7" s="1"/>
  <c r="M2049" i="8"/>
  <c r="H2040" i="8" s="1"/>
  <c r="M1841" i="8"/>
  <c r="J1831" i="8" s="1"/>
  <c r="J52" i="7" s="1"/>
  <c r="M3877" i="8"/>
  <c r="L3849" i="8" s="1"/>
  <c r="M1883" i="8"/>
  <c r="J1873" i="8" s="1"/>
  <c r="J53" i="7" s="1"/>
  <c r="Y128" i="20"/>
  <c r="F127" i="20" s="1"/>
  <c r="Z8" i="10"/>
  <c r="Z10" i="10"/>
  <c r="Z17" i="10"/>
  <c r="Z32" i="10"/>
  <c r="Z34" i="10"/>
  <c r="Z61" i="10"/>
  <c r="M1675" i="8"/>
  <c r="M1693" i="8" s="1"/>
  <c r="L1665" i="8" s="1"/>
  <c r="K48" i="7" s="1"/>
  <c r="M1633" i="8"/>
  <c r="J1621" i="8" s="1"/>
  <c r="J47" i="7" s="1"/>
  <c r="M1589" i="8"/>
  <c r="J1577" i="8" s="1"/>
  <c r="J46" i="7" s="1"/>
  <c r="Z126" i="20"/>
  <c r="F125" i="20" s="1"/>
  <c r="AE153" i="20"/>
  <c r="F152" i="20" s="1"/>
  <c r="F151" i="20" s="1"/>
  <c r="U144" i="20"/>
  <c r="F143" i="20" s="1"/>
  <c r="M1115" i="8"/>
  <c r="J1105" i="8" s="1"/>
  <c r="J35" i="7" s="1"/>
  <c r="M1375" i="8"/>
  <c r="J1363" i="8" s="1"/>
  <c r="J41" i="7" s="1"/>
  <c r="M1419" i="8"/>
  <c r="J1407" i="8" s="1"/>
  <c r="J42" i="7" s="1"/>
  <c r="M1461" i="8"/>
  <c r="J1451" i="8" s="1"/>
  <c r="J43" i="7" s="1"/>
  <c r="M1031" i="8"/>
  <c r="J1021" i="8" s="1"/>
  <c r="J33" i="7" s="1"/>
  <c r="M1247" i="8"/>
  <c r="J1235" i="8" s="1"/>
  <c r="J38" i="7" s="1"/>
  <c r="M1159" i="8"/>
  <c r="J1147" i="8" s="1"/>
  <c r="J36" i="7" s="1"/>
  <c r="M1203" i="8"/>
  <c r="J1191" i="8" s="1"/>
  <c r="J37" i="7" s="1"/>
  <c r="M1503" i="8"/>
  <c r="J1493" i="8" s="1"/>
  <c r="J44" i="7" s="1"/>
  <c r="M989" i="8"/>
  <c r="J979" i="8" s="1"/>
  <c r="J32" i="7" s="1"/>
  <c r="M1073" i="8"/>
  <c r="J1063" i="8" s="1"/>
  <c r="J34" i="7" s="1"/>
  <c r="M1331" i="8"/>
  <c r="J1319" i="8" s="1"/>
  <c r="J40" i="7" s="1"/>
  <c r="M947" i="8"/>
  <c r="J937" i="8" s="1"/>
  <c r="J31" i="7" s="1"/>
  <c r="M860" i="8"/>
  <c r="J847" i="8" s="1"/>
  <c r="J29" i="7" s="1"/>
  <c r="M3398" i="8"/>
  <c r="M3403" i="8" s="1"/>
  <c r="M815" i="8"/>
  <c r="J802" i="8" s="1"/>
  <c r="J28" i="7" s="1"/>
  <c r="M2235" i="8"/>
  <c r="L2207" i="8" s="1"/>
  <c r="K61" i="7" s="1"/>
  <c r="M2844" i="8"/>
  <c r="L2818" i="8" s="1"/>
  <c r="K75" i="7" s="1"/>
  <c r="M3046" i="8"/>
  <c r="L3020" i="8" s="1"/>
  <c r="M770" i="8"/>
  <c r="J758" i="8" s="1"/>
  <c r="J27" i="7" s="1"/>
  <c r="M3670" i="8"/>
  <c r="L3642" i="8" s="1"/>
  <c r="M3712" i="8"/>
  <c r="L3684" i="8" s="1"/>
  <c r="M2007" i="8"/>
  <c r="M2088" i="8"/>
  <c r="M2130" i="8"/>
  <c r="M1349" i="8"/>
  <c r="L1319" i="8" s="1"/>
  <c r="K40" i="7" s="1"/>
  <c r="M1393" i="8"/>
  <c r="L1363" i="8" s="1"/>
  <c r="K41" i="7" s="1"/>
  <c r="M1437" i="8"/>
  <c r="L1407" i="8" s="1"/>
  <c r="K42" i="7" s="1"/>
  <c r="M1521" i="8"/>
  <c r="L1493" i="8" s="1"/>
  <c r="K44" i="7" s="1"/>
  <c r="M1607" i="8"/>
  <c r="L1577" i="8" s="1"/>
  <c r="K46" i="7" s="1"/>
  <c r="M3280" i="8"/>
  <c r="M833" i="8"/>
  <c r="L802" i="8" s="1"/>
  <c r="K28" i="7" s="1"/>
  <c r="M31" i="8"/>
  <c r="L4" i="8" s="1"/>
  <c r="K9" i="7" s="1"/>
  <c r="M199" i="8"/>
  <c r="L171" i="8" s="1"/>
  <c r="K13" i="7" s="1"/>
  <c r="M241" i="8"/>
  <c r="L213" i="8" s="1"/>
  <c r="K14" i="7" s="1"/>
  <c r="M726" i="8"/>
  <c r="J716" i="8" s="1"/>
  <c r="J26" i="7" s="1"/>
  <c r="M1479" i="8"/>
  <c r="L1451" i="8" s="1"/>
  <c r="K43" i="7" s="1"/>
  <c r="M1563" i="8"/>
  <c r="L1535" i="8" s="1"/>
  <c r="K45" i="7" s="1"/>
  <c r="M1651" i="8"/>
  <c r="L1621" i="8" s="1"/>
  <c r="K47" i="7" s="1"/>
  <c r="M1729" i="8"/>
  <c r="M1805" i="8"/>
  <c r="M2100" i="8"/>
  <c r="H2081" i="8" s="1"/>
  <c r="I58" i="7" s="1"/>
  <c r="M3200" i="8"/>
  <c r="M113" i="8"/>
  <c r="L86" i="8" s="1"/>
  <c r="K11" i="7" s="1"/>
  <c r="M157" i="8"/>
  <c r="L127" i="8" s="1"/>
  <c r="K12" i="7" s="1"/>
  <c r="M282" i="8"/>
  <c r="L255" i="8" s="1"/>
  <c r="K15" i="7" s="1"/>
  <c r="M684" i="8"/>
  <c r="H674" i="8" s="1"/>
  <c r="M965" i="8"/>
  <c r="L937" i="8" s="1"/>
  <c r="K31" i="7" s="1"/>
  <c r="M1049" i="8"/>
  <c r="L1021" i="8" s="1"/>
  <c r="K33" i="7" s="1"/>
  <c r="M1177" i="8"/>
  <c r="L1147" i="8" s="1"/>
  <c r="K36" i="7" s="1"/>
  <c r="M1771" i="8"/>
  <c r="M1804" i="8"/>
  <c r="M2026" i="8"/>
  <c r="H1998" i="8" s="1"/>
  <c r="I56" i="7" s="1"/>
  <c r="M2109" i="8"/>
  <c r="L2081" i="8" s="1"/>
  <c r="K58" i="7" s="1"/>
  <c r="M2193" i="8"/>
  <c r="L2166" i="8" s="1"/>
  <c r="K60" i="7" s="1"/>
  <c r="M2884" i="8"/>
  <c r="L2858" i="8" s="1"/>
  <c r="K76" i="7" s="1"/>
  <c r="M2965" i="8"/>
  <c r="L2939" i="8" s="1"/>
  <c r="M3281" i="8"/>
  <c r="M3289" i="8"/>
  <c r="M2128" i="8"/>
  <c r="M2132" i="8"/>
  <c r="M3109" i="8"/>
  <c r="M3113" i="8" s="1"/>
  <c r="J3103" i="8" s="1"/>
  <c r="J82" i="7" s="1"/>
  <c r="M3131" i="8"/>
  <c r="L3103" i="8" s="1"/>
  <c r="K82" i="7" s="1"/>
  <c r="M3252" i="8"/>
  <c r="L3224" i="8" s="1"/>
  <c r="K85" i="7" s="1"/>
  <c r="M3628" i="8"/>
  <c r="L3600" i="8" s="1"/>
  <c r="K94" i="7" s="1"/>
  <c r="M3868" i="8"/>
  <c r="H3849" i="8" s="1"/>
  <c r="M1007" i="8"/>
  <c r="L979" i="8" s="1"/>
  <c r="K32" i="7" s="1"/>
  <c r="M1221" i="8"/>
  <c r="L1191" i="8" s="1"/>
  <c r="K37" i="7" s="1"/>
  <c r="M1265" i="8"/>
  <c r="L1235" i="8" s="1"/>
  <c r="K38" i="7" s="1"/>
  <c r="M1984" i="8"/>
  <c r="L1956" i="8" s="1"/>
  <c r="K55" i="7" s="1"/>
  <c r="M3329" i="8"/>
  <c r="M3334" i="8" s="1"/>
  <c r="L3307" i="8" s="1"/>
  <c r="K87" i="7" s="1"/>
  <c r="M3754" i="8"/>
  <c r="L3726" i="8" s="1"/>
  <c r="K97" i="7" s="1"/>
  <c r="M783" i="8"/>
  <c r="M788" i="8" s="1"/>
  <c r="L758" i="8" s="1"/>
  <c r="K27" i="7" s="1"/>
  <c r="M642" i="8"/>
  <c r="J632" i="8" s="1"/>
  <c r="J24" i="7" s="1"/>
  <c r="Z11" i="10"/>
  <c r="Z31" i="10"/>
  <c r="Z35" i="10"/>
  <c r="Z47" i="10"/>
  <c r="Z105" i="10"/>
  <c r="Z119" i="10"/>
  <c r="Z9" i="10"/>
  <c r="Z24" i="10"/>
  <c r="Z27" i="10"/>
  <c r="Z33" i="10"/>
  <c r="Z85" i="10"/>
  <c r="Z103" i="10"/>
  <c r="M390" i="8"/>
  <c r="J381" i="8" s="1"/>
  <c r="J18" i="7" s="1"/>
  <c r="Z19" i="10"/>
  <c r="Z23" i="10"/>
  <c r="Z40" i="10"/>
  <c r="Z51" i="10"/>
  <c r="Z60" i="10"/>
  <c r="Z65" i="10"/>
  <c r="Z88" i="10"/>
  <c r="Z93" i="10"/>
  <c r="Z102" i="10"/>
  <c r="M516" i="8"/>
  <c r="I529" i="8" s="1"/>
  <c r="M529" i="8" s="1"/>
  <c r="M534" i="8" s="1"/>
  <c r="L506" i="8" s="1"/>
  <c r="K21" i="7" s="1"/>
  <c r="M432" i="8"/>
  <c r="J422" i="8" s="1"/>
  <c r="J19" i="7" s="1"/>
  <c r="M618" i="8"/>
  <c r="L590" i="8" s="1"/>
  <c r="K23" i="7" s="1"/>
  <c r="M487" i="8"/>
  <c r="M1086" i="8"/>
  <c r="M1091" i="8" s="1"/>
  <c r="L1063" i="8" s="1"/>
  <c r="K34" i="7" s="1"/>
  <c r="M2006" i="8"/>
  <c r="M2090" i="8"/>
  <c r="M2127" i="8"/>
  <c r="M2131" i="8"/>
  <c r="M3165" i="8"/>
  <c r="M3170" i="8" s="1"/>
  <c r="L3144" i="8" s="1"/>
  <c r="K83" i="7" s="1"/>
  <c r="Z95" i="10"/>
  <c r="M576" i="8"/>
  <c r="L548" i="8" s="1"/>
  <c r="K22" i="7" s="1"/>
  <c r="M1813" i="8"/>
  <c r="M1854" i="8"/>
  <c r="M1859" i="8" s="1"/>
  <c r="L1831" i="8" s="1"/>
  <c r="K52" i="7" s="1"/>
  <c r="M2086" i="8"/>
  <c r="M2129" i="8"/>
  <c r="M2157" i="8"/>
  <c r="G9" i="25"/>
  <c r="H24" i="25" s="1"/>
  <c r="G15" i="25"/>
  <c r="G19" i="25"/>
  <c r="G12" i="25"/>
  <c r="H51" i="25" s="1"/>
  <c r="G10" i="25"/>
  <c r="K24" i="25" s="1"/>
  <c r="G13" i="25"/>
  <c r="H52" i="25" s="1"/>
  <c r="G16" i="25"/>
  <c r="G20" i="25"/>
  <c r="G18" i="25"/>
  <c r="G11" i="25"/>
  <c r="N24" i="25" s="1"/>
  <c r="G14" i="25"/>
  <c r="G17" i="25"/>
  <c r="Z37" i="10"/>
  <c r="Z86" i="10"/>
  <c r="Z99" i="10"/>
  <c r="Z108" i="10"/>
  <c r="Z44" i="10"/>
  <c r="Z46" i="10"/>
  <c r="Z78" i="10"/>
  <c r="Z92" i="10"/>
  <c r="Z106" i="10"/>
  <c r="Z22" i="10"/>
  <c r="Z29" i="10"/>
  <c r="Z45" i="10"/>
  <c r="Z50" i="10"/>
  <c r="Z52" i="10"/>
  <c r="Z72" i="10"/>
  <c r="Z79" i="10"/>
  <c r="Z91" i="10"/>
  <c r="Z94" i="10"/>
  <c r="S47" i="20"/>
  <c r="F46" i="20" s="1"/>
  <c r="AC101" i="20"/>
  <c r="F100" i="20" s="1"/>
  <c r="AB124" i="20"/>
  <c r="F123" i="20" s="1"/>
  <c r="AR271" i="20"/>
  <c r="AA122" i="20"/>
  <c r="F121" i="20" s="1"/>
  <c r="X63" i="20"/>
  <c r="F62" i="20" s="1"/>
  <c r="W199" i="20"/>
  <c r="V199" i="20"/>
  <c r="F198" i="20" s="1"/>
  <c r="AJ209" i="20"/>
  <c r="O167" i="20"/>
  <c r="F166" i="20" s="1"/>
  <c r="X173" i="20"/>
  <c r="AR173" i="20"/>
  <c r="G192" i="20"/>
  <c r="F191" i="20" s="1"/>
  <c r="M95" i="8"/>
  <c r="J86" i="8" s="1"/>
  <c r="J11" i="7" s="1"/>
  <c r="M474" i="8"/>
  <c r="J464" i="8" s="1"/>
  <c r="J20" i="7" s="1"/>
  <c r="Q15" i="20"/>
  <c r="R24" i="20"/>
  <c r="F23" i="20" s="1"/>
  <c r="AA67" i="20"/>
  <c r="O82" i="20"/>
  <c r="N84" i="20"/>
  <c r="N90" i="20"/>
  <c r="O110" i="20"/>
  <c r="F109" i="20" s="1"/>
  <c r="R118" i="20"/>
  <c r="F117" i="20" s="1"/>
  <c r="H67" i="7"/>
  <c r="M1799" i="8"/>
  <c r="J1789" i="8" s="1"/>
  <c r="J51" i="7" s="1"/>
  <c r="M1966" i="8"/>
  <c r="J1956" i="8" s="1"/>
  <c r="J55" i="7" s="1"/>
  <c r="M2003" i="8"/>
  <c r="M3234" i="8"/>
  <c r="J3224" i="8" s="1"/>
  <c r="J85" i="7" s="1"/>
  <c r="O84" i="20"/>
  <c r="O90" i="20"/>
  <c r="X215" i="20"/>
  <c r="AR215" i="20"/>
  <c r="M223" i="8"/>
  <c r="J213" i="8" s="1"/>
  <c r="J14" i="7" s="1"/>
  <c r="X221" i="20"/>
  <c r="L165" i="20"/>
  <c r="F164" i="20" s="1"/>
  <c r="X175" i="20"/>
  <c r="M3275" i="8"/>
  <c r="J3265" i="8" s="1"/>
  <c r="J86" i="7" s="1"/>
  <c r="M1288" i="8"/>
  <c r="J1279" i="8" s="1"/>
  <c r="J39" i="7" s="1"/>
  <c r="M2217" i="8"/>
  <c r="J2207" i="8" s="1"/>
  <c r="J61" i="7" s="1"/>
  <c r="R18" i="20"/>
  <c r="F17" i="20" s="1"/>
  <c r="P22" i="20"/>
  <c r="P40" i="20"/>
  <c r="F39" i="20" s="1"/>
  <c r="AA45" i="20"/>
  <c r="F44" i="20" s="1"/>
  <c r="Q57" i="20"/>
  <c r="F56" i="20" s="1"/>
  <c r="P82" i="20"/>
  <c r="N86" i="20"/>
  <c r="U219" i="20"/>
  <c r="F218" i="20" s="1"/>
  <c r="V227" i="20"/>
  <c r="F226" i="20" s="1"/>
  <c r="N22" i="20"/>
  <c r="F21" i="20" s="1"/>
  <c r="M54" i="8"/>
  <c r="J45" i="8" s="1"/>
  <c r="J10" i="7" s="1"/>
  <c r="M264" i="8"/>
  <c r="J255" i="8" s="1"/>
  <c r="J15" i="7" s="1"/>
  <c r="M558" i="8"/>
  <c r="J548" i="8" s="1"/>
  <c r="J22" i="7" s="1"/>
  <c r="M1715" i="8"/>
  <c r="J1705" i="8" s="1"/>
  <c r="J49" i="7" s="1"/>
  <c r="M1924" i="8"/>
  <c r="J1915" i="8" s="1"/>
  <c r="J54" i="7" s="1"/>
  <c r="M2176" i="8"/>
  <c r="H2166" i="8" s="1"/>
  <c r="M3028" i="8"/>
  <c r="J3020" i="8" s="1"/>
  <c r="J80" i="7" s="1"/>
  <c r="M3694" i="8"/>
  <c r="H3684" i="8" s="1"/>
  <c r="W173" i="20"/>
  <c r="AQ173" i="20"/>
  <c r="V175" i="20"/>
  <c r="F174" i="20" s="1"/>
  <c r="AP175" i="20"/>
  <c r="G205" i="20"/>
  <c r="F204" i="20" s="1"/>
  <c r="AH209" i="20"/>
  <c r="F208" i="20" s="1"/>
  <c r="V215" i="20"/>
  <c r="F214" i="20" s="1"/>
  <c r="AP215" i="20"/>
  <c r="W227" i="20"/>
  <c r="W255" i="20"/>
  <c r="F254" i="20" s="1"/>
  <c r="X261" i="20"/>
  <c r="F260" i="20" s="1"/>
  <c r="X265" i="20"/>
  <c r="F264" i="20" s="1"/>
  <c r="AR267" i="20"/>
  <c r="AQ269" i="20"/>
  <c r="AP271" i="20"/>
  <c r="F270" i="20" s="1"/>
  <c r="AR275" i="20"/>
  <c r="AQ277" i="20"/>
  <c r="Y280" i="20"/>
  <c r="F279" i="20" s="1"/>
  <c r="F278" i="20" s="1"/>
  <c r="M181" i="8"/>
  <c r="J171" i="8" s="1"/>
  <c r="J13" i="7" s="1"/>
  <c r="M600" i="8"/>
  <c r="J590" i="8" s="1"/>
  <c r="J23" i="7" s="1"/>
  <c r="M3067" i="8"/>
  <c r="P15" i="20"/>
  <c r="L20" i="20"/>
  <c r="F19" i="20" s="1"/>
  <c r="Q29" i="20"/>
  <c r="F28" i="20" s="1"/>
  <c r="R38" i="20"/>
  <c r="F37" i="20" s="1"/>
  <c r="Q55" i="20"/>
  <c r="F54" i="20" s="1"/>
  <c r="Z67" i="20"/>
  <c r="N82" i="20"/>
  <c r="P136" i="20"/>
  <c r="F135" i="20" s="1"/>
  <c r="W175" i="20"/>
  <c r="AQ175" i="20"/>
  <c r="AI203" i="20"/>
  <c r="AI209" i="20"/>
  <c r="W215" i="20"/>
  <c r="AQ215" i="20"/>
  <c r="X255" i="20"/>
  <c r="AR269" i="20"/>
  <c r="AQ271" i="20"/>
  <c r="AR277" i="20"/>
  <c r="M655" i="8"/>
  <c r="M878" i="8"/>
  <c r="L847" i="8" s="1"/>
  <c r="K29" i="7" s="1"/>
  <c r="M139" i="8"/>
  <c r="J127" i="8" s="1"/>
  <c r="J12" i="7" s="1"/>
  <c r="M305" i="8"/>
  <c r="J296" i="8" s="1"/>
  <c r="J16" i="7" s="1"/>
  <c r="M349" i="8"/>
  <c r="J337" i="8" s="1"/>
  <c r="J17" i="7" s="1"/>
  <c r="M408" i="8"/>
  <c r="L381" i="8" s="1"/>
  <c r="K18" i="7" s="1"/>
  <c r="J892" i="8"/>
  <c r="J30" i="7" s="1"/>
  <c r="M918" i="8"/>
  <c r="M923" i="8" s="1"/>
  <c r="L892" i="8" s="1"/>
  <c r="K30" i="7" s="1"/>
  <c r="M697" i="8"/>
  <c r="M702" i="8" s="1"/>
  <c r="L674" i="8" s="1"/>
  <c r="K25" i="7" s="1"/>
  <c r="M739" i="8"/>
  <c r="M744" i="8" s="1"/>
  <c r="L716" i="8" s="1"/>
  <c r="K26" i="7" s="1"/>
  <c r="M1128" i="8"/>
  <c r="M1133" i="8" s="1"/>
  <c r="L1105" i="8" s="1"/>
  <c r="K35" i="7" s="1"/>
  <c r="M3498" i="8"/>
  <c r="M3503" i="8" s="1"/>
  <c r="L3476" i="8" s="1"/>
  <c r="K91" i="7" s="1"/>
  <c r="M13" i="8"/>
  <c r="J4" i="8" s="1"/>
  <c r="J9" i="7" s="1"/>
  <c r="M1896" i="8"/>
  <c r="M1901" i="8" s="1"/>
  <c r="L1873" i="8" s="1"/>
  <c r="K53" i="7" s="1"/>
  <c r="M2274" i="8"/>
  <c r="M2279" i="8" s="1"/>
  <c r="L2249" i="8" s="1"/>
  <c r="K62" i="7" s="1"/>
  <c r="M2318" i="8"/>
  <c r="M2323" i="8" s="1"/>
  <c r="L2293" i="8" s="1"/>
  <c r="K63" i="7" s="1"/>
  <c r="J2293" i="8"/>
  <c r="J63" i="7" s="1"/>
  <c r="M2362" i="8"/>
  <c r="M2367" i="8" s="1"/>
  <c r="L2337" i="8" s="1"/>
  <c r="K64" i="7" s="1"/>
  <c r="J2337" i="8"/>
  <c r="J64" i="7" s="1"/>
  <c r="M2406" i="8"/>
  <c r="M2411" i="8" s="1"/>
  <c r="L2381" i="8" s="1"/>
  <c r="K65" i="7" s="1"/>
  <c r="J2381" i="8"/>
  <c r="J65" i="7" s="1"/>
  <c r="M2450" i="8"/>
  <c r="M2455" i="8" s="1"/>
  <c r="L2425" i="8" s="1"/>
  <c r="K66" i="7" s="1"/>
  <c r="M2494" i="8"/>
  <c r="M2499" i="8" s="1"/>
  <c r="L2469" i="8" s="1"/>
  <c r="K67" i="7" s="1"/>
  <c r="M2538" i="8"/>
  <c r="M2543" i="8" s="1"/>
  <c r="L2513" i="8" s="1"/>
  <c r="K68" i="7" s="1"/>
  <c r="M2582" i="8"/>
  <c r="M2587" i="8" s="1"/>
  <c r="L2557" i="8" s="1"/>
  <c r="K69" i="7" s="1"/>
  <c r="M2626" i="8"/>
  <c r="M2631" i="8" s="1"/>
  <c r="L2601" i="8" s="1"/>
  <c r="K70" i="7" s="1"/>
  <c r="M2670" i="8"/>
  <c r="M2675" i="8" s="1"/>
  <c r="L2645" i="8" s="1"/>
  <c r="K71" i="7" s="1"/>
  <c r="M2714" i="8"/>
  <c r="M2719" i="8" s="1"/>
  <c r="L2689" i="8" s="1"/>
  <c r="K72" i="7" s="1"/>
  <c r="J2689" i="8"/>
  <c r="J72" i="7" s="1"/>
  <c r="M2758" i="8"/>
  <c r="M2763" i="8" s="1"/>
  <c r="L2733" i="8" s="1"/>
  <c r="K73" i="7" s="1"/>
  <c r="M2799" i="8"/>
  <c r="M2804" i="8" s="1"/>
  <c r="L2777" i="8" s="1"/>
  <c r="K74" i="7" s="1"/>
  <c r="M3457" i="8"/>
  <c r="M3462" i="8" s="1"/>
  <c r="L3435" i="8" s="1"/>
  <c r="K90" i="7" s="1"/>
  <c r="M3539" i="8"/>
  <c r="M3544" i="8" s="1"/>
  <c r="L3517" i="8" s="1"/>
  <c r="K92" i="7" s="1"/>
  <c r="M3581" i="8"/>
  <c r="M3586" i="8" s="1"/>
  <c r="L3558" i="8" s="1"/>
  <c r="K93" i="7" s="1"/>
  <c r="J3809" i="8"/>
  <c r="M2920" i="8"/>
  <c r="M2925" i="8" s="1"/>
  <c r="L2898" i="8" s="1"/>
  <c r="M3006" i="8"/>
  <c r="L2979" i="8" s="1"/>
  <c r="K79" i="7" s="1"/>
  <c r="M3374" i="8"/>
  <c r="M3379" i="8" s="1"/>
  <c r="L3348" i="8" s="1"/>
  <c r="K88" i="7" s="1"/>
  <c r="J3768" i="8"/>
  <c r="J98" i="7" s="1"/>
  <c r="M3790" i="8"/>
  <c r="M3795" i="8" s="1"/>
  <c r="L3768" i="8" s="1"/>
  <c r="K98" i="7" s="1"/>
  <c r="M2089" i="8"/>
  <c r="M3736" i="8"/>
  <c r="J3726" i="8" s="1"/>
  <c r="J97" i="7" s="1"/>
  <c r="M3066" i="8"/>
  <c r="M2002" i="8"/>
  <c r="M2087" i="8"/>
  <c r="AA43" i="20"/>
  <c r="Q84" i="20"/>
  <c r="P86" i="20"/>
  <c r="AS183" i="20"/>
  <c r="M3065" i="8"/>
  <c r="M3069" i="8"/>
  <c r="Q86" i="20"/>
  <c r="P112" i="20"/>
  <c r="O171" i="20"/>
  <c r="F170" i="20" s="1"/>
  <c r="M3064" i="8"/>
  <c r="M3068" i="8"/>
  <c r="Q22" i="20"/>
  <c r="H33" i="20"/>
  <c r="F32" i="20" s="1"/>
  <c r="Z43" i="20"/>
  <c r="Z69" i="20"/>
  <c r="F68" i="20" s="1"/>
  <c r="Q82" i="20"/>
  <c r="P84" i="20"/>
  <c r="O86" i="20"/>
  <c r="K88" i="20"/>
  <c r="F87" i="20" s="1"/>
  <c r="P90" i="20"/>
  <c r="P97" i="20"/>
  <c r="F96" i="20" s="1"/>
  <c r="Q108" i="20"/>
  <c r="F107" i="20" s="1"/>
  <c r="N112" i="20"/>
  <c r="F111" i="20" s="1"/>
  <c r="P134" i="20"/>
  <c r="F133" i="20" s="1"/>
  <c r="O165" i="20"/>
  <c r="AO173" i="20"/>
  <c r="AS173" i="20"/>
  <c r="X177" i="20"/>
  <c r="F176" i="20" s="1"/>
  <c r="AQ183" i="20"/>
  <c r="V201" i="20"/>
  <c r="F200" i="20" s="1"/>
  <c r="AO215" i="20"/>
  <c r="AS215" i="20"/>
  <c r="W221" i="20"/>
  <c r="W223" i="20"/>
  <c r="W257" i="20"/>
  <c r="F256" i="20" s="1"/>
  <c r="AQ267" i="20"/>
  <c r="AP269" i="20"/>
  <c r="F268" i="20" s="1"/>
  <c r="AS271" i="20"/>
  <c r="AR273" i="20"/>
  <c r="AQ275" i="20"/>
  <c r="AP277" i="20"/>
  <c r="F276" i="20" s="1"/>
  <c r="AE286" i="20"/>
  <c r="F285" i="20" s="1"/>
  <c r="AG290" i="20"/>
  <c r="F289" i="20" s="1"/>
  <c r="O163" i="20"/>
  <c r="F162" i="20" s="1"/>
  <c r="F161" i="20" s="1"/>
  <c r="V173" i="20"/>
  <c r="F172" i="20" s="1"/>
  <c r="AP173" i="20"/>
  <c r="AO175" i="20"/>
  <c r="AS175" i="20"/>
  <c r="AO177" i="20"/>
  <c r="X181" i="20"/>
  <c r="F180" i="20" s="1"/>
  <c r="AR183" i="20"/>
  <c r="AS273" i="20"/>
  <c r="AJ203" i="20"/>
  <c r="V225" i="20"/>
  <c r="F224" i="20" s="1"/>
  <c r="W259" i="20"/>
  <c r="F258" i="20" s="1"/>
  <c r="AS267" i="20"/>
  <c r="AP273" i="20"/>
  <c r="F272" i="20" s="1"/>
  <c r="AS275" i="20"/>
  <c r="AC284" i="20"/>
  <c r="F283" i="20" s="1"/>
  <c r="AF288" i="20"/>
  <c r="F287" i="20" s="1"/>
  <c r="X179" i="20"/>
  <c r="F178" i="20" s="1"/>
  <c r="AP183" i="20"/>
  <c r="F182" i="20" s="1"/>
  <c r="AO190" i="20"/>
  <c r="F189" i="20" s="1"/>
  <c r="G194" i="20"/>
  <c r="F193" i="20" s="1"/>
  <c r="O197" i="20"/>
  <c r="F196" i="20" s="1"/>
  <c r="G207" i="20"/>
  <c r="F206" i="20" s="1"/>
  <c r="V221" i="20"/>
  <c r="F220" i="20" s="1"/>
  <c r="V223" i="20"/>
  <c r="F222" i="20" s="1"/>
  <c r="W225" i="20"/>
  <c r="W253" i="20"/>
  <c r="F252" i="20" s="1"/>
  <c r="X259" i="20"/>
  <c r="X263" i="20"/>
  <c r="F262" i="20" s="1"/>
  <c r="AP267" i="20"/>
  <c r="F266" i="20" s="1"/>
  <c r="AS269" i="20"/>
  <c r="AQ273" i="20"/>
  <c r="AP275" i="20"/>
  <c r="F274" i="20" s="1"/>
  <c r="AS277" i="20"/>
  <c r="H39" i="25"/>
  <c r="E51" i="25"/>
  <c r="I156" i="24"/>
  <c r="T123" i="13"/>
  <c r="T115" i="13" s="1"/>
  <c r="H123" i="13"/>
  <c r="H115" i="13" s="1"/>
  <c r="X123" i="13"/>
  <c r="X115" i="13" s="1"/>
  <c r="I148" i="24"/>
  <c r="M185" i="24"/>
  <c r="I144" i="24"/>
  <c r="I23" i="24"/>
  <c r="I46" i="24"/>
  <c r="I135" i="24"/>
  <c r="I153" i="24"/>
  <c r="I162" i="24"/>
  <c r="I66" i="24"/>
  <c r="I96" i="24"/>
  <c r="I29" i="24"/>
  <c r="I72" i="24"/>
  <c r="I102" i="24"/>
  <c r="I146" i="24"/>
  <c r="I149" i="24"/>
  <c r="I158" i="24"/>
  <c r="I27" i="24"/>
  <c r="I32" i="24"/>
  <c r="I43" i="24"/>
  <c r="I62" i="24"/>
  <c r="I76" i="24"/>
  <c r="I141" i="24"/>
  <c r="I151" i="24"/>
  <c r="I155" i="24"/>
  <c r="I160" i="24"/>
  <c r="I18" i="24"/>
  <c r="I20" i="24"/>
  <c r="I25" i="24"/>
  <c r="I30" i="24"/>
  <c r="I41" i="24"/>
  <c r="I47" i="24"/>
  <c r="I74" i="24"/>
  <c r="I98" i="24"/>
  <c r="I129" i="24"/>
  <c r="I131" i="24"/>
  <c r="I140" i="24"/>
  <c r="I145" i="24"/>
  <c r="I150" i="24"/>
  <c r="I154" i="24"/>
  <c r="I159" i="24"/>
  <c r="I163" i="24"/>
  <c r="I165" i="24"/>
  <c r="I167" i="24"/>
  <c r="I168" i="24"/>
  <c r="I176" i="24"/>
  <c r="B60" i="7"/>
  <c r="H61" i="7"/>
  <c r="H64" i="7"/>
  <c r="B59" i="7"/>
  <c r="H60" i="7"/>
  <c r="B63" i="7"/>
  <c r="I22" i="24"/>
  <c r="I28" i="24"/>
  <c r="I37" i="24"/>
  <c r="I39" i="24"/>
  <c r="I45" i="24"/>
  <c r="I100" i="24"/>
  <c r="I130" i="24"/>
  <c r="I132" i="24"/>
  <c r="I134" i="24"/>
  <c r="I139" i="24"/>
  <c r="I143" i="24"/>
  <c r="I147" i="24"/>
  <c r="I152" i="24"/>
  <c r="I157" i="24"/>
  <c r="I161" i="24"/>
  <c r="H98" i="7"/>
  <c r="B97" i="7"/>
  <c r="H94" i="7"/>
  <c r="B93" i="7"/>
  <c r="H90" i="7"/>
  <c r="B89" i="7"/>
  <c r="H86" i="7"/>
  <c r="B85" i="7"/>
  <c r="H82" i="7"/>
  <c r="B81" i="7"/>
  <c r="H78" i="7"/>
  <c r="B77" i="7"/>
  <c r="H74" i="7"/>
  <c r="B73" i="7"/>
  <c r="H70" i="7"/>
  <c r="B69" i="7"/>
  <c r="H66" i="7"/>
  <c r="B65" i="7"/>
  <c r="I100" i="7"/>
  <c r="H99" i="7"/>
  <c r="B98" i="7"/>
  <c r="H95" i="7"/>
  <c r="B94" i="7"/>
  <c r="H91" i="7"/>
  <c r="B90" i="7"/>
  <c r="H87" i="7"/>
  <c r="B86" i="7"/>
  <c r="H83" i="7"/>
  <c r="B82" i="7"/>
  <c r="H79" i="7"/>
  <c r="K78" i="7"/>
  <c r="B78" i="7"/>
  <c r="H75" i="7"/>
  <c r="B74" i="7"/>
  <c r="H71" i="7"/>
  <c r="B70" i="7"/>
  <c r="H100" i="7"/>
  <c r="B99" i="7"/>
  <c r="H96" i="7"/>
  <c r="K95" i="7"/>
  <c r="B95" i="7"/>
  <c r="H92" i="7"/>
  <c r="B91" i="7"/>
  <c r="H88" i="7"/>
  <c r="B87" i="7"/>
  <c r="H84" i="7"/>
  <c r="B83" i="7"/>
  <c r="H80" i="7"/>
  <c r="B79" i="7"/>
  <c r="H76" i="7"/>
  <c r="B75" i="7"/>
  <c r="H72" i="7"/>
  <c r="B71" i="7"/>
  <c r="H68" i="7"/>
  <c r="B67" i="7"/>
  <c r="K100" i="7"/>
  <c r="B100" i="7"/>
  <c r="H97" i="7"/>
  <c r="K96" i="7"/>
  <c r="B96" i="7"/>
  <c r="H93" i="7"/>
  <c r="B92" i="7"/>
  <c r="H89" i="7"/>
  <c r="B88" i="7"/>
  <c r="J87" i="7"/>
  <c r="H85" i="7"/>
  <c r="B84" i="7"/>
  <c r="H81" i="7"/>
  <c r="K80" i="7"/>
  <c r="B80" i="7"/>
  <c r="H77" i="7"/>
  <c r="B76" i="7"/>
  <c r="J75" i="7"/>
  <c r="H73" i="7"/>
  <c r="B72" i="7"/>
  <c r="H69" i="7"/>
  <c r="B68" i="7"/>
  <c r="H65" i="7"/>
  <c r="H59" i="7"/>
  <c r="B62" i="7"/>
  <c r="H63" i="7"/>
  <c r="B61" i="7"/>
  <c r="H62" i="7"/>
  <c r="B64" i="7"/>
  <c r="B66" i="7"/>
  <c r="N14" i="20"/>
  <c r="N15" i="20" s="1"/>
  <c r="F14" i="20" s="1"/>
  <c r="F13" i="20" s="1"/>
  <c r="O21" i="20"/>
  <c r="O22" i="20" s="1"/>
  <c r="S27" i="20"/>
  <c r="F27" i="20" s="1"/>
  <c r="O14" i="20"/>
  <c r="O15" i="20" s="1"/>
  <c r="G30" i="20"/>
  <c r="G31" i="20" s="1"/>
  <c r="F30" i="20" s="1"/>
  <c r="G34" i="20"/>
  <c r="G35" i="20" s="1"/>
  <c r="F34" i="20" s="1"/>
  <c r="G50" i="20"/>
  <c r="G51" i="20" s="1"/>
  <c r="F50" i="20" s="1"/>
  <c r="V58" i="20"/>
  <c r="V59" i="20" s="1"/>
  <c r="F58" i="20" s="1"/>
  <c r="X52" i="20"/>
  <c r="X53" i="20" s="1"/>
  <c r="V52" i="20"/>
  <c r="V53" i="20" s="1"/>
  <c r="F52" i="20" s="1"/>
  <c r="Y66" i="20"/>
  <c r="Y67" i="20" s="1"/>
  <c r="F66" i="20" s="1"/>
  <c r="Y64" i="20"/>
  <c r="Y65" i="20" s="1"/>
  <c r="F64" i="20" s="1"/>
  <c r="M89" i="20"/>
  <c r="M90" i="20" s="1"/>
  <c r="F89" i="20" s="1"/>
  <c r="M85" i="20"/>
  <c r="M86" i="20" s="1"/>
  <c r="M83" i="20"/>
  <c r="M84" i="20" s="1"/>
  <c r="F83" i="20" s="1"/>
  <c r="M81" i="20"/>
  <c r="M82" i="20" s="1"/>
  <c r="S93" i="20"/>
  <c r="S92" i="20"/>
  <c r="F92" i="20" s="1"/>
  <c r="F91" i="20" s="1"/>
  <c r="V147" i="20"/>
  <c r="V148" i="20" s="1"/>
  <c r="F147" i="20" s="1"/>
  <c r="V145" i="20"/>
  <c r="V146" i="20" s="1"/>
  <c r="F145" i="20" s="1"/>
  <c r="V115" i="20"/>
  <c r="V116" i="20" s="1"/>
  <c r="F115" i="20" s="1"/>
  <c r="W149" i="20"/>
  <c r="W150" i="20" s="1"/>
  <c r="F149" i="20" s="1"/>
  <c r="W115" i="20"/>
  <c r="W116" i="20" s="1"/>
  <c r="W147" i="20"/>
  <c r="W148" i="20" s="1"/>
  <c r="U138" i="20"/>
  <c r="U139" i="20" s="1"/>
  <c r="F138" i="20" s="1"/>
  <c r="X102" i="20"/>
  <c r="X103" i="20" s="1"/>
  <c r="F102" i="20" s="1"/>
  <c r="X94" i="20"/>
  <c r="X95" i="20" s="1"/>
  <c r="F94" i="20" s="1"/>
  <c r="X137" i="20"/>
  <c r="F137" i="20" s="1"/>
  <c r="X131" i="20"/>
  <c r="X132" i="20" s="1"/>
  <c r="F131" i="20" s="1"/>
  <c r="X113" i="20"/>
  <c r="X114" i="20" s="1"/>
  <c r="F113" i="20" s="1"/>
  <c r="X140" i="20"/>
  <c r="F140" i="20" s="1"/>
  <c r="AD115" i="20"/>
  <c r="AD116" i="20" s="1"/>
  <c r="AD147" i="20"/>
  <c r="AD148" i="20" s="1"/>
  <c r="N16" i="20"/>
  <c r="Y42" i="20"/>
  <c r="Y43" i="20" s="1"/>
  <c r="F42" i="20" s="1"/>
  <c r="G104" i="20"/>
  <c r="G105" i="20" s="1"/>
  <c r="F104" i="20" s="1"/>
  <c r="G98" i="20"/>
  <c r="G99" i="20" s="1"/>
  <c r="F98" i="20" s="1"/>
  <c r="G129" i="20"/>
  <c r="G130" i="20" s="1"/>
  <c r="F129" i="20" s="1"/>
  <c r="G119" i="20"/>
  <c r="G120" i="20" s="1"/>
  <c r="F119" i="20" s="1"/>
  <c r="O16" i="20"/>
  <c r="D13" i="14"/>
  <c r="R42" i="14"/>
  <c r="J134" i="24" s="1"/>
  <c r="T51" i="14"/>
  <c r="T53" i="14"/>
  <c r="T55" i="14"/>
  <c r="T57" i="14"/>
  <c r="T59" i="14"/>
  <c r="T61" i="14"/>
  <c r="T63" i="14"/>
  <c r="T65" i="14"/>
  <c r="T67" i="14"/>
  <c r="T69" i="14"/>
  <c r="T71" i="14"/>
  <c r="T73" i="14"/>
  <c r="T75" i="14"/>
  <c r="T77" i="14"/>
  <c r="T79" i="14"/>
  <c r="T81" i="14"/>
  <c r="T83" i="14"/>
  <c r="T85" i="14"/>
  <c r="T87" i="14"/>
  <c r="T89" i="14"/>
  <c r="T91" i="14"/>
  <c r="T93" i="14"/>
  <c r="T95" i="14"/>
  <c r="T97" i="14"/>
  <c r="T99" i="14"/>
  <c r="T101" i="14"/>
  <c r="T103" i="14"/>
  <c r="T105" i="14"/>
  <c r="T107" i="14"/>
  <c r="T109" i="14"/>
  <c r="T111" i="14"/>
  <c r="T52" i="14"/>
  <c r="T54" i="14"/>
  <c r="T56" i="14"/>
  <c r="T58" i="14"/>
  <c r="T60" i="14"/>
  <c r="T62" i="14"/>
  <c r="T64" i="14"/>
  <c r="T66" i="14"/>
  <c r="T68" i="14"/>
  <c r="T70" i="14"/>
  <c r="T72" i="14"/>
  <c r="T74" i="14"/>
  <c r="T76" i="14"/>
  <c r="T78" i="14"/>
  <c r="T80" i="14"/>
  <c r="T82" i="14"/>
  <c r="T84" i="14"/>
  <c r="T86" i="14"/>
  <c r="T88" i="14"/>
  <c r="T90" i="14"/>
  <c r="T92" i="14"/>
  <c r="T94" i="14"/>
  <c r="T96" i="14"/>
  <c r="T98" i="14"/>
  <c r="T100" i="14"/>
  <c r="T102" i="14"/>
  <c r="T104" i="14"/>
  <c r="T106" i="14"/>
  <c r="T108" i="14"/>
  <c r="T110" i="14"/>
  <c r="T112" i="14"/>
  <c r="T44" i="14"/>
  <c r="O42" i="14"/>
  <c r="T46" i="14"/>
  <c r="T48" i="14"/>
  <c r="T50" i="14"/>
  <c r="Q42" i="14"/>
  <c r="P42" i="14"/>
  <c r="T45" i="14"/>
  <c r="T47" i="14"/>
  <c r="T49" i="14"/>
  <c r="S113" i="14"/>
  <c r="S114" i="14"/>
  <c r="S115" i="14"/>
  <c r="S116" i="14"/>
  <c r="S117" i="14"/>
  <c r="S118" i="14"/>
  <c r="S119" i="14"/>
  <c r="S120" i="14"/>
  <c r="S121" i="14"/>
  <c r="S122" i="14"/>
  <c r="S123" i="14"/>
  <c r="Z27" i="14"/>
  <c r="AB27" i="14" s="1"/>
  <c r="I16" i="14"/>
  <c r="AA36" i="14"/>
  <c r="Y38" i="14"/>
  <c r="AA38" i="14"/>
  <c r="AA32" i="14"/>
  <c r="Z28" i="14"/>
  <c r="Z31" i="14"/>
  <c r="AB31" i="14" s="1"/>
  <c r="Z35" i="14"/>
  <c r="AB35" i="14" s="1"/>
  <c r="AA31" i="14"/>
  <c r="Z32" i="14"/>
  <c r="AB32" i="14" s="1"/>
  <c r="AA27" i="14"/>
  <c r="Y28" i="14"/>
  <c r="AA35" i="14"/>
  <c r="R27" i="14"/>
  <c r="R25" i="14" s="1"/>
  <c r="O21" i="14"/>
  <c r="AA29" i="14"/>
  <c r="Z29" i="14"/>
  <c r="Z34" i="14"/>
  <c r="Y34" i="14"/>
  <c r="Z36" i="14"/>
  <c r="AB36" i="14" s="1"/>
  <c r="Y29" i="14"/>
  <c r="Z30" i="14"/>
  <c r="Y30" i="14"/>
  <c r="AA34" i="14"/>
  <c r="Q27" i="14"/>
  <c r="Q22" i="14" s="1"/>
  <c r="AA37" i="14"/>
  <c r="Z37" i="14"/>
  <c r="AB37" i="14" s="1"/>
  <c r="AA33" i="14"/>
  <c r="Z33" i="14"/>
  <c r="AB33" i="14" s="1"/>
  <c r="F9" i="20" l="1"/>
  <c r="I170" i="53"/>
  <c r="I118" i="53"/>
  <c r="I56" i="53"/>
  <c r="I80" i="53"/>
  <c r="I84" i="53"/>
  <c r="I88" i="53"/>
  <c r="I51" i="53"/>
  <c r="I60" i="53"/>
  <c r="I111" i="53"/>
  <c r="I49" i="53"/>
  <c r="I137" i="53"/>
  <c r="I105" i="53"/>
  <c r="I81" i="53"/>
  <c r="I85" i="53"/>
  <c r="I90" i="53"/>
  <c r="I104" i="53"/>
  <c r="I112" i="53"/>
  <c r="I171" i="53"/>
  <c r="I48" i="53"/>
  <c r="I54" i="53"/>
  <c r="I110" i="53"/>
  <c r="I57" i="53"/>
  <c r="I109" i="53"/>
  <c r="I52" i="53"/>
  <c r="I78" i="53"/>
  <c r="I82" i="53"/>
  <c r="I86" i="53"/>
  <c r="I91" i="53"/>
  <c r="I173" i="53"/>
  <c r="I55" i="53"/>
  <c r="I107" i="53"/>
  <c r="I115" i="53"/>
  <c r="I53" i="53"/>
  <c r="I113" i="53"/>
  <c r="I79" i="53"/>
  <c r="I83" i="53"/>
  <c r="I87" i="53"/>
  <c r="I108" i="53"/>
  <c r="I117" i="53"/>
  <c r="I174" i="53"/>
  <c r="I50" i="53"/>
  <c r="I59" i="53"/>
  <c r="I106" i="53"/>
  <c r="I114" i="53"/>
  <c r="I79" i="7"/>
  <c r="I96" i="7"/>
  <c r="I57" i="7"/>
  <c r="I77" i="7"/>
  <c r="I25" i="7"/>
  <c r="J99" i="7"/>
  <c r="I60" i="7"/>
  <c r="J100" i="7"/>
  <c r="J176" i="24"/>
  <c r="K48" i="25"/>
  <c r="K46" i="25"/>
  <c r="K47" i="25"/>
  <c r="K49" i="25"/>
  <c r="K45" i="25"/>
  <c r="H47" i="25"/>
  <c r="H49" i="25"/>
  <c r="H45" i="25"/>
  <c r="H48" i="25"/>
  <c r="H46" i="25"/>
  <c r="N39" i="25"/>
  <c r="N41" i="25"/>
  <c r="N43" i="25"/>
  <c r="N38" i="25"/>
  <c r="N36" i="25"/>
  <c r="H32" i="25"/>
  <c r="H31" i="25"/>
  <c r="H30" i="25"/>
  <c r="H29" i="25"/>
  <c r="N40" i="25"/>
  <c r="N42" i="25"/>
  <c r="N44" i="25"/>
  <c r="N37" i="25"/>
  <c r="N35" i="25"/>
  <c r="H34" i="25"/>
  <c r="H33" i="25"/>
  <c r="K39" i="25"/>
  <c r="E39" i="25" s="1"/>
  <c r="K41" i="25"/>
  <c r="K43" i="25"/>
  <c r="K37" i="25"/>
  <c r="K36" i="25"/>
  <c r="K34" i="25"/>
  <c r="K33" i="25"/>
  <c r="K26" i="25"/>
  <c r="K25" i="25"/>
  <c r="E25" i="25" s="1"/>
  <c r="K40" i="25"/>
  <c r="K42" i="25"/>
  <c r="K44" i="25"/>
  <c r="K38" i="25"/>
  <c r="K35" i="25"/>
  <c r="K27" i="25"/>
  <c r="K32" i="25"/>
  <c r="K31" i="25"/>
  <c r="K30" i="25"/>
  <c r="K29" i="25"/>
  <c r="H35" i="25"/>
  <c r="H50" i="25"/>
  <c r="E50" i="25" s="1"/>
  <c r="H28" i="25"/>
  <c r="K28" i="25"/>
  <c r="J1665" i="8"/>
  <c r="J48" i="7" s="1"/>
  <c r="J3183" i="8"/>
  <c r="J84" i="7" s="1"/>
  <c r="E24" i="25"/>
  <c r="T38" i="23"/>
  <c r="J129" i="24"/>
  <c r="J173" i="24"/>
  <c r="J170" i="24"/>
  <c r="J66" i="24"/>
  <c r="J171" i="24"/>
  <c r="J174" i="24"/>
  <c r="H38" i="25"/>
  <c r="H41" i="25"/>
  <c r="H43" i="25"/>
  <c r="H42" i="25"/>
  <c r="H44" i="25"/>
  <c r="O15" i="28"/>
  <c r="O21" i="29"/>
  <c r="E26" i="25"/>
  <c r="E27" i="25"/>
  <c r="I496" i="8" s="1"/>
  <c r="E32" i="25"/>
  <c r="I2767" i="8" s="1"/>
  <c r="H37" i="25"/>
  <c r="H36" i="25"/>
  <c r="H40" i="25"/>
  <c r="E52" i="25"/>
  <c r="M100" i="7"/>
  <c r="K174" i="24" s="1"/>
  <c r="O33" i="29"/>
  <c r="K3590" i="8"/>
  <c r="K3507" i="8"/>
  <c r="K3297" i="8"/>
  <c r="K3010" i="8"/>
  <c r="K2848" i="8"/>
  <c r="K2503" i="8"/>
  <c r="K2415" i="8"/>
  <c r="K2239" i="8"/>
  <c r="K2197" i="8"/>
  <c r="K36" i="52"/>
  <c r="K3050" i="8"/>
  <c r="K2929" i="8"/>
  <c r="K2888" i="8"/>
  <c r="K2808" i="8"/>
  <c r="K2723" i="8"/>
  <c r="K2459" i="8"/>
  <c r="K2371" i="8"/>
  <c r="K78" i="52"/>
  <c r="K3632" i="8"/>
  <c r="K3548" i="8"/>
  <c r="K3758" i="8"/>
  <c r="K3425" i="8"/>
  <c r="K3383" i="8"/>
  <c r="K3215" i="8"/>
  <c r="K3174" i="8"/>
  <c r="K3135" i="8"/>
  <c r="K3093" i="8"/>
  <c r="K2969" i="8"/>
  <c r="K2327" i="8"/>
  <c r="K2113" i="8"/>
  <c r="K2071" i="8"/>
  <c r="K2030" i="8"/>
  <c r="K1988" i="8"/>
  <c r="K1946" i="8"/>
  <c r="K1905" i="8"/>
  <c r="K1863" i="8"/>
  <c r="K1611" i="8"/>
  <c r="K1567" i="8"/>
  <c r="K1525" i="8"/>
  <c r="K1483" i="8"/>
  <c r="K1441" i="8"/>
  <c r="K1397" i="8"/>
  <c r="K1353" i="8"/>
  <c r="K1309" i="8"/>
  <c r="K1269" i="8"/>
  <c r="K1225" i="8"/>
  <c r="K1053" i="8"/>
  <c r="K1011" i="8"/>
  <c r="K969" i="8"/>
  <c r="K706" i="8"/>
  <c r="K664" i="8"/>
  <c r="K622" i="8"/>
  <c r="K580" i="8"/>
  <c r="K454" i="8"/>
  <c r="K412" i="8"/>
  <c r="K327" i="8"/>
  <c r="K286" i="8"/>
  <c r="K245" i="8"/>
  <c r="K161" i="8"/>
  <c r="K117" i="8"/>
  <c r="K371" i="8"/>
  <c r="K35" i="8"/>
  <c r="O22" i="36"/>
  <c r="O23" i="36" s="1"/>
  <c r="K3716" i="8"/>
  <c r="K3674" i="8"/>
  <c r="K3466" i="8"/>
  <c r="K3338" i="8"/>
  <c r="K3256" i="8"/>
  <c r="K2767" i="8"/>
  <c r="K2679" i="8"/>
  <c r="K2635" i="8"/>
  <c r="K2591" i="8"/>
  <c r="K2547" i="8"/>
  <c r="K2283" i="8"/>
  <c r="K2156" i="8"/>
  <c r="K1821" i="8"/>
  <c r="K1779" i="8"/>
  <c r="K1737" i="8"/>
  <c r="K1181" i="8"/>
  <c r="K1137" i="8"/>
  <c r="K1095" i="8"/>
  <c r="K927" i="8"/>
  <c r="K882" i="8"/>
  <c r="K837" i="8"/>
  <c r="K792" i="8"/>
  <c r="K748" i="8"/>
  <c r="K538" i="8"/>
  <c r="K496" i="8"/>
  <c r="K203" i="8"/>
  <c r="K76" i="8"/>
  <c r="M11" i="25"/>
  <c r="O17" i="30"/>
  <c r="O35" i="36"/>
  <c r="O14" i="28"/>
  <c r="O16" i="28" s="1"/>
  <c r="O25" i="28" s="1"/>
  <c r="N13" i="28" s="1"/>
  <c r="O16" i="30"/>
  <c r="O20" i="29"/>
  <c r="O21" i="31"/>
  <c r="J3393" i="8"/>
  <c r="J89" i="7" s="1"/>
  <c r="M3416" i="8"/>
  <c r="M3421" i="8" s="1"/>
  <c r="L3393" i="8" s="1"/>
  <c r="K89" i="7" s="1"/>
  <c r="M3071" i="8"/>
  <c r="M3084" i="8" s="1"/>
  <c r="M3089" i="8" s="1"/>
  <c r="L3060" i="8" s="1"/>
  <c r="K81" i="7" s="1"/>
  <c r="M2134" i="8"/>
  <c r="J2123" i="8" s="1"/>
  <c r="J59" i="7" s="1"/>
  <c r="M2008" i="8"/>
  <c r="J1998" i="8" s="1"/>
  <c r="F85" i="20"/>
  <c r="M2147" i="8"/>
  <c r="M2152" i="8" s="1"/>
  <c r="L2123" i="8" s="1"/>
  <c r="K59" i="7" s="1"/>
  <c r="J506" i="8"/>
  <c r="J21" i="7" s="1"/>
  <c r="L1998" i="8"/>
  <c r="K56" i="7" s="1"/>
  <c r="E34" i="25"/>
  <c r="I1567" i="8" s="1"/>
  <c r="M1567" i="8" s="1"/>
  <c r="M1572" i="8" s="1"/>
  <c r="E33" i="25"/>
  <c r="E38" i="25"/>
  <c r="E35" i="25"/>
  <c r="E46" i="25"/>
  <c r="E28" i="25"/>
  <c r="E47" i="25"/>
  <c r="E45" i="25"/>
  <c r="E49" i="25"/>
  <c r="E31" i="25"/>
  <c r="I117" i="8" s="1"/>
  <c r="M117" i="8" s="1"/>
  <c r="M122" i="8" s="1"/>
  <c r="E36" i="25"/>
  <c r="F81" i="20"/>
  <c r="F80" i="20" s="1"/>
  <c r="F77" i="20" s="1"/>
  <c r="F158" i="20"/>
  <c r="K77" i="7"/>
  <c r="E30" i="25"/>
  <c r="I2679" i="8" s="1"/>
  <c r="I2158" i="8"/>
  <c r="M2158" i="8" s="1"/>
  <c r="I706" i="8"/>
  <c r="M706" i="8" s="1"/>
  <c r="M711" i="8" s="1"/>
  <c r="I688" i="8" s="1"/>
  <c r="M688" i="8" s="1"/>
  <c r="M693" i="8" s="1"/>
  <c r="J674" i="8" s="1"/>
  <c r="J25" i="7" s="1"/>
  <c r="I3466" i="8"/>
  <c r="M3466" i="8" s="1"/>
  <c r="M3471" i="8" s="1"/>
  <c r="I1655" i="8"/>
  <c r="M1655" i="8" s="1"/>
  <c r="M1660" i="8" s="1"/>
  <c r="I1525" i="8"/>
  <c r="M1525" i="8" s="1"/>
  <c r="M1530" i="8" s="1"/>
  <c r="I1483" i="8"/>
  <c r="M1483" i="8" s="1"/>
  <c r="M1488" i="8" s="1"/>
  <c r="I1441" i="8"/>
  <c r="M1441" i="8" s="1"/>
  <c r="M1446" i="8" s="1"/>
  <c r="I1269" i="8"/>
  <c r="M1269" i="8" s="1"/>
  <c r="M1274" i="8" s="1"/>
  <c r="I1181" i="8"/>
  <c r="M1181" i="8" s="1"/>
  <c r="M1186" i="8" s="1"/>
  <c r="I3799" i="8"/>
  <c r="M3799" i="8" s="1"/>
  <c r="M3804" i="8" s="1"/>
  <c r="I1397" i="8"/>
  <c r="M1397" i="8" s="1"/>
  <c r="M1402" i="8" s="1"/>
  <c r="I792" i="8"/>
  <c r="M792" i="8" s="1"/>
  <c r="M797" i="8" s="1"/>
  <c r="I1779" i="8"/>
  <c r="M1779" i="8" s="1"/>
  <c r="M1784" i="8" s="1"/>
  <c r="I1946" i="8"/>
  <c r="M1946" i="8" s="1"/>
  <c r="M1951" i="8" s="1"/>
  <c r="I1737" i="8"/>
  <c r="M1737" i="8" s="1"/>
  <c r="M1742" i="8" s="1"/>
  <c r="I371" i="8"/>
  <c r="M371" i="8" s="1"/>
  <c r="M376" i="8" s="1"/>
  <c r="E29" i="25"/>
  <c r="I327" i="8" s="1"/>
  <c r="M327" i="8" s="1"/>
  <c r="M332" i="8" s="1"/>
  <c r="I3758" i="8"/>
  <c r="M3758" i="8" s="1"/>
  <c r="M3763" i="8" s="1"/>
  <c r="I3716" i="8"/>
  <c r="M3716" i="8" s="1"/>
  <c r="M3721" i="8" s="1"/>
  <c r="I3674" i="8"/>
  <c r="M3674" i="8" s="1"/>
  <c r="M3679" i="8" s="1"/>
  <c r="I538" i="8"/>
  <c r="M538" i="8" s="1"/>
  <c r="M543" i="8" s="1"/>
  <c r="I3338" i="8"/>
  <c r="M3338" i="8" s="1"/>
  <c r="M3343" i="8" s="1"/>
  <c r="I1225" i="8"/>
  <c r="M1225" i="8" s="1"/>
  <c r="M1230" i="8" s="1"/>
  <c r="I1207" i="8" s="1"/>
  <c r="M1207" i="8" s="1"/>
  <c r="M1212" i="8" s="1"/>
  <c r="H1191" i="8" s="1"/>
  <c r="I1905" i="8"/>
  <c r="M1905" i="8" s="1"/>
  <c r="M1910" i="8" s="1"/>
  <c r="I1309" i="8"/>
  <c r="M1309" i="8" s="1"/>
  <c r="M1314" i="8" s="1"/>
  <c r="I3425" i="8"/>
  <c r="M3425" i="8" s="1"/>
  <c r="M3430" i="8" s="1"/>
  <c r="I1353" i="8"/>
  <c r="M1353" i="8" s="1"/>
  <c r="M1358" i="8" s="1"/>
  <c r="I622" i="8"/>
  <c r="M622" i="8" s="1"/>
  <c r="M627" i="8" s="1"/>
  <c r="I1988" i="8"/>
  <c r="M1988" i="8" s="1"/>
  <c r="M1993" i="8" s="1"/>
  <c r="I1863" i="8"/>
  <c r="M1863" i="8" s="1"/>
  <c r="M1868" i="8" s="1"/>
  <c r="I57" i="24"/>
  <c r="I69" i="17"/>
  <c r="I114" i="24"/>
  <c r="I106" i="24"/>
  <c r="I91" i="24"/>
  <c r="I53" i="24"/>
  <c r="I88" i="24"/>
  <c r="I60" i="24"/>
  <c r="I85" i="24"/>
  <c r="I52" i="24"/>
  <c r="I78" i="24"/>
  <c r="I174" i="24"/>
  <c r="I117" i="24"/>
  <c r="I108" i="24"/>
  <c r="I51" i="24"/>
  <c r="I118" i="24"/>
  <c r="I109" i="24"/>
  <c r="I90" i="24"/>
  <c r="I110" i="24"/>
  <c r="I82" i="24"/>
  <c r="I173" i="24"/>
  <c r="I87" i="24"/>
  <c r="I83" i="24"/>
  <c r="I79" i="24"/>
  <c r="I54" i="24"/>
  <c r="I50" i="24"/>
  <c r="I170" i="24"/>
  <c r="I115" i="24"/>
  <c r="I111" i="24"/>
  <c r="I107" i="24"/>
  <c r="I59" i="24"/>
  <c r="I171" i="24"/>
  <c r="I80" i="24"/>
  <c r="I56" i="24"/>
  <c r="J69" i="17"/>
  <c r="I86" i="24"/>
  <c r="I49" i="24"/>
  <c r="I112" i="24"/>
  <c r="I104" i="24"/>
  <c r="I84" i="24"/>
  <c r="I55" i="24"/>
  <c r="I113" i="24"/>
  <c r="I105" i="24"/>
  <c r="I81" i="24"/>
  <c r="I48" i="24"/>
  <c r="R139" i="24"/>
  <c r="R146" i="24" s="1"/>
  <c r="F16" i="20"/>
  <c r="O28" i="14"/>
  <c r="O27" i="14"/>
  <c r="T27" i="14" s="1"/>
  <c r="S42" i="14"/>
  <c r="S34" i="14"/>
  <c r="T36" i="14"/>
  <c r="Q25" i="14"/>
  <c r="T35" i="14"/>
  <c r="T42" i="14"/>
  <c r="T31" i="14"/>
  <c r="S31" i="14"/>
  <c r="T32" i="14"/>
  <c r="S32" i="14"/>
  <c r="S30" i="14"/>
  <c r="T30" i="14"/>
  <c r="U21" i="14"/>
  <c r="X21" i="14" s="1"/>
  <c r="Y21" i="14" s="1"/>
  <c r="T38" i="14"/>
  <c r="S38" i="14"/>
  <c r="T21" i="14"/>
  <c r="R21" i="14"/>
  <c r="R22" i="14"/>
  <c r="Y26" i="14"/>
  <c r="AB28" i="14"/>
  <c r="AB30" i="14"/>
  <c r="AB29" i="14"/>
  <c r="AB34" i="14"/>
  <c r="Q21" i="14"/>
  <c r="N12" i="28" l="1"/>
  <c r="K174" i="53"/>
  <c r="M174" i="53" s="1"/>
  <c r="E37" i="25"/>
  <c r="J56" i="7"/>
  <c r="I37" i="7"/>
  <c r="E40" i="25"/>
  <c r="M2679" i="8"/>
  <c r="M2684" i="8" s="1"/>
  <c r="M2767" i="8"/>
  <c r="M2772" i="8" s="1"/>
  <c r="M496" i="8"/>
  <c r="M501" i="8" s="1"/>
  <c r="N464" i="8" s="1"/>
  <c r="L20" i="7" s="1"/>
  <c r="M174" i="24"/>
  <c r="O22" i="29"/>
  <c r="O35" i="29" s="1"/>
  <c r="I454" i="8"/>
  <c r="M454" i="8" s="1"/>
  <c r="M459" i="8" s="1"/>
  <c r="M1821" i="8"/>
  <c r="M1826" i="8" s="1"/>
  <c r="N1789" i="8" s="1"/>
  <c r="L51" i="7" s="1"/>
  <c r="I76" i="8"/>
  <c r="M76" i="8" s="1"/>
  <c r="M81" i="8" s="1"/>
  <c r="N45" i="8" s="1"/>
  <c r="L10" i="7" s="1"/>
  <c r="I35" i="8"/>
  <c r="M35" i="8" s="1"/>
  <c r="M40" i="8" s="1"/>
  <c r="I2547" i="8"/>
  <c r="M2547" i="8" s="1"/>
  <c r="M2552" i="8" s="1"/>
  <c r="I2529" i="8" s="1"/>
  <c r="M2529" i="8" s="1"/>
  <c r="M2534" i="8" s="1"/>
  <c r="H2513" i="8" s="1"/>
  <c r="I2283" i="8"/>
  <c r="M2283" i="8" s="1"/>
  <c r="M2288" i="8" s="1"/>
  <c r="I2635" i="8"/>
  <c r="M2635" i="8" s="1"/>
  <c r="M2640" i="8" s="1"/>
  <c r="N2601" i="8" s="1"/>
  <c r="L70" i="7" s="1"/>
  <c r="E42" i="25"/>
  <c r="I36" i="52" s="1"/>
  <c r="I1611" i="8"/>
  <c r="M1611" i="8" s="1"/>
  <c r="M1616" i="8" s="1"/>
  <c r="N1577" i="8" s="1"/>
  <c r="L46" i="7" s="1"/>
  <c r="I412" i="8"/>
  <c r="M412" i="8" s="1"/>
  <c r="M417" i="8" s="1"/>
  <c r="I2327" i="8"/>
  <c r="M2327" i="8" s="1"/>
  <c r="M2332" i="8" s="1"/>
  <c r="N2293" i="8" s="1"/>
  <c r="I2591" i="8"/>
  <c r="M2591" i="8" s="1"/>
  <c r="M2596" i="8" s="1"/>
  <c r="N2557" i="8" s="1"/>
  <c r="L69" i="7" s="1"/>
  <c r="I1697" i="8"/>
  <c r="M1697" i="8" s="1"/>
  <c r="M1700" i="8" s="1"/>
  <c r="I1679" i="8" s="1"/>
  <c r="M1679" i="8" s="1"/>
  <c r="M1684" i="8" s="1"/>
  <c r="H1665" i="8" s="1"/>
  <c r="J3060" i="8"/>
  <c r="J81" i="7" s="1"/>
  <c r="E44" i="25"/>
  <c r="E41" i="25"/>
  <c r="I3093" i="8"/>
  <c r="M3093" i="8" s="1"/>
  <c r="M3098" i="8" s="1"/>
  <c r="I3075" i="8" s="1"/>
  <c r="M3075" i="8" s="1"/>
  <c r="M3080" i="8" s="1"/>
  <c r="H3060" i="8" s="1"/>
  <c r="I3297" i="8"/>
  <c r="M3297" i="8" s="1"/>
  <c r="M3302" i="8" s="1"/>
  <c r="I3279" i="8" s="1"/>
  <c r="M3279" i="8" s="1"/>
  <c r="M3284" i="8" s="1"/>
  <c r="I3256" i="8"/>
  <c r="M3256" i="8" s="1"/>
  <c r="M3260" i="8" s="1"/>
  <c r="I3238" i="8" s="1"/>
  <c r="M3238" i="8" s="1"/>
  <c r="M3243" i="8" s="1"/>
  <c r="H3224" i="8" s="1"/>
  <c r="I3215" i="8"/>
  <c r="M3215" i="8" s="1"/>
  <c r="M3219" i="8" s="1"/>
  <c r="I3197" i="8" s="1"/>
  <c r="M3197" i="8" s="1"/>
  <c r="M3202" i="8" s="1"/>
  <c r="I3135" i="8"/>
  <c r="M3135" i="8" s="1"/>
  <c r="M3139" i="8" s="1"/>
  <c r="N3103" i="8" s="1"/>
  <c r="L82" i="7" s="1"/>
  <c r="I3174" i="8"/>
  <c r="M3174" i="8" s="1"/>
  <c r="M3178" i="8" s="1"/>
  <c r="N3144" i="8" s="1"/>
  <c r="L83" i="7" s="1"/>
  <c r="I837" i="8"/>
  <c r="M837" i="8" s="1"/>
  <c r="M842" i="8" s="1"/>
  <c r="I819" i="8" s="1"/>
  <c r="M819" i="8" s="1"/>
  <c r="M824" i="8" s="1"/>
  <c r="H802" i="8" s="1"/>
  <c r="I882" i="8"/>
  <c r="M882" i="8" s="1"/>
  <c r="M887" i="8" s="1"/>
  <c r="N847" i="8" s="1"/>
  <c r="L29" i="7" s="1"/>
  <c r="I3050" i="8"/>
  <c r="M3050" i="8" s="1"/>
  <c r="M3055" i="8" s="1"/>
  <c r="I3032" i="8" s="1"/>
  <c r="M3032" i="8" s="1"/>
  <c r="M3037" i="8" s="1"/>
  <c r="H3020" i="8" s="1"/>
  <c r="I2723" i="8"/>
  <c r="M2723" i="8" s="1"/>
  <c r="M2728" i="8" s="1"/>
  <c r="I2705" i="8" s="1"/>
  <c r="M2705" i="8" s="1"/>
  <c r="M2710" i="8" s="1"/>
  <c r="H2689" i="8" s="1"/>
  <c r="I2459" i="8"/>
  <c r="M2459" i="8" s="1"/>
  <c r="M2464" i="8" s="1"/>
  <c r="I2441" i="8" s="1"/>
  <c r="M2441" i="8" s="1"/>
  <c r="M2446" i="8" s="1"/>
  <c r="H2425" i="8" s="1"/>
  <c r="I2371" i="8"/>
  <c r="M2371" i="8" s="1"/>
  <c r="M2376" i="8" s="1"/>
  <c r="I2353" i="8" s="1"/>
  <c r="M2353" i="8" s="1"/>
  <c r="M2358" i="8" s="1"/>
  <c r="H2337" i="8" s="1"/>
  <c r="I3010" i="8"/>
  <c r="M3010" i="8" s="1"/>
  <c r="M3015" i="8" s="1"/>
  <c r="I2503" i="8"/>
  <c r="M2503" i="8" s="1"/>
  <c r="M2508" i="8" s="1"/>
  <c r="I2485" i="8" s="1"/>
  <c r="M2485" i="8" s="1"/>
  <c r="M2490" i="8" s="1"/>
  <c r="H2469" i="8" s="1"/>
  <c r="I2415" i="8"/>
  <c r="M2415" i="8" s="1"/>
  <c r="M2420" i="8" s="1"/>
  <c r="N2381" i="8" s="1"/>
  <c r="I2239" i="8"/>
  <c r="M2239" i="8" s="1"/>
  <c r="M2244" i="8" s="1"/>
  <c r="N2207" i="8" s="1"/>
  <c r="I2197" i="8"/>
  <c r="M2197" i="8" s="1"/>
  <c r="M2202" i="8" s="1"/>
  <c r="I2180" i="8" s="1"/>
  <c r="M2180" i="8" s="1"/>
  <c r="M2185" i="8" s="1"/>
  <c r="J2166" i="8" s="1"/>
  <c r="I161" i="8"/>
  <c r="M161" i="8" s="1"/>
  <c r="M166" i="8" s="1"/>
  <c r="I143" i="8" s="1"/>
  <c r="M143" i="8" s="1"/>
  <c r="M148" i="8" s="1"/>
  <c r="H127" i="8" s="1"/>
  <c r="I927" i="8"/>
  <c r="M927" i="8" s="1"/>
  <c r="M932" i="8" s="1"/>
  <c r="I909" i="8" s="1"/>
  <c r="M909" i="8" s="1"/>
  <c r="M914" i="8" s="1"/>
  <c r="H892" i="8" s="1"/>
  <c r="I78" i="52"/>
  <c r="M78" i="52" s="1"/>
  <c r="M83" i="52" s="1"/>
  <c r="O23" i="31"/>
  <c r="O18" i="30"/>
  <c r="O37" i="36"/>
  <c r="N18" i="36" s="1"/>
  <c r="I2929" i="8"/>
  <c r="M2929" i="8" s="1"/>
  <c r="M2934" i="8" s="1"/>
  <c r="I2888" i="8"/>
  <c r="M2888" i="8" s="1"/>
  <c r="M2893" i="8" s="1"/>
  <c r="I2870" i="8" s="1"/>
  <c r="M2870" i="8" s="1"/>
  <c r="M2875" i="8" s="1"/>
  <c r="H2858" i="8" s="1"/>
  <c r="I2808" i="8"/>
  <c r="M2808" i="8" s="1"/>
  <c r="M2813" i="8" s="1"/>
  <c r="I2848" i="8"/>
  <c r="M2848" i="8" s="1"/>
  <c r="M2853" i="8" s="1"/>
  <c r="N2818" i="8" s="1"/>
  <c r="L75" i="7" s="1"/>
  <c r="I3632" i="8"/>
  <c r="M3632" i="8" s="1"/>
  <c r="M3637" i="8" s="1"/>
  <c r="I3548" i="8"/>
  <c r="M3548" i="8" s="1"/>
  <c r="M3553" i="8" s="1"/>
  <c r="I3590" i="8"/>
  <c r="M3590" i="8" s="1"/>
  <c r="M3595" i="8" s="1"/>
  <c r="I3572" i="8" s="1"/>
  <c r="M3572" i="8" s="1"/>
  <c r="M3577" i="8" s="1"/>
  <c r="H3558" i="8" s="1"/>
  <c r="I3507" i="8"/>
  <c r="M3507" i="8" s="1"/>
  <c r="M3512" i="8" s="1"/>
  <c r="I3489" i="8" s="1"/>
  <c r="M3489" i="8" s="1"/>
  <c r="M3494" i="8" s="1"/>
  <c r="H3476" i="8" s="1"/>
  <c r="I1137" i="8"/>
  <c r="M1137" i="8" s="1"/>
  <c r="M1142" i="8" s="1"/>
  <c r="I580" i="8"/>
  <c r="M580" i="8" s="1"/>
  <c r="M585" i="8" s="1"/>
  <c r="M36" i="52"/>
  <c r="M41" i="52" s="1"/>
  <c r="E43" i="25"/>
  <c r="N2" i="28"/>
  <c r="N674" i="8"/>
  <c r="L25" i="7" s="1"/>
  <c r="I478" i="8"/>
  <c r="M478" i="8" s="1"/>
  <c r="M483" i="8" s="1"/>
  <c r="M488" i="8" s="1"/>
  <c r="M492" i="8" s="1"/>
  <c r="L464" i="8" s="1"/>
  <c r="K20" i="7" s="1"/>
  <c r="I3383" i="8"/>
  <c r="M3383" i="8" s="1"/>
  <c r="M3388" i="8" s="1"/>
  <c r="I3365" i="8" s="1"/>
  <c r="M3365" i="8" s="1"/>
  <c r="M3370" i="8" s="1"/>
  <c r="H3348" i="8" s="1"/>
  <c r="I2969" i="8"/>
  <c r="M2969" i="8" s="1"/>
  <c r="M2974" i="8" s="1"/>
  <c r="I2951" i="8" s="1"/>
  <c r="M2951" i="8" s="1"/>
  <c r="M2956" i="8" s="1"/>
  <c r="H2939" i="8" s="1"/>
  <c r="I2030" i="8"/>
  <c r="M2030" i="8" s="1"/>
  <c r="M2035" i="8" s="1"/>
  <c r="I2071" i="8"/>
  <c r="M2071" i="8" s="1"/>
  <c r="M2076" i="8" s="1"/>
  <c r="N2040" i="8" s="1"/>
  <c r="L57" i="7" s="1"/>
  <c r="I3839" i="8"/>
  <c r="M3839" i="8" s="1"/>
  <c r="M3844" i="8" s="1"/>
  <c r="M3821" i="8" s="1"/>
  <c r="M3826" i="8" s="1"/>
  <c r="H3809" i="8" s="1"/>
  <c r="I99" i="7" s="1"/>
  <c r="I99" i="8"/>
  <c r="M99" i="8" s="1"/>
  <c r="M104" i="8" s="1"/>
  <c r="H86" i="8" s="1"/>
  <c r="N86" i="8"/>
  <c r="L11" i="7" s="1"/>
  <c r="N1191" i="8"/>
  <c r="L37" i="7" s="1"/>
  <c r="I203" i="8"/>
  <c r="M203" i="8" s="1"/>
  <c r="M208" i="8" s="1"/>
  <c r="I185" i="8" s="1"/>
  <c r="M185" i="8" s="1"/>
  <c r="M190" i="8" s="1"/>
  <c r="H171" i="8" s="1"/>
  <c r="I748" i="8"/>
  <c r="M748" i="8" s="1"/>
  <c r="M753" i="8" s="1"/>
  <c r="N716" i="8" s="1"/>
  <c r="L26" i="7" s="1"/>
  <c r="I969" i="8"/>
  <c r="M969" i="8" s="1"/>
  <c r="M974" i="8" s="1"/>
  <c r="N937" i="8" s="1"/>
  <c r="L31" i="7" s="1"/>
  <c r="I1011" i="8"/>
  <c r="M1011" i="8" s="1"/>
  <c r="M1016" i="8" s="1"/>
  <c r="I993" i="8" s="1"/>
  <c r="M993" i="8" s="1"/>
  <c r="M998" i="8" s="1"/>
  <c r="H979" i="8" s="1"/>
  <c r="I245" i="8"/>
  <c r="M245" i="8" s="1"/>
  <c r="M250" i="8" s="1"/>
  <c r="I227" i="8" s="1"/>
  <c r="M227" i="8" s="1"/>
  <c r="M232" i="8" s="1"/>
  <c r="H213" i="8" s="1"/>
  <c r="I1095" i="8"/>
  <c r="M1095" i="8" s="1"/>
  <c r="M1100" i="8" s="1"/>
  <c r="I1077" i="8" s="1"/>
  <c r="M1077" i="8" s="1"/>
  <c r="M1082" i="8" s="1"/>
  <c r="H1063" i="8" s="1"/>
  <c r="I2113" i="8"/>
  <c r="M2113" i="8" s="1"/>
  <c r="M2118" i="8" s="1"/>
  <c r="N2081" i="8" s="1"/>
  <c r="L58" i="7" s="1"/>
  <c r="I1053" i="8"/>
  <c r="M1053" i="8" s="1"/>
  <c r="M1058" i="8" s="1"/>
  <c r="N1021" i="8" s="1"/>
  <c r="L33" i="7" s="1"/>
  <c r="E48" i="25"/>
  <c r="I664" i="8"/>
  <c r="M664" i="8" s="1"/>
  <c r="M669" i="8" s="1"/>
  <c r="N632" i="8" s="1"/>
  <c r="L24" i="7" s="1"/>
  <c r="I2156" i="8"/>
  <c r="M2156" i="8" s="1"/>
  <c r="M2161" i="8" s="1"/>
  <c r="I2138" i="8" s="1"/>
  <c r="M2138" i="8" s="1"/>
  <c r="M2143" i="8" s="1"/>
  <c r="H2123" i="8" s="1"/>
  <c r="I286" i="8"/>
  <c r="M286" i="8" s="1"/>
  <c r="M291" i="8" s="1"/>
  <c r="N255" i="8" s="1"/>
  <c r="L15" i="7" s="1"/>
  <c r="N1363" i="8"/>
  <c r="L41" i="7" s="1"/>
  <c r="I1379" i="8"/>
  <c r="M1379" i="8" s="1"/>
  <c r="M1384" i="8" s="1"/>
  <c r="H1363" i="8" s="1"/>
  <c r="F1363" i="8" s="1"/>
  <c r="I2265" i="8"/>
  <c r="M2265" i="8" s="1"/>
  <c r="M2270" i="8" s="1"/>
  <c r="H2249" i="8" s="1"/>
  <c r="N2249" i="8"/>
  <c r="L62" i="7" s="1"/>
  <c r="N3768" i="8"/>
  <c r="L98" i="7" s="1"/>
  <c r="I3781" i="8"/>
  <c r="M3781" i="8" s="1"/>
  <c r="M3786" i="8" s="1"/>
  <c r="H3768" i="8" s="1"/>
  <c r="F3768" i="8" s="1"/>
  <c r="I1423" i="8"/>
  <c r="M1423" i="8" s="1"/>
  <c r="M1428" i="8" s="1"/>
  <c r="H1407" i="8" s="1"/>
  <c r="N1407" i="8"/>
  <c r="L42" i="7" s="1"/>
  <c r="N1621" i="8"/>
  <c r="L47" i="7" s="1"/>
  <c r="I1637" i="8"/>
  <c r="M1637" i="8" s="1"/>
  <c r="M1642" i="8" s="1"/>
  <c r="H1621" i="8" s="1"/>
  <c r="F1621" i="8" s="1"/>
  <c r="N2469" i="8"/>
  <c r="L67" i="7" s="1"/>
  <c r="I2661" i="8"/>
  <c r="M2661" i="8" s="1"/>
  <c r="M2666" i="8" s="1"/>
  <c r="H2645" i="8" s="1"/>
  <c r="N2645" i="8"/>
  <c r="I1465" i="8"/>
  <c r="M1465" i="8" s="1"/>
  <c r="M1470" i="8" s="1"/>
  <c r="H1451" i="8" s="1"/>
  <c r="N1451" i="8"/>
  <c r="L43" i="7" s="1"/>
  <c r="N3435" i="8"/>
  <c r="L90" i="7" s="1"/>
  <c r="I3448" i="8"/>
  <c r="M3448" i="8" s="1"/>
  <c r="M3453" i="8" s="1"/>
  <c r="H3435" i="8" s="1"/>
  <c r="N2689" i="8"/>
  <c r="L72" i="7" s="1"/>
  <c r="N1147" i="8"/>
  <c r="L36" i="7" s="1"/>
  <c r="I1163" i="8"/>
  <c r="M1163" i="8" s="1"/>
  <c r="M1168" i="8" s="1"/>
  <c r="H1147" i="8" s="1"/>
  <c r="F1147" i="8" s="1"/>
  <c r="I1507" i="8"/>
  <c r="M1507" i="8" s="1"/>
  <c r="M1512" i="8" s="1"/>
  <c r="H1493" i="8" s="1"/>
  <c r="N1493" i="8"/>
  <c r="L44" i="7" s="1"/>
  <c r="I774" i="8"/>
  <c r="M774" i="8" s="1"/>
  <c r="M779" i="8" s="1"/>
  <c r="H758" i="8" s="1"/>
  <c r="N758" i="8"/>
  <c r="L27" i="7" s="1"/>
  <c r="I2749" i="8"/>
  <c r="M2749" i="8" s="1"/>
  <c r="M2754" i="8" s="1"/>
  <c r="H2733" i="8" s="1"/>
  <c r="N2733" i="8"/>
  <c r="L73" i="7" s="1"/>
  <c r="N1235" i="8"/>
  <c r="L38" i="7" s="1"/>
  <c r="I1251" i="8"/>
  <c r="M1251" i="8" s="1"/>
  <c r="M1256" i="8" s="1"/>
  <c r="H1235" i="8" s="1"/>
  <c r="I1549" i="8"/>
  <c r="M1549" i="8" s="1"/>
  <c r="M1554" i="8" s="1"/>
  <c r="H1535" i="8" s="1"/>
  <c r="N1535" i="8"/>
  <c r="L45" i="7" s="1"/>
  <c r="N296" i="8"/>
  <c r="L16" i="7" s="1"/>
  <c r="I309" i="8"/>
  <c r="M309" i="8" s="1"/>
  <c r="M314" i="8" s="1"/>
  <c r="N1705" i="8"/>
  <c r="L49" i="7" s="1"/>
  <c r="I1719" i="8"/>
  <c r="M1719" i="8" s="1"/>
  <c r="M1724" i="8" s="1"/>
  <c r="I1928" i="8"/>
  <c r="M1928" i="8" s="1"/>
  <c r="M1933" i="8" s="1"/>
  <c r="N1915" i="8"/>
  <c r="L54" i="7" s="1"/>
  <c r="I353" i="8"/>
  <c r="M353" i="8" s="1"/>
  <c r="M358" i="8" s="1"/>
  <c r="N337" i="8"/>
  <c r="L17" i="7" s="1"/>
  <c r="N1747" i="8"/>
  <c r="L50" i="7" s="1"/>
  <c r="I1761" i="8"/>
  <c r="M1761" i="8" s="1"/>
  <c r="M1766" i="8" s="1"/>
  <c r="I1335" i="8"/>
  <c r="M1335" i="8" s="1"/>
  <c r="M1340" i="8" s="1"/>
  <c r="H1319" i="8" s="1"/>
  <c r="N1319" i="8"/>
  <c r="L40" i="7" s="1"/>
  <c r="N1279" i="8"/>
  <c r="L39" i="7" s="1"/>
  <c r="I1292" i="8"/>
  <c r="M1292" i="8" s="1"/>
  <c r="M1297" i="8" s="1"/>
  <c r="I436" i="8"/>
  <c r="M436" i="8" s="1"/>
  <c r="M441" i="8" s="1"/>
  <c r="N422" i="8"/>
  <c r="L19" i="7" s="1"/>
  <c r="I1845" i="8"/>
  <c r="M1845" i="8" s="1"/>
  <c r="M1850" i="8" s="1"/>
  <c r="H1831" i="8" s="1"/>
  <c r="N1831" i="8"/>
  <c r="L52" i="7" s="1"/>
  <c r="I1593" i="8"/>
  <c r="M1593" i="8" s="1"/>
  <c r="M1598" i="8" s="1"/>
  <c r="H1577" i="8" s="1"/>
  <c r="F1577" i="8" s="1"/>
  <c r="I1887" i="8"/>
  <c r="M1887" i="8" s="1"/>
  <c r="M1892" i="8" s="1"/>
  <c r="H1873" i="8" s="1"/>
  <c r="N1873" i="8"/>
  <c r="L53" i="7" s="1"/>
  <c r="I520" i="8"/>
  <c r="M520" i="8" s="1"/>
  <c r="M525" i="8" s="1"/>
  <c r="H506" i="8" s="1"/>
  <c r="N506" i="8"/>
  <c r="L21" i="7" s="1"/>
  <c r="I1970" i="8"/>
  <c r="M1970" i="8" s="1"/>
  <c r="M1975" i="8" s="1"/>
  <c r="H1956" i="8" s="1"/>
  <c r="N1956" i="8"/>
  <c r="L55" i="7" s="1"/>
  <c r="I3407" i="8"/>
  <c r="M3407" i="8" s="1"/>
  <c r="M3412" i="8" s="1"/>
  <c r="H3393" i="8" s="1"/>
  <c r="N3393" i="8"/>
  <c r="L89" i="7" s="1"/>
  <c r="N3307" i="8"/>
  <c r="L87" i="7" s="1"/>
  <c r="I3320" i="8"/>
  <c r="M3320" i="8" s="1"/>
  <c r="M3325" i="8" s="1"/>
  <c r="H3307" i="8" s="1"/>
  <c r="N3265" i="8"/>
  <c r="L86" i="7" s="1"/>
  <c r="N4" i="8"/>
  <c r="L9" i="7" s="1"/>
  <c r="I17" i="8"/>
  <c r="M17" i="8" s="1"/>
  <c r="M22" i="8" s="1"/>
  <c r="H4" i="8" s="1"/>
  <c r="I58" i="8"/>
  <c r="M58" i="8" s="1"/>
  <c r="M63" i="8" s="1"/>
  <c r="N3060" i="8"/>
  <c r="L81" i="7" s="1"/>
  <c r="N3684" i="8"/>
  <c r="L96" i="7" s="1"/>
  <c r="I3698" i="8"/>
  <c r="M3698" i="8" s="1"/>
  <c r="M3703" i="8" s="1"/>
  <c r="J3684" i="8" s="1"/>
  <c r="I604" i="8"/>
  <c r="M604" i="8" s="1"/>
  <c r="M609" i="8" s="1"/>
  <c r="H590" i="8" s="1"/>
  <c r="N590" i="8"/>
  <c r="L23" i="7" s="1"/>
  <c r="I394" i="8"/>
  <c r="M394" i="8" s="1"/>
  <c r="M399" i="8" s="1"/>
  <c r="H381" i="8" s="1"/>
  <c r="N381" i="8"/>
  <c r="L18" i="7" s="1"/>
  <c r="N979" i="8"/>
  <c r="L32" i="7" s="1"/>
  <c r="I3656" i="8"/>
  <c r="M3656" i="8" s="1"/>
  <c r="M3661" i="8" s="1"/>
  <c r="H3642" i="8" s="1"/>
  <c r="N3642" i="8"/>
  <c r="L95" i="7" s="1"/>
  <c r="I3740" i="8"/>
  <c r="M3740" i="8" s="1"/>
  <c r="M3745" i="8" s="1"/>
  <c r="H3726" i="8" s="1"/>
  <c r="N3726" i="8"/>
  <c r="L97" i="7" s="1"/>
  <c r="W146" i="24"/>
  <c r="R145" i="24"/>
  <c r="R147" i="24" s="1"/>
  <c r="W147" i="24" s="1"/>
  <c r="W139" i="24"/>
  <c r="T34" i="14"/>
  <c r="S36" i="14"/>
  <c r="V25" i="14"/>
  <c r="J140" i="24" s="1"/>
  <c r="S35" i="14"/>
  <c r="O25" i="14"/>
  <c r="J137" i="24" s="1"/>
  <c r="U25" i="14"/>
  <c r="J139" i="24" s="1"/>
  <c r="Z38" i="14"/>
  <c r="S33" i="14"/>
  <c r="T33" i="14"/>
  <c r="P27" i="14"/>
  <c r="P25" i="14" s="1"/>
  <c r="S27" i="14"/>
  <c r="T28" i="14"/>
  <c r="S28" i="14"/>
  <c r="T29" i="14"/>
  <c r="S29" i="14"/>
  <c r="S37" i="14"/>
  <c r="O22" i="14"/>
  <c r="T37" i="14"/>
  <c r="U22" i="14"/>
  <c r="V22" i="14"/>
  <c r="N32" i="36" l="1"/>
  <c r="I2397" i="8"/>
  <c r="M2397" i="8" s="1"/>
  <c r="M2402" i="8" s="1"/>
  <c r="H2381" i="8" s="1"/>
  <c r="F3684" i="8"/>
  <c r="F4" i="8"/>
  <c r="F3726" i="8"/>
  <c r="M97" i="7" s="1"/>
  <c r="F1873" i="8"/>
  <c r="F1235" i="8"/>
  <c r="F758" i="8"/>
  <c r="F1956" i="8"/>
  <c r="M55" i="7" s="1"/>
  <c r="F2733" i="8"/>
  <c r="F86" i="8"/>
  <c r="N2166" i="8"/>
  <c r="L60" i="7" s="1"/>
  <c r="I1803" i="8"/>
  <c r="M1803" i="8" s="1"/>
  <c r="M1808" i="8" s="1"/>
  <c r="M1812" i="8" s="1"/>
  <c r="M1817" i="8" s="1"/>
  <c r="L1789" i="8" s="1"/>
  <c r="K51" i="7" s="1"/>
  <c r="F506" i="8"/>
  <c r="F590" i="8"/>
  <c r="F3307" i="8"/>
  <c r="F1831" i="8"/>
  <c r="M52" i="7" s="1"/>
  <c r="F1493" i="8"/>
  <c r="F3435" i="8"/>
  <c r="I71" i="7"/>
  <c r="F2645" i="8"/>
  <c r="M71" i="7" s="1"/>
  <c r="F979" i="8"/>
  <c r="I30" i="7"/>
  <c r="F674" i="8"/>
  <c r="F381" i="8"/>
  <c r="F1319" i="8"/>
  <c r="F1407" i="8"/>
  <c r="F2249" i="8"/>
  <c r="I93" i="7"/>
  <c r="I12" i="7"/>
  <c r="F2469" i="8"/>
  <c r="F2689" i="8"/>
  <c r="F3642" i="8"/>
  <c r="M95" i="7" s="1"/>
  <c r="F3393" i="8"/>
  <c r="I65" i="7"/>
  <c r="F2381" i="8"/>
  <c r="F1451" i="8"/>
  <c r="M43" i="7" s="1"/>
  <c r="I78" i="7"/>
  <c r="J60" i="7"/>
  <c r="F2166" i="8"/>
  <c r="F3060" i="8"/>
  <c r="M81" i="7" s="1"/>
  <c r="I68" i="7"/>
  <c r="F1191" i="8"/>
  <c r="W145" i="24"/>
  <c r="N32" i="29"/>
  <c r="N18" i="29"/>
  <c r="N2" i="29"/>
  <c r="N15" i="29"/>
  <c r="N30" i="29"/>
  <c r="N16" i="29"/>
  <c r="N28" i="29"/>
  <c r="N27" i="29"/>
  <c r="N13" i="29"/>
  <c r="N17" i="29"/>
  <c r="N19" i="29"/>
  <c r="N29" i="29"/>
  <c r="N12" i="29"/>
  <c r="N31" i="29"/>
  <c r="N14" i="29"/>
  <c r="N3183" i="8"/>
  <c r="L84" i="7" s="1"/>
  <c r="I3156" i="8"/>
  <c r="M3156" i="8" s="1"/>
  <c r="M3161" i="8" s="1"/>
  <c r="H3144" i="8" s="1"/>
  <c r="F3144" i="8" s="1"/>
  <c r="M83" i="7" s="1"/>
  <c r="N2337" i="8"/>
  <c r="L64" i="7" s="1"/>
  <c r="I2573" i="8"/>
  <c r="M2573" i="8" s="1"/>
  <c r="M2578" i="8" s="1"/>
  <c r="H2557" i="8" s="1"/>
  <c r="I646" i="8"/>
  <c r="M646" i="8" s="1"/>
  <c r="M651" i="8" s="1"/>
  <c r="N2425" i="8"/>
  <c r="L66" i="7" s="1"/>
  <c r="N3476" i="8"/>
  <c r="L91" i="7" s="1"/>
  <c r="I3117" i="8"/>
  <c r="M3117" i="8" s="1"/>
  <c r="M3122" i="8" s="1"/>
  <c r="H3103" i="8" s="1"/>
  <c r="F3103" i="8" s="1"/>
  <c r="N3224" i="8"/>
  <c r="L85" i="7" s="1"/>
  <c r="N802" i="8"/>
  <c r="L28" i="7" s="1"/>
  <c r="N3020" i="8"/>
  <c r="L80" i="7" s="1"/>
  <c r="I2309" i="8"/>
  <c r="M2309" i="8" s="1"/>
  <c r="M2314" i="8" s="1"/>
  <c r="H2293" i="8" s="1"/>
  <c r="I2617" i="8"/>
  <c r="M2617" i="8" s="1"/>
  <c r="M2622" i="8" s="1"/>
  <c r="H2601" i="8" s="1"/>
  <c r="N1665" i="8"/>
  <c r="L48" i="7" s="1"/>
  <c r="N171" i="8"/>
  <c r="L13" i="7" s="1"/>
  <c r="H464" i="8"/>
  <c r="N127" i="8"/>
  <c r="L12" i="7" s="1"/>
  <c r="N3558" i="8"/>
  <c r="N2513" i="8"/>
  <c r="L68" i="7" s="1"/>
  <c r="I864" i="8"/>
  <c r="M864" i="8" s="1"/>
  <c r="M869" i="8" s="1"/>
  <c r="H847" i="8" s="1"/>
  <c r="F847" i="8" s="1"/>
  <c r="N2979" i="8"/>
  <c r="I2992" i="8"/>
  <c r="M2992" i="8" s="1"/>
  <c r="M2997" i="8" s="1"/>
  <c r="J2979" i="8" s="1"/>
  <c r="I3530" i="8"/>
  <c r="M3530" i="8" s="1"/>
  <c r="M3535" i="8" s="1"/>
  <c r="H3517" i="8" s="1"/>
  <c r="F3517" i="8" s="1"/>
  <c r="N3517" i="8"/>
  <c r="L92" i="7" s="1"/>
  <c r="N892" i="8"/>
  <c r="F892" i="8" s="1"/>
  <c r="I2221" i="8"/>
  <c r="M2221" i="8" s="1"/>
  <c r="M2226" i="8" s="1"/>
  <c r="H2207" i="8" s="1"/>
  <c r="L61" i="7"/>
  <c r="N548" i="8"/>
  <c r="L22" i="7" s="1"/>
  <c r="I562" i="8"/>
  <c r="M562" i="8" s="1"/>
  <c r="M567" i="8" s="1"/>
  <c r="H548" i="8" s="1"/>
  <c r="N33" i="36"/>
  <c r="N17" i="36"/>
  <c r="N15" i="36"/>
  <c r="N19" i="36"/>
  <c r="N29" i="36"/>
  <c r="N31" i="36"/>
  <c r="O38" i="36"/>
  <c r="O39" i="36" s="1"/>
  <c r="O41" i="36" s="1"/>
  <c r="N2" i="36" s="1"/>
  <c r="N13" i="36"/>
  <c r="N30" i="36"/>
  <c r="N16" i="36"/>
  <c r="N20" i="36"/>
  <c r="N34" i="36"/>
  <c r="N14" i="36"/>
  <c r="N12" i="36"/>
  <c r="N28" i="36"/>
  <c r="N4" i="52"/>
  <c r="I18" i="52"/>
  <c r="M18" i="52" s="1"/>
  <c r="M23" i="52" s="1"/>
  <c r="H4" i="52" s="1"/>
  <c r="I1119" i="8"/>
  <c r="M1119" i="8" s="1"/>
  <c r="M1124" i="8" s="1"/>
  <c r="H1105" i="8" s="1"/>
  <c r="F1105" i="8" s="1"/>
  <c r="N1105" i="8"/>
  <c r="L35" i="7" s="1"/>
  <c r="N3600" i="8"/>
  <c r="L94" i="7" s="1"/>
  <c r="I3614" i="8"/>
  <c r="M3614" i="8" s="1"/>
  <c r="M3619" i="8" s="1"/>
  <c r="H3600" i="8" s="1"/>
  <c r="I2790" i="8"/>
  <c r="M2790" i="8" s="1"/>
  <c r="M2795" i="8" s="1"/>
  <c r="H2777" i="8" s="1"/>
  <c r="F2777" i="8" s="1"/>
  <c r="N2777" i="8"/>
  <c r="L74" i="7" s="1"/>
  <c r="I2911" i="8"/>
  <c r="M2911" i="8" s="1"/>
  <c r="M2916" i="8" s="1"/>
  <c r="J2898" i="8" s="1"/>
  <c r="N2898" i="8"/>
  <c r="L77" i="7" s="1"/>
  <c r="N46" i="52"/>
  <c r="I60" i="52"/>
  <c r="M60" i="52" s="1"/>
  <c r="M65" i="52" s="1"/>
  <c r="H46" i="52" s="1"/>
  <c r="L79" i="7"/>
  <c r="N1998" i="8"/>
  <c r="I2012" i="8"/>
  <c r="M2012" i="8" s="1"/>
  <c r="M2017" i="8" s="1"/>
  <c r="M60" i="7"/>
  <c r="N1063" i="8"/>
  <c r="L34" i="7" s="1"/>
  <c r="I2830" i="8"/>
  <c r="M2830" i="8" s="1"/>
  <c r="M2835" i="8" s="1"/>
  <c r="H2818" i="8" s="1"/>
  <c r="N2939" i="8"/>
  <c r="L78" i="7" s="1"/>
  <c r="M37" i="7"/>
  <c r="M25" i="7"/>
  <c r="I2053" i="8"/>
  <c r="M2053" i="8" s="1"/>
  <c r="M2058" i="8" s="1"/>
  <c r="J2040" i="8" s="1"/>
  <c r="F2040" i="8" s="1"/>
  <c r="I268" i="8"/>
  <c r="M268" i="8" s="1"/>
  <c r="M273" i="8" s="1"/>
  <c r="H255" i="8" s="1"/>
  <c r="N213" i="8"/>
  <c r="L14" i="7" s="1"/>
  <c r="I1035" i="8"/>
  <c r="M1035" i="8" s="1"/>
  <c r="M1040" i="8" s="1"/>
  <c r="H1021" i="8" s="1"/>
  <c r="I730" i="8"/>
  <c r="M730" i="8" s="1"/>
  <c r="M735" i="8" s="1"/>
  <c r="H716" i="8" s="1"/>
  <c r="N2123" i="8"/>
  <c r="L59" i="7" s="1"/>
  <c r="N3809" i="8"/>
  <c r="F3809" i="8" s="1"/>
  <c r="N3348" i="8"/>
  <c r="L88" i="7" s="1"/>
  <c r="I951" i="8"/>
  <c r="M951" i="8" s="1"/>
  <c r="M956" i="8" s="1"/>
  <c r="H937" i="8" s="1"/>
  <c r="N2858" i="8"/>
  <c r="L76" i="7" s="1"/>
  <c r="I48" i="7"/>
  <c r="M11" i="7"/>
  <c r="I11" i="7"/>
  <c r="I28" i="7"/>
  <c r="I44" i="7"/>
  <c r="M44" i="7"/>
  <c r="I72" i="7"/>
  <c r="M72" i="7"/>
  <c r="I80" i="7"/>
  <c r="I43" i="7"/>
  <c r="I67" i="7"/>
  <c r="M67" i="7"/>
  <c r="I91" i="7"/>
  <c r="M47" i="7"/>
  <c r="I47" i="7"/>
  <c r="I98" i="7"/>
  <c r="M98" i="7"/>
  <c r="I41" i="7"/>
  <c r="M41" i="7"/>
  <c r="I45" i="7"/>
  <c r="I73" i="7"/>
  <c r="M73" i="7"/>
  <c r="M36" i="7"/>
  <c r="I36" i="7"/>
  <c r="M90" i="7"/>
  <c r="I90" i="7"/>
  <c r="L71" i="7"/>
  <c r="L63" i="7"/>
  <c r="I92" i="7"/>
  <c r="I66" i="7"/>
  <c r="I38" i="7"/>
  <c r="M38" i="7"/>
  <c r="M65" i="7"/>
  <c r="L65" i="7"/>
  <c r="I64" i="7"/>
  <c r="M27" i="7"/>
  <c r="I27" i="7"/>
  <c r="M42" i="7"/>
  <c r="I42" i="7"/>
  <c r="I62" i="7"/>
  <c r="M62" i="7"/>
  <c r="I88" i="7"/>
  <c r="I1770" i="8"/>
  <c r="M1770" i="8" s="1"/>
  <c r="M1775" i="8" s="1"/>
  <c r="L1747" i="8" s="1"/>
  <c r="K50" i="7" s="1"/>
  <c r="H1747" i="8"/>
  <c r="H296" i="8"/>
  <c r="F296" i="8" s="1"/>
  <c r="M318" i="8"/>
  <c r="M323" i="8" s="1"/>
  <c r="L296" i="8" s="1"/>
  <c r="K16" i="7" s="1"/>
  <c r="M1937" i="8"/>
  <c r="M1942" i="8" s="1"/>
  <c r="L1915" i="8" s="1"/>
  <c r="K54" i="7" s="1"/>
  <c r="H1915" i="8"/>
  <c r="F1915" i="8" s="1"/>
  <c r="M1728" i="8"/>
  <c r="M1733" i="8" s="1"/>
  <c r="L1705" i="8" s="1"/>
  <c r="K49" i="7" s="1"/>
  <c r="H1705" i="8"/>
  <c r="F1705" i="8" s="1"/>
  <c r="M362" i="8"/>
  <c r="M367" i="8" s="1"/>
  <c r="L337" i="8" s="1"/>
  <c r="K17" i="7" s="1"/>
  <c r="H337" i="8"/>
  <c r="F337" i="8" s="1"/>
  <c r="K137" i="24" s="1"/>
  <c r="I95" i="7"/>
  <c r="I18" i="7"/>
  <c r="I55" i="7"/>
  <c r="M96" i="7"/>
  <c r="J96" i="7"/>
  <c r="M67" i="8"/>
  <c r="M72" i="8" s="1"/>
  <c r="L45" i="8" s="1"/>
  <c r="K10" i="7" s="1"/>
  <c r="H45" i="8"/>
  <c r="F45" i="8" s="1"/>
  <c r="M9" i="7"/>
  <c r="I9" i="7"/>
  <c r="M87" i="7"/>
  <c r="I87" i="7"/>
  <c r="M82" i="7"/>
  <c r="I82" i="7"/>
  <c r="L99" i="7"/>
  <c r="I85" i="7"/>
  <c r="I76" i="7"/>
  <c r="I14" i="7"/>
  <c r="I23" i="7"/>
  <c r="M23" i="7"/>
  <c r="I81" i="7"/>
  <c r="H632" i="8"/>
  <c r="F632" i="8" s="1"/>
  <c r="M656" i="8"/>
  <c r="M660" i="8" s="1"/>
  <c r="L632" i="8" s="1"/>
  <c r="K24" i="7" s="1"/>
  <c r="M53" i="7"/>
  <c r="I53" i="7"/>
  <c r="I52" i="7"/>
  <c r="M1301" i="8"/>
  <c r="M1305" i="8" s="1"/>
  <c r="L1279" i="8" s="1"/>
  <c r="K39" i="7" s="1"/>
  <c r="H1279" i="8"/>
  <c r="F1279" i="8" s="1"/>
  <c r="I97" i="7"/>
  <c r="I32" i="7"/>
  <c r="M32" i="7"/>
  <c r="I13" i="7"/>
  <c r="I59" i="7"/>
  <c r="I89" i="7"/>
  <c r="M89" i="7"/>
  <c r="M21" i="7"/>
  <c r="I21" i="7"/>
  <c r="M46" i="7"/>
  <c r="I46" i="7"/>
  <c r="I26" i="7"/>
  <c r="H3265" i="8"/>
  <c r="F3265" i="8" s="1"/>
  <c r="M3288" i="8"/>
  <c r="M3293" i="8" s="1"/>
  <c r="L3265" i="8" s="1"/>
  <c r="K86" i="7" s="1"/>
  <c r="M2062" i="8"/>
  <c r="M2067" i="8" s="1"/>
  <c r="L2040" i="8" s="1"/>
  <c r="K57" i="7" s="1"/>
  <c r="M3207" i="8"/>
  <c r="M3211" i="8" s="1"/>
  <c r="L3183" i="8" s="1"/>
  <c r="K84" i="7" s="1"/>
  <c r="H3183" i="8"/>
  <c r="F3183" i="8" s="1"/>
  <c r="I34" i="7"/>
  <c r="M446" i="8"/>
  <c r="M450" i="8" s="1"/>
  <c r="L422" i="8" s="1"/>
  <c r="K19" i="7" s="1"/>
  <c r="H422" i="8"/>
  <c r="F422" i="8" s="1"/>
  <c r="I40" i="7"/>
  <c r="M40" i="7"/>
  <c r="R148" i="24"/>
  <c r="W148" i="24" s="1"/>
  <c r="T25" i="14"/>
  <c r="S25" i="14"/>
  <c r="AB38" i="14"/>
  <c r="AB26" i="14" s="1"/>
  <c r="Z26" i="14"/>
  <c r="P21" i="14"/>
  <c r="P22" i="14"/>
  <c r="T22" i="14"/>
  <c r="S22" i="14"/>
  <c r="X22" i="14"/>
  <c r="K18" i="24" l="1"/>
  <c r="K18" i="53"/>
  <c r="M18" i="53" s="1"/>
  <c r="K22" i="24"/>
  <c r="K22" i="53"/>
  <c r="M22" i="53" s="1"/>
  <c r="K20" i="24"/>
  <c r="K20" i="53"/>
  <c r="M20" i="53" s="1"/>
  <c r="K143" i="24"/>
  <c r="M143" i="24" s="1"/>
  <c r="K143" i="53"/>
  <c r="M143" i="53" s="1"/>
  <c r="K28" i="24"/>
  <c r="M28" i="24" s="1"/>
  <c r="K28" i="53"/>
  <c r="M28" i="53" s="1"/>
  <c r="K145" i="24"/>
  <c r="M145" i="24" s="1"/>
  <c r="K145" i="53"/>
  <c r="M145" i="53" s="1"/>
  <c r="K157" i="24"/>
  <c r="M157" i="24" s="1"/>
  <c r="K157" i="53"/>
  <c r="M157" i="53" s="1"/>
  <c r="K160" i="24"/>
  <c r="M160" i="24" s="1"/>
  <c r="K160" i="53"/>
  <c r="M160" i="53" s="1"/>
  <c r="K78" i="24"/>
  <c r="M78" i="24" s="1"/>
  <c r="K78" i="53"/>
  <c r="M78" i="53" s="1"/>
  <c r="K57" i="53"/>
  <c r="M57" i="53" s="1"/>
  <c r="K115" i="53"/>
  <c r="M115" i="53" s="1"/>
  <c r="K162" i="24"/>
  <c r="M162" i="24" s="1"/>
  <c r="K162" i="53"/>
  <c r="M162" i="53" s="1"/>
  <c r="K170" i="24"/>
  <c r="M170" i="24" s="1"/>
  <c r="K170" i="53"/>
  <c r="M170" i="53" s="1"/>
  <c r="K79" i="53"/>
  <c r="M79" i="53" s="1"/>
  <c r="K105" i="53"/>
  <c r="M105" i="53" s="1"/>
  <c r="K27" i="24"/>
  <c r="M27" i="24" s="1"/>
  <c r="K27" i="53"/>
  <c r="M27" i="53" s="1"/>
  <c r="K30" i="24"/>
  <c r="M30" i="24" s="1"/>
  <c r="K30" i="53"/>
  <c r="M30" i="53" s="1"/>
  <c r="K171" i="24"/>
  <c r="M171" i="24" s="1"/>
  <c r="K171" i="53"/>
  <c r="M171" i="53" s="1"/>
  <c r="K83" i="24"/>
  <c r="M83" i="24" s="1"/>
  <c r="K83" i="53"/>
  <c r="M83" i="53" s="1"/>
  <c r="K153" i="24"/>
  <c r="M153" i="24" s="1"/>
  <c r="K153" i="53"/>
  <c r="M153" i="53" s="1"/>
  <c r="K81" i="24"/>
  <c r="M81" i="24" s="1"/>
  <c r="K81" i="53"/>
  <c r="M81" i="53" s="1"/>
  <c r="K161" i="24"/>
  <c r="M161" i="24" s="1"/>
  <c r="K161" i="53"/>
  <c r="M161" i="53" s="1"/>
  <c r="K107" i="24"/>
  <c r="M107" i="24" s="1"/>
  <c r="K107" i="53"/>
  <c r="M107" i="53" s="1"/>
  <c r="K120" i="24"/>
  <c r="M120" i="24" s="1"/>
  <c r="K176" i="53"/>
  <c r="M176" i="53" s="1"/>
  <c r="K32" i="53"/>
  <c r="M32" i="53" s="1"/>
  <c r="K62" i="53"/>
  <c r="M62" i="53" s="1"/>
  <c r="K120" i="53"/>
  <c r="M120" i="53" s="1"/>
  <c r="K163" i="24"/>
  <c r="M163" i="24" s="1"/>
  <c r="K163" i="53"/>
  <c r="M163" i="53" s="1"/>
  <c r="K130" i="24"/>
  <c r="M130" i="24" s="1"/>
  <c r="K130" i="53"/>
  <c r="M130" i="53" s="1"/>
  <c r="K147" i="24"/>
  <c r="M147" i="24" s="1"/>
  <c r="K147" i="53"/>
  <c r="M147" i="53" s="1"/>
  <c r="K50" i="24"/>
  <c r="M50" i="24" s="1"/>
  <c r="K50" i="53"/>
  <c r="M50" i="53" s="1"/>
  <c r="K53" i="24"/>
  <c r="M53" i="24" s="1"/>
  <c r="K53" i="53"/>
  <c r="M53" i="53" s="1"/>
  <c r="K84" i="24"/>
  <c r="M84" i="24" s="1"/>
  <c r="K84" i="53"/>
  <c r="M84" i="53" s="1"/>
  <c r="K173" i="24"/>
  <c r="M173" i="24" s="1"/>
  <c r="K126" i="24" s="1"/>
  <c r="K187" i="53" s="1"/>
  <c r="M191" i="53" s="1"/>
  <c r="K173" i="53"/>
  <c r="M173" i="53" s="1"/>
  <c r="K126" i="53" s="1"/>
  <c r="K158" i="24"/>
  <c r="M158" i="24" s="1"/>
  <c r="K158" i="53"/>
  <c r="M158" i="53" s="1"/>
  <c r="K48" i="24"/>
  <c r="M48" i="24" s="1"/>
  <c r="K48" i="53"/>
  <c r="M48" i="53" s="1"/>
  <c r="K159" i="24"/>
  <c r="M159" i="24" s="1"/>
  <c r="K159" i="53"/>
  <c r="M159" i="53" s="1"/>
  <c r="K168" i="24"/>
  <c r="M168" i="24" s="1"/>
  <c r="K168" i="53"/>
  <c r="M168" i="53" s="1"/>
  <c r="K129" i="53"/>
  <c r="M129" i="53" s="1"/>
  <c r="K66" i="53"/>
  <c r="M66" i="53" s="1"/>
  <c r="M64" i="53" s="1"/>
  <c r="K165" i="24"/>
  <c r="M165" i="24" s="1"/>
  <c r="K165" i="53"/>
  <c r="M165" i="53" s="1"/>
  <c r="K60" i="24"/>
  <c r="M60" i="24" s="1"/>
  <c r="K60" i="53"/>
  <c r="M60" i="53" s="1"/>
  <c r="K106" i="24"/>
  <c r="M106" i="24" s="1"/>
  <c r="K106" i="53"/>
  <c r="M106" i="53" s="1"/>
  <c r="F2898" i="8"/>
  <c r="F548" i="8"/>
  <c r="I83" i="7"/>
  <c r="H1789" i="8"/>
  <c r="I51" i="7" s="1"/>
  <c r="F3224" i="8"/>
  <c r="M85" i="7" s="1"/>
  <c r="I33" i="7"/>
  <c r="F1021" i="8"/>
  <c r="L56" i="7"/>
  <c r="F1998" i="8"/>
  <c r="F3600" i="8"/>
  <c r="I61" i="7"/>
  <c r="F2207" i="8"/>
  <c r="M61" i="7" s="1"/>
  <c r="J79" i="7"/>
  <c r="F2979" i="8"/>
  <c r="F2513" i="8"/>
  <c r="F3020" i="8"/>
  <c r="M80" i="7" s="1"/>
  <c r="F2939" i="8"/>
  <c r="F3558" i="8"/>
  <c r="M93" i="7" s="1"/>
  <c r="F171" i="8"/>
  <c r="M13" i="7" s="1"/>
  <c r="M99" i="7"/>
  <c r="F213" i="8"/>
  <c r="I15" i="7"/>
  <c r="F255" i="8"/>
  <c r="F1789" i="8"/>
  <c r="F464" i="8"/>
  <c r="M20" i="7" s="1"/>
  <c r="I70" i="7"/>
  <c r="F2601" i="8"/>
  <c r="M70" i="7" s="1"/>
  <c r="F1665" i="8"/>
  <c r="M48" i="7" s="1"/>
  <c r="F1063" i="8"/>
  <c r="M34" i="7" s="1"/>
  <c r="F127" i="8"/>
  <c r="F2123" i="8"/>
  <c r="F802" i="8"/>
  <c r="F3476" i="8"/>
  <c r="M91" i="7" s="1"/>
  <c r="F2337" i="8"/>
  <c r="M64" i="7" s="1"/>
  <c r="I31" i="7"/>
  <c r="F937" i="8"/>
  <c r="M31" i="7" s="1"/>
  <c r="F716" i="8"/>
  <c r="M26" i="7" s="1"/>
  <c r="I75" i="7"/>
  <c r="F2818" i="8"/>
  <c r="I63" i="7"/>
  <c r="F2293" i="8"/>
  <c r="M63" i="7" s="1"/>
  <c r="I69" i="7"/>
  <c r="F2557" i="8"/>
  <c r="M69" i="7" s="1"/>
  <c r="F2858" i="8"/>
  <c r="M76" i="7" s="1"/>
  <c r="F2425" i="8"/>
  <c r="M66" i="7" s="1"/>
  <c r="F3348" i="8"/>
  <c r="K181" i="24"/>
  <c r="M14" i="7"/>
  <c r="M75" i="7"/>
  <c r="I20" i="7"/>
  <c r="M92" i="7"/>
  <c r="M78" i="7"/>
  <c r="L93" i="7"/>
  <c r="M79" i="7"/>
  <c r="M28" i="7"/>
  <c r="M56" i="7"/>
  <c r="M68" i="7"/>
  <c r="M12" i="7"/>
  <c r="F46" i="52"/>
  <c r="J39" i="10" s="1"/>
  <c r="I1751" i="8" s="1"/>
  <c r="M1751" i="8" s="1"/>
  <c r="M1757" i="8" s="1"/>
  <c r="J1747" i="8" s="1"/>
  <c r="J50" i="7" s="1"/>
  <c r="F4" i="52"/>
  <c r="J38" i="10" s="1"/>
  <c r="I1540" i="8" s="1"/>
  <c r="M1540" i="8" s="1"/>
  <c r="M1545" i="8" s="1"/>
  <c r="J1535" i="8" s="1"/>
  <c r="F1535" i="8" s="1"/>
  <c r="M29" i="7"/>
  <c r="I29" i="7"/>
  <c r="L30" i="7"/>
  <c r="M30" i="7"/>
  <c r="M33" i="7"/>
  <c r="M94" i="7"/>
  <c r="I94" i="7"/>
  <c r="I22" i="7"/>
  <c r="M22" i="7"/>
  <c r="J77" i="7"/>
  <c r="M77" i="7"/>
  <c r="I74" i="7"/>
  <c r="M74" i="7"/>
  <c r="I35" i="7"/>
  <c r="M35" i="7"/>
  <c r="M88" i="7"/>
  <c r="M15" i="7"/>
  <c r="M59" i="7"/>
  <c r="K32" i="24"/>
  <c r="M32" i="24" s="1"/>
  <c r="K62" i="24"/>
  <c r="M62" i="24" s="1"/>
  <c r="K176" i="24"/>
  <c r="M176" i="24" s="1"/>
  <c r="K79" i="24"/>
  <c r="M79" i="24" s="1"/>
  <c r="K105" i="24"/>
  <c r="M105" i="24" s="1"/>
  <c r="M17" i="7"/>
  <c r="I17" i="7"/>
  <c r="M16" i="7"/>
  <c r="I16" i="7"/>
  <c r="I54" i="7"/>
  <c r="M54" i="7"/>
  <c r="I49" i="7"/>
  <c r="M49" i="7"/>
  <c r="M22" i="24" s="1"/>
  <c r="I50" i="7"/>
  <c r="M86" i="7"/>
  <c r="I86" i="7"/>
  <c r="J57" i="7"/>
  <c r="M57" i="7"/>
  <c r="I24" i="7"/>
  <c r="M24" i="7"/>
  <c r="M18" i="7"/>
  <c r="W96" i="10"/>
  <c r="T96" i="10"/>
  <c r="T36" i="10"/>
  <c r="W36" i="10"/>
  <c r="I39" i="7"/>
  <c r="M39" i="7"/>
  <c r="I10" i="7"/>
  <c r="M10" i="7"/>
  <c r="K57" i="24"/>
  <c r="M57" i="24" s="1"/>
  <c r="K115" i="24"/>
  <c r="M115" i="24" s="1"/>
  <c r="I19" i="7"/>
  <c r="M19" i="7"/>
  <c r="M84" i="7"/>
  <c r="I84" i="7"/>
  <c r="K129" i="24"/>
  <c r="M129" i="24" s="1"/>
  <c r="K66" i="24"/>
  <c r="Y22" i="14"/>
  <c r="Y23" i="14" s="1"/>
  <c r="X23" i="14"/>
  <c r="K25" i="24" l="1"/>
  <c r="M25" i="24" s="1"/>
  <c r="K25" i="53"/>
  <c r="M25" i="53" s="1"/>
  <c r="M137" i="24"/>
  <c r="K137" i="53"/>
  <c r="M137" i="53" s="1"/>
  <c r="K131" i="24"/>
  <c r="M131" i="24" s="1"/>
  <c r="K131" i="53"/>
  <c r="M131" i="53" s="1"/>
  <c r="K114" i="53"/>
  <c r="M114" i="53" s="1"/>
  <c r="K56" i="53"/>
  <c r="M56" i="53" s="1"/>
  <c r="K132" i="24"/>
  <c r="M132" i="24" s="1"/>
  <c r="K132" i="53"/>
  <c r="M132" i="53" s="1"/>
  <c r="K46" i="24"/>
  <c r="M46" i="24" s="1"/>
  <c r="K46" i="53"/>
  <c r="M46" i="53" s="1"/>
  <c r="K108" i="24"/>
  <c r="M108" i="24" s="1"/>
  <c r="K108" i="53"/>
  <c r="M108" i="53" s="1"/>
  <c r="K140" i="24"/>
  <c r="M140" i="24" s="1"/>
  <c r="K140" i="53"/>
  <c r="M140" i="53" s="1"/>
  <c r="K37" i="53"/>
  <c r="M37" i="53" s="1"/>
  <c r="K96" i="53"/>
  <c r="M96" i="53" s="1"/>
  <c r="K72" i="53"/>
  <c r="M72" i="53" s="1"/>
  <c r="K139" i="24"/>
  <c r="M139" i="24" s="1"/>
  <c r="K139" i="53"/>
  <c r="M139" i="53" s="1"/>
  <c r="K187" i="24"/>
  <c r="K151" i="24"/>
  <c r="M151" i="24" s="1"/>
  <c r="K151" i="53"/>
  <c r="M151" i="53" s="1"/>
  <c r="K45" i="24"/>
  <c r="M45" i="24" s="1"/>
  <c r="K45" i="53"/>
  <c r="M45" i="53" s="1"/>
  <c r="K117" i="24"/>
  <c r="K117" i="53"/>
  <c r="M117" i="53" s="1"/>
  <c r="K91" i="53"/>
  <c r="M91" i="53" s="1"/>
  <c r="K134" i="24"/>
  <c r="M134" i="24" s="1"/>
  <c r="K134" i="53"/>
  <c r="M134" i="53" s="1"/>
  <c r="K54" i="24"/>
  <c r="M54" i="24" s="1"/>
  <c r="K54" i="53"/>
  <c r="M54" i="53" s="1"/>
  <c r="K51" i="24"/>
  <c r="M51" i="24" s="1"/>
  <c r="K51" i="53"/>
  <c r="M51" i="53" s="1"/>
  <c r="K148" i="24"/>
  <c r="M148" i="24" s="1"/>
  <c r="K148" i="53"/>
  <c r="M148" i="53" s="1"/>
  <c r="K85" i="24"/>
  <c r="M85" i="24" s="1"/>
  <c r="K85" i="53"/>
  <c r="M85" i="53" s="1"/>
  <c r="K155" i="24"/>
  <c r="M155" i="24" s="1"/>
  <c r="K155" i="53"/>
  <c r="M155" i="53" s="1"/>
  <c r="K141" i="24"/>
  <c r="M141" i="24" s="1"/>
  <c r="K141" i="53"/>
  <c r="M141" i="53" s="1"/>
  <c r="K80" i="24"/>
  <c r="M80" i="24" s="1"/>
  <c r="K80" i="53"/>
  <c r="M80" i="53" s="1"/>
  <c r="K135" i="24"/>
  <c r="M135" i="24" s="1"/>
  <c r="K135" i="53"/>
  <c r="M135" i="53" s="1"/>
  <c r="K146" i="24"/>
  <c r="M146" i="24" s="1"/>
  <c r="K146" i="53"/>
  <c r="M146" i="53" s="1"/>
  <c r="K98" i="53"/>
  <c r="M98" i="53" s="1"/>
  <c r="K39" i="53"/>
  <c r="M39" i="53" s="1"/>
  <c r="K59" i="24"/>
  <c r="M59" i="24" s="1"/>
  <c r="K59" i="53"/>
  <c r="M59" i="53" s="1"/>
  <c r="K156" i="24"/>
  <c r="M156" i="24" s="1"/>
  <c r="K156" i="53"/>
  <c r="M156" i="53" s="1"/>
  <c r="K111" i="24"/>
  <c r="M111" i="24" s="1"/>
  <c r="K111" i="53"/>
  <c r="M111" i="53" s="1"/>
  <c r="K149" i="24"/>
  <c r="M149" i="24" s="1"/>
  <c r="K149" i="53"/>
  <c r="M149" i="53" s="1"/>
  <c r="K86" i="24"/>
  <c r="M86" i="24" s="1"/>
  <c r="K86" i="53"/>
  <c r="M86" i="53" s="1"/>
  <c r="K110" i="24"/>
  <c r="M110" i="24" s="1"/>
  <c r="K110" i="53"/>
  <c r="M110" i="53" s="1"/>
  <c r="K152" i="24"/>
  <c r="M152" i="24" s="1"/>
  <c r="K152" i="53"/>
  <c r="M152" i="53" s="1"/>
  <c r="K177" i="24"/>
  <c r="M177" i="24" s="1"/>
  <c r="K177" i="53"/>
  <c r="M177" i="53" s="1"/>
  <c r="K112" i="24"/>
  <c r="M112" i="24" s="1"/>
  <c r="K112" i="53"/>
  <c r="M112" i="53" s="1"/>
  <c r="K49" i="24"/>
  <c r="M49" i="24" s="1"/>
  <c r="K49" i="53"/>
  <c r="M49" i="53" s="1"/>
  <c r="K118" i="24"/>
  <c r="M118" i="24" s="1"/>
  <c r="K90" i="53"/>
  <c r="M90" i="53" s="1"/>
  <c r="K118" i="53"/>
  <c r="M118" i="53" s="1"/>
  <c r="M193" i="53"/>
  <c r="L192" i="53"/>
  <c r="K29" i="24"/>
  <c r="M29" i="24" s="1"/>
  <c r="K29" i="53"/>
  <c r="M29" i="53" s="1"/>
  <c r="K88" i="24"/>
  <c r="M88" i="24" s="1"/>
  <c r="K88" i="53"/>
  <c r="M88" i="53" s="1"/>
  <c r="K104" i="24"/>
  <c r="M104" i="24" s="1"/>
  <c r="K104" i="53"/>
  <c r="M104" i="53" s="1"/>
  <c r="K82" i="24"/>
  <c r="M82" i="24" s="1"/>
  <c r="K82" i="53"/>
  <c r="M82" i="53" s="1"/>
  <c r="K144" i="24"/>
  <c r="M144" i="24" s="1"/>
  <c r="K144" i="53"/>
  <c r="M144" i="53" s="1"/>
  <c r="K154" i="24"/>
  <c r="M154" i="24" s="1"/>
  <c r="K154" i="53"/>
  <c r="M154" i="53" s="1"/>
  <c r="K150" i="24"/>
  <c r="M150" i="24" s="1"/>
  <c r="K150" i="53"/>
  <c r="M150" i="53" s="1"/>
  <c r="K113" i="24"/>
  <c r="M113" i="24" s="1"/>
  <c r="K55" i="53"/>
  <c r="M55" i="53" s="1"/>
  <c r="K113" i="53"/>
  <c r="M113" i="53" s="1"/>
  <c r="K109" i="24"/>
  <c r="M109" i="24" s="1"/>
  <c r="K109" i="53"/>
  <c r="M109" i="53" s="1"/>
  <c r="K52" i="24"/>
  <c r="M52" i="24" s="1"/>
  <c r="K52" i="53"/>
  <c r="M52" i="53" s="1"/>
  <c r="K87" i="24"/>
  <c r="M87" i="24" s="1"/>
  <c r="K87" i="53"/>
  <c r="M87" i="53" s="1"/>
  <c r="K91" i="24"/>
  <c r="M91" i="24" s="1"/>
  <c r="K56" i="24"/>
  <c r="M56" i="24" s="1"/>
  <c r="K114" i="24"/>
  <c r="M114" i="24" s="1"/>
  <c r="F1747" i="8"/>
  <c r="M50" i="7" s="1"/>
  <c r="M51" i="7"/>
  <c r="K183" i="24"/>
  <c r="K184" i="24"/>
  <c r="M117" i="24"/>
  <c r="M66" i="24"/>
  <c r="M64" i="24" s="1"/>
  <c r="K55" i="24"/>
  <c r="M55" i="24" s="1"/>
  <c r="K90" i="24"/>
  <c r="M90" i="24" s="1"/>
  <c r="J45" i="7"/>
  <c r="M45" i="7"/>
  <c r="K98" i="24"/>
  <c r="M98" i="24" s="1"/>
  <c r="K39" i="24"/>
  <c r="M39" i="24" s="1"/>
  <c r="M20" i="24"/>
  <c r="Z96" i="10"/>
  <c r="Z36" i="10"/>
  <c r="K96" i="24"/>
  <c r="M96" i="24" s="1"/>
  <c r="K37" i="24"/>
  <c r="M37" i="24" s="1"/>
  <c r="M2091" i="8"/>
  <c r="J2081" i="8" s="1"/>
  <c r="F2081" i="8" s="1"/>
  <c r="K72" i="24"/>
  <c r="M72" i="24" s="1"/>
  <c r="M18" i="24"/>
  <c r="L195" i="53" l="1"/>
  <c r="K167" i="24"/>
  <c r="M167" i="24" s="1"/>
  <c r="M126" i="24" s="1"/>
  <c r="K167" i="53"/>
  <c r="M167" i="53" s="1"/>
  <c r="M182" i="24"/>
  <c r="T35" i="23" s="1"/>
  <c r="M182" i="53"/>
  <c r="K23" i="24"/>
  <c r="M23" i="24" s="1"/>
  <c r="M15" i="24" s="1"/>
  <c r="K23" i="53"/>
  <c r="M23" i="53" s="1"/>
  <c r="M15" i="53" s="1"/>
  <c r="K74" i="53"/>
  <c r="M74" i="53" s="1"/>
  <c r="K100" i="53"/>
  <c r="M100" i="53" s="1"/>
  <c r="K41" i="53"/>
  <c r="M41" i="53" s="1"/>
  <c r="M126" i="53"/>
  <c r="K76" i="53"/>
  <c r="M76" i="53" s="1"/>
  <c r="M69" i="53" s="1"/>
  <c r="K102" i="53"/>
  <c r="M102" i="53" s="1"/>
  <c r="M93" i="53" s="1"/>
  <c r="K43" i="53"/>
  <c r="M43" i="53" s="1"/>
  <c r="K100" i="24"/>
  <c r="M100" i="24" s="1"/>
  <c r="K41" i="24"/>
  <c r="M41" i="24" s="1"/>
  <c r="K74" i="24"/>
  <c r="M74" i="24" s="1"/>
  <c r="K76" i="24"/>
  <c r="M76" i="24" s="1"/>
  <c r="K43" i="24"/>
  <c r="M43" i="24" s="1"/>
  <c r="K102" i="24"/>
  <c r="M102" i="24" s="1"/>
  <c r="M191" i="24"/>
  <c r="M58" i="7"/>
  <c r="J58" i="7"/>
  <c r="E9" i="30" l="1"/>
  <c r="F40" i="26" s="1"/>
  <c r="J48" i="26" s="1"/>
  <c r="J51" i="26" s="1"/>
  <c r="M192" i="24"/>
  <c r="K47" i="24"/>
  <c r="M47" i="24" s="1"/>
  <c r="M34" i="24" s="1"/>
  <c r="K47" i="53"/>
  <c r="M47" i="53" s="1"/>
  <c r="M34" i="53" s="1"/>
  <c r="M180" i="24"/>
  <c r="T33" i="23" s="1"/>
  <c r="M180" i="53"/>
  <c r="M187" i="24"/>
  <c r="T40" i="23" s="1"/>
  <c r="M187" i="53"/>
  <c r="M93" i="24"/>
  <c r="M69" i="24"/>
  <c r="K32" i="30"/>
  <c r="O32" i="30" s="1"/>
  <c r="D48" i="26" l="1"/>
  <c r="D51" i="26" s="1"/>
  <c r="P48" i="26"/>
  <c r="P51" i="26" s="1"/>
  <c r="K29" i="30"/>
  <c r="O29" i="30" s="1"/>
  <c r="M48" i="26"/>
  <c r="M51" i="26" s="1"/>
  <c r="K31" i="30"/>
  <c r="O31" i="30" s="1"/>
  <c r="K30" i="30"/>
  <c r="O30" i="30" s="1"/>
  <c r="K33" i="30"/>
  <c r="O33" i="30" s="1"/>
  <c r="G48" i="26"/>
  <c r="G51" i="26" s="1"/>
  <c r="M184" i="24"/>
  <c r="T37" i="23" s="1"/>
  <c r="M184" i="53"/>
  <c r="M181" i="24"/>
  <c r="T34" i="23" s="1"/>
  <c r="M181" i="53"/>
  <c r="M183" i="24"/>
  <c r="T36" i="23" s="1"/>
  <c r="M183" i="53"/>
  <c r="Q53" i="26" l="1"/>
  <c r="Q55" i="26" s="1"/>
  <c r="Q56" i="26" s="1"/>
  <c r="K23" i="30" s="1"/>
  <c r="O23" i="30" s="1"/>
  <c r="O34" i="30"/>
  <c r="M188" i="53"/>
  <c r="J187" i="53" s="1"/>
  <c r="M188" i="24"/>
  <c r="J181" i="24" s="1"/>
  <c r="O24" i="30"/>
  <c r="O36" i="30" s="1"/>
  <c r="N23" i="30" s="1"/>
  <c r="J187" i="24" l="1"/>
  <c r="E9" i="31"/>
  <c r="J180" i="53"/>
  <c r="J186" i="53"/>
  <c r="J180" i="24"/>
  <c r="J185" i="53"/>
  <c r="J181" i="53"/>
  <c r="M189" i="53"/>
  <c r="J182" i="53"/>
  <c r="J183" i="53"/>
  <c r="J184" i="53"/>
  <c r="J185" i="24"/>
  <c r="J183" i="24"/>
  <c r="J184" i="24"/>
  <c r="J182" i="24"/>
  <c r="F9" i="26"/>
  <c r="P17" i="26" s="1"/>
  <c r="P20" i="26" s="1"/>
  <c r="M189" i="24"/>
  <c r="J186" i="24"/>
  <c r="O38" i="30"/>
  <c r="N15" i="30"/>
  <c r="N14" i="30"/>
  <c r="N30" i="30"/>
  <c r="N32" i="30"/>
  <c r="N29" i="30"/>
  <c r="N33" i="30"/>
  <c r="N31" i="30"/>
  <c r="M190" i="53" l="1"/>
  <c r="M199" i="53" s="1"/>
  <c r="M203" i="53" s="1"/>
  <c r="P195" i="53"/>
  <c r="P192" i="24"/>
  <c r="G17" i="26"/>
  <c r="G20" i="26" s="1"/>
  <c r="P192" i="53"/>
  <c r="N194" i="53"/>
  <c r="J17" i="26"/>
  <c r="J20" i="26" s="1"/>
  <c r="D17" i="26"/>
  <c r="D20" i="26" s="1"/>
  <c r="M17" i="26"/>
  <c r="M20" i="26" s="1"/>
  <c r="M190" i="24"/>
  <c r="P193" i="53"/>
  <c r="L190" i="53"/>
  <c r="M193" i="24"/>
  <c r="N2" i="30"/>
  <c r="O52" i="31" l="1"/>
  <c r="Q22" i="26"/>
  <c r="Q24" i="26" s="1"/>
  <c r="Q25" i="26" s="1"/>
  <c r="O41" i="31" s="1"/>
  <c r="L192" i="24"/>
  <c r="P40" i="30" s="1"/>
  <c r="O54" i="31" l="1"/>
  <c r="O56" i="31" s="1"/>
  <c r="P2" i="26"/>
  <c r="L195" i="24"/>
  <c r="R24" i="28" s="1"/>
  <c r="N17" i="31" l="1"/>
  <c r="N31" i="31"/>
  <c r="N28" i="31"/>
  <c r="N19" i="31"/>
  <c r="N34" i="31"/>
  <c r="N32" i="31"/>
  <c r="N16" i="31"/>
  <c r="N29" i="31"/>
  <c r="N18" i="31"/>
  <c r="N20" i="31"/>
  <c r="N14" i="31"/>
  <c r="N2" i="31"/>
  <c r="N30" i="31"/>
  <c r="N15" i="31"/>
  <c r="N33" i="31"/>
  <c r="R12" i="31" l="1"/>
  <c r="M199" i="24" l="1"/>
  <c r="M203" i="24" s="1"/>
  <c r="N194" i="24"/>
  <c r="L190" i="24"/>
  <c r="R12" i="29" s="1"/>
  <c r="S2" i="2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35" authorId="0" shapeId="0" xr:uid="{00000000-0006-0000-0600-000001000000}">
      <text>
        <r>
          <rPr>
            <sz val="10"/>
            <color rgb="FF000000"/>
            <rFont val="Arial"/>
            <family val="2"/>
            <scheme val="minor"/>
          </rPr>
          <t>======
ID#AAAA7jWliqQ
Autor    (2023-03-03 01:19:19)
varia entre 0 y 1  S/ FONADE</t>
        </r>
      </text>
    </comment>
  </commentList>
</comments>
</file>

<file path=xl/sharedStrings.xml><?xml version="1.0" encoding="utf-8"?>
<sst xmlns="http://schemas.openxmlformats.org/spreadsheetml/2006/main" count="11154" uniqueCount="2072">
  <si>
    <t>FECHA</t>
  </si>
  <si>
    <t>VALIDACIÓN DISEÑOS</t>
  </si>
  <si>
    <t>EJECUCIÓN</t>
  </si>
  <si>
    <t>LIQUIDACIÓN</t>
  </si>
  <si>
    <t>TOTAL OBRA</t>
  </si>
  <si>
    <t>EXCAVACIONES Y RELLENOS</t>
  </si>
  <si>
    <t>Z. Verde</t>
  </si>
  <si>
    <t>Afirmado</t>
  </si>
  <si>
    <t>Bd Zanja</t>
  </si>
  <si>
    <t>m</t>
  </si>
  <si>
    <t>Profundidad a clave</t>
  </si>
  <si>
    <t>%</t>
  </si>
  <si>
    <t>Conglomerado</t>
  </si>
  <si>
    <t>Cama de Arena</t>
  </si>
  <si>
    <t>Relleno en Recebo</t>
  </si>
  <si>
    <t>Base</t>
  </si>
  <si>
    <t>Sub Base</t>
  </si>
  <si>
    <t>Pavimento</t>
  </si>
  <si>
    <t>DISPOSICIÓN DE ESCOMBROS</t>
  </si>
  <si>
    <t>Km</t>
  </si>
  <si>
    <t>Kg</t>
  </si>
  <si>
    <t>Expansión</t>
  </si>
  <si>
    <t>Compactación</t>
  </si>
  <si>
    <t>DESARENADOR</t>
  </si>
  <si>
    <t>ÍNDICE GENERAL COMPONENTE FINANCIERO ESTRUCTURADO</t>
  </si>
  <si>
    <t>Presupuesto General</t>
  </si>
  <si>
    <t>Cantidades de obra - Estructuras</t>
  </si>
  <si>
    <t>Cantidades de obra - Redes</t>
  </si>
  <si>
    <t>Factor Multiplicador</t>
  </si>
  <si>
    <t>Pólizas</t>
  </si>
  <si>
    <t>Cantidades de obra - Ventosas, Purgas, Cabezal, pozo CQP</t>
  </si>
  <si>
    <t>Lista de A.P.U.S.</t>
  </si>
  <si>
    <t>A.P.U.S.</t>
  </si>
  <si>
    <t>Cuadrillas</t>
  </si>
  <si>
    <t>Materiales</t>
  </si>
  <si>
    <t>Cantidades de obra - Peso transposrte especial mular</t>
  </si>
  <si>
    <t>Equipos</t>
  </si>
  <si>
    <t>A - BOCATOMA</t>
  </si>
  <si>
    <t>DESCRIPCIÓN</t>
  </si>
  <si>
    <t>UNIDAD</t>
  </si>
  <si>
    <t>CANT.</t>
  </si>
  <si>
    <t>VALOR UNITARIO</t>
  </si>
  <si>
    <t>VR. PARCIAL</t>
  </si>
  <si>
    <t>A-01</t>
  </si>
  <si>
    <t>PRELIMINARES</t>
  </si>
  <si>
    <t>A-01.01</t>
  </si>
  <si>
    <t>LOCALIZACIÓN Y REPLANTEO DE ESTRUCTURAS DE ACUEDUCTOS (INCLUYE EQUIPO DE TOPOGRAFÍA)</t>
  </si>
  <si>
    <t>A-01.02</t>
  </si>
  <si>
    <t>A-02</t>
  </si>
  <si>
    <t>A-02.01</t>
  </si>
  <si>
    <t>A-02.02</t>
  </si>
  <si>
    <t>A-03</t>
  </si>
  <si>
    <t>RELLENOS</t>
  </si>
  <si>
    <t>A-03.01</t>
  </si>
  <si>
    <t>RELLENO TIPO II: CON RECEBO SELECCIONADO, COMPACTADO EN CAPAS DE 20 CM, PROCTOR MODIFICADO 95%, A TODO FACTOR (INCLUYE RECEBO, EQUIPOS, HERRAMIENTAS, TRANSPORTE Y MANO DE OBRA)</t>
  </si>
  <si>
    <t>A-03.02</t>
  </si>
  <si>
    <t>A-04</t>
  </si>
  <si>
    <t>A-04.01</t>
  </si>
  <si>
    <t>CONCRETO PARA SOLADO DE 2000 PSI A TODO COSTO (140 KG/CM2)</t>
  </si>
  <si>
    <t>A-04.02</t>
  </si>
  <si>
    <t>A-04.03</t>
  </si>
  <si>
    <t>A-04.04</t>
  </si>
  <si>
    <t>A-04.05</t>
  </si>
  <si>
    <t>A-05</t>
  </si>
  <si>
    <t>A-05.01</t>
  </si>
  <si>
    <t>A-05.02</t>
  </si>
  <si>
    <t>A-06</t>
  </si>
  <si>
    <t>ACCESORIOS Y OBRAS COMPLEMENTARIAS</t>
  </si>
  <si>
    <t>A-06.01</t>
  </si>
  <si>
    <t>A-07</t>
  </si>
  <si>
    <t>TUBERÍAS</t>
  </si>
  <si>
    <t>A-07.01</t>
  </si>
  <si>
    <t>A-07.02</t>
  </si>
  <si>
    <t>A-07.03</t>
  </si>
  <si>
    <t>A-07.04</t>
  </si>
  <si>
    <t>B - DESARENADOR</t>
  </si>
  <si>
    <t>DESCRIPCION</t>
  </si>
  <si>
    <t>UNID</t>
  </si>
  <si>
    <t>VR. UNIT</t>
  </si>
  <si>
    <t>B-01</t>
  </si>
  <si>
    <t>B-01.01</t>
  </si>
  <si>
    <t>B-02</t>
  </si>
  <si>
    <t>B-02.01</t>
  </si>
  <si>
    <t>B-02.02</t>
  </si>
  <si>
    <t>B-02.03</t>
  </si>
  <si>
    <t>B-03</t>
  </si>
  <si>
    <t>B-03.01</t>
  </si>
  <si>
    <t>B-03.02</t>
  </si>
  <si>
    <t>B-04</t>
  </si>
  <si>
    <t>B-04.01</t>
  </si>
  <si>
    <t>B-04.02</t>
  </si>
  <si>
    <t>B-04.03</t>
  </si>
  <si>
    <t>B-04.04</t>
  </si>
  <si>
    <t>B-04.05</t>
  </si>
  <si>
    <t>B-05</t>
  </si>
  <si>
    <t>B-06</t>
  </si>
  <si>
    <t>B-06.08</t>
  </si>
  <si>
    <t>B-07</t>
  </si>
  <si>
    <t>B-07.01</t>
  </si>
  <si>
    <t>B-07.02</t>
  </si>
  <si>
    <t>C - ADUCCIÓN</t>
  </si>
  <si>
    <t>RETIRO DE MATERIAL SOBRANTE HASTA BOTADERO AUTORIZADO, DISTANCIA 5KM (INCLUYE FACTOR DE EXPANSIÓN, CARGUE Y TRANSPORTE DE MATERIAL)</t>
  </si>
  <si>
    <t>D-01</t>
  </si>
  <si>
    <t>D-01.01</t>
  </si>
  <si>
    <t>D-02</t>
  </si>
  <si>
    <t>D-02.01</t>
  </si>
  <si>
    <t>D-03</t>
  </si>
  <si>
    <t>D-03.01</t>
  </si>
  <si>
    <t>D-04</t>
  </si>
  <si>
    <t>D-04.01</t>
  </si>
  <si>
    <t>D-04.02</t>
  </si>
  <si>
    <t>D-05.01</t>
  </si>
  <si>
    <t>ACCESORIOS Y OBRAS COMPLEMETARIAS</t>
  </si>
  <si>
    <t>D-06.01</t>
  </si>
  <si>
    <t>D-06.02</t>
  </si>
  <si>
    <t>CERRAMIENTO EN MALLA ESLABONADA APOYADA EN TUBERIA GALVANIZADA Ø2 1/2" (INCLUYE POSTES, SOLDADURA, ÁNGULOS, PINTURA, MATERIALES, HERRAMIENTA MENOR, Y MANO DE OBRA)</t>
  </si>
  <si>
    <t>PUERTA DE ACCESO PEATONAL AL PREDIO DE UNA HOJA 1.20x2.00m EN MALLA ESLABONADA NO. 10 (INCLUYE MARCO, TUBERÍA HG DE 2", SOLDADURA, PINTURA, PORTACANDADOS, BISAGRAS, MATERIALES, HERRAMIENTA MENOR, EQUIPO Y MANO DE OBRA)</t>
  </si>
  <si>
    <t>PORTÓN DE ACCESO VEHÍCULAR AL PREDIO 2.00x2.20m DE DOS HOJAS EN MALLA ESLABONADA NO. 10 (INCLUYE MARCO, TUBERÍA HG DE 2", SOLDADURA, MALLA, PINTURA, PORTACANDADO DE 4", BISAGRA DE 3", MATERIALES, HERRAMIENTA MENOR, EQUIPO Y MANO DE OBRA)</t>
  </si>
  <si>
    <t>ACCESORIOS</t>
  </si>
  <si>
    <t>UN</t>
  </si>
  <si>
    <t>ESTRUCTURA</t>
  </si>
  <si>
    <t>SUMINISTRO</t>
  </si>
  <si>
    <t>OBRA CIVIL</t>
  </si>
  <si>
    <t>ADMINISTRACIÓN</t>
  </si>
  <si>
    <t>TOTAL COSTOS SUMINISTRO</t>
  </si>
  <si>
    <t>TOTAL</t>
  </si>
  <si>
    <t>COSTO DIRECTO OC</t>
  </si>
  <si>
    <t>A</t>
  </si>
  <si>
    <t>COSTOS DIRECTOS DE PERSONAL</t>
  </si>
  <si>
    <t>ÍTEM</t>
  </si>
  <si>
    <t>CARGO/OFICIO</t>
  </si>
  <si>
    <t>SMLMV</t>
  </si>
  <si>
    <t>CANTIDAD</t>
  </si>
  <si>
    <t>DEDICAC. (Mes)</t>
  </si>
  <si>
    <t>SUELDO Y/O TARIFA MENSUAL</t>
  </si>
  <si>
    <t>DURAC. (Meses)</t>
  </si>
  <si>
    <t>IMPACTO (%)</t>
  </si>
  <si>
    <t>VALOR PARCIAL ($)</t>
  </si>
  <si>
    <t>A.01</t>
  </si>
  <si>
    <t>Director de obra</t>
  </si>
  <si>
    <t>A.02</t>
  </si>
  <si>
    <t>A.03</t>
  </si>
  <si>
    <t>A.04</t>
  </si>
  <si>
    <t>Especialista Hidráulico</t>
  </si>
  <si>
    <t>A.05</t>
  </si>
  <si>
    <t>Profesional Civil (Residente de Obra)</t>
  </si>
  <si>
    <t>A.06</t>
  </si>
  <si>
    <t>Profesional Topógrafo</t>
  </si>
  <si>
    <t>A.07</t>
  </si>
  <si>
    <t>Profesional Ambiental</t>
  </si>
  <si>
    <t>Profesional Social</t>
  </si>
  <si>
    <t>A.09</t>
  </si>
  <si>
    <t>A.10</t>
  </si>
  <si>
    <t>Profesional QHSE</t>
  </si>
  <si>
    <t>Subtotal Costos Directos de Personal</t>
  </si>
  <si>
    <t>Factor Prestacional</t>
  </si>
  <si>
    <t>Total Costos Directos de Personal Incluyendo Factor Prestacional</t>
  </si>
  <si>
    <t>B</t>
  </si>
  <si>
    <t>OTROS COSTOS DIRECTOS</t>
  </si>
  <si>
    <t>DURACIÓN (Meses)</t>
  </si>
  <si>
    <t>B.01</t>
  </si>
  <si>
    <t>MES</t>
  </si>
  <si>
    <t>B.02</t>
  </si>
  <si>
    <t>Servicios Públicos</t>
  </si>
  <si>
    <t>B.03</t>
  </si>
  <si>
    <t>Gastos de oficina (papelería, mensajería, alquiler equipos de computo)</t>
  </si>
  <si>
    <t>B.04</t>
  </si>
  <si>
    <t>Vehículo camionetas pick up  doble cabina</t>
  </si>
  <si>
    <t>B.05</t>
  </si>
  <si>
    <t>Ensayos y pruebas</t>
  </si>
  <si>
    <t>Servicio de Celaduría</t>
  </si>
  <si>
    <t>Alquiler de equipo de topografía</t>
  </si>
  <si>
    <t>Subtotal Otros Costos Directos</t>
  </si>
  <si>
    <t>C</t>
  </si>
  <si>
    <t>GARANTÍAS</t>
  </si>
  <si>
    <t>C.01</t>
  </si>
  <si>
    <t>D</t>
  </si>
  <si>
    <t>ESTAMPILLAS</t>
  </si>
  <si>
    <t>D.01</t>
  </si>
  <si>
    <t>Pro Desarrollo</t>
  </si>
  <si>
    <t>Unidad</t>
  </si>
  <si>
    <t>D.02</t>
  </si>
  <si>
    <t>Pro Cultura</t>
  </si>
  <si>
    <t>D.03</t>
  </si>
  <si>
    <t>Pro Universidad</t>
  </si>
  <si>
    <t>D.04</t>
  </si>
  <si>
    <t>Pro Deporte</t>
  </si>
  <si>
    <t>D.05</t>
  </si>
  <si>
    <t>Impuesto contribución a guerra (5% Sobre el valor gravable del contrato)</t>
  </si>
  <si>
    <t>D.06</t>
  </si>
  <si>
    <t>TOTAL COSTOS DIRECTOS DE PERSONAL + OTROS COSTOS DIRECTOS (A+B)</t>
  </si>
  <si>
    <t>AJUSTE</t>
  </si>
  <si>
    <t>VALOR TOTAL</t>
  </si>
  <si>
    <t>F.M.</t>
  </si>
  <si>
    <t>F.P</t>
  </si>
  <si>
    <t>FACTOR MULTIPLICADOR - FACTOR PRESTACIONAL</t>
  </si>
  <si>
    <t>SDLMV</t>
  </si>
  <si>
    <t>AUX TRANSPORTE M</t>
  </si>
  <si>
    <t>AUX TRANSPORTE D</t>
  </si>
  <si>
    <t>SUELDO ANUAL BASICO</t>
  </si>
  <si>
    <t>Salario Básico</t>
  </si>
  <si>
    <t>SUBTOTAL</t>
  </si>
  <si>
    <t>PRESTACIONES SOCIALES</t>
  </si>
  <si>
    <t>Auxilio de trasporte</t>
  </si>
  <si>
    <t>Primas anuales</t>
  </si>
  <si>
    <t>Cesantias anuales</t>
  </si>
  <si>
    <t>Intereses sobre las cesatias (mensual)</t>
  </si>
  <si>
    <t>Vacaciones anuales</t>
  </si>
  <si>
    <t>SEGURIDAD SOCIAL</t>
  </si>
  <si>
    <t>Pensión</t>
  </si>
  <si>
    <t>C.02</t>
  </si>
  <si>
    <t>Riesgos profesional</t>
  </si>
  <si>
    <t>C.03</t>
  </si>
  <si>
    <t>Salud</t>
  </si>
  <si>
    <t>APORTES PARAFISCALES</t>
  </si>
  <si>
    <t>Caja de compensación</t>
  </si>
  <si>
    <t>Aportes SENA</t>
  </si>
  <si>
    <t>Fondo Ind. Construcción</t>
  </si>
  <si>
    <t>Subsidio familiar</t>
  </si>
  <si>
    <t>Seguros de Ley</t>
  </si>
  <si>
    <t>ICBF</t>
  </si>
  <si>
    <t>E</t>
  </si>
  <si>
    <t>OTROS APORTES</t>
  </si>
  <si>
    <t>E.01</t>
  </si>
  <si>
    <t>Vestidos y calzados</t>
  </si>
  <si>
    <t>E.02</t>
  </si>
  <si>
    <t>Seguro colectivo</t>
  </si>
  <si>
    <t>SUB TOTAL F.P.</t>
  </si>
  <si>
    <t>F</t>
  </si>
  <si>
    <t>IMPUESTOS Y ESTAMPILLAS</t>
  </si>
  <si>
    <t>F.01</t>
  </si>
  <si>
    <t>F.02</t>
  </si>
  <si>
    <t>F.03</t>
  </si>
  <si>
    <t>F.04</t>
  </si>
  <si>
    <t>F.05</t>
  </si>
  <si>
    <t>F.06</t>
  </si>
  <si>
    <t>Industria y Comercio (6,9/1000 Sobre el valor gravable del contrato)</t>
  </si>
  <si>
    <t>F.07</t>
  </si>
  <si>
    <t>Impuesto sobre la renta 34% Sobre la Utilidad</t>
  </si>
  <si>
    <t xml:space="preserve"> </t>
  </si>
  <si>
    <t>G</t>
  </si>
  <si>
    <t>G.01</t>
  </si>
  <si>
    <t>Asesoria legal, contable y financiera permanente y personal técnico administrativo adicional</t>
  </si>
  <si>
    <t>G.02</t>
  </si>
  <si>
    <t>G.03</t>
  </si>
  <si>
    <t>G.04</t>
  </si>
  <si>
    <t>G.05</t>
  </si>
  <si>
    <t>G.06</t>
  </si>
  <si>
    <t>H</t>
  </si>
  <si>
    <t>PÓLIZAS</t>
  </si>
  <si>
    <t>H.01</t>
  </si>
  <si>
    <t>Calidad</t>
  </si>
  <si>
    <t>H.02</t>
  </si>
  <si>
    <t>Cumplimiento, anticipo y salarios</t>
  </si>
  <si>
    <t>H.03</t>
  </si>
  <si>
    <t>Seriedad de la propuesta</t>
  </si>
  <si>
    <t>Calculado</t>
  </si>
  <si>
    <t>Ajustado</t>
  </si>
  <si>
    <t>DESAGREGADO PÓLIZAS</t>
  </si>
  <si>
    <t xml:space="preserve">Valor del contrato: </t>
  </si>
  <si>
    <t xml:space="preserve">PESOS COLOMBIANOS </t>
  </si>
  <si>
    <t>Plazo de ejecucion (meses):</t>
  </si>
  <si>
    <t>Plazo de ejecucion (dias):</t>
  </si>
  <si>
    <t>AMPARO</t>
  </si>
  <si>
    <t xml:space="preserve">CUMPLIMIENTO </t>
  </si>
  <si>
    <t>BUEN MANEJO DEL ANTICIPO (100% DEL ANTICIPO)</t>
  </si>
  <si>
    <t>RESPONSABILIDAD EXTRACONTRACTUAL</t>
  </si>
  <si>
    <t>ESTABILIDAD DE LA OBRA</t>
  </si>
  <si>
    <t>SALARIOS Y PRESTACIONES</t>
  </si>
  <si>
    <t>VIGENCIA</t>
  </si>
  <si>
    <t>Término igual a la vigencia del contrato y 6 meses más.</t>
  </si>
  <si>
    <t>Término igual a cinco (5) años a partir del acta de recibo final</t>
  </si>
  <si>
    <t>Término de la vigencia del contrato y tres (3) años más.</t>
  </si>
  <si>
    <t>TASA</t>
  </si>
  <si>
    <t xml:space="preserve">VALOR ASEGURADO </t>
  </si>
  <si>
    <t>DÍAS ADICIONALES</t>
  </si>
  <si>
    <t>TOTAL DÍAS</t>
  </si>
  <si>
    <t>PRIMA</t>
  </si>
  <si>
    <t>Total Prima Neta:</t>
  </si>
  <si>
    <t>Gastos de Expedición:</t>
  </si>
  <si>
    <t>I.V.A.</t>
  </si>
  <si>
    <t>Total Prima:</t>
  </si>
  <si>
    <t>LISTA DE ANÁLISIS DE PRECIOS UNITARIOS</t>
  </si>
  <si>
    <t>APU</t>
  </si>
  <si>
    <t>NOMBRE</t>
  </si>
  <si>
    <t>EQUIPO</t>
  </si>
  <si>
    <t>MAT.</t>
  </si>
  <si>
    <t>TRANSP.</t>
  </si>
  <si>
    <t>M.O.</t>
  </si>
  <si>
    <t>COSTO</t>
  </si>
  <si>
    <t>G001</t>
  </si>
  <si>
    <t>G002</t>
  </si>
  <si>
    <t>G003</t>
  </si>
  <si>
    <t>G004</t>
  </si>
  <si>
    <t>G005</t>
  </si>
  <si>
    <t>G006</t>
  </si>
  <si>
    <t>G007</t>
  </si>
  <si>
    <t>G008</t>
  </si>
  <si>
    <t>G009</t>
  </si>
  <si>
    <t>G010</t>
  </si>
  <si>
    <t>G011</t>
  </si>
  <si>
    <t>G012</t>
  </si>
  <si>
    <t>G013</t>
  </si>
  <si>
    <t>G014</t>
  </si>
  <si>
    <t>G015</t>
  </si>
  <si>
    <t>G016</t>
  </si>
  <si>
    <t>G017</t>
  </si>
  <si>
    <t>G018</t>
  </si>
  <si>
    <t>G019</t>
  </si>
  <si>
    <t>G020</t>
  </si>
  <si>
    <t>G021</t>
  </si>
  <si>
    <t>G022</t>
  </si>
  <si>
    <t>G023</t>
  </si>
  <si>
    <t>G024</t>
  </si>
  <si>
    <t>G025</t>
  </si>
  <si>
    <t>G026</t>
  </si>
  <si>
    <t>G027</t>
  </si>
  <si>
    <t>G028</t>
  </si>
  <si>
    <t>G029</t>
  </si>
  <si>
    <t>G030</t>
  </si>
  <si>
    <t>G031</t>
  </si>
  <si>
    <t>G032</t>
  </si>
  <si>
    <t>G033</t>
  </si>
  <si>
    <t>G034</t>
  </si>
  <si>
    <t>G035</t>
  </si>
  <si>
    <t>G036</t>
  </si>
  <si>
    <t>G037</t>
  </si>
  <si>
    <t>G038</t>
  </si>
  <si>
    <t>G039</t>
  </si>
  <si>
    <t>G040</t>
  </si>
  <si>
    <t>G041</t>
  </si>
  <si>
    <t>G042</t>
  </si>
  <si>
    <t>G043</t>
  </si>
  <si>
    <t>G044</t>
  </si>
  <si>
    <t>G045</t>
  </si>
  <si>
    <t>G046</t>
  </si>
  <si>
    <t>G047</t>
  </si>
  <si>
    <t>G048</t>
  </si>
  <si>
    <t>G049</t>
  </si>
  <si>
    <t>G050</t>
  </si>
  <si>
    <t>G051</t>
  </si>
  <si>
    <t>G052</t>
  </si>
  <si>
    <t>G053</t>
  </si>
  <si>
    <t>G054</t>
  </si>
  <si>
    <t>G055</t>
  </si>
  <si>
    <t>G056</t>
  </si>
  <si>
    <t>G057</t>
  </si>
  <si>
    <t>G058</t>
  </si>
  <si>
    <t>G059</t>
  </si>
  <si>
    <t>G060</t>
  </si>
  <si>
    <t>G061</t>
  </si>
  <si>
    <t>G062</t>
  </si>
  <si>
    <t>G063</t>
  </si>
  <si>
    <t>G064</t>
  </si>
  <si>
    <t>G065</t>
  </si>
  <si>
    <t>G066</t>
  </si>
  <si>
    <t>G067</t>
  </si>
  <si>
    <t>G068</t>
  </si>
  <si>
    <t>G069</t>
  </si>
  <si>
    <t>G070</t>
  </si>
  <si>
    <t>G071</t>
  </si>
  <si>
    <t>G072</t>
  </si>
  <si>
    <t>G073</t>
  </si>
  <si>
    <t>G074</t>
  </si>
  <si>
    <t>G075</t>
  </si>
  <si>
    <t>G076</t>
  </si>
  <si>
    <t>G077</t>
  </si>
  <si>
    <t>G078</t>
  </si>
  <si>
    <t>G079</t>
  </si>
  <si>
    <t>G080</t>
  </si>
  <si>
    <t>G081</t>
  </si>
  <si>
    <t>G082</t>
  </si>
  <si>
    <t>G083</t>
  </si>
  <si>
    <t>G084</t>
  </si>
  <si>
    <t>G085</t>
  </si>
  <si>
    <t>G086</t>
  </si>
  <si>
    <t>G087</t>
  </si>
  <si>
    <t>G088</t>
  </si>
  <si>
    <t>G089</t>
  </si>
  <si>
    <t>G090</t>
  </si>
  <si>
    <t>G091</t>
  </si>
  <si>
    <t>G092</t>
  </si>
  <si>
    <t>UNIDAD:</t>
  </si>
  <si>
    <t>MATERIAL</t>
  </si>
  <si>
    <t>A - MATERIALES</t>
  </si>
  <si>
    <t>TARIFA</t>
  </si>
  <si>
    <t>SUB - TOTAL</t>
  </si>
  <si>
    <t>Estaca</t>
  </si>
  <si>
    <t>Pintura en aceite</t>
  </si>
  <si>
    <t>Clavo de alta velocidad 1/4"X2"</t>
  </si>
  <si>
    <t>B - HERRAMIENTA, MAQUINARIA Y EQUIPO</t>
  </si>
  <si>
    <t>Herramienta Menor</t>
  </si>
  <si>
    <t>C - TRANSPORTE</t>
  </si>
  <si>
    <t>Transporte</t>
  </si>
  <si>
    <t>D - MANO DE OBRA</t>
  </si>
  <si>
    <t>REND.</t>
  </si>
  <si>
    <t>Comisión de Topografía</t>
  </si>
  <si>
    <t>M2</t>
  </si>
  <si>
    <t>Cuerda de Naylon 0.5 mm</t>
  </si>
  <si>
    <t>M3</t>
  </si>
  <si>
    <t>Cuadrilla 1: 1 Ayudante A</t>
  </si>
  <si>
    <t>Puntilla de 2" c/cabeza</t>
  </si>
  <si>
    <t>Transporte de Materiales</t>
  </si>
  <si>
    <t>% Mat</t>
  </si>
  <si>
    <t>Cuadrilla 5: 1 OfcA + 1 AyuA</t>
  </si>
  <si>
    <t>Cemento gris</t>
  </si>
  <si>
    <t>Arena triturada pasante 3/8"</t>
  </si>
  <si>
    <t>Triturado pasante de 3/4" retenido en 3/8"</t>
  </si>
  <si>
    <t>Agua</t>
  </si>
  <si>
    <t>% H,M,E</t>
  </si>
  <si>
    <t>Transporte de material</t>
  </si>
  <si>
    <t>Cuadrilla 8: 1 OfcA + 4 AyuA</t>
  </si>
  <si>
    <t>Formaleta en madera x m2 4 usos</t>
  </si>
  <si>
    <t>Transporte de materiales</t>
  </si>
  <si>
    <t>KM/M3</t>
  </si>
  <si>
    <t>KG</t>
  </si>
  <si>
    <t>Acero de refuerzo de 60000 PSI</t>
  </si>
  <si>
    <t>Alambre negro calibre 17</t>
  </si>
  <si>
    <t>Cuadrilla 6: 1 OfcA + 2 AyuA</t>
  </si>
  <si>
    <t>ML</t>
  </si>
  <si>
    <t>Soldadura E-6013</t>
  </si>
  <si>
    <t>Pintura anticorrosiva</t>
  </si>
  <si>
    <t>Recebo común</t>
  </si>
  <si>
    <t xml:space="preserve">Cuadrilla 2: 2 Ayudantes A </t>
  </si>
  <si>
    <t>UND</t>
  </si>
  <si>
    <t>Paso para escalera de gato en varilla PRD-60 de 3/4" recubierta con material de polipropileno de alto impacto antideslizante con anclaje dentado, refuerzo, y tranca pie. Longitud 0,30 m para soporte de pie y dos ancles de 0,30 m</t>
  </si>
  <si>
    <t>Tee Ø6 en hierro ductil</t>
  </si>
  <si>
    <t>Válvula compuerta con volante bridada Ø4 en hierro ductil</t>
  </si>
  <si>
    <t>Lámina de alfajor de 2,5mm cal 14</t>
  </si>
  <si>
    <t>Angulo de 1 1/2" x 1 1/2" x 1/8"</t>
  </si>
  <si>
    <t>Pintura esmalte anticorrosivo negro, para puertas y ventanas</t>
  </si>
  <si>
    <t>Varilla de 1/2" corrugada (1Kg/ml)</t>
  </si>
  <si>
    <t>Cuadrilla 9: 1 OfcA + 5 AyuA</t>
  </si>
  <si>
    <t>Lubricante 500 gr</t>
  </si>
  <si>
    <t>Cuadrilla 3: 3 Ayudantes A</t>
  </si>
  <si>
    <t>Pasamuro Ø6" L=0,50M en hierro ductil</t>
  </si>
  <si>
    <t>Portacandado 4"</t>
  </si>
  <si>
    <t xml:space="preserve">Impermeabilizante plastocrete DM </t>
  </si>
  <si>
    <t>Alquiler de camillas de 0,70 x 1,40m (3 dias de uso)</t>
  </si>
  <si>
    <t>Polin de 3x0,04x0,04m</t>
  </si>
  <si>
    <t>Formaleta metálica para estructura hidráulica (Incluye materiales, herramientas y mano de obra)</t>
  </si>
  <si>
    <t>Codo PVC Ø4" x 90° union mecánica</t>
  </si>
  <si>
    <t>Localización y replanteo de estructuras de acueductos (No incluye equipo de topografía)</t>
  </si>
  <si>
    <t>Relleno tipo II: Con recebo seleccionado, compactado en capas de 20 cm, proctor modificado 95%, a todo factor (incluye recebo, equipos, herramientas, transporte y mano de obra)</t>
  </si>
  <si>
    <t>Concreto para solado de 2000 PSI a todo costo (140 Kg/cm2)</t>
  </si>
  <si>
    <t>Suministro figurado y armado de acero de refuerzo 60000 PSI (Incluye desperdicio del 5%)</t>
  </si>
  <si>
    <t>Concreto de 4000 PSI impermeabilizado (No incluye formaleta)</t>
  </si>
  <si>
    <t>Formaleta en madera para estructura hidráulica (Incluye materiales, herramientas y mano de obra)</t>
  </si>
  <si>
    <t xml:space="preserve">Suministro e instalacion pasos para escalera de gato en varilla PRD-60 de 3/4" antideslizante con anclaje dentado, refuerzo, y tranca pie. L=0,30 m AN= 0,30 (Incluye materiales, equipos y mano de obra) </t>
  </si>
  <si>
    <t>Suministro e instalación de tapa y aro de seguridad para pozos de inspección ASTM-536 con resistencia D400 (Incluye materiales, herramientas y mano de obra)</t>
  </si>
  <si>
    <t>Suministro e instalación de unión de desmontaje Ø3" en hierro ductil (Incluye materiales, herramientas y mano de obra)</t>
  </si>
  <si>
    <t>Suministro e instalacion de unión universal Ø3" en hierro ductil</t>
  </si>
  <si>
    <t>Suministro e instalación de niple pasamuro EBxEB de Ø3" L=0,87 m en hierro ductil</t>
  </si>
  <si>
    <t>Suministro e instalación de niple pasamuro EBxEB de Ø3" L=0,73m en hierro ductil</t>
  </si>
  <si>
    <t>Suministro e instalación de válvula ventosa triple acción Ø3" en hierro ductil</t>
  </si>
  <si>
    <t>Cinta para junta de construcción SIKA WATERBAR</t>
  </si>
  <si>
    <t>Suministro e instalación de niple EBxEB de Ø3" L=0,15 m en hierro ductil</t>
  </si>
  <si>
    <t>LOCALIZACIÓN Y REPLANTEO DE ESTRUCTURAS DE ACUEDUCTOS (NO INCLUYE EQUIPO DE TOPOGRAFÍA)</t>
  </si>
  <si>
    <t>Suministro e instalación de niple pasamuro EBxEB de Ø4" L=0,31 m en hierro ductil</t>
  </si>
  <si>
    <t>Suministro e instalación de niple EBxEB de Ø4" L=0,15 m en hierro ductil</t>
  </si>
  <si>
    <t>Suministro e instalación de niple pasamuro EBxEB de Ø4" L=0,40 m en hierro ductil</t>
  </si>
  <si>
    <t>Suministro e instalación de válvula de compuerta con volante de Ø4" y hierro ductil</t>
  </si>
  <si>
    <t>Suministro e instalación de tubería novafort 6" para alcantarillado</t>
  </si>
  <si>
    <t>Suministro e instalacion de apoyo en neopreno</t>
  </si>
  <si>
    <t>Construcción de cabezal de descarga de 4000 PSI</t>
  </si>
  <si>
    <t>Acero de anclaje para estructuras de viaducto A36 (Incluye materiales, herramienta menor y mano de obra)</t>
  </si>
  <si>
    <t>Concreto de anclaje para estructuras de viaducto 4000 PSI impermeabilizado (Incluye materiales, herramienta menor y mano de obra)</t>
  </si>
  <si>
    <t>Acero de cercha A36 para estructuras de viaducto (Incluye materiales, herramienta menor y mano de obra)</t>
  </si>
  <si>
    <t>Suministro y aplicación de pintura epóxica para recubrimiento de tuberías</t>
  </si>
  <si>
    <t>Soldadura por pieza de 20mm</t>
  </si>
  <si>
    <t>Neopreno 35cm x 45cm x 5cm dureza 60</t>
  </si>
  <si>
    <t>Pernos para estructuras metálicas</t>
  </si>
  <si>
    <t>Abrazadora metálica de 4" doble oreja</t>
  </si>
  <si>
    <t>Tornillos para abrazadera metálica x100 unidades</t>
  </si>
  <si>
    <t>m3</t>
  </si>
  <si>
    <t>Galón</t>
  </si>
  <si>
    <t>Cuadrilla</t>
  </si>
  <si>
    <t/>
  </si>
  <si>
    <t>Soldadura para PVC 1/4 Galon</t>
  </si>
  <si>
    <t>Limpiador PVC 1/4 Galon</t>
  </si>
  <si>
    <t>Saco costal con material de excavación</t>
  </si>
  <si>
    <t>Explosivo (incluye detonador, cordón detonante y otros accesorios de voladura)</t>
  </si>
  <si>
    <t>Piedra seleccionada de 3" a 15"</t>
  </si>
  <si>
    <t>Concreto para piso de 4000 PSI impermeabilizado a todo costo (280 Kg/cm2)</t>
  </si>
  <si>
    <t>Concreto para tapa de 4000 PSI impermeabilizado a todo costo (280 Kg/cm2)</t>
  </si>
  <si>
    <t>Concreto para muros de 4000 PSI impermeabilizado a todo costo (280 Kg/cm2)</t>
  </si>
  <si>
    <t>Codo de Ø6" de 11,25° en hierro ductil con unión mecánica</t>
  </si>
  <si>
    <t>Codo de Ø6" de 22,5° en hierro ductil con unión mecánica</t>
  </si>
  <si>
    <t>Codo de Ø6" de 45° en hierro ductil con unión mecánica</t>
  </si>
  <si>
    <t>Codo de Ø6" de 90° en hierro ductil con unión mecánica</t>
  </si>
  <si>
    <t>Tubería PVC 6" con unión mecánica RDE 13,5</t>
  </si>
  <si>
    <t>Tubería PVC 6" con unión mecánica RDE 21</t>
  </si>
  <si>
    <t>Enchape con tableta industrial (Incluye materiales, herramientas y mano de obra)</t>
  </si>
  <si>
    <t>Válvula compuerta con volante bridada Ø3" en hierro ductil</t>
  </si>
  <si>
    <t>Válvula flotadora Ø6"</t>
  </si>
  <si>
    <t>CUADRILLAS MANO DE OBRA</t>
  </si>
  <si>
    <t>ID</t>
  </si>
  <si>
    <t>SALARIO</t>
  </si>
  <si>
    <t>VALOR DÍA</t>
  </si>
  <si>
    <t>O-01</t>
  </si>
  <si>
    <t>Topógrafo</t>
  </si>
  <si>
    <t>O-02</t>
  </si>
  <si>
    <t>Cadenero</t>
  </si>
  <si>
    <t>O-03</t>
  </si>
  <si>
    <t>Trochero</t>
  </si>
  <si>
    <t>FACTOR PRESTACIONAL</t>
  </si>
  <si>
    <t>O-04</t>
  </si>
  <si>
    <t>Ayudante Albañilería</t>
  </si>
  <si>
    <t>O-05</t>
  </si>
  <si>
    <t>Oficial Albañilería</t>
  </si>
  <si>
    <t>O-06</t>
  </si>
  <si>
    <t>Ayudante B (Inst. Elec, Hidr y San)</t>
  </si>
  <si>
    <t>S.M.L.D.V</t>
  </si>
  <si>
    <t>O-07</t>
  </si>
  <si>
    <t>Oficial B (Inst. Elec, Hidr y San)</t>
  </si>
  <si>
    <t>O-08</t>
  </si>
  <si>
    <t>Ayudante C (Carpinterias)</t>
  </si>
  <si>
    <t>O-09</t>
  </si>
  <si>
    <t>Oficial C (Carpinterias)</t>
  </si>
  <si>
    <t>O-10</t>
  </si>
  <si>
    <t>Ayudante D (Pinturas y Acabados)</t>
  </si>
  <si>
    <t>O-11</t>
  </si>
  <si>
    <t>Oficial D (Pinturas y Acabados)</t>
  </si>
  <si>
    <t>O-12</t>
  </si>
  <si>
    <t>Maestro de Obra</t>
  </si>
  <si>
    <t>CUADRILLA</t>
  </si>
  <si>
    <t>DÍA</t>
  </si>
  <si>
    <t>TOPÓGRAFO - MAESTRO  - OFICIAL</t>
  </si>
  <si>
    <t>CADENERO - AYUDANTE</t>
  </si>
  <si>
    <t>Cuadrilla 4: 1 Ayudante B</t>
  </si>
  <si>
    <t>Cuadrilla 7: 1 OfcA + 3 AyuA</t>
  </si>
  <si>
    <t>Cuadrilla 10: 1 OfcA + 6 AyuA</t>
  </si>
  <si>
    <t>Cuadrilla 11: 1Ma+1OfcA+1AyuA</t>
  </si>
  <si>
    <t>Cuadrilla 12: 1Ma+1OfcA+2AyuA</t>
  </si>
  <si>
    <t>Cuadrilla 13: 1Ma+1OfcA+3AyuA</t>
  </si>
  <si>
    <t>Cuadrilla 14: 1Ma+1OfcA+4AyuA</t>
  </si>
  <si>
    <t>Cuadrilla 15: 1Ma+1OfcA+5AyuA</t>
  </si>
  <si>
    <t>Cuadrilla 16: 1Ma+1OfcA+6AyuA</t>
  </si>
  <si>
    <t>Maestro</t>
  </si>
  <si>
    <t>Ayudante</t>
  </si>
  <si>
    <t>Oficial</t>
  </si>
  <si>
    <t>LISTA DE MATERIALES</t>
  </si>
  <si>
    <t>COSTO TOTAL</t>
  </si>
  <si>
    <t>COSTO DIRECTO</t>
  </si>
  <si>
    <t>PESO</t>
  </si>
  <si>
    <t>M001</t>
  </si>
  <si>
    <t>Día</t>
  </si>
  <si>
    <t>M002</t>
  </si>
  <si>
    <t>M003</t>
  </si>
  <si>
    <t>M004</t>
  </si>
  <si>
    <t>M005</t>
  </si>
  <si>
    <t>ml</t>
  </si>
  <si>
    <t>M006</t>
  </si>
  <si>
    <t>M007</t>
  </si>
  <si>
    <t>M008</t>
  </si>
  <si>
    <t>M009</t>
  </si>
  <si>
    <t>M010</t>
  </si>
  <si>
    <t>Lt</t>
  </si>
  <si>
    <t>M011</t>
  </si>
  <si>
    <t>M012</t>
  </si>
  <si>
    <t>M013</t>
  </si>
  <si>
    <t>M014</t>
  </si>
  <si>
    <t>m2</t>
  </si>
  <si>
    <t>M015</t>
  </si>
  <si>
    <t>M016</t>
  </si>
  <si>
    <t>M017</t>
  </si>
  <si>
    <t>M018</t>
  </si>
  <si>
    <t>M019</t>
  </si>
  <si>
    <t>M020</t>
  </si>
  <si>
    <t>M021</t>
  </si>
  <si>
    <t>M022</t>
  </si>
  <si>
    <t>M023</t>
  </si>
  <si>
    <t>M024</t>
  </si>
  <si>
    <t>M025</t>
  </si>
  <si>
    <t>M026</t>
  </si>
  <si>
    <t>M027</t>
  </si>
  <si>
    <t>M028</t>
  </si>
  <si>
    <t>LB</t>
  </si>
  <si>
    <t>M029</t>
  </si>
  <si>
    <t>M030</t>
  </si>
  <si>
    <t>M031</t>
  </si>
  <si>
    <t>M032</t>
  </si>
  <si>
    <t>M033</t>
  </si>
  <si>
    <t>M034</t>
  </si>
  <si>
    <t>M035</t>
  </si>
  <si>
    <t>M036</t>
  </si>
  <si>
    <t>M037</t>
  </si>
  <si>
    <t>M038</t>
  </si>
  <si>
    <t>M039</t>
  </si>
  <si>
    <t>M040</t>
  </si>
  <si>
    <t>M041</t>
  </si>
  <si>
    <t>M042</t>
  </si>
  <si>
    <t>M043</t>
  </si>
  <si>
    <t>M044</t>
  </si>
  <si>
    <t>M045</t>
  </si>
  <si>
    <t>M046</t>
  </si>
  <si>
    <t>M047</t>
  </si>
  <si>
    <t>M048</t>
  </si>
  <si>
    <t>M049</t>
  </si>
  <si>
    <t>M050</t>
  </si>
  <si>
    <t>M051</t>
  </si>
  <si>
    <t>M052</t>
  </si>
  <si>
    <t>M053</t>
  </si>
  <si>
    <t>M054</t>
  </si>
  <si>
    <t>M055</t>
  </si>
  <si>
    <t>M056</t>
  </si>
  <si>
    <t>M057</t>
  </si>
  <si>
    <t>M058</t>
  </si>
  <si>
    <t>M059</t>
  </si>
  <si>
    <t>M060</t>
  </si>
  <si>
    <t>M061</t>
  </si>
  <si>
    <t>M065</t>
  </si>
  <si>
    <t>M066</t>
  </si>
  <si>
    <t>M067</t>
  </si>
  <si>
    <t>M068</t>
  </si>
  <si>
    <t>M069</t>
  </si>
  <si>
    <t>M070</t>
  </si>
  <si>
    <t>M071</t>
  </si>
  <si>
    <t>M072</t>
  </si>
  <si>
    <t>M073</t>
  </si>
  <si>
    <t>M074</t>
  </si>
  <si>
    <t>M080</t>
  </si>
  <si>
    <t>M081</t>
  </si>
  <si>
    <t>M082</t>
  </si>
  <si>
    <t>M083</t>
  </si>
  <si>
    <t>M085</t>
  </si>
  <si>
    <t>M086</t>
  </si>
  <si>
    <t>M087</t>
  </si>
  <si>
    <t>M088</t>
  </si>
  <si>
    <t>M089</t>
  </si>
  <si>
    <t>M090</t>
  </si>
  <si>
    <t>M091</t>
  </si>
  <si>
    <t>M092</t>
  </si>
  <si>
    <t>M093</t>
  </si>
  <si>
    <t>M094</t>
  </si>
  <si>
    <t>M095</t>
  </si>
  <si>
    <t>M096</t>
  </si>
  <si>
    <t>M097</t>
  </si>
  <si>
    <t>M098</t>
  </si>
  <si>
    <t>M099</t>
  </si>
  <si>
    <t>M100</t>
  </si>
  <si>
    <t>M101</t>
  </si>
  <si>
    <t>M102</t>
  </si>
  <si>
    <t>M103</t>
  </si>
  <si>
    <t>M104</t>
  </si>
  <si>
    <t>M105</t>
  </si>
  <si>
    <t>M106</t>
  </si>
  <si>
    <t>M107</t>
  </si>
  <si>
    <t>M108</t>
  </si>
  <si>
    <t>M109</t>
  </si>
  <si>
    <t>M110</t>
  </si>
  <si>
    <t>M111</t>
  </si>
  <si>
    <t>M112</t>
  </si>
  <si>
    <t>LISTA DE EQUIPOS</t>
  </si>
  <si>
    <t>E001</t>
  </si>
  <si>
    <t>% M.O.</t>
  </si>
  <si>
    <t>E002</t>
  </si>
  <si>
    <t>E003</t>
  </si>
  <si>
    <t>E004</t>
  </si>
  <si>
    <t>E005</t>
  </si>
  <si>
    <t>E006</t>
  </si>
  <si>
    <t>Hora</t>
  </si>
  <si>
    <t>E007</t>
  </si>
  <si>
    <t>E008</t>
  </si>
  <si>
    <t>E009</t>
  </si>
  <si>
    <t>E010</t>
  </si>
  <si>
    <t>E011</t>
  </si>
  <si>
    <t>E013</t>
  </si>
  <si>
    <t>E014</t>
  </si>
  <si>
    <t>E015</t>
  </si>
  <si>
    <t>E016</t>
  </si>
  <si>
    <t>CANTIDADES DE OBRA ESTRUCTURAS</t>
  </si>
  <si>
    <t>BOCATOMA</t>
  </si>
  <si>
    <t>DIMENSIONES</t>
  </si>
  <si>
    <t>L (m)</t>
  </si>
  <si>
    <t>A (m)</t>
  </si>
  <si>
    <t>H (m)</t>
  </si>
  <si>
    <t>Ø</t>
  </si>
  <si>
    <t>PERÍMET. (m)</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</si>
  <si>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</si>
  <si>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</si>
  <si>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L1 (m)</t>
  </si>
  <si>
    <t>L2 (m)</t>
  </si>
  <si>
    <t>A-04.03.01</t>
  </si>
  <si>
    <t>ESPESOR (m)</t>
  </si>
  <si>
    <t>A-04.03.02</t>
  </si>
  <si>
    <t>A-04.03.03</t>
  </si>
  <si>
    <t>l (m)</t>
  </si>
  <si>
    <t>L3 (m)</t>
  </si>
  <si>
    <t>ORIFICIOS (UND)</t>
  </si>
  <si>
    <t>DIST. ORIFICIOS (Cm)</t>
  </si>
  <si>
    <t>A-07.05</t>
  </si>
  <si>
    <t>B-03.01.01</t>
  </si>
  <si>
    <t>B-03.01.02</t>
  </si>
  <si>
    <t>PERIMETRO (m)</t>
  </si>
  <si>
    <t>NO APLICA</t>
  </si>
  <si>
    <t>Cantidad</t>
  </si>
  <si>
    <t>CANTIDADES DE OBRAS REDES</t>
  </si>
  <si>
    <t>ADUCCIÓN</t>
  </si>
  <si>
    <t>PESO (Kg/m)</t>
  </si>
  <si>
    <t>DISTRIBUCIÓN</t>
  </si>
  <si>
    <t>Densidad Arena</t>
  </si>
  <si>
    <t>CANTIDADES DE OBRA ADUCCIÓN (BOCATOMA A PTAP)</t>
  </si>
  <si>
    <t>Excav.</t>
  </si>
  <si>
    <t>Arena</t>
  </si>
  <si>
    <t>Recebo</t>
  </si>
  <si>
    <t>Retiro</t>
  </si>
  <si>
    <t>Trans.</t>
  </si>
  <si>
    <t>Peso tubería (Kg)</t>
  </si>
  <si>
    <t>Peso Arena (Kg)</t>
  </si>
  <si>
    <t>Recorrido propio (m)</t>
  </si>
  <si>
    <t>Total Kg</t>
  </si>
  <si>
    <t>Tramo</t>
  </si>
  <si>
    <t>Inicial</t>
  </si>
  <si>
    <t>Final</t>
  </si>
  <si>
    <t>Long.</t>
  </si>
  <si>
    <t>Ø (")</t>
  </si>
  <si>
    <t>Material</t>
  </si>
  <si>
    <t>Cimen.</t>
  </si>
  <si>
    <t>h (m)</t>
  </si>
  <si>
    <t>CANTIDADES DE OBRA REDES DE DISTRIBUCIÓN</t>
  </si>
  <si>
    <t>Sec.</t>
  </si>
  <si>
    <t>Con.</t>
  </si>
  <si>
    <t>Méc.</t>
  </si>
  <si>
    <t>V04</t>
  </si>
  <si>
    <t>QP03</t>
  </si>
  <si>
    <t>QP04</t>
  </si>
  <si>
    <t>V02</t>
  </si>
  <si>
    <t>QP05</t>
  </si>
  <si>
    <t>V11</t>
  </si>
  <si>
    <t>QP02</t>
  </si>
  <si>
    <t>V07</t>
  </si>
  <si>
    <t>V01</t>
  </si>
  <si>
    <t>V05</t>
  </si>
  <si>
    <t>V09</t>
  </si>
  <si>
    <t>V06</t>
  </si>
  <si>
    <t>V08</t>
  </si>
  <si>
    <t>V10</t>
  </si>
  <si>
    <t>V12</t>
  </si>
  <si>
    <t>QP06</t>
  </si>
  <si>
    <t>V03</t>
  </si>
  <si>
    <t>V16</t>
  </si>
  <si>
    <t>V15</t>
  </si>
  <si>
    <t>V14</t>
  </si>
  <si>
    <t>V13</t>
  </si>
  <si>
    <t>QP08</t>
  </si>
  <si>
    <t>QP07</t>
  </si>
  <si>
    <t>Viaducto</t>
  </si>
  <si>
    <t>Este (m)</t>
  </si>
  <si>
    <t>Norte (m)</t>
  </si>
  <si>
    <t>EXCAVACIÓN MANUAL EN CONGLOMERADO PARA ESTRUCTURA DE ANCLAJE</t>
  </si>
  <si>
    <t>PEDESTALES</t>
  </si>
  <si>
    <t>PLACAS x PEDESTAL</t>
  </si>
  <si>
    <t>Abm (m2)</t>
  </si>
  <si>
    <t>H TRUNCADA (m)</t>
  </si>
  <si>
    <t>H BASE (m)</t>
  </si>
  <si>
    <t>VOLUMEN (M3)</t>
  </si>
  <si>
    <t>g/ml</t>
  </si>
  <si>
    <t>KG/m</t>
  </si>
  <si>
    <t>CABLE LATERAL 3/8"</t>
  </si>
  <si>
    <t># TENSORES</t>
  </si>
  <si>
    <t>UND X TENSOR</t>
  </si>
  <si>
    <t>SEP. (m)</t>
  </si>
  <si>
    <t>UNIDADES</t>
  </si>
  <si>
    <t>CORDONES x PERFIL</t>
  </si>
  <si>
    <t>KIT X TENSOR</t>
  </si>
  <si>
    <t>PINTURA EPÓXICA PARA RECUBIRMIENTO DE TUBERÍAS</t>
  </si>
  <si>
    <t>RADIO (m)</t>
  </si>
  <si>
    <t>DIAM (m)</t>
  </si>
  <si>
    <t>DIAM. (pulg)</t>
  </si>
  <si>
    <t>PI</t>
  </si>
  <si>
    <t>ACERO DE ANCLAJE PARA ESTRUCTURAS DE VIADUCTO A-36 (INCLUYE MATERIALES, HERRAMIENTA MENOR Y MANO DE OBRA)</t>
  </si>
  <si>
    <t>kg/ml</t>
  </si>
  <si>
    <t>ALETAS</t>
  </si>
  <si>
    <t>H (pulg)</t>
  </si>
  <si>
    <t>PULG x METRO</t>
  </si>
  <si>
    <t>PERNOS DE FIJACIÓN PARA ESTRUCTURAS METÁLICAS</t>
  </si>
  <si>
    <t>PLACAS</t>
  </si>
  <si>
    <t>UNIDAD x PLACA</t>
  </si>
  <si>
    <t>CONCRETO DE 4000 PSI IMPERMEABILIZADO</t>
  </si>
  <si>
    <t>LBM (m)</t>
  </si>
  <si>
    <t>Lbm (m)</t>
  </si>
  <si>
    <t>ABM (m2)</t>
  </si>
  <si>
    <t>Ángulo de 1 1/2 x 1/8 L=0,85 M</t>
  </si>
  <si>
    <t>Ángulo de 1 1/2 x 1/8 L=10 M</t>
  </si>
  <si>
    <t>Ángulo de 2 x 1/8 L=10 M</t>
  </si>
  <si>
    <t>PERFILES</t>
  </si>
  <si>
    <t>ABRAZADORAS DE 4" DE DOBLE OREJA PARA TUBERÍA DE IMPULSIÓN</t>
  </si>
  <si>
    <t>CAJAS Y VÁLVULAS</t>
  </si>
  <si>
    <t>CÁMARAS DE QUIEBRE DE PRESIÓN</t>
  </si>
  <si>
    <t>CQP</t>
  </si>
  <si>
    <t>Cota (m)</t>
  </si>
  <si>
    <t>Diámetro (")</t>
  </si>
  <si>
    <t>LGH Inicial (m)</t>
  </si>
  <si>
    <t>LGH Final (m)</t>
  </si>
  <si>
    <t>Localización general</t>
  </si>
  <si>
    <t>QP01</t>
  </si>
  <si>
    <t>VÁLVULAS DE CORTE</t>
  </si>
  <si>
    <t>Label</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</si>
  <si>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</si>
  <si>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</si>
  <si>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</si>
  <si>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</si>
  <si>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</si>
  <si>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</si>
  <si>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Unión de desmontaje Ø4" en hierro ductil</t>
  </si>
  <si>
    <t>Presión</t>
  </si>
  <si>
    <t>Peso Kg/ml</t>
  </si>
  <si>
    <t>Peso Kg</t>
  </si>
  <si>
    <t>Codo 45</t>
  </si>
  <si>
    <t>Codo 90</t>
  </si>
  <si>
    <t>Aduccion</t>
  </si>
  <si>
    <t>Sector</t>
  </si>
  <si>
    <t>Caracteristica</t>
  </si>
  <si>
    <t>Nodo</t>
  </si>
  <si>
    <t>Accesorio</t>
  </si>
  <si>
    <t>TEE</t>
  </si>
  <si>
    <t>Tapón 2</t>
  </si>
  <si>
    <t>REDUCCIÓN</t>
  </si>
  <si>
    <t>3 X 2</t>
  </si>
  <si>
    <t>4 X 4 X 2</t>
  </si>
  <si>
    <t>4 X 4 X 3</t>
  </si>
  <si>
    <t>Reducción</t>
  </si>
  <si>
    <t>Tee</t>
  </si>
  <si>
    <t>Long. total de acero</t>
  </si>
  <si>
    <t>Und</t>
  </si>
  <si>
    <t>TRANSPORTE ESPECIAL (MULA)</t>
  </si>
  <si>
    <t>PESO (Kg)</t>
  </si>
  <si>
    <t>AGREGADOS</t>
  </si>
  <si>
    <t>ACCESORIOS Y MATERIALES ESPECÍFICOS</t>
  </si>
  <si>
    <t>Ml</t>
  </si>
  <si>
    <t>B-05.01</t>
  </si>
  <si>
    <t>B-05.02</t>
  </si>
  <si>
    <t>ACCESORIOS Y OTROS MATERIALES</t>
  </si>
  <si>
    <t>A.I.U. Obra Civil</t>
  </si>
  <si>
    <t>A.I.U. Suministros</t>
  </si>
  <si>
    <t>COSTO DIRECTO SUM.</t>
  </si>
  <si>
    <t>COSTOS DE PERSONAL</t>
  </si>
  <si>
    <t>Subtotal Costos de Personal</t>
  </si>
  <si>
    <t>Total Costos de Personal Incluyendo Factor Prestacional</t>
  </si>
  <si>
    <t>Subtotal Otros Costos</t>
  </si>
  <si>
    <t>TOTAL COSTOS DE PERSONAL + OTROS COSTOS (A+B)</t>
  </si>
  <si>
    <t>DESAGREGADO DE LA INTERVENTORÍA DE SUMINISTROS</t>
  </si>
  <si>
    <t>Interventoría Obra Civil</t>
  </si>
  <si>
    <t>Interventoría Suministros</t>
  </si>
  <si>
    <t>ESTRUCTURA DE COSTOS DE LA ADMINISTRACIÓN OBRA CIVIL, UTILIDAD E IMPREVISTOS (A.I.U)</t>
  </si>
  <si>
    <t>DESAGREGADO DE LA INTERVENTORÍA DE OBRA CIVIL</t>
  </si>
  <si>
    <t>Inst. provisionales movilización y desmovilización - Dotación</t>
  </si>
  <si>
    <t>B.06</t>
  </si>
  <si>
    <t>ESTRUCTURA DE COSTOS DE LA ADMINISTRACIÓN SUMINISTROS</t>
  </si>
  <si>
    <t>COTIZACIÓN</t>
  </si>
  <si>
    <t>Tee Ø4" en hierro ductil</t>
  </si>
  <si>
    <t>Total general</t>
  </si>
  <si>
    <t>SEGUIMIENTO GESTOR</t>
  </si>
  <si>
    <t>TOTAL COSTOS DIRECTOS OC</t>
  </si>
  <si>
    <t>INTERVENTORÍA OC</t>
  </si>
  <si>
    <t>INTERVENTORÍA SUM.</t>
  </si>
  <si>
    <t>TOTAL COSTOS DIRECTOS SUM.</t>
  </si>
  <si>
    <t>Homcenter</t>
  </si>
  <si>
    <t>PAVCO</t>
  </si>
  <si>
    <t>APOLO</t>
  </si>
  <si>
    <t>FORTALECIMIENTO INSTITUCIONAL</t>
  </si>
  <si>
    <t>Roca</t>
  </si>
  <si>
    <t>FERRETERÍA</t>
  </si>
  <si>
    <t>REDES DE DISTRIBUCIÓN</t>
  </si>
  <si>
    <t>Germán Arias</t>
  </si>
  <si>
    <t>Elaboración - Magister Ingeniería Civil</t>
  </si>
  <si>
    <t>MP: 12237701-7 CAU</t>
  </si>
  <si>
    <t>Común</t>
  </si>
  <si>
    <t>A-02.03</t>
  </si>
  <si>
    <t>Rejilla metálica de captación 1,00x0,60m</t>
  </si>
  <si>
    <t>Niple pasamuro Ø4" L=0,25 M en hierro ductil con exremos bridados</t>
  </si>
  <si>
    <t>Codo PVC Ø4" x 45° union mecánica</t>
  </si>
  <si>
    <t>Tubería PVC Ø4" RDE 41</t>
  </si>
  <si>
    <t>Tee PVC Ø4"</t>
  </si>
  <si>
    <t>Pasamuro Ø6" L=0,25M en hierro ductil</t>
  </si>
  <si>
    <t>Niple pasamuro Ø3" L=0,25 M en hierro ductil con exremos bridados</t>
  </si>
  <si>
    <t xml:space="preserve">Refrigerios para cada comunidad </t>
  </si>
  <si>
    <t>PRECONTRACTUAL</t>
  </si>
  <si>
    <t>Cantidades de obra - Accesorios</t>
  </si>
  <si>
    <t>VENTOSA Ø3</t>
  </si>
  <si>
    <t>PURGA Ø4</t>
  </si>
  <si>
    <t xml:space="preserve">VÁLVULA </t>
  </si>
  <si>
    <t>POZO INSPECCIÓN</t>
  </si>
  <si>
    <t>TANQUE</t>
  </si>
  <si>
    <t>No Aplica</t>
  </si>
  <si>
    <t>ESTRUCTURA DE COSTOS PLAN DE FORTALECIMIENTO INSTITUCIONAL</t>
  </si>
  <si>
    <t xml:space="preserve"> (A+B)</t>
  </si>
  <si>
    <t>Profesional Derecho</t>
  </si>
  <si>
    <t>Profesional Contaduría</t>
  </si>
  <si>
    <t>Profesional Química</t>
  </si>
  <si>
    <t>Profesional en administración de empresas</t>
  </si>
  <si>
    <t>A.FI.01</t>
  </si>
  <si>
    <t>A.FI.02</t>
  </si>
  <si>
    <t>A.FI.03</t>
  </si>
  <si>
    <t>A.FI.04</t>
  </si>
  <si>
    <t>A.FI.05</t>
  </si>
  <si>
    <t>A.FI.06</t>
  </si>
  <si>
    <t>A.FI.07</t>
  </si>
  <si>
    <t>A.FI.08</t>
  </si>
  <si>
    <t>A.FI.09</t>
  </si>
  <si>
    <t>B.FI.02</t>
  </si>
  <si>
    <t>B.FI.03</t>
  </si>
  <si>
    <t>B.FI.04</t>
  </si>
  <si>
    <t>B.FI.05</t>
  </si>
  <si>
    <t>B.FI.06</t>
  </si>
  <si>
    <t>B.FI.07</t>
  </si>
  <si>
    <t>B.FI.08</t>
  </si>
  <si>
    <t>PLANTA</t>
  </si>
  <si>
    <t>CONCRETOS</t>
  </si>
  <si>
    <t>A-08.01</t>
  </si>
  <si>
    <t>A-08.02</t>
  </si>
  <si>
    <t>TRANSPORTE ESPECIAL</t>
  </si>
  <si>
    <t>P. Inicial</t>
  </si>
  <si>
    <t>Ø (mm)</t>
  </si>
  <si>
    <t>P. Diseño</t>
  </si>
  <si>
    <t>C-01</t>
  </si>
  <si>
    <t>C-01.01</t>
  </si>
  <si>
    <t>C-02</t>
  </si>
  <si>
    <t>C-02.01</t>
  </si>
  <si>
    <t>C-02.02</t>
  </si>
  <si>
    <t>C-02.03</t>
  </si>
  <si>
    <t>C-03</t>
  </si>
  <si>
    <t>C-03.01</t>
  </si>
  <si>
    <t>C-03.02</t>
  </si>
  <si>
    <t>C-03.03</t>
  </si>
  <si>
    <t>C-04</t>
  </si>
  <si>
    <t>C-04.01</t>
  </si>
  <si>
    <t>C-05</t>
  </si>
  <si>
    <t>C-05.01</t>
  </si>
  <si>
    <t>C-05.02</t>
  </si>
  <si>
    <t>C-06</t>
  </si>
  <si>
    <t>C-06.01</t>
  </si>
  <si>
    <t>C-06.02</t>
  </si>
  <si>
    <t>C-06.03</t>
  </si>
  <si>
    <t>C-06.04</t>
  </si>
  <si>
    <t>C-06.05</t>
  </si>
  <si>
    <t>C-06.06</t>
  </si>
  <si>
    <t>C-06.07</t>
  </si>
  <si>
    <t>C-07</t>
  </si>
  <si>
    <t>C-07.01</t>
  </si>
  <si>
    <t>C-07.02</t>
  </si>
  <si>
    <t>C-07.03</t>
  </si>
  <si>
    <t>C-07.04</t>
  </si>
  <si>
    <t>C-07.05</t>
  </si>
  <si>
    <t>C-07.06</t>
  </si>
  <si>
    <t>C-07.07</t>
  </si>
  <si>
    <t>C-07.08</t>
  </si>
  <si>
    <t>C-07.09</t>
  </si>
  <si>
    <t>SUMINISTRO DE TUBERÍAS</t>
  </si>
  <si>
    <t>INSTALACIÓN DE TUBERÍAS</t>
  </si>
  <si>
    <t>ACEROS</t>
  </si>
  <si>
    <t>C-02.04</t>
  </si>
  <si>
    <t>C-08</t>
  </si>
  <si>
    <t>C-08.01</t>
  </si>
  <si>
    <t>C-08.02</t>
  </si>
  <si>
    <t>C-08.03</t>
  </si>
  <si>
    <t>C-08.04</t>
  </si>
  <si>
    <t>C-08.05</t>
  </si>
  <si>
    <t>C-08.06</t>
  </si>
  <si>
    <t>C-08.07</t>
  </si>
  <si>
    <t>C-09</t>
  </si>
  <si>
    <t>C-09.01</t>
  </si>
  <si>
    <t>C-09.03</t>
  </si>
  <si>
    <t>C-09.04</t>
  </si>
  <si>
    <t>C-09.05</t>
  </si>
  <si>
    <t>C-10</t>
  </si>
  <si>
    <t>C-10.01</t>
  </si>
  <si>
    <t>C-10.02</t>
  </si>
  <si>
    <t>C-10.03</t>
  </si>
  <si>
    <t>FASE I</t>
  </si>
  <si>
    <t>E - ALMACENAMIENTO</t>
  </si>
  <si>
    <t>F - CASETA DE OPERACIONES</t>
  </si>
  <si>
    <t>G - URBANISMO E ILUMINACIÓN</t>
  </si>
  <si>
    <t>H - DISTRIBUCIÓN FASE I</t>
  </si>
  <si>
    <t>D - PTAP Y PLACA SOPORTE</t>
  </si>
  <si>
    <t>H-01</t>
  </si>
  <si>
    <t>H-01.01</t>
  </si>
  <si>
    <t>H-02</t>
  </si>
  <si>
    <t>H-03</t>
  </si>
  <si>
    <t>H-03.01</t>
  </si>
  <si>
    <t>H-03.02</t>
  </si>
  <si>
    <t>H-03.03</t>
  </si>
  <si>
    <t>H-04</t>
  </si>
  <si>
    <t>H-04.01</t>
  </si>
  <si>
    <t>H-05</t>
  </si>
  <si>
    <t>H-05.01</t>
  </si>
  <si>
    <t>H-08</t>
  </si>
  <si>
    <t>H-02.02</t>
  </si>
  <si>
    <t>Proven.</t>
  </si>
  <si>
    <t xml:space="preserve">Ensayos y pruebas calidad del agua </t>
  </si>
  <si>
    <t>Un</t>
  </si>
  <si>
    <t>Suministro de elementos e instalación de Soldadura exotérmica</t>
  </si>
  <si>
    <t>Suministro e instalación de cable de cobre desnudo 1/0 AWG 0,8m de profundidad para puesta a tierra</t>
  </si>
  <si>
    <t>Suministro e instalación de Varilla Cu 5/8"x8' Acero para puesta a tierra con tratamiento del terreno</t>
  </si>
  <si>
    <t>Suministro e instalación de caja de inspección 30x30cm prefabricada para puesta a tierra/caja de inspección iluminación exterior</t>
  </si>
  <si>
    <t>Suministro e instalación de Cableado de tierra desnudo 8 AWG, en tubería tipo conduit PVC 1" desde generador solar hasta puesta a tierra incluye marcajes y herrajes de fijación y montaje</t>
  </si>
  <si>
    <t>Tablero de distribución TD: Suministro e instalación de tablero de breakers DC tipo riel atornillable 12 circuitos de incrustar o sobreponer, marca CILES, con certificado de conformidad RETIE vigente, Breaker monopolar atornillable 20A - 1 Un, Guardamotor 2.5-4A y caja, Breaker monopolar  atornillable 16A - 5 Un</t>
  </si>
  <si>
    <t>Protección baterías: Suministro e instalación de tablero de breakers DC tipo riel atornillable 6 circuitos de incrustar o sobreponer, marca CILES, con certificado de conformidad RETIE vigente, Breaker bipolar 63ADC 500VDC - 1 Un y tablero para 1 breaker industrial 30 X 19 X 12cm Tercol con Breaker bipolar tipo industrial Siemens 100ADC 500VDC 25KA - 1 Un</t>
  </si>
  <si>
    <t>Tablero String Sencillo: Suministro e instalación de tablero de breakers DC tipo riel atornillable 6 circuitos de incrustar o sobreponer, marca CILES, con certificado de conformidad RETIE vigente, Breaker bipolar FEEO 32ADC 500VDC - 1 Un, DPS FEEO 2P 300VDC 20-40KA - 1 Un</t>
  </si>
  <si>
    <t>Suministro e instalación de Cableado tipo solar 4mm² ROJO + NEGRO + cable tipo THHN/THWN VERDE, en tubería tipo SCH40 1" desde generador hasta inversor, incluye pares de conectores tipo MC4 y herrajes de fijación y montaje</t>
  </si>
  <si>
    <t>Suministro e instalación de sistema de sujeción para paneles solares sobre techo Eternit, con riel para montaje 7R 4.7m, Varilla roscada acero galvanizado M10", Uniones para riel de montaje 7R, conector tipo End 40mm, Conector tipo MID 40mm, Grapa para terminal de tierra, Base grapa para lámina, tornillo de acero con tuerca cuadrada en aluminio, incluye tornillería para fijación</t>
  </si>
  <si>
    <t>Suministro e instalación de controlador de carga EPEVER 10420, máximo voltaje DC 200V, Voltaje de Baterias 48VDC, rango de MPPT 50-144VDC, 1 entrada MPPT, máxima eficiencia 98.6%</t>
  </si>
  <si>
    <t>Suministro e instalación de Batería de Litio Pylontech US5000, 48VDC, Capacidad nominal 4560Wh, Capacidad útil 4800Wh, Voltaje de descarga 44.5-53.5 VDC, Corriente de carga y descarga recomendada 75A y máxima 200A, Comunicación RS 485, Ciclos de Vida &gt;6000 a 25°C, cumple normas IEC62619, IEC63056, CE, UN38.3,UL1973 y UKCA, incluye cables de baterías a breaker y cables de comunicación de baterías</t>
  </si>
  <si>
    <t>Suministro e instalación de gabinete para alojamiento de baterías: Gabinete de piso 25U Quest GF-2485, formato de montaje 19", Ancho 610 mm, Fondo 1066 mm, Capacidad de carga 907Kg, Panel frontal con cerradura en marco metálico con microperforaciones Hexágonales al 80%, ventilación por puerta posterior de doble con micro perforaciones Hexagonales al 80%</t>
  </si>
  <si>
    <t>Suministro e instalación de panel solar monocristalino (x2)72 celdas 540W Yingli Solar YL540 con caja de uniones IP68 con 3 diodos de bypass y conectores MC4, con certificado de producto RETIE Vigente</t>
  </si>
  <si>
    <t>Salida para interruptor Sencillo</t>
  </si>
  <si>
    <t>Salida tipo plafón para bombillo LED 8W, incluye suministro de bombillo y accesorios de fijación y montaje</t>
  </si>
  <si>
    <t>CANT</t>
  </si>
  <si>
    <t>V/UNIT</t>
  </si>
  <si>
    <t>Observaciones</t>
  </si>
  <si>
    <t>TOTAL VALOR UNITARIO</t>
  </si>
  <si>
    <t xml:space="preserve">Total Mano de Obra  </t>
  </si>
  <si>
    <t>Cuadrilla A</t>
  </si>
  <si>
    <t>V/PARCIAL</t>
  </si>
  <si>
    <t>$-H/HOMBRE</t>
  </si>
  <si>
    <t>MANO DE OBRA</t>
  </si>
  <si>
    <t xml:space="preserve">Total Equipos y Herramientas  </t>
  </si>
  <si>
    <t>2% MO</t>
  </si>
  <si>
    <t>Herramientas de mano y menores</t>
  </si>
  <si>
    <t>EQUIPOS Y HERRAMIENTAS</t>
  </si>
  <si>
    <t xml:space="preserve">Total Transporte  </t>
  </si>
  <si>
    <t>Vehiculo</t>
  </si>
  <si>
    <t>TARIFA T</t>
  </si>
  <si>
    <t>TRANSPORTE</t>
  </si>
  <si>
    <t xml:space="preserve">Total Materiales  </t>
  </si>
  <si>
    <t>Desperdicio (5 %)</t>
  </si>
  <si>
    <t>Bombillo LED 5W E27</t>
  </si>
  <si>
    <t>Roseta E27 cerámica</t>
  </si>
  <si>
    <t>Fungibles para instalación de tuberías</t>
  </si>
  <si>
    <t>Conector tipo resorte para cableNo 14</t>
  </si>
  <si>
    <t>Cable Cu No 14 AWG</t>
  </si>
  <si>
    <t>Grapa para tubería</t>
  </si>
  <si>
    <t>Caja de paso tipo hexagonal PVC</t>
  </si>
  <si>
    <t>Adaptador Terminal PVC 1/2"</t>
  </si>
  <si>
    <t>Tubería conduit PVC ø 1/2"</t>
  </si>
  <si>
    <t>V/ITEM</t>
  </si>
  <si>
    <t>MATERIALES</t>
  </si>
  <si>
    <t>Item's</t>
  </si>
  <si>
    <t>Switch sencillo leviton linea arquea</t>
  </si>
  <si>
    <t>Cable Cu No 12 AWG</t>
  </si>
  <si>
    <t>Caja de paso sencilla PVC tipo 2x4"</t>
  </si>
  <si>
    <t>Cuadrilla C</t>
  </si>
  <si>
    <t>JORNAL OF/AYUD</t>
  </si>
  <si>
    <t>Herramientas de mano</t>
  </si>
  <si>
    <t>Panel solar monocristalino 144 celdas 540W Yingli Solar YL540, con certificado de producto RETIE Vigente</t>
  </si>
  <si>
    <t>Gabiente Quest GF-2485</t>
  </si>
  <si>
    <t>Patchcord RJ45 0.2m</t>
  </si>
  <si>
    <t>Juego de cables Batería inversor Pylontech</t>
  </si>
  <si>
    <t>Batería Tensite 5KW 48V</t>
  </si>
  <si>
    <t xml:space="preserve">Controlador de carga EPEVER 10420 </t>
  </si>
  <si>
    <t>Cuadrilla C instalaciones</t>
  </si>
  <si>
    <t>$-Jornal</t>
  </si>
  <si>
    <t>Alquiler montacargas/horas</t>
  </si>
  <si>
    <t>2% Mat</t>
  </si>
  <si>
    <t>Herramientas de mano e izaje</t>
  </si>
  <si>
    <t>Transformador tipo PAD-MOUNTED trifásico 13,2/0,44 KV  300KVA con DPS tipo codo</t>
  </si>
  <si>
    <t>Inversor monofásico EPEVER IP4000-41-PLUS</t>
  </si>
  <si>
    <t>Sellante Sikaflex</t>
  </si>
  <si>
    <t>Arandela de presión M10</t>
  </si>
  <si>
    <t>Arandela plana M10</t>
  </si>
  <si>
    <t>Tuerca hexagonal M10</t>
  </si>
  <si>
    <t>Varilla roscada de acero inoxidable M10</t>
  </si>
  <si>
    <t>Clip para cable fotovoltaico 2,5mm</t>
  </si>
  <si>
    <t>Tornillo de acero con tuerca cuadrada en aluminio</t>
  </si>
  <si>
    <t>Unión para riel montaje de páneles</t>
  </si>
  <si>
    <t>Grapa para terminal de tierra</t>
  </si>
  <si>
    <t>Conector tipo MID 40mm</t>
  </si>
  <si>
    <t>Conector tipo End 40mm</t>
  </si>
  <si>
    <t>Riel para montaje 7R 4,7</t>
  </si>
  <si>
    <t>Conector MC4 retie</t>
  </si>
  <si>
    <t>Chazos y tornillos 1" x 5/16</t>
  </si>
  <si>
    <t>Cable THHN/THWN 14AWG Verde</t>
  </si>
  <si>
    <t>Tubería conduit SCH40 3/4"</t>
  </si>
  <si>
    <t>DPS FEEO 2P 600VDC 20-40KA</t>
  </si>
  <si>
    <t>Breaker Bipolar FEEO 32A 500VDC</t>
  </si>
  <si>
    <t>Tablero breakers tipo riel CILES 6 circuitos</t>
  </si>
  <si>
    <t>CBRT11 - Caja Para Breaker Industrial 100A 30 X 19 X 12cm Tercol</t>
  </si>
  <si>
    <t>Breaker Bipolar Tipo Industrial Siemens 3VM1110-3ED22-0AA0 100A 250VDC</t>
  </si>
  <si>
    <t>Breaker Bipolar FEEO 63A 500VDC</t>
  </si>
  <si>
    <t>Tablero breakers tipo riel CILES 4 circuitos</t>
  </si>
  <si>
    <t>Caja para guardamotor chint</t>
  </si>
  <si>
    <t>Guardamotor Chint 2.5-4</t>
  </si>
  <si>
    <t>Breaker monopolar atornillable 16A</t>
  </si>
  <si>
    <t>Breaker monopolar atornillable 20A Curva  D o K</t>
  </si>
  <si>
    <t>Tablero breakers tipo riel CILES 12 circuitos</t>
  </si>
  <si>
    <t>Excabación 75cm x 20 cm x 100 cm</t>
  </si>
  <si>
    <t>Cable THHN/THWN 8AWG Verde</t>
  </si>
  <si>
    <t>Tubería conduit Conduit PVC 1"</t>
  </si>
  <si>
    <t>Suministro de inspección 30x30cm prefabricada para puesta a tierra</t>
  </si>
  <si>
    <t>Varilla puesta a tierra 5/8"x8' Cu certificada</t>
  </si>
  <si>
    <t>Cable de cobre 1/0 desnudo</t>
  </si>
  <si>
    <t>Fulminante 45g</t>
  </si>
  <si>
    <t xml:space="preserve">Cuadrilla C </t>
  </si>
  <si>
    <t xml:space="preserve">Cuadrilla B </t>
  </si>
  <si>
    <t>TOTAL JORNAL</t>
  </si>
  <si>
    <t>PRESTACIONES</t>
  </si>
  <si>
    <t>JORNAL</t>
  </si>
  <si>
    <t>CÓDIGO</t>
  </si>
  <si>
    <t>RESUMEN</t>
  </si>
  <si>
    <t xml:space="preserve"> CUADRILLA C</t>
  </si>
  <si>
    <t>Prestaciones Socialess y Aportes 98,85%</t>
  </si>
  <si>
    <t>Jornal diario Base</t>
  </si>
  <si>
    <t>Jornal Diario Ayudante</t>
  </si>
  <si>
    <t>Jornal Diario Oficial+20%</t>
  </si>
  <si>
    <t>3. Cuadrilla C: Instalaciones</t>
  </si>
  <si>
    <t xml:space="preserve"> CUADRILLA B</t>
  </si>
  <si>
    <t>Jornal Diario Oficial+10%</t>
  </si>
  <si>
    <t>2. Cuadrilla B: Un Oficial - Un ayudante  (Herreria)</t>
  </si>
  <si>
    <t xml:space="preserve"> CUADRILLA A</t>
  </si>
  <si>
    <t>Prestaciones Sociales y Aportes 98,85%</t>
  </si>
  <si>
    <t>Jornal Diario Oficial</t>
  </si>
  <si>
    <t>Cuadrilla A: Un Oficial - Un Ayudante (General)</t>
  </si>
  <si>
    <t>ANÁLISIS DE VALOR POR CUADRILLAS</t>
  </si>
  <si>
    <t>TOTAL PRESTACIONES (1) + (2)</t>
  </si>
  <si>
    <t>% PRESTACIONES (2)</t>
  </si>
  <si>
    <t>Mayor valor prestc. Por tiempo</t>
  </si>
  <si>
    <t>Tiempo pagado y no laborado</t>
  </si>
  <si>
    <t>CALCULO DE DESCANSOS REMUNERADOS</t>
  </si>
  <si>
    <t>% PRESTACIONES (1)</t>
  </si>
  <si>
    <t>Cajas compensacion Familiar</t>
  </si>
  <si>
    <t>ICBF-Base Salarial</t>
  </si>
  <si>
    <t>Sena- Base Salarial</t>
  </si>
  <si>
    <t>PAGOS PARAFISCALES</t>
  </si>
  <si>
    <t>Riesgo profesional</t>
  </si>
  <si>
    <t>Pension (3.875+ 12.13 = 16 )</t>
  </si>
  <si>
    <t>Salud (4.0+8.5 = 12.5)</t>
  </si>
  <si>
    <t>APORTES PATRONALES SEGURIDAD SOCIAL</t>
  </si>
  <si>
    <t>Dotacion y calzado</t>
  </si>
  <si>
    <t>Vacaciones</t>
  </si>
  <si>
    <t>Primas</t>
  </si>
  <si>
    <t>Intereses a cesantias</t>
  </si>
  <si>
    <t>Cesantias</t>
  </si>
  <si>
    <t>PRESTACIONES LEGALES</t>
  </si>
  <si>
    <t>Subsidio de transporte</t>
  </si>
  <si>
    <t>Salario Minimo diario</t>
  </si>
  <si>
    <t>Salario Minimo Legal Vigente 2022</t>
  </si>
  <si>
    <t>PRESTACIONES LEGALES Y APORTES PATRONALES</t>
  </si>
  <si>
    <t xml:space="preserve">MANO DE OBRA </t>
  </si>
  <si>
    <t>DETALLE CONSTRUCTIVO, PURGAS, VENTOSAS, POZOS DE INSPECCIÓN, CQP, CABEZAL DE DESCARGA</t>
  </si>
  <si>
    <t>PROF. (m)</t>
  </si>
  <si>
    <t>Malla electrosoldada 15x15cm 8mm</t>
  </si>
  <si>
    <r>
      <t>EXCAVACIÓN (m</t>
    </r>
    <r>
      <rPr>
        <b/>
        <vertAlign val="superscript"/>
        <sz val="10"/>
        <color theme="0"/>
        <rFont val="Century Gothic"/>
        <family val="2"/>
      </rPr>
      <t>3</t>
    </r>
    <r>
      <rPr>
        <b/>
        <sz val="10"/>
        <color theme="0"/>
        <rFont val="Century Gothic"/>
        <family val="2"/>
      </rPr>
      <t>)</t>
    </r>
  </si>
  <si>
    <r>
      <t>RECEBO (m</t>
    </r>
    <r>
      <rPr>
        <b/>
        <vertAlign val="superscript"/>
        <sz val="10"/>
        <color theme="0"/>
        <rFont val="Century Gothic"/>
        <family val="2"/>
      </rPr>
      <t>3</t>
    </r>
    <r>
      <rPr>
        <b/>
        <sz val="10"/>
        <color theme="0"/>
        <rFont val="Century Gothic"/>
        <family val="2"/>
      </rPr>
      <t>)</t>
    </r>
  </si>
  <si>
    <r>
      <t>SOLADO (m</t>
    </r>
    <r>
      <rPr>
        <b/>
        <vertAlign val="superscript"/>
        <sz val="10"/>
        <color theme="0"/>
        <rFont val="Century Gothic"/>
        <family val="2"/>
      </rPr>
      <t>3</t>
    </r>
    <r>
      <rPr>
        <b/>
        <sz val="10"/>
        <color theme="0"/>
        <rFont val="Century Gothic"/>
        <family val="2"/>
      </rPr>
      <t>)</t>
    </r>
  </si>
  <si>
    <r>
      <t>ESTRUCTURA (m</t>
    </r>
    <r>
      <rPr>
        <b/>
        <vertAlign val="superscript"/>
        <sz val="10"/>
        <color theme="0"/>
        <rFont val="Century Gothic"/>
        <family val="2"/>
      </rPr>
      <t>3</t>
    </r>
    <r>
      <rPr>
        <b/>
        <sz val="10"/>
        <color theme="0"/>
        <rFont val="Century Gothic"/>
        <family val="2"/>
      </rPr>
      <t>)</t>
    </r>
  </si>
  <si>
    <r>
      <t>ÁREA (m</t>
    </r>
    <r>
      <rPr>
        <b/>
        <vertAlign val="superscript"/>
        <sz val="10"/>
        <color theme="0"/>
        <rFont val="Century Gothic"/>
        <family val="2"/>
      </rPr>
      <t>2</t>
    </r>
    <r>
      <rPr>
        <b/>
        <sz val="10"/>
        <color theme="0"/>
        <rFont val="Century Gothic"/>
        <family val="2"/>
      </rPr>
      <t>)</t>
    </r>
  </si>
  <si>
    <t>B-01.02</t>
  </si>
  <si>
    <r>
      <t>VOLÚM. (m</t>
    </r>
    <r>
      <rPr>
        <b/>
        <vertAlign val="superscript"/>
        <sz val="10"/>
        <color theme="0"/>
        <rFont val="Century Gothic"/>
        <family val="2"/>
      </rPr>
      <t>3</t>
    </r>
    <r>
      <rPr>
        <b/>
        <sz val="10"/>
        <color theme="0"/>
        <rFont val="Century Gothic"/>
        <family val="2"/>
      </rPr>
      <t>)</t>
    </r>
  </si>
  <si>
    <r>
      <t>ÁREA 1 (m</t>
    </r>
    <r>
      <rPr>
        <b/>
        <vertAlign val="superscript"/>
        <sz val="10"/>
        <color theme="0"/>
        <rFont val="Century Gothic"/>
        <family val="2"/>
      </rPr>
      <t>2</t>
    </r>
    <r>
      <rPr>
        <b/>
        <sz val="10"/>
        <color theme="0"/>
        <rFont val="Century Gothic"/>
        <family val="2"/>
      </rPr>
      <t>)</t>
    </r>
  </si>
  <si>
    <r>
      <t>ÁREA 2 (m</t>
    </r>
    <r>
      <rPr>
        <b/>
        <vertAlign val="superscript"/>
        <sz val="10"/>
        <color theme="0"/>
        <rFont val="Century Gothic"/>
        <family val="2"/>
      </rPr>
      <t>2</t>
    </r>
    <r>
      <rPr>
        <b/>
        <sz val="10"/>
        <color theme="0"/>
        <rFont val="Century Gothic"/>
        <family val="2"/>
      </rPr>
      <t>)</t>
    </r>
  </si>
  <si>
    <t>B-02.01.01</t>
  </si>
  <si>
    <t>B-02.01.02</t>
  </si>
  <si>
    <t>B-02.02.01</t>
  </si>
  <si>
    <t>B-02.02.02</t>
  </si>
  <si>
    <t>B-02.03.02</t>
  </si>
  <si>
    <t>B-02.03.01</t>
  </si>
  <si>
    <t>A-04.01.01</t>
  </si>
  <si>
    <t>A-04.01.02</t>
  </si>
  <si>
    <t>A-04.03.04</t>
  </si>
  <si>
    <t>A-04.03.05</t>
  </si>
  <si>
    <t>TRANSPORTE ESPECIAL DE MATERIALES</t>
  </si>
  <si>
    <t>B-07.03</t>
  </si>
  <si>
    <t>B-07.04</t>
  </si>
  <si>
    <t>B-07.05</t>
  </si>
  <si>
    <t>B-07.06</t>
  </si>
  <si>
    <t>B-07.07</t>
  </si>
  <si>
    <t>B-07.08</t>
  </si>
  <si>
    <t>B-07.09</t>
  </si>
  <si>
    <t>B-07.10</t>
  </si>
  <si>
    <t>B-08</t>
  </si>
  <si>
    <t>B-08.01</t>
  </si>
  <si>
    <t>B-08.02</t>
  </si>
  <si>
    <t>D-05</t>
  </si>
  <si>
    <t>E-01</t>
  </si>
  <si>
    <t>E-01.01</t>
  </si>
  <si>
    <t>E-02</t>
  </si>
  <si>
    <t>E-02.01.01</t>
  </si>
  <si>
    <t>E-02.01.02</t>
  </si>
  <si>
    <t>E-02.02.01</t>
  </si>
  <si>
    <t>E-02.02.02</t>
  </si>
  <si>
    <t>E-02.03.01</t>
  </si>
  <si>
    <t>E-02.03.02</t>
  </si>
  <si>
    <t>E-03.01.01</t>
  </si>
  <si>
    <t>E-03.01.02</t>
  </si>
  <si>
    <t>E-03.02</t>
  </si>
  <si>
    <t>E-04.01.01</t>
  </si>
  <si>
    <t>E-04.01.02</t>
  </si>
  <si>
    <t>E-04.02</t>
  </si>
  <si>
    <t>E-04.03.01</t>
  </si>
  <si>
    <t>E-04.03.02</t>
  </si>
  <si>
    <t>E-04.03.03</t>
  </si>
  <si>
    <t>E-04.03.04</t>
  </si>
  <si>
    <t>E-04.04</t>
  </si>
  <si>
    <t>E-02.01</t>
  </si>
  <si>
    <t>E-03</t>
  </si>
  <si>
    <t>E-03.01</t>
  </si>
  <si>
    <t>E-04</t>
  </si>
  <si>
    <t>E-04.01</t>
  </si>
  <si>
    <t>E-04.05</t>
  </si>
  <si>
    <t>E-05</t>
  </si>
  <si>
    <t>E-05.01</t>
  </si>
  <si>
    <t>E-05.02</t>
  </si>
  <si>
    <t>E-06</t>
  </si>
  <si>
    <t>E-06.01</t>
  </si>
  <si>
    <t>E-06.02</t>
  </si>
  <si>
    <t>E-06.03</t>
  </si>
  <si>
    <t>E-06.04</t>
  </si>
  <si>
    <t>H. ESCALONES (m)</t>
  </si>
  <si>
    <t># ESCALONES</t>
  </si>
  <si>
    <t>E-06.05</t>
  </si>
  <si>
    <t>E-06.06</t>
  </si>
  <si>
    <t>E-06.07</t>
  </si>
  <si>
    <t>E-06.08</t>
  </si>
  <si>
    <t>E-06.09</t>
  </si>
  <si>
    <t>E-06.10</t>
  </si>
  <si>
    <t>1.1</t>
  </si>
  <si>
    <t>2.1</t>
  </si>
  <si>
    <t>3.1</t>
  </si>
  <si>
    <t>4.1</t>
  </si>
  <si>
    <t>4.2</t>
  </si>
  <si>
    <t>4.3</t>
  </si>
  <si>
    <t>4.4</t>
  </si>
  <si>
    <t>5.1</t>
  </si>
  <si>
    <t>5.2</t>
  </si>
  <si>
    <t>5.3</t>
  </si>
  <si>
    <t>5.4</t>
  </si>
  <si>
    <t>5.5</t>
  </si>
  <si>
    <t>5.6</t>
  </si>
  <si>
    <t>5.7</t>
  </si>
  <si>
    <t>5.8</t>
  </si>
  <si>
    <t>5.9</t>
  </si>
  <si>
    <t>3.2</t>
  </si>
  <si>
    <t>Suministro e instalación de Inversor monofásico EPEVER IP4000-41-PLUS, Potencia de salida 4000W, Pico de potencia 8000W por 5S, Voltaje nominal 120VAC, Voltaje de Entrada 48VDC, máxima eficiencia 93%, Salida 120VAC, 60 Hz, THD ≤ 5%</t>
  </si>
  <si>
    <t>Paso</t>
  </si>
  <si>
    <t>Longitud (m)</t>
  </si>
  <si>
    <t>Elevación</t>
  </si>
  <si>
    <t>Tipo</t>
  </si>
  <si>
    <t>Este (m) x</t>
  </si>
  <si>
    <t>Norte (m) y</t>
  </si>
  <si>
    <t>Longitud</t>
  </si>
  <si>
    <t>Latitud</t>
  </si>
  <si>
    <t>Encofrado</t>
  </si>
  <si>
    <t>76° 0' 51,437" W</t>
  </si>
  <si>
    <t>1° 46' 27,546" N</t>
  </si>
  <si>
    <t>HD</t>
  </si>
  <si>
    <t>76° 0' 52,079" W</t>
  </si>
  <si>
    <t>1° 46' 24,419" N</t>
  </si>
  <si>
    <t>76° 1' 0,979" W</t>
  </si>
  <si>
    <t>1° 46' 9,763" N</t>
  </si>
  <si>
    <t>76° 1' 14,441" W</t>
  </si>
  <si>
    <t>1° 45' 56,689" N</t>
  </si>
  <si>
    <t>76° 1' 18,322" W</t>
  </si>
  <si>
    <t>1° 45' 48,988" N</t>
  </si>
  <si>
    <t>76° 1' 23,855" W</t>
  </si>
  <si>
    <t>1° 45' 40,396" N</t>
  </si>
  <si>
    <t>76° 1' 28,328" W</t>
  </si>
  <si>
    <t>1° 45' 32,590" N</t>
  </si>
  <si>
    <t>76° 1' 32,514" W</t>
  </si>
  <si>
    <t>1° 45' 29,946" N</t>
  </si>
  <si>
    <t>76° 1' 37,932" W</t>
  </si>
  <si>
    <t>1° 45' 21,337" N</t>
  </si>
  <si>
    <t>76° 1' 50,746" W</t>
  </si>
  <si>
    <t>1° 45' 18,807" N</t>
  </si>
  <si>
    <t>76° 1' 54,301" W</t>
  </si>
  <si>
    <t>1° 45' 15,749" N</t>
  </si>
  <si>
    <t>76° 1' 56,840" W</t>
  </si>
  <si>
    <t>1° 45' 15,399" N</t>
  </si>
  <si>
    <t>76° 2' 0,904" W</t>
  </si>
  <si>
    <t>1° 45' 16,904" N</t>
  </si>
  <si>
    <t>76° 2' 3,470" W</t>
  </si>
  <si>
    <t>1° 45' 21,424" N</t>
  </si>
  <si>
    <t>76° 2' 9,362" W</t>
  </si>
  <si>
    <t>1° 45' 27,849" N</t>
  </si>
  <si>
    <t>76° 2' 13,125" W</t>
  </si>
  <si>
    <t>1° 45' 36,088" N</t>
  </si>
  <si>
    <t>76° 2' 14,287" W</t>
  </si>
  <si>
    <t>1° 45' 38,508" N</t>
  </si>
  <si>
    <t>76° 2' 15,464" W</t>
  </si>
  <si>
    <t>1° 45' 40,388" N</t>
  </si>
  <si>
    <t>76° 2' 18,767" W</t>
  </si>
  <si>
    <t>1° 45' 43,077" N</t>
  </si>
  <si>
    <t>76° 2' 24,056" W</t>
  </si>
  <si>
    <t>1° 45' 40,804" N</t>
  </si>
  <si>
    <t>76° 2' 25,122" W</t>
  </si>
  <si>
    <t>1° 45' 45,615" N</t>
  </si>
  <si>
    <t>76° 2' 25,438" W</t>
  </si>
  <si>
    <t>1° 45' 45,943" N</t>
  </si>
  <si>
    <t>76° 2' 28,081" W</t>
  </si>
  <si>
    <t>1° 45' 46,277" N</t>
  </si>
  <si>
    <t>76° 2' 30,263" W</t>
  </si>
  <si>
    <t>1° 45' 47,705" N</t>
  </si>
  <si>
    <t>76° 2' 31,264" W</t>
  </si>
  <si>
    <t>1° 45' 50,240" N</t>
  </si>
  <si>
    <t>76° 2' 35,199" W</t>
  </si>
  <si>
    <t>1° 45' 47,730" N</t>
  </si>
  <si>
    <t>76° 3' 15,344" W</t>
  </si>
  <si>
    <t>1° 46' 19,890" N</t>
  </si>
  <si>
    <t>76° 3' 18,315" W</t>
  </si>
  <si>
    <t>1° 46' 24,417" N</t>
  </si>
  <si>
    <t>76° 3' 21,709" W</t>
  </si>
  <si>
    <t>1° 46' 28,310" N</t>
  </si>
  <si>
    <t>76° 3' 25,907" W</t>
  </si>
  <si>
    <t>1° 46' 31,365" N</t>
  </si>
  <si>
    <t>76° 3' 33,567" W</t>
  </si>
  <si>
    <t>1° 46' 32,773" N</t>
  </si>
  <si>
    <t>76° 3' 38,893" W</t>
  </si>
  <si>
    <t>1° 46' 36,436" N</t>
  </si>
  <si>
    <t>76° 4' 5,443" W</t>
  </si>
  <si>
    <t>1° 46' 58,398" N</t>
  </si>
  <si>
    <t>76° 4' 13,251" W</t>
  </si>
  <si>
    <t>1° 47' 1,140" N</t>
  </si>
  <si>
    <t>76° 4' 46,270" W</t>
  </si>
  <si>
    <t>1° 47' 27,497" N</t>
  </si>
  <si>
    <t>76° 4' 53,570" W</t>
  </si>
  <si>
    <t>1° 47' 33,027" N</t>
  </si>
  <si>
    <t>76° 5' 9,136" W</t>
  </si>
  <si>
    <t>1° 47' 45,561" N</t>
  </si>
  <si>
    <t>76° 5' 12,550" W</t>
  </si>
  <si>
    <t>1° 47' 48,835" N</t>
  </si>
  <si>
    <t>76° 5' 15,739" W</t>
  </si>
  <si>
    <t>1° 47' 53,680" N</t>
  </si>
  <si>
    <t>76° 5' 17,353" W</t>
  </si>
  <si>
    <t>1° 47' 54,920" N</t>
  </si>
  <si>
    <t>76° 5' 26,752" W</t>
  </si>
  <si>
    <t>1° 47' 57,048" N</t>
  </si>
  <si>
    <t>76° 5' 32,356" W</t>
  </si>
  <si>
    <t>1° 47' 58,529" N</t>
  </si>
  <si>
    <t>76° 5' 4,311" W</t>
  </si>
  <si>
    <t>1° 48' 16,247" N</t>
  </si>
  <si>
    <t>76° 5' 3,628" W</t>
  </si>
  <si>
    <t>1° 48' 19,023" N</t>
  </si>
  <si>
    <t>76° 5' 4,496" W</t>
  </si>
  <si>
    <t>1° 48' 20,315" N</t>
  </si>
  <si>
    <t>76° 5' 4,891" W</t>
  </si>
  <si>
    <t>1° 48' 23,749" N</t>
  </si>
  <si>
    <t>76° 5' 8,503" W</t>
  </si>
  <si>
    <t>1° 48' 24,797" N</t>
  </si>
  <si>
    <t>76° 5' 7,054" W</t>
  </si>
  <si>
    <t>1° 48' 28,699" N</t>
  </si>
  <si>
    <t>76° 5' 7,239" W</t>
  </si>
  <si>
    <t>1° 48' 29,924" N</t>
  </si>
  <si>
    <t>76° 5' 10,014" W</t>
  </si>
  <si>
    <t>1° 48' 30,135" N</t>
  </si>
  <si>
    <t>76° 5' 12,874" W</t>
  </si>
  <si>
    <t>1° 48' 30,992" N</t>
  </si>
  <si>
    <t>76° 5' 14,671" W</t>
  </si>
  <si>
    <t>1° 48' 43,628" N</t>
  </si>
  <si>
    <t>76° 5' 14,410" W</t>
  </si>
  <si>
    <t>1° 48' 46,215" N</t>
  </si>
  <si>
    <t>76° 5' 14,937" W</t>
  </si>
  <si>
    <t>1° 48' 48,492" N</t>
  </si>
  <si>
    <t>76° 2' 48,230" W</t>
  </si>
  <si>
    <t>1° 45' 53,664" N</t>
  </si>
  <si>
    <t>76° 4' 22,923" W</t>
  </si>
  <si>
    <t>1° 47' 2,283" N</t>
  </si>
  <si>
    <t>76° 6' 18,231" W</t>
  </si>
  <si>
    <t>1° 47' 59,582" N</t>
  </si>
  <si>
    <t>76° 6' 25,949" W</t>
  </si>
  <si>
    <t>1° 47' 53,360" N</t>
  </si>
  <si>
    <t>76° 6' 47,330" W</t>
  </si>
  <si>
    <t>1° 47' 59,858" N</t>
  </si>
  <si>
    <t>VIADUCTO 90 ML</t>
  </si>
  <si>
    <t>VIADUCTO 50 ML</t>
  </si>
  <si>
    <t>VIADUCTO 25 ML</t>
  </si>
  <si>
    <t>VIADUCTO 10 ML</t>
  </si>
  <si>
    <t>ENCOFRADO 5 ML</t>
  </si>
  <si>
    <t>VIADUCTOS, PASOS ELEVADOS Y PASOS SUBFLUVIALES</t>
  </si>
  <si>
    <t>CANTERA DISTANCIA PROMEDIO</t>
  </si>
  <si>
    <t>PINTURA EPÓXICA PARA RECUBIRMIENTO, ÁNGULO DE 1 1/2 x 1/8 L=0,85 M</t>
  </si>
  <si>
    <t>PINTURA EPÓXICA PARA RECUBIRMIENTO, ÁNGULO DE 1 1/2 x 1/8 L=10 M</t>
  </si>
  <si>
    <t>PINTURA EPÓXICA PARA RECUBIRMIENTO, ÁNGULO DE2 x 1/8 L=10 M</t>
  </si>
  <si>
    <t>Localización y replanteo de estructuras de acueductos (No incluye equipo de topografía) anclaje</t>
  </si>
  <si>
    <t>Localización y replanteo de redes (No incluye equipo de topografía)</t>
  </si>
  <si>
    <t>EXCAVACIÓN MANUAL EN CONGLOMERADO PARA ESTRUCTURA DE CIMENTACIÓN</t>
  </si>
  <si>
    <t>EXCAVACIÓN MANUAL EN CONGLOMERADO PARA ESTRUCTURA DE TUBERÍA</t>
  </si>
  <si>
    <t>RELLENO CON MATERIAL DE EXCAVACION</t>
  </si>
  <si>
    <t>RECEBO</t>
  </si>
  <si>
    <t>SOLADO</t>
  </si>
  <si>
    <t>EXCAVACIÓN</t>
  </si>
  <si>
    <t>CONCRETO DE 4000 PSI IMPERMEABILIZADO PILA</t>
  </si>
  <si>
    <t>CONCRETO DE 4000 PSI IMPERMEABILIZADO CIMENTACIÓN</t>
  </si>
  <si>
    <t>S (m)</t>
  </si>
  <si>
    <t>SOLDADURA TIPO FILETE, CORDÓN 10mm</t>
  </si>
  <si>
    <t>CABLE SUPERIOR 7/8"</t>
  </si>
  <si>
    <t>CABLE PENDOLON</t>
  </si>
  <si>
    <t>TUBO 6" X 6MM</t>
  </si>
  <si>
    <t>KIT PORTA GUAYAS 5/8" PARA ANCLAJE EN MUERTO (INCLUYE  1 GUARDACABOS, 3 UNDS DE SOLDADURA 20mm Y 4 GRAPAS DE AMARRE)</t>
  </si>
  <si>
    <t>TORNLLOS 3/4"X3/5"</t>
  </si>
  <si>
    <t>SILLETAS O CARRO DE DILATACIÓN</t>
  </si>
  <si>
    <t>KIT PORTA GUAYAS 5/8" PARA ANCLAJE EN MUERTO (INCLUYE  1 GUARDACABOS, 3 UNDS DE SOLDADURA 20mm Y 4 GRAPAS DE AMARRE) GUAYA PRINCIPAL</t>
  </si>
  <si>
    <t>PLATINA 3/8 PORTA GUAYA</t>
  </si>
  <si>
    <t>TORNILLOS 5/8 PARA PLATINA PORTA GUAYA</t>
  </si>
  <si>
    <t>ACERO DE REFIUERZO 60000 PSI</t>
  </si>
  <si>
    <t>1.2</t>
  </si>
  <si>
    <t>5.10</t>
  </si>
  <si>
    <t>5.11</t>
  </si>
  <si>
    <t>5.12</t>
  </si>
  <si>
    <t>5.13</t>
  </si>
  <si>
    <t>5.14</t>
  </si>
  <si>
    <t>5.15</t>
  </si>
  <si>
    <t>5.16</t>
  </si>
  <si>
    <t>5.17</t>
  </si>
  <si>
    <t>5.18</t>
  </si>
  <si>
    <t>TUBERÍA PVC UM RDE Ø6 - 32.5</t>
  </si>
  <si>
    <t>TUBERÍA HD DN125 - C40</t>
  </si>
  <si>
    <t>TUBERÍA HD DN125 - C64</t>
  </si>
  <si>
    <t>TUBERÍA HD DN125 - C100</t>
  </si>
  <si>
    <t>C-11</t>
  </si>
  <si>
    <t>C-09.02</t>
  </si>
  <si>
    <t>C-11.01</t>
  </si>
  <si>
    <t>C-11.02</t>
  </si>
  <si>
    <t>CABLE SUPERIOR 5/8"</t>
  </si>
  <si>
    <t>NEOPRENO DE SOPORTE 0,35x0,35X0,05M</t>
  </si>
  <si>
    <t>CASETA</t>
  </si>
  <si>
    <t>F-02.01.01</t>
  </si>
  <si>
    <t>F-02.01.02</t>
  </si>
  <si>
    <t>F-03.01.01</t>
  </si>
  <si>
    <t>F-03.01.02</t>
  </si>
  <si>
    <t>F-03.02</t>
  </si>
  <si>
    <t>G&amp;J</t>
  </si>
  <si>
    <t>PTAP Y PLACA SOPORTE</t>
  </si>
  <si>
    <t>DETALLE URBANISMO E ILUMINACIÓN</t>
  </si>
  <si>
    <r>
      <t>Cable fotovoltaico Centelsa 4mm</t>
    </r>
    <r>
      <rPr>
        <sz val="10"/>
        <color theme="1"/>
        <rFont val="Calibri"/>
        <family val="2"/>
      </rPr>
      <t>²</t>
    </r>
    <r>
      <rPr>
        <sz val="10"/>
        <color theme="1"/>
        <rFont val="Arial Narrow"/>
        <family val="2"/>
      </rPr>
      <t xml:space="preserve"> rojo</t>
    </r>
  </si>
  <si>
    <r>
      <t>Cable fotovoltaico Centelsa 4mm</t>
    </r>
    <r>
      <rPr>
        <sz val="10"/>
        <color theme="1"/>
        <rFont val="Calibri"/>
        <family val="2"/>
      </rPr>
      <t>²</t>
    </r>
    <r>
      <rPr>
        <sz val="10"/>
        <color theme="1"/>
        <rFont val="Arial Narrow"/>
        <family val="2"/>
      </rPr>
      <t xml:space="preserve"> negro</t>
    </r>
  </si>
  <si>
    <t>G-01.01</t>
  </si>
  <si>
    <t>G-01.02</t>
  </si>
  <si>
    <t>G-01.03</t>
  </si>
  <si>
    <t>G-01.04</t>
  </si>
  <si>
    <t>G-01.05</t>
  </si>
  <si>
    <t>G-01.06</t>
  </si>
  <si>
    <t>G-01.07</t>
  </si>
  <si>
    <t>G-01.08</t>
  </si>
  <si>
    <t>G-01.09</t>
  </si>
  <si>
    <t>G-01.10</t>
  </si>
  <si>
    <t>G-01.11</t>
  </si>
  <si>
    <t>G-01.12</t>
  </si>
  <si>
    <t>G-01.13</t>
  </si>
  <si>
    <t>G-01.14</t>
  </si>
  <si>
    <t>G-01.15</t>
  </si>
  <si>
    <t>G-01.16</t>
  </si>
  <si>
    <t>G-01.17</t>
  </si>
  <si>
    <t>G-01.18</t>
  </si>
  <si>
    <t>G-01.19</t>
  </si>
  <si>
    <t>G-01.20</t>
  </si>
  <si>
    <t>G-02.01</t>
  </si>
  <si>
    <t>H-08.01</t>
  </si>
  <si>
    <t>H-08.04</t>
  </si>
  <si>
    <t>P. Final</t>
  </si>
  <si>
    <t xml:space="preserve">MILTON STEVEN HOYO HERMIDA </t>
  </si>
  <si>
    <t xml:space="preserve">SECRETARIO DE PLANEACIÓN </t>
  </si>
  <si>
    <r>
      <t>Kg/m</t>
    </r>
    <r>
      <rPr>
        <b/>
        <vertAlign val="superscript"/>
        <sz val="22"/>
        <color theme="0"/>
        <rFont val="Century Gothic"/>
        <family val="2"/>
      </rPr>
      <t>3</t>
    </r>
  </si>
  <si>
    <r>
      <t>ÁREA (m</t>
    </r>
    <r>
      <rPr>
        <b/>
        <vertAlign val="superscript"/>
        <sz val="36"/>
        <color theme="0"/>
        <rFont val="Century Gothic"/>
        <family val="2"/>
      </rPr>
      <t>2</t>
    </r>
    <r>
      <rPr>
        <b/>
        <sz val="36"/>
        <color theme="0"/>
        <rFont val="Century Gothic"/>
        <family val="2"/>
      </rPr>
      <t>)</t>
    </r>
  </si>
  <si>
    <r>
      <t>VOLÚM. (m</t>
    </r>
    <r>
      <rPr>
        <b/>
        <vertAlign val="superscript"/>
        <sz val="36"/>
        <color theme="0"/>
        <rFont val="Century Gothic"/>
        <family val="2"/>
      </rPr>
      <t>3</t>
    </r>
    <r>
      <rPr>
        <b/>
        <sz val="36"/>
        <color theme="0"/>
        <rFont val="Century Gothic"/>
        <family val="2"/>
      </rPr>
      <t>)</t>
    </r>
  </si>
  <si>
    <r>
      <t xml:space="preserve">PLATINA 3/16" X </t>
    </r>
    <r>
      <rPr>
        <sz val="36"/>
        <color theme="1"/>
        <rFont val="Calibri"/>
        <family val="2"/>
      </rPr>
      <t>Ø</t>
    </r>
    <r>
      <rPr>
        <sz val="36"/>
        <color theme="1"/>
        <rFont val="Century Gothic"/>
        <family val="2"/>
      </rPr>
      <t>4"</t>
    </r>
  </si>
  <si>
    <t>DIstribucion</t>
  </si>
  <si>
    <t>Domiciliarias</t>
  </si>
  <si>
    <t>Ancho (m)</t>
  </si>
  <si>
    <t>Profundo (m)</t>
  </si>
  <si>
    <t>Excavación</t>
  </si>
  <si>
    <t>Arena (m3)</t>
  </si>
  <si>
    <t>Mecanica (m3)</t>
  </si>
  <si>
    <t>Manual (m3)</t>
  </si>
  <si>
    <t>Recebo (m3)</t>
  </si>
  <si>
    <t>Mat Excavacion</t>
  </si>
  <si>
    <t>Usuarios</t>
  </si>
  <si>
    <t>Codo 11.25 ⌀1</t>
  </si>
  <si>
    <t>Codo 11.25 ⌀2</t>
  </si>
  <si>
    <t>Codo 22.5 ⌀1</t>
  </si>
  <si>
    <t>Codo 22.5 ⌀2</t>
  </si>
  <si>
    <t>Codo 45 ⌀2</t>
  </si>
  <si>
    <t>Collarin ⌀1 a ⌀1/2</t>
  </si>
  <si>
    <t>Collarin ⌀2 a ⌀1/2</t>
  </si>
  <si>
    <t>Te ⌀2x⌀2x⌀1</t>
  </si>
  <si>
    <t>Te ⌀2x⌀2x⌀2</t>
  </si>
  <si>
    <t>ERP</t>
  </si>
  <si>
    <t>1"</t>
  </si>
  <si>
    <t>2"</t>
  </si>
  <si>
    <t>3"</t>
  </si>
  <si>
    <t>Concreto anclajes</t>
  </si>
  <si>
    <t>CONSTRUCCIÓN DE LA FASE 1 DEL PLAN MAESTRO DE ACUEDUCTO DEL MUNICIPIO DE ÍQUIRA, HUILA</t>
  </si>
  <si>
    <t>Especialista Estructural y en Geotecnia</t>
  </si>
  <si>
    <t>Especialista en Hidraulica e Hidrologia</t>
  </si>
  <si>
    <t>Profesional Social y Ambiental</t>
  </si>
  <si>
    <t>Inspector de obra</t>
  </si>
  <si>
    <t>A.11</t>
  </si>
  <si>
    <t>ICA</t>
  </si>
  <si>
    <t>Retefuente</t>
  </si>
  <si>
    <t>Cuatro por mil</t>
  </si>
  <si>
    <t>Pro cultura</t>
  </si>
  <si>
    <t>Bienestar adulto mayor</t>
  </si>
  <si>
    <t>Equipos, mantenimiento y operación oficinas</t>
  </si>
  <si>
    <t>Gastos bancarios y costos financieros</t>
  </si>
  <si>
    <t>Impuestos, tasas y contribuciones de ley</t>
  </si>
  <si>
    <t>Personal tecnico no facturable</t>
  </si>
  <si>
    <t>Honorarios</t>
  </si>
  <si>
    <t>Vehículo, transporte y combustible</t>
  </si>
  <si>
    <t>OFICIAL</t>
  </si>
  <si>
    <t>Rollo</t>
  </si>
  <si>
    <t>L</t>
  </si>
  <si>
    <t>28 gr (1/128)</t>
  </si>
  <si>
    <t>(1/128) Galón</t>
  </si>
  <si>
    <t>Estaca de madera</t>
  </si>
  <si>
    <t>Puntilla con cabeza 2"</t>
  </si>
  <si>
    <t>Cinta señalización 70mmx50m</t>
  </si>
  <si>
    <t>Arena de trituración y/o arena natural</t>
  </si>
  <si>
    <t>Triturado en municipio</t>
  </si>
  <si>
    <t>Tubería para acometida domiciliaria pe100 32 mm PN 16 RDE 9 (viene por rollo de 100m) precio por ml</t>
  </si>
  <si>
    <t>Tubería PEAD RDE 17 ø3"-dn90mm [di 79.20mm] (viene por rollo de 50m) precio por ml</t>
  </si>
  <si>
    <t>Soldadura por termofusión tubería PEAD 3"-90 mm</t>
  </si>
  <si>
    <t>Tubería PEAD RDE 17 ø12"-dn315mm [di 277.60mm] (viene por tramo de 6 m) precio por ml</t>
  </si>
  <si>
    <t>Soldadura por termofusión tubería PEAD 6"-160 mm</t>
  </si>
  <si>
    <t>Tubería PEAD RDE 17 ø6"-dn160mm-dn160mm [di 141.00mm]  (viene por tramo de 6 m) precio por ml</t>
  </si>
  <si>
    <t>Soldadura por termofusión tubería PEAD 12"-315 mm</t>
  </si>
  <si>
    <t>Válvula ventosa combinada c30 bermad (triple acción) presión de trabajo: 15 -230 psi purga caudales bajos de aire salida y entrada de caudales altos de aire. d1".</t>
  </si>
  <si>
    <t>Válvula de purga AQT compuerta elástica bridada de 3"</t>
  </si>
  <si>
    <t>Válvula reductora de presión ø3" serie WW - 420</t>
  </si>
  <si>
    <t>Registro incorporación 1/2 m DZR x pealpe en PVC</t>
  </si>
  <si>
    <t>Registro corte sencillo 1/2 h DZR x pe 20mm en PVC</t>
  </si>
  <si>
    <t>Juego conector para medidores de agua conector nylon 3/4” x 1/2” 45 mm</t>
  </si>
  <si>
    <t>Medidor de 1/2" volumétrico</t>
  </si>
  <si>
    <t>Collar de derivación para pe 90 mm x 1/2"</t>
  </si>
  <si>
    <t>Alambre negro no.18</t>
  </si>
  <si>
    <t>Arena de peña</t>
  </si>
  <si>
    <t>Arena lavada de rio en municipio</t>
  </si>
  <si>
    <t>Gravilla de rio en municipio</t>
  </si>
  <si>
    <t>Ladrillo tolete común</t>
  </si>
  <si>
    <t>Reducción termofusionable en PEAD PN16 315mm x 200mm</t>
  </si>
  <si>
    <t>Codo 45° termofusionable en PEAD PN10 315mm (12")</t>
  </si>
  <si>
    <t>Codo 90° termofusionable en PEAD PN10 315mm (12")</t>
  </si>
  <si>
    <t>Tee termofusionable en PEAD PN16 de 90mm (3")</t>
  </si>
  <si>
    <t>Reducción electrofusionable en PEAD 90mm x 63mm</t>
  </si>
  <si>
    <t>Codo 90° termofusionable en PEAD pn10 de 90mm (3")</t>
  </si>
  <si>
    <t>Codo 45° termofusionable en PEAD PN10 de 90mm (3")</t>
  </si>
  <si>
    <t>Tapón termofusionable en PEAD PN 16 90mm (3")</t>
  </si>
  <si>
    <t>Válvula básica globo serie ww 405 bermad 6"</t>
  </si>
  <si>
    <t>Válvula básica globo serie ww 405 bermad 3"</t>
  </si>
  <si>
    <t>Válvula reductora de presión ø6" serie ww - 420</t>
  </si>
  <si>
    <t xml:space="preserve">Tapa válvula 37,5cm x 34cm x 5cm de alto </t>
  </si>
  <si>
    <t xml:space="preserve">Tapa válvula y cajilla 37,5cm x 34cm x 28cm de alto </t>
  </si>
  <si>
    <t>Acero de refuerzo 60000 psi</t>
  </si>
  <si>
    <t>Reducción termofusionable en PEAD PN16 160mm x 90mm</t>
  </si>
  <si>
    <t>Codo 90° termofusionable en PEAD PN10 de 160mm (6")</t>
  </si>
  <si>
    <t>Codo 45° termofusionable en PEAD PN10 160mm (6")</t>
  </si>
  <si>
    <t>Válvula AQT compuerta elástica junta rápida de 6"</t>
  </si>
  <si>
    <t>Válvula de purga AQT compuerta elástica bridada de 12"</t>
  </si>
  <si>
    <t>Válvula (cheque) ope-ver/ hor 6"</t>
  </si>
  <si>
    <t>Derecho de botadero doble troque</t>
  </si>
  <si>
    <t>Cheque horizontal 1/2pulg</t>
  </si>
  <si>
    <t>Peldaños en polipropileno de alto impacto con alma de acero 304 alta calidad</t>
  </si>
  <si>
    <t>Medidor 6" ultrasónico vs-500 dn150 f300mm PN16 r400</t>
  </si>
  <si>
    <t>Válvula AQT compuerta elástica bridada de 10"</t>
  </si>
  <si>
    <t>Tee PVC 10"</t>
  </si>
  <si>
    <t>Codo 90" PVC 10"</t>
  </si>
  <si>
    <t>Tubería PVC 10"</t>
  </si>
  <si>
    <t>Pasamuros PVC 10" e.l l=0.30m</t>
  </si>
  <si>
    <t>Unión de 10" PVC</t>
  </si>
  <si>
    <t>Válvula AQT compuerta elástica bridada de 8"</t>
  </si>
  <si>
    <t>Tee PVC 8"</t>
  </si>
  <si>
    <t>Codo 90" PVC 8"</t>
  </si>
  <si>
    <t>Pasamuros PVC 8" e.l l=0.30m</t>
  </si>
  <si>
    <t>Unión de 8" PVC</t>
  </si>
  <si>
    <t>Tubería PVC 8"</t>
  </si>
  <si>
    <t>Tapa de inspección lamina en alfajor 0.8mx0.8m</t>
  </si>
  <si>
    <t>Codo 90" PVC 4"</t>
  </si>
  <si>
    <t>Codo 90" PVC 6"</t>
  </si>
  <si>
    <t>Válvula flotadora tipo diafragma 2"</t>
  </si>
  <si>
    <t>Válvula de control hidráulico cierre y apertura con solenoide 6"</t>
  </si>
  <si>
    <t>Pasamuro en HD 6" e.l*e.l l=0.35m</t>
  </si>
  <si>
    <t>Tee PVC 6"</t>
  </si>
  <si>
    <t>Tubería PVC 4"</t>
  </si>
  <si>
    <t>Tubería PVC 6"</t>
  </si>
  <si>
    <t>Manguera 1"</t>
  </si>
  <si>
    <t>Válvula (cheque) ope-ver/ hor 4"</t>
  </si>
  <si>
    <t>Tee 4" PVC</t>
  </si>
  <si>
    <t>Teja p7 opal n10 305x92 cm 0.7mm policarbonato</t>
  </si>
  <si>
    <t>Grava para filtros 1/8"</t>
  </si>
  <si>
    <t>Grava para filtros 1/2"</t>
  </si>
  <si>
    <t>Grava para filtros 1"</t>
  </si>
  <si>
    <t>Antracita para filtros</t>
  </si>
  <si>
    <t>Codo 90° pe agua 25mm acometida</t>
  </si>
  <si>
    <t>Bisagra común 3"</t>
  </si>
  <si>
    <t>Gancho teja</t>
  </si>
  <si>
    <t>Tabla chapa ordinario 0.3</t>
  </si>
  <si>
    <t>Teja eternit no. 6 (teja p7 gris #6 183x92 cm au:1.48 m eternit)</t>
  </si>
  <si>
    <t>Vara clavo</t>
  </si>
  <si>
    <t>Postes tubulares</t>
  </si>
  <si>
    <t>Rajon</t>
  </si>
  <si>
    <t>Impermeabilizante para concreto tipo plastocrete dm</t>
  </si>
  <si>
    <t>Medidor 12" ultrasónico vs-500 dn80 f225mm PN16 r400</t>
  </si>
  <si>
    <t>Malla eslabonada calibre 10.5</t>
  </si>
  <si>
    <t>Soldadura eléctrica de 3/32"</t>
  </si>
  <si>
    <t>Concreto 3000 PSI</t>
  </si>
  <si>
    <t>Concreto 1500 PSI</t>
  </si>
  <si>
    <t>Tubo an para cerramiento 2"</t>
  </si>
  <si>
    <t>Angulo hierro 1"x1" x 6m</t>
  </si>
  <si>
    <t>Alambre de puas no. 12</t>
  </si>
  <si>
    <t>Tabla burra ordinario 2.90x0.30x0.025</t>
  </si>
  <si>
    <t>Cintilla de poliuretano</t>
  </si>
  <si>
    <t>Antisol</t>
  </si>
  <si>
    <t>Sellante elastomérico con base en poliuretano, autonivelante</t>
  </si>
  <si>
    <t>Cercha metálica</t>
  </si>
  <si>
    <t>Arena silice para filtros</t>
  </si>
  <si>
    <t>Soldadura PVC</t>
  </si>
  <si>
    <t>Limpiador PVC</t>
  </si>
  <si>
    <t>Medidor 8" ultrasónico vs-500 dn80 f225mm PN16 r400</t>
  </si>
  <si>
    <t>LOCALIZACIÓN Y REPLANTEO DE REDES</t>
  </si>
  <si>
    <t>Cortadora de pavimento, profundidad de corte: 16- 19 cm. capacidad de disco: desde 12" hasta 20" de diámetro</t>
  </si>
  <si>
    <t>Estación Total con precisión angular de 6". Precisión lineal 2 mm ± 2 ppm</t>
  </si>
  <si>
    <t>Formaleta metálica para concreto (m2)</t>
  </si>
  <si>
    <t>Vibrocompactador, tipo benitìn, de peso 700 kg a 1.5 toneladas</t>
  </si>
  <si>
    <t>Vibrocompactador, potencia 153 HP, peso 10 ton</t>
  </si>
  <si>
    <t>Mezcladora de concreto tipo trompo</t>
  </si>
  <si>
    <t>Compresor portátil de 70 a 120 HP, con martillo</t>
  </si>
  <si>
    <t>Volqueta 14 m3</t>
  </si>
  <si>
    <t>Formaleta metálica para pavimento en concreto hidráulico (m)</t>
  </si>
  <si>
    <t>Compactador manual vibratorio (rana) con motor de 6 hp</t>
  </si>
  <si>
    <t>Vibrador de concreto, potencia aproximada de 3 hp, mangueras de 4 a 6 metros</t>
  </si>
  <si>
    <t>M2/Día</t>
  </si>
  <si>
    <t>UN/Mes</t>
  </si>
  <si>
    <t>Conos  de guía</t>
  </si>
  <si>
    <t>Señales preventivas, señales reglamentarias</t>
  </si>
  <si>
    <t>LOCALIZACIÓN Y REPLANTEO DE ESTRUCTURAS (NO INCLUYE COMISIÓN TOPOGRÁFICA)</t>
  </si>
  <si>
    <t>H-01.02</t>
  </si>
  <si>
    <t>DESCAPOTE MANUAL Y RETIRO E= 0.20 M APILE A 15 M</t>
  </si>
  <si>
    <t>CAMPAMENTO 18 M2</t>
  </si>
  <si>
    <t>SEÑALIZACIÓN Y AISLAMIENTO DE ÁREAS DE TRABAJO, INCLUYE CINTA DE SEGURIDAD, POSTES TUBULARES, CONOS GUIA, SEÑALES PREVENTIVAS Y REGLAMENTARIAS</t>
  </si>
  <si>
    <t>H-01.03</t>
  </si>
  <si>
    <t>H-01.04</t>
  </si>
  <si>
    <t>DEMOLICIONES</t>
  </si>
  <si>
    <t>DEMOLICIÓN DE PAVIMENTO RÍGIDO (INCLUYE CORTE A MÁQUINA 2 COSTADOS)</t>
  </si>
  <si>
    <t>DEMOLICIÓN DE ANDENES Y SARDINELES (INCLUYE CORTE A MÁQUINA 2 COSTADOS)</t>
  </si>
  <si>
    <t>DEMOLICIÓN DE ESTRUCTURAS EN CONCRETO</t>
  </si>
  <si>
    <t>H-02.03</t>
  </si>
  <si>
    <t>TEE-24</t>
  </si>
  <si>
    <t>TEE-17</t>
  </si>
  <si>
    <t>TEE-12</t>
  </si>
  <si>
    <t>TEE-13</t>
  </si>
  <si>
    <t>TEE-14</t>
  </si>
  <si>
    <t>TEE-26</t>
  </si>
  <si>
    <t>TEE-27</t>
  </si>
  <si>
    <t>TEE-28</t>
  </si>
  <si>
    <t>TEE-29</t>
  </si>
  <si>
    <t>TEE-30</t>
  </si>
  <si>
    <t>TEE-31</t>
  </si>
  <si>
    <t>TEE-47</t>
  </si>
  <si>
    <t>TEE-48</t>
  </si>
  <si>
    <t>TEE-46</t>
  </si>
  <si>
    <t>TEE-39</t>
  </si>
  <si>
    <t>TEE-38</t>
  </si>
  <si>
    <t>TEE-45</t>
  </si>
  <si>
    <t>TEE-37</t>
  </si>
  <si>
    <t>TEE-40</t>
  </si>
  <si>
    <t>TEE-36</t>
  </si>
  <si>
    <t>TEE-35</t>
  </si>
  <si>
    <t>TEE-42</t>
  </si>
  <si>
    <t>TEE-43</t>
  </si>
  <si>
    <t>TEE-44</t>
  </si>
  <si>
    <t>TEE-34</t>
  </si>
  <si>
    <t>TEE-23</t>
  </si>
  <si>
    <t>VRP-08</t>
  </si>
  <si>
    <t>TP-12</t>
  </si>
  <si>
    <t>TP-13</t>
  </si>
  <si>
    <t>TEE-32</t>
  </si>
  <si>
    <t>TP-06</t>
  </si>
  <si>
    <t>TP-17</t>
  </si>
  <si>
    <t>VRP-04</t>
  </si>
  <si>
    <t>VRP-05</t>
  </si>
  <si>
    <t>TP-11</t>
  </si>
  <si>
    <t>TP-10</t>
  </si>
  <si>
    <t>TP-09</t>
  </si>
  <si>
    <t>TP-08</t>
  </si>
  <si>
    <t>TEE-33</t>
  </si>
  <si>
    <t>TP-07</t>
  </si>
  <si>
    <t>ARENA DE PEÑA PARA SOPORTE DE TUBERÍA (INCLUYE TRANSPORTE Y MANO DE OBRA)</t>
  </si>
  <si>
    <t>RECEBO COMUN COMPACTADO MECANICAMENTE (RANA) (INCLUYE TRANSPORTE Y MANO DE OBRA)</t>
  </si>
  <si>
    <t>RELLENO CON MATERIAL SELECCIONADO PROCEDENTE DE LA EXCAVACIÓN (ICLUYE MANO DE OBRA)</t>
  </si>
  <si>
    <t>SUMINISTRO E INSTALACIÓN VÁLVULA VENTOSA Ø1". COMBINADA C30 (TRIPLE ACCIÓN) PRESIÓN DE TRABAJO: 15-230 PSI</t>
  </si>
  <si>
    <t>SUMINISTRO E INSTALACIÓN VÁLVULA DE PURGA Ø3"</t>
  </si>
  <si>
    <t>SUMINISTRO E INSTALACIÓN VÁLVULA DE PURGA Ø12". INCLUYE TRANSPORTE</t>
  </si>
  <si>
    <t>SUMINISTRO E INSTALACIÓN VÁLVULA REDUCTORA DE PRESION PROPORCIONAL Ø3". MODELO 720-PD-EN/ES. INCLUYE TRANSPORTE</t>
  </si>
  <si>
    <t>SUMINISTRO E INSTALACIÓN VÁLVULA DE CORTE (INCLUYE ACCESORIOS) Ø3". INCLUYE TRANSPORTE</t>
  </si>
  <si>
    <t>SUMINISTRO E INSTALACIÓN VÁLVULA DE CORTE (INCLUYE ACCESORIOS) Ø12". INCLUYE TRANSPORTE</t>
  </si>
  <si>
    <t>SUMINISTRO E INSTALACIÓN ACOMETIDA DOMICILIARIA 1/2" (INCLUYE TODOSO LOS ACCESORIOS Y MACROMEDIDOR)</t>
  </si>
  <si>
    <t>CONSTRUCIÓN DE CAJA PARA PROTECCIÓN DE VÁLVULA DE 1,2*0,60*0,60M LIBRES: ESPESOR DE PAREDES DE 0,10M EN MAMPOSTERIA (PARA MONTAJE DE 3 VALVULAS EN SERIE)</t>
  </si>
  <si>
    <t xml:space="preserve">CONSTRUCIÓN DE CAJA PARA VENTOSA Y DE COMPUERTA HASTA DE 6" DE 0,60X0,60M BASE Y TAPA EN CONCRETO 21MPA (3000 PSI) MUROS EN MAMPOSTERÍA </t>
  </si>
  <si>
    <t>CONSTRUCIÓN DE CAJA PARA PURGA DE 1,00M X 1,00M BASE Y TAPA EN CONCRETO 21 MPA (3000PSI) MUROS EN MAMPOSTERIA)</t>
  </si>
  <si>
    <t>SUMINISTRO E INSTALACIÓN REDUCCIÓN PE100 Ø12" x Ø8" PEAD PN10 RDE 17. INCLUYE TRANSPORTE.</t>
  </si>
  <si>
    <t>SUMINISTRO E INSTALACIÓN REDUCCIÓN PE100 Ø3" x Ø2" PEAD PN10 RDE 17. INCLUYE TRANSPORTE.</t>
  </si>
  <si>
    <t>SUMINISTRO E INSTALACIÓN REDUCCIÓN PE100 Ø6" x Ø3" PEAD PN10 RDE 17. INCLUYE TRANSPORTE.</t>
  </si>
  <si>
    <t>SUMINISTRO E INSTALACIÓN CODO PE100 45° Ø12" PEAD PN10 RDE 17.  INCLUYE TRANSPORTE.</t>
  </si>
  <si>
    <t>SUMINISTRO E INSTALACIÓN CODO PE100 90° Ø12" PEAD PN10 RDE 17.  INCLUYE TRANSPORTE.</t>
  </si>
  <si>
    <t>SUMINISTRO E INSTALACIÓN CODO PE100 90° Ø3" PEAD PN10 RDE 17.  INCLUYE TRANSPORTE.</t>
  </si>
  <si>
    <t>SUMINISTRO E INSTALACIÓN CODO PE100 45° Ø3" PEAD PN10 RDE 17.  INCLUYE TRANSPORTE.</t>
  </si>
  <si>
    <t>SUMINISTRO E INSTALACIÓN CODO PE100 90° Ø6" PEAD PN10 RDE 17.  INCLUYE TRANSPORTE.</t>
  </si>
  <si>
    <t>SUMINISTRO E INSTALACIÓN CODO PE100 45° Ø6" PEAD PN10 RDE 17.  INCLUYE TRANSPORTE.</t>
  </si>
  <si>
    <t>SUMINISTRO E INSTALACIÓN TEE PE100 Ø3" PEAD PN10 RDE 17. INCLUYE TRANSPORTE</t>
  </si>
  <si>
    <t>SUMINISTRO E INSTALACIÓN DE TAPÓN Ø3". INCLUYE TRANSPORTE</t>
  </si>
  <si>
    <t>SUMINISTRO E INSTALACIÓN DE MACROMEDIDOR ULTRASONIDO D6"</t>
  </si>
  <si>
    <t>SUMINISTRO E INSTALACIÓN DE MACROMEDIDOR ULTRASONIDO D12"</t>
  </si>
  <si>
    <t>SUMINISTRO E INSTALACIÓN DE MACROMEDIDOR ULTRASONIDO D8"</t>
  </si>
  <si>
    <t>CONCRETO PARA PAVIMENTO RÍGIDO MR-38 HECHO EN OBRA, INCLUYE SELLADO DE JUNTAS Y ACERO DE TRANSFERENCIA Y UNIÓN</t>
  </si>
  <si>
    <t>ANDÉN CONCRETO 10CM 3000PSI</t>
  </si>
  <si>
    <t>RETIRO DE SOBRANTES (INCLUYE CARGUE Y BOTADERO AUTORIZADO)</t>
  </si>
  <si>
    <t>RETIRO Y DISPOSICIÓN DE TUBERÍA HASTA 12"</t>
  </si>
  <si>
    <t>ENROCADO DE PROTECCIÓN (PIEDRA Y CONCRETO DE 17.2 MPA (2500 PSI))</t>
  </si>
  <si>
    <t>CONCRETO PREPARADO EN OBRA, IMPERMEABILIZADO DE 31 MPA (4500 PSI)</t>
  </si>
  <si>
    <t>ACERO DE REFUERZO 60000PSI</t>
  </si>
  <si>
    <t>PASO PARA POZO DE INSPECCION, EN POLIPROPILENOS CON MOLĖCULA ORIGINAL DE ALTO IMPACTO CON ALMA DE ACERO INOXIDABLE MEDIDAS FINALEST 40 CM X 32 CM X 2 QM COLOR. AMARILLO</t>
  </si>
  <si>
    <t>MEDIDOR 6" ULTRASONICO VS-500 DN150 F300MM PN16 R400</t>
  </si>
  <si>
    <t>TAPA VÁLVULA 37,5cm X 34cm X 5cm DE ALTO</t>
  </si>
  <si>
    <t xml:space="preserve">VÁLVULA AQT COMPUERTA ELÁSTICA JUNTA RÁPIDA DE 6" </t>
  </si>
  <si>
    <t>VÁLVULA AQT COMPUERTA ELÁSTICA BRIDADA DE 10" (INCLUYE INSTALACIÓN Y SUMINISTRO)</t>
  </si>
  <si>
    <t>TEE PVC 10" (INCLUYE INSTALACIÓN Y SUMINISTRO)</t>
  </si>
  <si>
    <t>CODO 90° PVC 10" (INCLUYE INSTALACIÓN Y SUMINISTRO)</t>
  </si>
  <si>
    <t>TUBERÍA PVC 10" RDE 21 (INCLUYE INSTALACIÓN Y SUMINISTRO)</t>
  </si>
  <si>
    <t>PASAMUROS PVC 10" E.L L=0.30m (INCLUYE INSTALACIÓN Y SUMINISTRO)</t>
  </si>
  <si>
    <t>UNIÓN PVC 10" (INCLUYE INSTALACIÓN Y SUMINISTRO)</t>
  </si>
  <si>
    <t>VÁLVULA AQT COMPUERTA ELÁSTICA BRIDADA DE 8" (INCLUYE INSTALACIÓN Y SUMINISTRO)</t>
  </si>
  <si>
    <t>TEE PVC 8" (INCLUYE INSTALACIÓN Y SUMINISTRO)</t>
  </si>
  <si>
    <t>CODO 90° PVC 8" (INCLUYE INSTALACIÓN Y SUMINISTRO)</t>
  </si>
  <si>
    <t>PASAMUROS PVC 8" E.L L=0.30m (INCLUYE INSTALACIÓN Y SUMINISTRO)</t>
  </si>
  <si>
    <t>UNIÓN PVC 8" (INCLUYE INSTALACIÓN Y SUMINISTRO)</t>
  </si>
  <si>
    <t>TUBERÍA PVC 8" RDE 21 (INCLUYE INSTALACIÓN Y SUMINISTRO)</t>
  </si>
  <si>
    <t>PELDAÑOS EN POLIPROPILENO DE ALTO IMPACTO ALMA DE ACERO (INCLUYE INSTALACIÓN Y SUMINISTRO)</t>
  </si>
  <si>
    <t>TAPA DE INSPECCIÓN EN ALFAJOR 80X80 (INCLUYE INSTALACIÓN Y SUMINISTRO)</t>
  </si>
  <si>
    <t>VÁLVULA DE BOLA HD DE 6" (INCLUYE INSTALACIÓN Y SUMINISTRO)</t>
  </si>
  <si>
    <t>CODO 90° PVC 4" (INCLUYE INSTALACIÓN Y SUMINISTRO)</t>
  </si>
  <si>
    <t>CODO 90° PVC 6" (INCLUYE INSTALACIÓN Y SUMINISTRO)</t>
  </si>
  <si>
    <t>VALVULA FLOTADOR TIPO DIAFRAGMA 2" (INCLUYE INSTALACIÓN Y SUMINISTRO)</t>
  </si>
  <si>
    <t>VÁLVULA DE CONTROL HIDRÁULICO CIERRE Y APERTURA (INCLUYE INSTALACIÓN Y SUMINISTRO)</t>
  </si>
  <si>
    <t>VÁLVULA AQT COMPUERTA ELÁSTICA BRIDADA DE 6" (INCLUYE INSTALACIÓN Y SUMINISTRO)</t>
  </si>
  <si>
    <t>PASAMURO EN HD 6" E.L*E.L L=0.35m (INCLUYE INSTALACIÓN Y SUMINISTRO)</t>
  </si>
  <si>
    <t>TEE PVC 6" (INCLUYE INSTALACIÓN Y SUMINISTRO)</t>
  </si>
  <si>
    <t>TUBERÍA PVC 4" RDE 21 (INCLUYE INSTALACIÓN Y SUMINISTRO)</t>
  </si>
  <si>
    <t>TUBERÍA PVC 6" RDE 21 (INCLUYE INSTALACIÓN Y SUMINISTRO)</t>
  </si>
  <si>
    <t>MANGUERA 1" (INCLUYE INSTALACION Y SUMINISTRO)</t>
  </si>
  <si>
    <t>CERRAMIENTO EN MALLA ESLABONADA C.10.5 INC. ÁNGULO (PARAL EN TUBO ESTRUCTURAL GALVANIZADO 2") INCLUYE CIMENTACIÓN</t>
  </si>
  <si>
    <t>TUBERÍA PVC Ø6"-DI 160mm RDE 21</t>
  </si>
  <si>
    <t>VÁLVULA DE CHEQUE DE BOLA EN HD Ø4"</t>
  </si>
  <si>
    <t>TUBERÍA PVC Ø4"-DI 110mm RDE 21</t>
  </si>
  <si>
    <t>CODO 90° Ø4" PVC</t>
  </si>
  <si>
    <t>TEE Ø4" PVC</t>
  </si>
  <si>
    <t>GRAVA PARA FILTRO 2-4mm (1/8″ a malla 10).</t>
  </si>
  <si>
    <t>CAJA DE INSPECCIÓN 40X40 (INCLUYE TAPA)</t>
  </si>
  <si>
    <t>TEJA PLÁSTICA INCLUYE CERCHA METÁLICA</t>
  </si>
  <si>
    <t>GRAVA PARA OPTIMIZACIÓN DE FILTROS 1/8"</t>
  </si>
  <si>
    <t>GRAVA PARA OPTIMIZACIÓN DE FILTROS 1/2"</t>
  </si>
  <si>
    <t>GRAVA PARA OPTIMIZACIÓN DE FILTROS 1"</t>
  </si>
  <si>
    <t>ANTRACITA PARA OPTIMIZACIÓN DE FILTROS</t>
  </si>
  <si>
    <t>ARENA PARA OPTIMIZACIÓN DE FILTROS</t>
  </si>
  <si>
    <t>INSTALACIÓN TUBERÍA PEAD RDE 17 Ø3"-DI 90mm.</t>
  </si>
  <si>
    <t>INSTALACIÓN TUBERÍA PEAD RDE 17 Ø6"-DI 160mm.</t>
  </si>
  <si>
    <t>INSTALACIÓN TUBERÍA PEAD RDE 17 Ø12"-DI 315mm.</t>
  </si>
  <si>
    <t>SUMINISTRO TUBERÍA PEAD RDE 17 Ø3"-DI 90mm.</t>
  </si>
  <si>
    <t>SUMINISTRO TUBERÍA PEAD RDE 17 Ø6"-DI 160mm.</t>
  </si>
  <si>
    <t>SUMINISTRO TUBERÍA PEAD RDE 17 Ø12"-DI 315mm.</t>
  </si>
  <si>
    <t>A-05.03</t>
  </si>
  <si>
    <t>A-05.04</t>
  </si>
  <si>
    <t>B-05.03</t>
  </si>
  <si>
    <t>B-05.04</t>
  </si>
  <si>
    <t>B-05.05</t>
  </si>
  <si>
    <t>B-05.06</t>
  </si>
  <si>
    <t>B-05.07</t>
  </si>
  <si>
    <t>B-05.08</t>
  </si>
  <si>
    <t>B-05.09</t>
  </si>
  <si>
    <t>B-05.10</t>
  </si>
  <si>
    <t>B-05.11</t>
  </si>
  <si>
    <t>B-05.12</t>
  </si>
  <si>
    <t>B-05.13</t>
  </si>
  <si>
    <t>B-06.01</t>
  </si>
  <si>
    <t>B-06.02</t>
  </si>
  <si>
    <t>D-04.03</t>
  </si>
  <si>
    <t>D-04.04</t>
  </si>
  <si>
    <t>D-04.05</t>
  </si>
  <si>
    <t>D-04.06</t>
  </si>
  <si>
    <t>D-04.07</t>
  </si>
  <si>
    <t>D-04.08</t>
  </si>
  <si>
    <t>D-04.09</t>
  </si>
  <si>
    <t>D-04.10</t>
  </si>
  <si>
    <t>D-04.11</t>
  </si>
  <si>
    <t>D-5.01</t>
  </si>
  <si>
    <t>D-5.02</t>
  </si>
  <si>
    <t>E-05.03</t>
  </si>
  <si>
    <t>E-05.04</t>
  </si>
  <si>
    <t>E-05.05</t>
  </si>
  <si>
    <t>E-05.06</t>
  </si>
  <si>
    <t>E-05.07</t>
  </si>
  <si>
    <t>E-05.08</t>
  </si>
  <si>
    <t>E-05.09</t>
  </si>
  <si>
    <t>E-05.10</t>
  </si>
  <si>
    <t>E-05.11</t>
  </si>
  <si>
    <t>E-05.12</t>
  </si>
  <si>
    <t>H-04.02</t>
  </si>
  <si>
    <t>H-04.03</t>
  </si>
  <si>
    <t>H-04.04</t>
  </si>
  <si>
    <t>H-04.05</t>
  </si>
  <si>
    <t>H-04.06</t>
  </si>
  <si>
    <t>SUMINISTRO E INSTALACIÓN DE ACOMETIDAS</t>
  </si>
  <si>
    <t>REPOSICION DE SUPERFICIES</t>
  </si>
  <si>
    <t>ML/MES</t>
  </si>
  <si>
    <t>VP-04</t>
  </si>
  <si>
    <t>TEE-16</t>
  </si>
  <si>
    <t>VV-14</t>
  </si>
  <si>
    <t>VRP-07</t>
  </si>
  <si>
    <t>VP-05</t>
  </si>
  <si>
    <t>TEE-15</t>
  </si>
  <si>
    <t>C-20</t>
  </si>
  <si>
    <t>C-21</t>
  </si>
  <si>
    <t>VRP-02</t>
  </si>
  <si>
    <t>VCP-05</t>
  </si>
  <si>
    <t>T-49</t>
  </si>
  <si>
    <t>VRP-03</t>
  </si>
  <si>
    <t>VV-02</t>
  </si>
  <si>
    <t>VCP-06</t>
  </si>
  <si>
    <t>VRP-06</t>
  </si>
  <si>
    <t>VV-07</t>
  </si>
  <si>
    <t>C-34</t>
  </si>
  <si>
    <t>C-35</t>
  </si>
  <si>
    <t>C-38</t>
  </si>
  <si>
    <t>VV-13</t>
  </si>
  <si>
    <t>C-26</t>
  </si>
  <si>
    <t>C-27</t>
  </si>
  <si>
    <t>C-24</t>
  </si>
  <si>
    <t>R-15</t>
  </si>
  <si>
    <t>VV-08</t>
  </si>
  <si>
    <t>VP-09</t>
  </si>
  <si>
    <t>TEE-41</t>
  </si>
  <si>
    <t>R-14</t>
  </si>
  <si>
    <t>R-13</t>
  </si>
  <si>
    <t>VV-10</t>
  </si>
  <si>
    <t>VV-09</t>
  </si>
  <si>
    <t>VP-11</t>
  </si>
  <si>
    <t>C-32</t>
  </si>
  <si>
    <t>VP-10</t>
  </si>
  <si>
    <t>C-31</t>
  </si>
  <si>
    <t>C-30</t>
  </si>
  <si>
    <t>C-29</t>
  </si>
  <si>
    <t>C-28</t>
  </si>
  <si>
    <t>VV-11</t>
  </si>
  <si>
    <t>C-36</t>
  </si>
  <si>
    <t>C-25</t>
  </si>
  <si>
    <t>C-33</t>
  </si>
  <si>
    <t>TP-18</t>
  </si>
  <si>
    <t>PEAD RDE 17 3"</t>
  </si>
  <si>
    <t>PEAD RDE 17 12"</t>
  </si>
  <si>
    <t>R-01</t>
  </si>
  <si>
    <t>VC-1</t>
  </si>
  <si>
    <t>VV-1</t>
  </si>
  <si>
    <t>D-1</t>
  </si>
  <si>
    <t>D-2</t>
  </si>
  <si>
    <t>VC-2</t>
  </si>
  <si>
    <t>VP-1</t>
  </si>
  <si>
    <t>CH-01</t>
  </si>
  <si>
    <t>CH-02</t>
  </si>
  <si>
    <t>VC-3</t>
  </si>
  <si>
    <t>VV-2</t>
  </si>
  <si>
    <t>PTAP</t>
  </si>
  <si>
    <t>D1</t>
  </si>
  <si>
    <t>D2</t>
  </si>
  <si>
    <t>C - ADUCCIÓN Y CONDUCCIÓN</t>
  </si>
  <si>
    <t>RE012</t>
  </si>
  <si>
    <t>AC002</t>
  </si>
  <si>
    <t>Descap.</t>
  </si>
  <si>
    <t>Sardinel</t>
  </si>
  <si>
    <t>E-01.02</t>
  </si>
  <si>
    <t>ACOMETIDA</t>
  </si>
  <si>
    <t>PEAD RDE 17 1/2"</t>
  </si>
  <si>
    <t>M. Exca</t>
  </si>
  <si>
    <t xml:space="preserve">VÁLVULA VENTOSA TRIPLE ACCIÓN DE Ø1" </t>
  </si>
  <si>
    <t>PURGA DE Ø3" Y 12"</t>
  </si>
  <si>
    <t xml:space="preserve">CAJA </t>
  </si>
  <si>
    <t>12 x 8</t>
  </si>
  <si>
    <t>6 x 3</t>
  </si>
  <si>
    <t>Tapón 3</t>
  </si>
  <si>
    <t>MACROMEDIDOR</t>
  </si>
  <si>
    <t>MA-01</t>
  </si>
  <si>
    <t>MA-02</t>
  </si>
  <si>
    <t>MA-03</t>
  </si>
  <si>
    <t>MA-04</t>
  </si>
  <si>
    <t>Diametro</t>
  </si>
  <si>
    <t>Pav</t>
  </si>
  <si>
    <t>Anden</t>
  </si>
  <si>
    <t>Dem</t>
  </si>
  <si>
    <t>HOMECENTER</t>
  </si>
  <si>
    <t>FENIX</t>
  </si>
  <si>
    <t>PRECIOS HUILA</t>
  </si>
  <si>
    <t>EXTRUCOL 2025</t>
  </si>
  <si>
    <t>SOLUCIONES HIDRAULICAS SAS</t>
  </si>
  <si>
    <t>APU EXTRUCOL</t>
  </si>
  <si>
    <t>BERMAD 2025</t>
  </si>
  <si>
    <t xml:space="preserve">ACUATUBOS </t>
  </si>
  <si>
    <t>ACUATUBOS</t>
  </si>
  <si>
    <t>HELBERT</t>
  </si>
  <si>
    <t>ACUATUBO</t>
  </si>
  <si>
    <t>MEDERPLAST</t>
  </si>
  <si>
    <t>METACOL</t>
  </si>
  <si>
    <t>INVIAS</t>
  </si>
  <si>
    <t>TECTUL</t>
  </si>
  <si>
    <t>MATHIESEN</t>
  </si>
  <si>
    <t>LA LEÑERIA</t>
  </si>
  <si>
    <t>ROJO FERRETERIAS</t>
  </si>
  <si>
    <t>FERREDEPOSITO BELL</t>
  </si>
  <si>
    <t>ACONSTRUCTORAS</t>
  </si>
  <si>
    <t>SIKA</t>
  </si>
  <si>
    <t>CASA FERRETERIA</t>
  </si>
  <si>
    <t>LO ENCUENTRAS</t>
  </si>
  <si>
    <t>MAQUIEQUIPOS SAS</t>
  </si>
  <si>
    <t>Cuadrilla 17: 1Ma+1OfcA+7AyuA</t>
  </si>
  <si>
    <t>Cuadrilla 18: 1Ma+1OfcA+8AyuA</t>
  </si>
  <si>
    <t>Cuadrilla 19: 1Ma+1OfcA+9AyuA</t>
  </si>
  <si>
    <t>Cuadrilla 20: 1Ma+1OfcA+10AyuA</t>
  </si>
  <si>
    <t>Cuadrilla 21: 1 OfcB + 1 AyuB</t>
  </si>
  <si>
    <t>Cuadrilla 22: 1 OfcB + 2 AyuB</t>
  </si>
  <si>
    <t>Cuadrilla 23: 1 OfcB + 3 AyuB</t>
  </si>
  <si>
    <t>Cuadrilla 24: 1 OfcB + 4 AyuB</t>
  </si>
  <si>
    <t>Cuadrilla 25: 1 OfcB + 5 AyuB</t>
  </si>
  <si>
    <t>DISTANCIA</t>
  </si>
  <si>
    <t>Adaptdor bridado de 3"</t>
  </si>
  <si>
    <t>M062</t>
  </si>
  <si>
    <t>M063</t>
  </si>
  <si>
    <t>M064</t>
  </si>
  <si>
    <t>M075</t>
  </si>
  <si>
    <t>M076</t>
  </si>
  <si>
    <t>M077</t>
  </si>
  <si>
    <t>M078</t>
  </si>
  <si>
    <t>M079</t>
  </si>
  <si>
    <t>M084</t>
  </si>
  <si>
    <t>Filtro en "y" Bronce D3" (Montaje VPR)</t>
  </si>
  <si>
    <t>Transporte de maeriales</t>
  </si>
  <si>
    <t>Concreto hidráulico para pavimento MR-38</t>
  </si>
  <si>
    <t xml:space="preserve">Transporte de material de demolicion y/o excavacion </t>
  </si>
  <si>
    <t>Transporte de tuberia a disposicion final</t>
  </si>
  <si>
    <t>Concreto 4500 PSI</t>
  </si>
  <si>
    <t xml:space="preserve">Segueta </t>
  </si>
  <si>
    <t>COVAL</t>
  </si>
  <si>
    <t>DOMICILIARIAS</t>
  </si>
  <si>
    <t>1/2"</t>
  </si>
  <si>
    <t>H-04.07</t>
  </si>
  <si>
    <t>H-04.08</t>
  </si>
  <si>
    <t>H-04.09</t>
  </si>
  <si>
    <t>H-04.10</t>
  </si>
  <si>
    <t>H-04.11</t>
  </si>
  <si>
    <t>H-04.12</t>
  </si>
  <si>
    <t>H-04.13</t>
  </si>
  <si>
    <t>H-04.14</t>
  </si>
  <si>
    <t>H-04.15</t>
  </si>
  <si>
    <t>H-04.16</t>
  </si>
  <si>
    <t>H-04.17</t>
  </si>
  <si>
    <t>H-04.18</t>
  </si>
  <si>
    <t>H-04.19</t>
  </si>
  <si>
    <t>H-04.20</t>
  </si>
  <si>
    <t>H-04.21</t>
  </si>
  <si>
    <t>RETIRO DE TUBERIA</t>
  </si>
  <si>
    <t>RDE 17 Ø 3"</t>
  </si>
  <si>
    <t>RDE 17 Ø 132"</t>
  </si>
  <si>
    <t>E-07</t>
  </si>
  <si>
    <t>E-07.01</t>
  </si>
  <si>
    <t>Garantías</t>
  </si>
  <si>
    <t>M113</t>
  </si>
  <si>
    <t>M114</t>
  </si>
  <si>
    <t>JORGE ALBERTO RAMOS SALAZAR</t>
  </si>
  <si>
    <t>INTERVENTORIA</t>
  </si>
  <si>
    <t>TP 25202083846 CND</t>
  </si>
  <si>
    <t>CARLOS ANDRES ORTEGA</t>
  </si>
  <si>
    <t>COORDINADOR CONSULTORIA</t>
  </si>
  <si>
    <t>TP 25202245941 CND</t>
  </si>
  <si>
    <t>GARANTIAS</t>
  </si>
  <si>
    <t>V17</t>
  </si>
  <si>
    <t>V18</t>
  </si>
  <si>
    <t>V19</t>
  </si>
  <si>
    <t>V20</t>
  </si>
  <si>
    <t>V21</t>
  </si>
  <si>
    <t>V22</t>
  </si>
  <si>
    <t>V23</t>
  </si>
  <si>
    <t>V24</t>
  </si>
  <si>
    <t>V25</t>
  </si>
  <si>
    <t>V26</t>
  </si>
  <si>
    <t>V27</t>
  </si>
  <si>
    <t>R-02</t>
  </si>
  <si>
    <t>R-03</t>
  </si>
  <si>
    <t>R-04</t>
  </si>
  <si>
    <t>R-05</t>
  </si>
  <si>
    <t>R-06</t>
  </si>
  <si>
    <t>R-07</t>
  </si>
  <si>
    <t>R-08</t>
  </si>
  <si>
    <t>R-09</t>
  </si>
  <si>
    <t>R-10</t>
  </si>
  <si>
    <t>R-11</t>
  </si>
  <si>
    <t>R-12</t>
  </si>
  <si>
    <t>R-16</t>
  </si>
  <si>
    <t>R-17</t>
  </si>
  <si>
    <t>R-18</t>
  </si>
  <si>
    <t>R-19</t>
  </si>
  <si>
    <t>R-20</t>
  </si>
  <si>
    <t>R-21</t>
  </si>
  <si>
    <t>R-22</t>
  </si>
  <si>
    <t>R-23</t>
  </si>
  <si>
    <t>R-24</t>
  </si>
  <si>
    <t>R-25</t>
  </si>
  <si>
    <t>R-26</t>
  </si>
  <si>
    <t>R-27</t>
  </si>
  <si>
    <t>TEE-1</t>
  </si>
  <si>
    <t>TEE-2</t>
  </si>
  <si>
    <t>TEE-3</t>
  </si>
  <si>
    <t>TEE-4</t>
  </si>
  <si>
    <t>TEE-5</t>
  </si>
  <si>
    <t>TEE-6</t>
  </si>
  <si>
    <t>TEE-7</t>
  </si>
  <si>
    <t>TEE-8</t>
  </si>
  <si>
    <t>TEE-9</t>
  </si>
  <si>
    <t>TEE-10</t>
  </si>
  <si>
    <t>TEE-11</t>
  </si>
  <si>
    <t>TEE-18</t>
  </si>
  <si>
    <t>TEE-19</t>
  </si>
  <si>
    <t>TEE-20</t>
  </si>
  <si>
    <t>TEE-21</t>
  </si>
  <si>
    <t>TEE-22</t>
  </si>
  <si>
    <t>TEE-25</t>
  </si>
  <si>
    <t>CH-03</t>
  </si>
  <si>
    <t>CH-04</t>
  </si>
  <si>
    <t>CH-05</t>
  </si>
  <si>
    <t>CH-06</t>
  </si>
  <si>
    <t>CH-07</t>
  </si>
  <si>
    <t>CH-08</t>
  </si>
  <si>
    <t>CH-09</t>
  </si>
  <si>
    <t>CH-10</t>
  </si>
  <si>
    <t>CH-11</t>
  </si>
  <si>
    <t>CH-12</t>
  </si>
  <si>
    <t>CH-13</t>
  </si>
  <si>
    <t>CH-14</t>
  </si>
  <si>
    <t>CH-15</t>
  </si>
  <si>
    <t>CH-16</t>
  </si>
  <si>
    <t>CH-17</t>
  </si>
  <si>
    <t>CH-18</t>
  </si>
  <si>
    <t>CH-19</t>
  </si>
  <si>
    <t>CH-20</t>
  </si>
  <si>
    <t>Director de Interventoria</t>
  </si>
  <si>
    <t>Director de interventoria</t>
  </si>
  <si>
    <t>-</t>
  </si>
  <si>
    <t>SUMINISTRO E INSTALACIÓN DE TUBERÍAS</t>
  </si>
  <si>
    <t>Formulario 1 - Propuesta económica  - Documento tipo de licitación de obra pública de agua potable y saneamiento básico</t>
  </si>
  <si>
    <t>Código</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</si>
  <si>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</si>
  <si>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</si>
  <si>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</si>
  <si>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</si>
  <si>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INTERV</t>
  </si>
  <si>
    <t>OC + SUMI</t>
  </si>
  <si>
    <t>PORCENTAJE</t>
  </si>
  <si>
    <t>TOTAL A.I.U</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</si>
  <si>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</si>
  <si>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Arial"/>
        <family val="2"/>
      </rPr>
      <t xml:space="preserve">NOTA 1: </t>
    </r>
    <r>
      <rPr>
        <sz val="11"/>
        <rFont val="Arial"/>
        <family val="2"/>
      </rPr>
      <t xml:space="preserve"> Se debe tener en cuenta que el PRECIO UNITARIO  incluye el valor de A.I.U. </t>
    </r>
  </si>
  <si>
    <t xml:space="preserve">
UTILIDAD
</t>
  </si>
  <si>
    <t>I</t>
  </si>
  <si>
    <t>U</t>
  </si>
  <si>
    <t>TOTAL COSTOS  OC</t>
  </si>
  <si>
    <t>IMPREVISTOS</t>
  </si>
  <si>
    <t>ADMINISTRACIÓN SUMINISTROS</t>
  </si>
  <si>
    <r>
      <rPr>
        <b/>
        <sz val="11"/>
        <color rgb="FF000000"/>
        <rFont val="Arial"/>
        <family val="2"/>
        <scheme val="minor"/>
      </rPr>
      <t>NOTA 3</t>
    </r>
    <r>
      <rPr>
        <sz val="11"/>
        <color rgb="FF000000"/>
        <rFont val="Arial"/>
        <family val="2"/>
        <scheme val="minor"/>
      </rPr>
      <t xml:space="preserve">: El A.I.U y su discriminación deben estar en porcentaje (%). </t>
    </r>
  </si>
  <si>
    <r>
      <rPr>
        <b/>
        <sz val="11"/>
        <color rgb="FF000000"/>
        <rFont val="Arial"/>
        <family val="2"/>
        <scheme val="minor"/>
      </rPr>
      <t>NOTA 4</t>
    </r>
    <r>
      <rPr>
        <sz val="11"/>
        <color rgb="FF000000"/>
        <rFont val="Arial"/>
        <family val="2"/>
        <scheme val="minor"/>
      </rPr>
      <t>:  La Administracion del Suministro: Se le aplica al suministro el equivalente al 10%</t>
    </r>
  </si>
  <si>
    <t>EXCAVACION MANUAL A TODO FACTOR 0 A  5 M DE PROFUNDIDAD</t>
  </si>
  <si>
    <t>TOTAL COSTOS OBRA CIVIL + AIU</t>
  </si>
  <si>
    <t>TOTAL COSTOS OBRA CIVIL + SUMIN</t>
  </si>
  <si>
    <t>Prodesarrollo</t>
  </si>
  <si>
    <t>Prodesarrollo Universidad Surcolombiana</t>
  </si>
  <si>
    <t>Procultura</t>
  </si>
  <si>
    <t>Prodeporte</t>
  </si>
  <si>
    <t>Impuesto de Contribución</t>
  </si>
  <si>
    <t>Industria y comerco (5/1000 sobre el valor gravable del contrato)</t>
  </si>
  <si>
    <t>Valla informativa según odelo</t>
  </si>
  <si>
    <t>Profesional SST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</si>
</sst>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2" formatCode="_-&quot;$&quot;\ * #,##0_-;\-&quot;$&quot;\ * #,##0_-;_-&quot;$&quot;\ * &quot;-&quot;_-;_-@_-"/>
    <numFmt numFmtId="44" formatCode="_-&quot;$&quot;\ * #,##0.00_-;\-&quot;$&quot;\ * #,##0.00_-;_-&quot;$&quot;\ * &quot;-&quot;??_-;_-@_-"/>
    <numFmt numFmtId="164" formatCode="_(&quot;$&quot;\ * #,##0.00_);_(&quot;$&quot;\ * \(#,##0.00\);_(&quot;$&quot;\ * &quot;-&quot;??_);_(@_)"/>
    <numFmt numFmtId="165" formatCode="d/m/yyyy"/>
    <numFmt numFmtId="166" formatCode="_-&quot;$&quot;\ * #,##0.00_-;\-&quot;$&quot;\ * #,##0.00_-;_-&quot;$&quot;\ * &quot;-&quot;??_-;_-@"/>
    <numFmt numFmtId="167" formatCode="_-[$$-409]* #,##0.00_ ;_-[$$-409]* \-#,##0.00\ ;_-[$$-409]* &quot;-&quot;??_ ;_-@_ "/>
    <numFmt numFmtId="168" formatCode="\$\ #,##0"/>
    <numFmt numFmtId="169" formatCode="_-[$$-240A]\ * #,##0.00_-;\-[$$-240A]\ * #,##0.00_-;_-[$$-240A]\ * &quot;-&quot;??_-;_-@"/>
    <numFmt numFmtId="170" formatCode="0.0"/>
    <numFmt numFmtId="171" formatCode="#,##0.00;[Red]#,##0.00"/>
    <numFmt numFmtId="172" formatCode="&quot;$&quot;#,##0.00;[Red]&quot;$&quot;#,##0.00"/>
    <numFmt numFmtId="173" formatCode="_(* #,##0_);_(* \(#,##0\);_(* &quot;-&quot;??_);_(@_)"/>
    <numFmt numFmtId="174" formatCode="[$$-409]#,##0.00"/>
    <numFmt numFmtId="175" formatCode="00#"/>
    <numFmt numFmtId="176" formatCode="_([$$-240A]\ * #,##0.00_);_([$$-240A]\ * \(#,##0.00\);_([$$-240A]\ * &quot;-&quot;??_);_(@_)"/>
    <numFmt numFmtId="177" formatCode="_([$$-240A]\ * #,##0.0_);_([$$-240A]\ * \(#,##0.0\);_([$$-240A]\ * &quot;-&quot;??_);_(@_)"/>
    <numFmt numFmtId="178" formatCode="0.0000"/>
    <numFmt numFmtId="179" formatCode="0.000"/>
    <numFmt numFmtId="180" formatCode="_([$$-240A]\ * #,##0_);_([$$-240A]\ * \(#,##0\);_([$$-240A]\ * &quot;-&quot;??_);_(@_)"/>
    <numFmt numFmtId="181" formatCode="&quot;$&quot;#,##0"/>
    <numFmt numFmtId="182" formatCode="&quot;$&quot;#,##0.00"/>
    <numFmt numFmtId="183" formatCode="#,##0_ ;[Red]\-#,##0\ "/>
    <numFmt numFmtId="184" formatCode="#,##0.0_ ;[Red]\-#,##0.0\ "/>
    <numFmt numFmtId="185" formatCode="#,##0.00_ ;[Red]\-#,##0.00\ "/>
    <numFmt numFmtId="186" formatCode="\ \ \ General"/>
    <numFmt numFmtId="187" formatCode="[$-240A]d&quot; de &quot;mmmm&quot; de &quot;yyyy"/>
    <numFmt numFmtId="188" formatCode="#,##0.000_ ;[Red]\-#,##0.000\ "/>
    <numFmt numFmtId="189" formatCode="_ &quot;$&quot;\ * #,##0_ ;_ &quot;$&quot;\ * \-#,##0_ ;_ &quot;$&quot;\ * &quot;-&quot;??_ ;_ @_ "/>
    <numFmt numFmtId="190" formatCode="_([$$-540A]* #,##0.00_);_([$$-540A]* \(#,##0.00\);_([$$-540A]* &quot;-&quot;??_);_(@_)"/>
    <numFmt numFmtId="191" formatCode="_ * #,##0.00_ ;_ * \-#,##0.00_ ;_ * &quot;-&quot;??_ ;_ @_ "/>
    <numFmt numFmtId="192" formatCode="_-* #,##0.00\ &quot;Pts&quot;_-;\-* #,##0.00\ &quot;Pts&quot;_-;_-* &quot;-&quot;??\ &quot;Pts&quot;_-;_-@_-"/>
    <numFmt numFmtId="193" formatCode="0#.00\ \L\t"/>
    <numFmt numFmtId="194" formatCode="_-[$$-240A]\ * #,##0.00_ ;_-[$$-240A]\ * \-#,##0.00\ ;_-[$$-240A]\ * &quot;-&quot;??_ ;_-@_ "/>
  </numFmts>
  <fonts count="125" x14ac:knownFonts="1">
    <font>
      <sz val="10"/>
      <color rgb="FF000000"/>
      <name val="Arial"/>
      <scheme val="minor"/>
    </font>
    <font>
      <sz val="11"/>
      <color theme="1"/>
      <name val="Arial"/>
      <family val="2"/>
      <scheme val="minor"/>
    </font>
    <font>
      <sz val="11"/>
      <color theme="1"/>
      <name val="Arial"/>
      <family val="2"/>
      <scheme val="minor"/>
    </font>
    <font>
      <sz val="10"/>
      <color theme="1"/>
      <name val="Century Gothic"/>
      <family val="2"/>
    </font>
    <font>
      <b/>
      <sz val="10"/>
      <color theme="0"/>
      <name val="Century Gothic"/>
      <family val="2"/>
    </font>
    <font>
      <sz val="10"/>
      <name val="Arial"/>
      <family val="2"/>
    </font>
    <font>
      <b/>
      <sz val="16"/>
      <color theme="1"/>
      <name val="Century Gothic"/>
      <family val="2"/>
    </font>
    <font>
      <sz val="16"/>
      <color rgb="FF000000"/>
      <name val="Century Gothic"/>
      <family val="2"/>
    </font>
    <font>
      <sz val="10"/>
      <color rgb="FF000000"/>
      <name val="Century Gothic"/>
      <family val="2"/>
    </font>
    <font>
      <sz val="10"/>
      <color theme="1"/>
      <name val="Century Gothic"/>
      <family val="2"/>
    </font>
    <font>
      <sz val="10"/>
      <color theme="0"/>
      <name val="Century Gothic"/>
      <family val="2"/>
    </font>
    <font>
      <sz val="10"/>
      <color rgb="FF000000"/>
      <name val="Arial"/>
      <family val="2"/>
    </font>
    <font>
      <b/>
      <sz val="10"/>
      <color theme="1"/>
      <name val="Century Gothic"/>
      <family val="2"/>
    </font>
    <font>
      <sz val="10"/>
      <color theme="1"/>
      <name val="Arial"/>
      <family val="2"/>
    </font>
    <font>
      <b/>
      <sz val="12"/>
      <color theme="0"/>
      <name val="Century Gothic"/>
      <family val="2"/>
    </font>
    <font>
      <sz val="10"/>
      <color rgb="FFD8D8D8"/>
      <name val="Century Gothic"/>
      <family val="2"/>
    </font>
    <font>
      <sz val="7"/>
      <color theme="1"/>
      <name val="Century Gothic"/>
      <family val="2"/>
    </font>
    <font>
      <sz val="9"/>
      <color theme="1"/>
      <name val="Century Gothic"/>
      <family val="2"/>
    </font>
    <font>
      <sz val="10"/>
      <color rgb="FFBFBFBF"/>
      <name val="Century Gothic"/>
      <family val="2"/>
    </font>
    <font>
      <sz val="10"/>
      <color rgb="FFD8D8D8"/>
      <name val="Arial"/>
      <family val="2"/>
    </font>
    <font>
      <b/>
      <sz val="18"/>
      <color theme="0"/>
      <name val="Century Gothic"/>
      <family val="2"/>
    </font>
    <font>
      <sz val="11"/>
      <color theme="1"/>
      <name val="Century Gothic"/>
      <family val="2"/>
    </font>
    <font>
      <sz val="8"/>
      <color theme="1"/>
      <name val="Century Gothic"/>
      <family val="2"/>
    </font>
    <font>
      <b/>
      <sz val="16"/>
      <color theme="0"/>
      <name val="Century Gothic"/>
      <family val="2"/>
    </font>
    <font>
      <sz val="10"/>
      <color theme="1"/>
      <name val="Calibri"/>
      <family val="2"/>
    </font>
    <font>
      <b/>
      <vertAlign val="superscript"/>
      <sz val="10"/>
      <color theme="0"/>
      <name val="Century Gothic"/>
      <family val="2"/>
    </font>
    <font>
      <sz val="10"/>
      <color rgb="FF000000"/>
      <name val="Arial"/>
      <family val="2"/>
      <scheme val="minor"/>
    </font>
    <font>
      <sz val="10"/>
      <name val="Century Gothic"/>
      <family val="2"/>
    </font>
    <font>
      <b/>
      <sz val="10"/>
      <color theme="0"/>
      <name val="Century Gothic"/>
      <family val="2"/>
    </font>
    <font>
      <sz val="10"/>
      <color rgb="FF000000"/>
      <name val="Century Gothic"/>
      <family val="2"/>
    </font>
    <font>
      <sz val="16"/>
      <color rgb="FF000000"/>
      <name val="Century Gothic"/>
      <family val="2"/>
    </font>
    <font>
      <sz val="10"/>
      <color theme="1"/>
      <name val="Century Gothic"/>
      <family val="2"/>
    </font>
    <font>
      <b/>
      <sz val="10"/>
      <color theme="1"/>
      <name val="Century Gothic"/>
      <family val="2"/>
    </font>
    <font>
      <sz val="10"/>
      <color rgb="FFFF0000"/>
      <name val="Century Gothic"/>
      <family val="2"/>
    </font>
    <font>
      <b/>
      <sz val="12"/>
      <color theme="1"/>
      <name val="Century Gothic"/>
      <family val="2"/>
    </font>
    <font>
      <sz val="10"/>
      <color rgb="FFFF0000"/>
      <name val="Arial"/>
      <family val="2"/>
      <scheme val="minor"/>
    </font>
    <font>
      <sz val="8"/>
      <name val="Arial"/>
      <family val="2"/>
      <scheme val="minor"/>
    </font>
    <font>
      <sz val="10"/>
      <color theme="1"/>
      <name val="Arial"/>
      <family val="2"/>
    </font>
    <font>
      <sz val="11"/>
      <color theme="1"/>
      <name val="Arial"/>
      <family val="2"/>
      <scheme val="minor"/>
    </font>
    <font>
      <sz val="8"/>
      <name val="Arial"/>
      <family val="2"/>
      <scheme val="minor"/>
    </font>
    <font>
      <sz val="11"/>
      <color rgb="FF000000"/>
      <name val="Calibri"/>
      <family val="2"/>
    </font>
    <font>
      <sz val="10"/>
      <color rgb="FF000000"/>
      <name val="Segoe UI"/>
      <family val="2"/>
    </font>
    <font>
      <sz val="10"/>
      <color theme="1"/>
      <name val="Arial"/>
      <family val="2"/>
      <scheme val="major"/>
    </font>
    <font>
      <sz val="10"/>
      <color rgb="FF000000"/>
      <name val="Book Antiqua"/>
      <family val="1"/>
    </font>
    <font>
      <b/>
      <sz val="10"/>
      <color theme="1"/>
      <name val="Arial"/>
      <family val="2"/>
      <scheme val="major"/>
    </font>
    <font>
      <sz val="10"/>
      <color theme="1"/>
      <name val="Arial"/>
      <family val="2"/>
      <scheme val="minor"/>
    </font>
    <font>
      <sz val="8"/>
      <name val="Arial"/>
      <family val="2"/>
      <scheme val="minor"/>
    </font>
    <font>
      <sz val="10"/>
      <color theme="1"/>
      <name val="Century Gothic"/>
      <family val="2"/>
    </font>
    <font>
      <sz val="10"/>
      <name val="Arial"/>
      <family val="2"/>
    </font>
    <font>
      <b/>
      <sz val="10"/>
      <color theme="0"/>
      <name val="Century Gothic"/>
      <family val="2"/>
    </font>
    <font>
      <sz val="12"/>
      <name val="Century Gothic"/>
      <family val="2"/>
    </font>
    <font>
      <sz val="12"/>
      <color rgb="FF000000"/>
      <name val="Arial"/>
      <family val="2"/>
      <scheme val="minor"/>
    </font>
    <font>
      <b/>
      <sz val="12"/>
      <color rgb="FF000000"/>
      <name val="Arial"/>
      <family val="2"/>
      <scheme val="minor"/>
    </font>
    <font>
      <sz val="14"/>
      <color rgb="FF000000"/>
      <name val="Arial"/>
      <family val="2"/>
      <scheme val="minor"/>
    </font>
    <font>
      <b/>
      <sz val="22"/>
      <color theme="1"/>
      <name val="Century Gothic"/>
      <family val="2"/>
    </font>
    <font>
      <b/>
      <sz val="24"/>
      <color theme="1"/>
      <name val="Century Gothic"/>
      <family val="2"/>
    </font>
    <font>
      <sz val="10"/>
      <color theme="1"/>
      <name val="Arial Narrow"/>
      <family val="2"/>
    </font>
    <font>
      <b/>
      <sz val="10"/>
      <color theme="1"/>
      <name val="Arial"/>
      <family val="2"/>
    </font>
    <font>
      <i/>
      <sz val="10"/>
      <color theme="1"/>
      <name val="Arial"/>
      <family val="2"/>
    </font>
    <font>
      <b/>
      <sz val="10"/>
      <color theme="1"/>
      <name val="Arial Narrow"/>
      <family val="2"/>
    </font>
    <font>
      <i/>
      <sz val="10"/>
      <color theme="1"/>
      <name val="Arial Narrow"/>
      <family val="2"/>
    </font>
    <font>
      <sz val="10"/>
      <color theme="1"/>
      <name val="Ubuntu Condensed"/>
    </font>
    <font>
      <b/>
      <sz val="10"/>
      <color rgb="FF000000"/>
      <name val="Arial"/>
      <family val="2"/>
      <scheme val="minor"/>
    </font>
    <font>
      <sz val="12"/>
      <color theme="1"/>
      <name val="Century Gothic"/>
      <family val="2"/>
    </font>
    <font>
      <sz val="12"/>
      <name val="Arial"/>
      <family val="2"/>
    </font>
    <font>
      <b/>
      <sz val="12"/>
      <name val="Arial"/>
      <family val="2"/>
    </font>
    <font>
      <sz val="12"/>
      <color theme="1"/>
      <name val="Arial"/>
      <family val="2"/>
    </font>
    <font>
      <sz val="12"/>
      <color rgb="FF000000"/>
      <name val="Century Gothic"/>
      <family val="2"/>
    </font>
    <font>
      <b/>
      <sz val="12"/>
      <color rgb="FF000000"/>
      <name val="Century Gothic"/>
      <family val="2"/>
    </font>
    <font>
      <sz val="22"/>
      <color theme="1"/>
      <name val="Century Gothic"/>
      <family val="2"/>
    </font>
    <font>
      <b/>
      <sz val="22"/>
      <color theme="0"/>
      <name val="Century Gothic"/>
      <family val="2"/>
    </font>
    <font>
      <sz val="22"/>
      <name val="Arial"/>
      <family val="2"/>
    </font>
    <font>
      <sz val="22"/>
      <color rgb="FF000000"/>
      <name val="Arial"/>
      <family val="2"/>
      <scheme val="minor"/>
    </font>
    <font>
      <b/>
      <sz val="24"/>
      <color theme="0"/>
      <name val="Century Gothic"/>
      <family val="2"/>
    </font>
    <font>
      <sz val="24"/>
      <name val="Arial"/>
      <family val="2"/>
    </font>
    <font>
      <sz val="24"/>
      <color theme="1"/>
      <name val="Century Gothic"/>
      <family val="2"/>
    </font>
    <font>
      <sz val="24"/>
      <color rgb="FF000000"/>
      <name val="Arial"/>
      <family val="2"/>
      <scheme val="minor"/>
    </font>
    <font>
      <b/>
      <sz val="26"/>
      <color theme="0"/>
      <name val="Century Gothic"/>
      <family val="2"/>
    </font>
    <font>
      <sz val="22"/>
      <color rgb="FF000000"/>
      <name val="Century Gothic"/>
      <family val="2"/>
    </font>
    <font>
      <b/>
      <sz val="22"/>
      <color rgb="FFFF0000"/>
      <name val="Arial"/>
      <family val="2"/>
      <scheme val="minor"/>
    </font>
    <font>
      <b/>
      <vertAlign val="superscript"/>
      <sz val="22"/>
      <color theme="0"/>
      <name val="Century Gothic"/>
      <family val="2"/>
    </font>
    <font>
      <sz val="22"/>
      <color rgb="FFF2F2F2"/>
      <name val="Century Gothic"/>
      <family val="2"/>
    </font>
    <font>
      <sz val="22"/>
      <color theme="0"/>
      <name val="Century Gothic"/>
      <family val="2"/>
    </font>
    <font>
      <sz val="22"/>
      <color rgb="FFFF0000"/>
      <name val="Arial"/>
      <family val="2"/>
    </font>
    <font>
      <sz val="22"/>
      <color rgb="FFFF0000"/>
      <name val="Century Gothic"/>
      <family val="2"/>
    </font>
    <font>
      <sz val="24"/>
      <color rgb="FF000000"/>
      <name val="Century Gothic"/>
      <family val="2"/>
    </font>
    <font>
      <b/>
      <sz val="24"/>
      <color rgb="FF000000"/>
      <name val="Century Gothic"/>
      <family val="2"/>
    </font>
    <font>
      <b/>
      <sz val="36"/>
      <color theme="0"/>
      <name val="Century Gothic"/>
      <family val="2"/>
    </font>
    <font>
      <sz val="36"/>
      <color rgb="FFFFFFFF"/>
      <name val="Arial"/>
      <family val="2"/>
      <scheme val="minor"/>
    </font>
    <font>
      <sz val="36"/>
      <color rgb="FF000000"/>
      <name val="Arial"/>
      <family val="2"/>
      <scheme val="minor"/>
    </font>
    <font>
      <sz val="36"/>
      <color theme="1"/>
      <name val="Arial"/>
      <family val="2"/>
      <scheme val="minor"/>
    </font>
    <font>
      <sz val="36"/>
      <name val="Arial"/>
      <family val="2"/>
    </font>
    <font>
      <sz val="36"/>
      <color theme="1"/>
      <name val="Century Gothic"/>
      <family val="2"/>
    </font>
    <font>
      <b/>
      <vertAlign val="superscript"/>
      <sz val="36"/>
      <color theme="0"/>
      <name val="Century Gothic"/>
      <family val="2"/>
    </font>
    <font>
      <b/>
      <sz val="36"/>
      <color theme="1"/>
      <name val="Century Gothic"/>
      <family val="2"/>
    </font>
    <font>
      <sz val="36"/>
      <color rgb="FF000000"/>
      <name val="Century Gothic"/>
      <family val="2"/>
    </font>
    <font>
      <sz val="36"/>
      <color rgb="FF000000"/>
      <name val="Arial"/>
      <family val="2"/>
    </font>
    <font>
      <sz val="36"/>
      <color theme="1"/>
      <name val="Arial"/>
      <family val="2"/>
    </font>
    <font>
      <sz val="36"/>
      <color theme="1"/>
      <name val="Calibri"/>
      <family val="2"/>
    </font>
    <font>
      <b/>
      <sz val="36"/>
      <color rgb="FF000000"/>
      <name val="Arial"/>
      <family val="2"/>
      <scheme val="minor"/>
    </font>
    <font>
      <b/>
      <sz val="36"/>
      <color rgb="FF000000"/>
      <name val="Century Gothic"/>
      <family val="2"/>
    </font>
    <font>
      <b/>
      <sz val="36"/>
      <color rgb="FFFF0000"/>
      <name val="Century Gothic"/>
      <family val="2"/>
    </font>
    <font>
      <b/>
      <sz val="36"/>
      <color rgb="FFFF0000"/>
      <name val="Arial"/>
      <family val="2"/>
      <scheme val="minor"/>
    </font>
    <font>
      <b/>
      <sz val="20"/>
      <color theme="1"/>
      <name val="Century Gothic"/>
      <family val="2"/>
    </font>
    <font>
      <b/>
      <sz val="20"/>
      <color rgb="FF000000"/>
      <name val="Century Gothic"/>
      <family val="2"/>
    </font>
    <font>
      <b/>
      <sz val="14"/>
      <color theme="0"/>
      <name val="Century Gothic"/>
      <family val="2"/>
    </font>
    <font>
      <sz val="16"/>
      <color rgb="FF000000"/>
      <name val="Arial"/>
      <family val="2"/>
      <scheme val="minor"/>
    </font>
    <font>
      <sz val="16"/>
      <color theme="1"/>
      <name val="Century Gothic"/>
      <family val="2"/>
    </font>
    <font>
      <sz val="16"/>
      <name val="Arial"/>
      <family val="2"/>
    </font>
    <font>
      <sz val="22"/>
      <name val="Century Gothic"/>
      <family val="2"/>
    </font>
    <font>
      <sz val="20"/>
      <color rgb="FF000000"/>
      <name val="Arial"/>
      <family val="2"/>
      <scheme val="minor"/>
    </font>
    <font>
      <b/>
      <sz val="16"/>
      <color rgb="FF000000"/>
      <name val="Arial"/>
      <family val="2"/>
      <scheme val="minor"/>
    </font>
    <font>
      <b/>
      <sz val="11"/>
      <color rgb="FF000000"/>
      <name val="Arial"/>
      <family val="2"/>
      <scheme val="minor"/>
    </font>
    <font>
      <sz val="12"/>
      <name val="Arial Narrow"/>
      <family val="2"/>
    </font>
    <font>
      <sz val="8"/>
      <name val="Calibri"/>
      <family val="2"/>
    </font>
    <font>
      <b/>
      <sz val="8"/>
      <name val="Arial"/>
      <family val="2"/>
      <charset val="1"/>
    </font>
    <font>
      <b/>
      <sz val="9"/>
      <name val="Arial"/>
      <family val="2"/>
    </font>
    <font>
      <sz val="9"/>
      <name val="Arial"/>
      <family val="2"/>
    </font>
    <font>
      <sz val="14"/>
      <name val="Arial"/>
      <family val="2"/>
    </font>
    <font>
      <sz val="11"/>
      <name val="Arial"/>
      <family val="2"/>
    </font>
    <font>
      <b/>
      <sz val="11"/>
      <name val="Arial"/>
      <family val="2"/>
    </font>
    <font>
      <sz val="11"/>
      <color rgb="FF000000"/>
      <name val="Arial"/>
      <family val="2"/>
      <scheme val="minor"/>
    </font>
    <font>
      <b/>
      <sz val="11"/>
      <color theme="0"/>
      <name val="Century Gothic"/>
      <family val="2"/>
    </font>
    <font>
      <b/>
      <sz val="10"/>
      <color rgb="FF000000"/>
      <name val="Century Gothic"/>
      <family val="2"/>
    </font>
    <font>
      <b/>
      <sz val="10"/>
      <name val="Century Gothic"/>
      <family val="2"/>
    </font>
  </fonts>
  <fills count="20">
    <fill>
      <patternFill patternType="none"/>
    </fill>
    <fill>
      <patternFill patternType="gray125"/>
    </fill>
    <fill>
      <patternFill patternType="solid">
        <fgColor rgb="FF44546A"/>
        <bgColor rgb="FF44546A"/>
      </patternFill>
    </fill>
    <fill>
      <patternFill patternType="solid">
        <fgColor rgb="FFD8D8D8"/>
        <bgColor rgb="FFD8D8D8"/>
      </patternFill>
    </fill>
    <fill>
      <patternFill patternType="solid">
        <fgColor rgb="FFFFFFFF"/>
        <bgColor rgb="FFFFFFFF"/>
      </patternFill>
    </fill>
    <fill>
      <patternFill patternType="solid">
        <fgColor rgb="FF00B0F0"/>
        <bgColor rgb="FF00B0F0"/>
      </patternFill>
    </fill>
    <fill>
      <patternFill patternType="solid">
        <fgColor rgb="FFF2F2F2"/>
        <bgColor rgb="FFF2F2F2"/>
      </patternFill>
    </fill>
    <fill>
      <patternFill patternType="solid">
        <fgColor rgb="FFFFFF00"/>
        <bgColor indexed="64"/>
      </patternFill>
    </fill>
    <fill>
      <patternFill patternType="solid">
        <fgColor rgb="FFFFC000"/>
        <bgColor rgb="FF44546A"/>
      </patternFill>
    </fill>
    <fill>
      <patternFill patternType="solid">
        <fgColor theme="0" tint="-0.14999847407452621"/>
        <bgColor indexed="64"/>
      </patternFill>
    </fill>
    <fill>
      <patternFill patternType="solid">
        <fgColor rgb="FFFFC000"/>
        <bgColor indexed="64"/>
      </patternFill>
    </fill>
    <fill>
      <patternFill patternType="solid">
        <fgColor rgb="FFFFFF00"/>
        <bgColor rgb="FF00B0F0"/>
      </patternFill>
    </fill>
    <fill>
      <patternFill patternType="solid">
        <fgColor theme="2" tint="-0.14999847407452621"/>
        <bgColor indexed="64"/>
      </patternFill>
    </fill>
    <fill>
      <patternFill patternType="solid">
        <fgColor rgb="FF00B050"/>
        <bgColor indexed="64"/>
      </patternFill>
    </fill>
    <fill>
      <patternFill patternType="solid">
        <fgColor rgb="FF44546A"/>
        <bgColor indexed="64"/>
      </patternFill>
    </fill>
    <fill>
      <patternFill patternType="solid">
        <fgColor rgb="FF92D050"/>
        <bgColor indexed="64"/>
      </patternFill>
    </fill>
    <fill>
      <patternFill patternType="solid">
        <fgColor theme="8" tint="0.39997558519241921"/>
        <bgColor indexed="64"/>
      </patternFill>
    </fill>
    <fill>
      <patternFill patternType="solid">
        <fgColor rgb="FFFFC000"/>
        <bgColor rgb="FFFFC000"/>
      </patternFill>
    </fill>
    <fill>
      <patternFill patternType="solid">
        <fgColor theme="0"/>
        <bgColor indexed="64"/>
      </patternFill>
    </fill>
    <fill>
      <patternFill patternType="solid">
        <fgColor theme="0"/>
        <bgColor rgb="FF44546A"/>
      </patternFill>
    </fill>
  </fills>
  <borders count="25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ck">
        <color rgb="FF000000"/>
      </top>
      <bottom/>
      <diagonal/>
    </border>
    <border>
      <left/>
      <right/>
      <top style="thin">
        <color rgb="FF000000"/>
      </top>
      <bottom style="thin">
        <color rgb="FF000000"/>
      </bottom>
      <diagonal/>
    </border>
    <border>
      <left style="thin">
        <color rgb="FF000000"/>
      </left>
      <right/>
      <top/>
      <bottom/>
      <diagonal/>
    </border>
    <border>
      <left/>
      <right/>
      <top/>
      <bottom/>
      <diagonal/>
    </border>
    <border>
      <left style="thin">
        <color rgb="FF000000"/>
      </left>
      <right/>
      <top style="thin">
        <color rgb="FF000000"/>
      </top>
      <bottom/>
      <diagonal/>
    </border>
    <border>
      <left style="thin">
        <color rgb="FF000000"/>
      </left>
      <right/>
      <top/>
      <bottom style="thin">
        <color rgb="FF000000"/>
      </bottom>
      <diagonal/>
    </border>
    <border>
      <left style="medium">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medium">
        <color rgb="FF000000"/>
      </left>
      <right/>
      <top style="thin">
        <color rgb="FF000000"/>
      </top>
      <bottom style="thin">
        <color rgb="FF000000"/>
      </bottom>
      <diagonal/>
    </border>
    <border>
      <left/>
      <right/>
      <top style="medium">
        <color rgb="FF000000"/>
      </top>
      <bottom/>
      <diagonal/>
    </border>
    <border>
      <left/>
      <right style="thin">
        <color indexed="64"/>
      </right>
      <top style="thin">
        <color indexed="64"/>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bottom/>
      <diagonal/>
    </border>
    <border>
      <left/>
      <right style="medium">
        <color rgb="FF000000"/>
      </right>
      <top style="medium">
        <color rgb="FF000000"/>
      </top>
      <bottom/>
      <diagonal/>
    </border>
    <border>
      <left style="medium">
        <color rgb="FF000000"/>
      </left>
      <right/>
      <top style="medium">
        <color rgb="FF000000"/>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rgb="FF000000"/>
      </right>
      <top style="thin">
        <color rgb="FFD8D8D8"/>
      </top>
      <bottom/>
      <diagonal/>
    </border>
    <border>
      <left/>
      <right/>
      <top style="thin">
        <color rgb="FFD8D8D8"/>
      </top>
      <bottom/>
      <diagonal/>
    </border>
    <border>
      <left style="medium">
        <color rgb="FF000000"/>
      </left>
      <right/>
      <top style="thin">
        <color rgb="FFD8D8D8"/>
      </top>
      <bottom/>
      <diagonal/>
    </border>
    <border>
      <left/>
      <right style="medium">
        <color rgb="FF000000"/>
      </right>
      <top style="thin">
        <color rgb="FF000000"/>
      </top>
      <bottom style="thin">
        <color rgb="FF000000"/>
      </bottom>
      <diagonal/>
    </border>
    <border>
      <left style="medium">
        <color rgb="FFFFFFFF"/>
      </left>
      <right style="medium">
        <color rgb="FF000000"/>
      </right>
      <top style="thin">
        <color rgb="FF000000"/>
      </top>
      <bottom style="medium">
        <color rgb="FFFFFFFF"/>
      </bottom>
      <diagonal/>
    </border>
    <border>
      <left style="medium">
        <color rgb="FFFFFFFF"/>
      </left>
      <right style="medium">
        <color rgb="FFFFFFFF"/>
      </right>
      <top style="hair">
        <color rgb="FF000000"/>
      </top>
      <bottom/>
      <diagonal/>
    </border>
    <border>
      <left style="medium">
        <color rgb="FFFFFFFF"/>
      </left>
      <right style="medium">
        <color rgb="FF000000"/>
      </right>
      <top style="thin">
        <color rgb="FFD8D8D8"/>
      </top>
      <bottom/>
      <diagonal/>
    </border>
    <border>
      <left style="medium">
        <color rgb="FFFFFFFF"/>
      </left>
      <right style="medium">
        <color rgb="FFFFFFFF"/>
      </right>
      <top style="thin">
        <color rgb="FFD8D8D8"/>
      </top>
      <bottom style="hair">
        <color rgb="FF000000"/>
      </bottom>
      <diagonal/>
    </border>
    <border>
      <left/>
      <right style="medium">
        <color rgb="FFFFFFFF"/>
      </right>
      <top style="thin">
        <color rgb="FFD8D8D8"/>
      </top>
      <bottom style="hair">
        <color rgb="FF000000"/>
      </bottom>
      <diagonal/>
    </border>
    <border>
      <left style="medium">
        <color rgb="FFFFFFFF"/>
      </left>
      <right/>
      <top style="thin">
        <color rgb="FFD8D8D8"/>
      </top>
      <bottom style="hair">
        <color rgb="FF000000"/>
      </bottom>
      <diagonal/>
    </border>
    <border>
      <left/>
      <right/>
      <top style="thin">
        <color rgb="FFD8D8D8"/>
      </top>
      <bottom style="hair">
        <color rgb="FF000000"/>
      </bottom>
      <diagonal/>
    </border>
    <border>
      <left style="medium">
        <color rgb="FFFFFFFF"/>
      </left>
      <right style="medium">
        <color rgb="FF000000"/>
      </right>
      <top style="thin">
        <color rgb="FFD8D8D8"/>
      </top>
      <bottom style="thin">
        <color rgb="FFD8D8D8"/>
      </bottom>
      <diagonal/>
    </border>
    <border>
      <left style="medium">
        <color rgb="FFFFFFFF"/>
      </left>
      <right style="medium">
        <color rgb="FFFFFFFF"/>
      </right>
      <top style="thin">
        <color rgb="FFD8D8D8"/>
      </top>
      <bottom style="thin">
        <color rgb="FFD8D8D8"/>
      </bottom>
      <diagonal/>
    </border>
    <border>
      <left/>
      <right style="medium">
        <color rgb="FFFFFFFF"/>
      </right>
      <top style="thin">
        <color rgb="FFD8D8D8"/>
      </top>
      <bottom style="thin">
        <color rgb="FFD8D8D8"/>
      </bottom>
      <diagonal/>
    </border>
    <border>
      <left style="medium">
        <color rgb="FFFFFFFF"/>
      </left>
      <right/>
      <top style="thin">
        <color rgb="FFD8D8D8"/>
      </top>
      <bottom style="thin">
        <color rgb="FFD8D8D8"/>
      </bottom>
      <diagonal/>
    </border>
    <border>
      <left/>
      <right/>
      <top style="hair">
        <color rgb="FF000000"/>
      </top>
      <bottom style="thin">
        <color rgb="FFD8D8D8"/>
      </bottom>
      <diagonal/>
    </border>
    <border>
      <left style="medium">
        <color rgb="FFFFFFFF"/>
      </left>
      <right style="medium">
        <color rgb="FF000000"/>
      </right>
      <top style="hair">
        <color rgb="FF000000"/>
      </top>
      <bottom style="thin">
        <color rgb="FFD8D8D8"/>
      </bottom>
      <diagonal/>
    </border>
    <border>
      <left style="medium">
        <color rgb="FFFFFFFF"/>
      </left>
      <right style="medium">
        <color rgb="FFFFFFFF"/>
      </right>
      <top style="hair">
        <color rgb="FF000000"/>
      </top>
      <bottom style="thin">
        <color rgb="FFD8D8D8"/>
      </bottom>
      <diagonal/>
    </border>
    <border>
      <left/>
      <right style="medium">
        <color rgb="FFFFFFFF"/>
      </right>
      <top style="hair">
        <color rgb="FF000000"/>
      </top>
      <bottom style="thin">
        <color rgb="FFD8D8D8"/>
      </bottom>
      <diagonal/>
    </border>
    <border>
      <left style="medium">
        <color rgb="FFFFFFFF"/>
      </left>
      <right/>
      <top style="hair">
        <color rgb="FF000000"/>
      </top>
      <bottom style="thin">
        <color rgb="FFD8D8D8"/>
      </bottom>
      <diagonal/>
    </border>
    <border>
      <left style="medium">
        <color rgb="FFFFFFFF"/>
      </left>
      <right style="medium">
        <color rgb="FF000000"/>
      </right>
      <top/>
      <bottom style="hair">
        <color rgb="FF000000"/>
      </bottom>
      <diagonal/>
    </border>
    <border>
      <left style="medium">
        <color rgb="FFFFFFFF"/>
      </left>
      <right style="medium">
        <color rgb="FFFFFFFF"/>
      </right>
      <top/>
      <bottom style="hair">
        <color rgb="FF000000"/>
      </bottom>
      <diagonal/>
    </border>
    <border>
      <left/>
      <right style="medium">
        <color rgb="FFFFFFFF"/>
      </right>
      <top/>
      <bottom style="hair">
        <color rgb="FF000000"/>
      </bottom>
      <diagonal/>
    </border>
    <border>
      <left style="medium">
        <color rgb="FFFFFFFF"/>
      </left>
      <right/>
      <top/>
      <bottom style="hair">
        <color rgb="FF000000"/>
      </bottom>
      <diagonal/>
    </border>
    <border>
      <left style="medium">
        <color rgb="FFFFFFFF"/>
      </left>
      <right style="medium">
        <color rgb="FF000000"/>
      </right>
      <top/>
      <bottom/>
      <diagonal/>
    </border>
    <border>
      <left style="medium">
        <color rgb="FFFFFFFF"/>
      </left>
      <right style="medium">
        <color rgb="FFFFFFFF"/>
      </right>
      <top/>
      <bottom/>
      <diagonal/>
    </border>
    <border>
      <left style="medium">
        <color rgb="FFFFFFFF"/>
      </left>
      <right style="medium">
        <color rgb="FF000000"/>
      </right>
      <top style="thin">
        <color rgb="FFD8D8D8"/>
      </top>
      <bottom style="thin">
        <color rgb="FF000000"/>
      </bottom>
      <diagonal/>
    </border>
    <border>
      <left/>
      <right style="medium">
        <color rgb="FF000000"/>
      </right>
      <top style="thin">
        <color rgb="FFD8D8D8"/>
      </top>
      <bottom style="thin">
        <color rgb="FF000000"/>
      </bottom>
      <diagonal/>
    </border>
    <border>
      <left style="medium">
        <color rgb="FFFFFFFF"/>
      </left>
      <right/>
      <top style="hair">
        <color rgb="FF000000"/>
      </top>
      <bottom style="hair">
        <color rgb="FF000000"/>
      </bottom>
      <diagonal/>
    </border>
    <border>
      <left/>
      <right style="medium">
        <color rgb="FF000000"/>
      </right>
      <top style="hair">
        <color rgb="FF000000"/>
      </top>
      <bottom style="thin">
        <color rgb="FFD8D8D8"/>
      </bottom>
      <diagonal/>
    </border>
    <border>
      <left style="thick">
        <color rgb="FFFFFFFF"/>
      </left>
      <right style="thick">
        <color rgb="FFFFFFFF"/>
      </right>
      <top style="thin">
        <color rgb="FFD8D8D8"/>
      </top>
      <bottom style="thin">
        <color rgb="FFD8D8D8"/>
      </bottom>
      <diagonal/>
    </border>
    <border>
      <left/>
      <right/>
      <top style="thin">
        <color rgb="FFD8D8D8"/>
      </top>
      <bottom style="thin">
        <color rgb="FFD8D8D8"/>
      </bottom>
      <diagonal/>
    </border>
    <border>
      <left style="thick">
        <color rgb="FFFFFFFF"/>
      </left>
      <right style="thick">
        <color rgb="FFFFFFFF"/>
      </right>
      <top style="hair">
        <color rgb="FF000000"/>
      </top>
      <bottom style="thin">
        <color rgb="FFD8D8D8"/>
      </bottom>
      <diagonal/>
    </border>
    <border>
      <left/>
      <right style="medium">
        <color rgb="FF000000"/>
      </right>
      <top style="thin">
        <color rgb="FFBFBFBF"/>
      </top>
      <bottom style="thin">
        <color rgb="FFBFBFBF"/>
      </bottom>
      <diagonal/>
    </border>
    <border>
      <left/>
      <right/>
      <top style="thin">
        <color rgb="FFBFBFBF"/>
      </top>
      <bottom style="thin">
        <color rgb="FFBFBFBF"/>
      </bottom>
      <diagonal/>
    </border>
    <border>
      <left style="medium">
        <color rgb="FF000000"/>
      </left>
      <right/>
      <top style="thin">
        <color rgb="FFBFBFBF"/>
      </top>
      <bottom style="thin">
        <color rgb="FFBFBFBF"/>
      </bottom>
      <diagonal/>
    </border>
    <border>
      <left style="medium">
        <color rgb="FFFFFFFF"/>
      </left>
      <right/>
      <top style="thin">
        <color rgb="FF000000"/>
      </top>
      <bottom style="medium">
        <color rgb="FFFFFFFF"/>
      </bottom>
      <diagonal/>
    </border>
    <border>
      <left style="medium">
        <color rgb="FFFFFFFF"/>
      </left>
      <right/>
      <top style="thin">
        <color rgb="FFD8D8D8"/>
      </top>
      <bottom style="thin">
        <color rgb="FF000000"/>
      </bottom>
      <diagonal/>
    </border>
    <border>
      <left style="medium">
        <color rgb="FFFFFFFF"/>
      </left>
      <right/>
      <top/>
      <bottom/>
      <diagonal/>
    </border>
    <border>
      <left/>
      <right style="medium">
        <color rgb="FF000000"/>
      </right>
      <top style="thin">
        <color rgb="FFD8D8D8"/>
      </top>
      <bottom style="thin">
        <color rgb="FFD8D8D8"/>
      </bottom>
      <diagonal/>
    </border>
    <border>
      <left style="thin">
        <color indexed="64"/>
      </left>
      <right style="medium">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indexed="64"/>
      </right>
      <top style="thin">
        <color indexed="64"/>
      </top>
      <bottom style="medium">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right style="thin">
        <color auto="1"/>
      </right>
      <top style="thin">
        <color auto="1"/>
      </top>
      <bottom style="medium">
        <color indexed="64"/>
      </bottom>
      <diagonal/>
    </border>
    <border>
      <left/>
      <right/>
      <top style="thin">
        <color auto="1"/>
      </top>
      <bottom style="medium">
        <color indexed="64"/>
      </bottom>
      <diagonal/>
    </border>
    <border>
      <left style="medium">
        <color indexed="64"/>
      </left>
      <right/>
      <top style="thin">
        <color auto="1"/>
      </top>
      <bottom style="medium">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auto="1"/>
      </left>
      <right style="medium">
        <color indexed="64"/>
      </right>
      <top style="thin">
        <color auto="1"/>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medium">
        <color indexed="64"/>
      </right>
      <top/>
      <bottom style="thin">
        <color auto="1"/>
      </bottom>
      <diagonal/>
    </border>
    <border>
      <left style="thin">
        <color auto="1"/>
      </left>
      <right/>
      <top style="medium">
        <color indexed="64"/>
      </top>
      <bottom style="thin">
        <color auto="1"/>
      </bottom>
      <diagonal/>
    </border>
    <border>
      <left style="medium">
        <color indexed="64"/>
      </left>
      <right style="thin">
        <color auto="1"/>
      </right>
      <top style="medium">
        <color indexed="64"/>
      </top>
      <bottom/>
      <diagonal/>
    </border>
    <border>
      <left style="thin">
        <color auto="1"/>
      </left>
      <right/>
      <top style="medium">
        <color indexed="64"/>
      </top>
      <bottom style="medium">
        <color indexed="64"/>
      </bottom>
      <diagonal/>
    </border>
    <border>
      <left style="thin">
        <color auto="1"/>
      </left>
      <right/>
      <top style="thin">
        <color auto="1"/>
      </top>
      <bottom style="medium">
        <color indexed="64"/>
      </bottom>
      <diagonal/>
    </border>
    <border>
      <left style="medium">
        <color indexed="64"/>
      </left>
      <right style="thin">
        <color auto="1"/>
      </right>
      <top/>
      <bottom style="medium">
        <color indexed="64"/>
      </bottom>
      <diagonal/>
    </border>
    <border>
      <left/>
      <right/>
      <top style="thin">
        <color auto="1"/>
      </top>
      <bottom style="thin">
        <color auto="1"/>
      </bottom>
      <diagonal/>
    </border>
    <border>
      <left style="medium">
        <color indexed="64"/>
      </left>
      <right/>
      <top style="thin">
        <color auto="1"/>
      </top>
      <bottom style="thin">
        <color auto="1"/>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right style="thin">
        <color indexed="64"/>
      </right>
      <top style="thin">
        <color rgb="FF000000"/>
      </top>
      <bottom/>
      <diagonal/>
    </border>
    <border>
      <left/>
      <right style="thin">
        <color indexed="64"/>
      </right>
      <top style="thin">
        <color rgb="FF000000"/>
      </top>
      <bottom style="thin">
        <color rgb="FF000000"/>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medium">
        <color indexed="64"/>
      </right>
      <top style="thin">
        <color indexed="64"/>
      </top>
      <bottom style="thin">
        <color indexed="64"/>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medium">
        <color indexed="64"/>
      </right>
      <top/>
      <bottom style="thin">
        <color rgb="FF000000"/>
      </bottom>
      <diagonal/>
    </border>
    <border>
      <left style="medium">
        <color indexed="64"/>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medium">
        <color indexed="64"/>
      </right>
      <top style="thin">
        <color rgb="FF000000"/>
      </top>
      <bottom style="thin">
        <color indexed="64"/>
      </bottom>
      <diagonal/>
    </border>
    <border>
      <left style="medium">
        <color indexed="64"/>
      </left>
      <right style="medium">
        <color indexed="64"/>
      </right>
      <top style="thin">
        <color rgb="FF000000"/>
      </top>
      <bottom style="thin">
        <color indexed="64"/>
      </bottom>
      <diagonal/>
    </border>
    <border>
      <left style="medium">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medium">
        <color indexed="64"/>
      </left>
      <right style="thin">
        <color rgb="FF000000"/>
      </right>
      <top style="thin">
        <color indexed="64"/>
      </top>
      <bottom style="thin">
        <color indexed="64"/>
      </bottom>
      <diagonal/>
    </border>
    <border>
      <left style="thin">
        <color rgb="FF000000"/>
      </left>
      <right style="medium">
        <color indexed="64"/>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thin">
        <color indexed="64"/>
      </left>
      <right style="thin">
        <color rgb="FF000000"/>
      </right>
      <top style="thin">
        <color indexed="64"/>
      </top>
      <bottom style="thin">
        <color indexed="64"/>
      </bottom>
      <diagonal/>
    </border>
    <border>
      <left style="thin">
        <color rgb="FF000000"/>
      </left>
      <right/>
      <top style="thin">
        <color rgb="FF000000"/>
      </top>
      <bottom style="thin">
        <color indexed="64"/>
      </bottom>
      <diagonal/>
    </border>
    <border>
      <left style="thin">
        <color rgb="FF000000"/>
      </left>
      <right/>
      <top style="thin">
        <color indexed="64"/>
      </top>
      <bottom style="thin">
        <color indexed="64"/>
      </bottom>
      <diagonal/>
    </border>
    <border>
      <left style="medium">
        <color rgb="FF000000"/>
      </left>
      <right style="thin">
        <color indexed="64"/>
      </right>
      <top style="thin">
        <color rgb="FF000000"/>
      </top>
      <bottom style="thin">
        <color indexed="64"/>
      </bottom>
      <diagonal/>
    </border>
    <border>
      <left style="medium">
        <color rgb="FF000000"/>
      </left>
      <right style="thin">
        <color rgb="FF000000"/>
      </right>
      <top style="thin">
        <color rgb="FF000000"/>
      </top>
      <bottom style="thin">
        <color indexed="64"/>
      </bottom>
      <diagonal/>
    </border>
    <border>
      <left style="medium">
        <color rgb="FF000000"/>
      </left>
      <right style="thin">
        <color auto="1"/>
      </right>
      <top style="thin">
        <color auto="1"/>
      </top>
      <bottom style="thin">
        <color auto="1"/>
      </bottom>
      <diagonal/>
    </border>
    <border>
      <left style="thin">
        <color theme="1"/>
      </left>
      <right style="thin">
        <color auto="1"/>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medium">
        <color indexed="64"/>
      </left>
      <right/>
      <top style="thin">
        <color auto="1"/>
      </top>
      <bottom/>
      <diagonal/>
    </border>
    <border>
      <left style="medium">
        <color indexed="64"/>
      </left>
      <right/>
      <top/>
      <bottom style="thin">
        <color indexed="64"/>
      </bottom>
      <diagonal/>
    </border>
    <border>
      <left/>
      <right/>
      <top/>
      <bottom style="thick">
        <color rgb="FF000000"/>
      </bottom>
      <diagonal/>
    </border>
    <border>
      <left/>
      <right style="thin">
        <color auto="1"/>
      </right>
      <top/>
      <bottom/>
      <diagonal/>
    </border>
    <border>
      <left/>
      <right style="thin">
        <color auto="1"/>
      </right>
      <top/>
      <bottom style="thin">
        <color auto="1"/>
      </bottom>
      <diagonal/>
    </border>
    <border>
      <left/>
      <right style="thin">
        <color rgb="FF000000"/>
      </right>
      <top style="medium">
        <color indexed="64"/>
      </top>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diagonal/>
    </border>
    <border>
      <left/>
      <right style="medium">
        <color indexed="64"/>
      </right>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medium">
        <color auto="1"/>
      </right>
      <top style="thin">
        <color rgb="FF000000"/>
      </top>
      <bottom/>
      <diagonal/>
    </border>
    <border>
      <left style="medium">
        <color auto="1"/>
      </left>
      <right/>
      <top style="thin">
        <color rgb="FF000000"/>
      </top>
      <bottom style="thin">
        <color rgb="FF000000"/>
      </bottom>
      <diagonal/>
    </border>
    <border>
      <left style="medium">
        <color auto="1"/>
      </left>
      <right style="thin">
        <color rgb="FF000000"/>
      </right>
      <top style="thin">
        <color rgb="FF000000"/>
      </top>
      <bottom style="thin">
        <color rgb="FF000000"/>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auto="1"/>
      </left>
      <right/>
      <top style="thin">
        <color rgb="FF000000"/>
      </top>
      <bottom/>
      <diagonal/>
    </border>
    <border>
      <left style="medium">
        <color auto="1"/>
      </left>
      <right/>
      <top/>
      <bottom style="thin">
        <color rgb="FF000000"/>
      </bottom>
      <diagonal/>
    </border>
    <border>
      <left style="medium">
        <color auto="1"/>
      </left>
      <right/>
      <top style="thin">
        <color rgb="FF000000"/>
      </top>
      <bottom style="thin">
        <color indexed="64"/>
      </bottom>
      <diagonal/>
    </border>
    <border>
      <left style="medium">
        <color auto="1"/>
      </left>
      <right/>
      <top style="thin">
        <color indexed="64"/>
      </top>
      <bottom style="thin">
        <color rgb="FF000000"/>
      </bottom>
      <diagonal/>
    </border>
    <border>
      <left/>
      <right style="medium">
        <color indexed="64"/>
      </right>
      <top/>
      <bottom style="thin">
        <color indexed="64"/>
      </bottom>
      <diagonal/>
    </border>
    <border>
      <left/>
      <right style="medium">
        <color indexed="64"/>
      </right>
      <top style="thin">
        <color indexed="64"/>
      </top>
      <bottom/>
      <diagonal/>
    </border>
    <border>
      <left style="thin">
        <color rgb="FF000000"/>
      </left>
      <right style="thin">
        <color rgb="FF000000"/>
      </right>
      <top style="thin">
        <color indexed="64"/>
      </top>
      <bottom/>
      <diagonal/>
    </border>
    <border>
      <left style="medium">
        <color indexed="64"/>
      </left>
      <right style="thin">
        <color rgb="FF000000"/>
      </right>
      <top style="thin">
        <color indexed="64"/>
      </top>
      <bottom/>
      <diagonal/>
    </border>
    <border>
      <left style="thin">
        <color rgb="FF000000"/>
      </left>
      <right style="medium">
        <color indexed="64"/>
      </right>
      <top style="thin">
        <color indexed="64"/>
      </top>
      <bottom/>
      <diagonal/>
    </border>
    <border>
      <left style="thin">
        <color rgb="FF000000"/>
      </left>
      <right/>
      <top style="thin">
        <color indexed="64"/>
      </top>
      <bottom/>
      <diagonal/>
    </border>
    <border>
      <left style="medium">
        <color indexed="64"/>
      </left>
      <right style="medium">
        <color indexed="64"/>
      </right>
      <top style="thin">
        <color rgb="FF000000"/>
      </top>
      <bottom/>
      <diagonal/>
    </border>
    <border>
      <left style="medium">
        <color indexed="64"/>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style="medium">
        <color indexed="64"/>
      </right>
      <top style="thin">
        <color rgb="FF000000"/>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style="medium">
        <color indexed="64"/>
      </right>
      <top/>
      <bottom style="thin">
        <color rgb="FF000000"/>
      </bottom>
      <diagonal/>
    </border>
    <border>
      <left style="medium">
        <color rgb="FF000000"/>
      </left>
      <right/>
      <top style="thin">
        <color rgb="FFBFBFBF"/>
      </top>
      <bottom/>
      <diagonal/>
    </border>
    <border>
      <left/>
      <right/>
      <top style="thin">
        <color rgb="FFBFBFBF"/>
      </top>
      <bottom/>
      <diagonal/>
    </border>
    <border>
      <left/>
      <right style="medium">
        <color rgb="FF000000"/>
      </right>
      <top style="thin">
        <color rgb="FFBFBFBF"/>
      </top>
      <bottom/>
      <diagonal/>
    </border>
    <border>
      <left/>
      <right/>
      <top/>
      <bottom style="thin">
        <color rgb="FFD8D8D8"/>
      </bottom>
      <diagonal/>
    </border>
    <border>
      <left style="thick">
        <color rgb="FFFFFFFF"/>
      </left>
      <right style="thick">
        <color rgb="FFFFFFFF"/>
      </right>
      <top/>
      <bottom style="thin">
        <color rgb="FFD8D8D8"/>
      </bottom>
      <diagonal/>
    </border>
    <border>
      <left/>
      <right style="medium">
        <color rgb="FF000000"/>
      </right>
      <top/>
      <bottom style="thin">
        <color rgb="FFD8D8D8"/>
      </bottom>
      <diagonal/>
    </border>
    <border>
      <left style="medium">
        <color theme="1"/>
      </left>
      <right/>
      <top/>
      <bottom/>
      <diagonal/>
    </border>
    <border>
      <left/>
      <right style="medium">
        <color theme="1"/>
      </right>
      <top/>
      <bottom/>
      <diagonal/>
    </border>
    <border>
      <left style="medium">
        <color theme="1"/>
      </left>
      <right/>
      <top style="hair">
        <color rgb="FF000000"/>
      </top>
      <bottom style="thin">
        <color rgb="FFD8D8D8"/>
      </bottom>
      <diagonal/>
    </border>
    <border>
      <left/>
      <right style="medium">
        <color theme="1"/>
      </right>
      <top style="thin">
        <color rgb="FFD8D8D8"/>
      </top>
      <bottom style="thin">
        <color rgb="FFD8D8D8"/>
      </bottom>
      <diagonal/>
    </border>
    <border>
      <left style="thick">
        <color rgb="FFFFFFFF"/>
      </left>
      <right style="thick">
        <color rgb="FFFFFFFF"/>
      </right>
      <top style="thin">
        <color rgb="FFD8D8D8"/>
      </top>
      <bottom/>
      <diagonal/>
    </border>
    <border>
      <left/>
      <right style="medium">
        <color theme="1"/>
      </right>
      <top style="thin">
        <color rgb="FFD8D8D8"/>
      </top>
      <bottom/>
      <diagonal/>
    </border>
    <border>
      <left/>
      <right style="thin">
        <color rgb="FF000000"/>
      </right>
      <top style="thin">
        <color rgb="FF000000"/>
      </top>
      <bottom style="thin">
        <color indexed="64"/>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bottom style="thick">
        <color rgb="FF000000"/>
      </bottom>
      <diagonal/>
    </border>
    <border>
      <left style="medium">
        <color indexed="64"/>
      </left>
      <right/>
      <top style="thick">
        <color rgb="FF000000"/>
      </top>
      <bottom/>
      <diagonal/>
    </border>
    <border>
      <left/>
      <right style="medium">
        <color indexed="64"/>
      </right>
      <top style="thick">
        <color rgb="FF000000"/>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right/>
      <top style="double">
        <color auto="1"/>
      </top>
      <bottom style="thin">
        <color auto="1"/>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auto="1"/>
      </right>
      <top style="thin">
        <color rgb="FF000000"/>
      </top>
      <bottom style="medium">
        <color rgb="FF000000"/>
      </bottom>
      <diagonal/>
    </border>
  </borders>
  <cellStyleXfs count="22">
    <xf numFmtId="0" fontId="0" fillId="0" borderId="0"/>
    <xf numFmtId="9" fontId="26" fillId="0" borderId="0" applyFont="0" applyFill="0" applyBorder="0" applyAlignment="0" applyProtection="0"/>
    <xf numFmtId="44" fontId="26" fillId="0" borderId="0" applyFont="0" applyFill="0" applyBorder="0" applyAlignment="0" applyProtection="0"/>
    <xf numFmtId="0" fontId="38" fillId="0" borderId="35"/>
    <xf numFmtId="0" fontId="40" fillId="0" borderId="35"/>
    <xf numFmtId="164" fontId="40" fillId="0" borderId="35" applyFont="0" applyFill="0" applyBorder="0" applyAlignment="0" applyProtection="0"/>
    <xf numFmtId="0" fontId="41" fillId="0" borderId="35"/>
    <xf numFmtId="42" fontId="43" fillId="0" borderId="35" applyFont="0" applyFill="0" applyBorder="0" applyAlignment="0" applyProtection="0"/>
    <xf numFmtId="9" fontId="40" fillId="0" borderId="35" applyFont="0" applyFill="0" applyBorder="0" applyAlignment="0" applyProtection="0"/>
    <xf numFmtId="0" fontId="2" fillId="0" borderId="35"/>
    <xf numFmtId="164" fontId="2" fillId="0" borderId="35" applyFont="0" applyFill="0" applyBorder="0" applyAlignment="0" applyProtection="0"/>
    <xf numFmtId="0" fontId="1" fillId="0" borderId="35"/>
    <xf numFmtId="0" fontId="1" fillId="0" borderId="35"/>
    <xf numFmtId="0" fontId="5" fillId="0" borderId="35"/>
    <xf numFmtId="191" fontId="1" fillId="0" borderId="35" applyFont="0" applyFill="0" applyBorder="0" applyAlignment="0" applyProtection="0"/>
    <xf numFmtId="191" fontId="1" fillId="0" borderId="35" applyFont="0" applyFill="0" applyBorder="0" applyAlignment="0" applyProtection="0"/>
    <xf numFmtId="0" fontId="5" fillId="0" borderId="35"/>
    <xf numFmtId="0" fontId="5" fillId="0" borderId="35"/>
    <xf numFmtId="192" fontId="5" fillId="0" borderId="35" applyFont="0" applyFill="0" applyBorder="0" applyAlignment="0" applyProtection="0"/>
    <xf numFmtId="0" fontId="5" fillId="0" borderId="35"/>
    <xf numFmtId="9" fontId="5" fillId="0" borderId="35" applyFont="0" applyFill="0" applyBorder="0" applyAlignment="0" applyProtection="0"/>
    <xf numFmtId="193" fontId="5" fillId="0" borderId="35" applyFont="0" applyFill="0" applyBorder="0" applyAlignment="0" applyProtection="0"/>
  </cellStyleXfs>
  <cellXfs count="1762">
    <xf numFmtId="0" fontId="0" fillId="0" borderId="0" xfId="0"/>
    <xf numFmtId="2" fontId="9" fillId="0" borderId="13" xfId="0" applyNumberFormat="1" applyFont="1" applyBorder="1" applyAlignment="1">
      <alignment horizontal="center" vertical="center"/>
    </xf>
    <xf numFmtId="10" fontId="9" fillId="0" borderId="13" xfId="0" applyNumberFormat="1" applyFont="1" applyBorder="1" applyAlignment="1">
      <alignment horizontal="center" vertical="center"/>
    </xf>
    <xf numFmtId="0" fontId="9" fillId="0" borderId="0" xfId="0" applyFont="1"/>
    <xf numFmtId="0" fontId="4" fillId="2" borderId="13" xfId="0" applyFont="1" applyFill="1" applyBorder="1" applyAlignment="1">
      <alignment horizontal="center" vertical="center"/>
    </xf>
    <xf numFmtId="0" fontId="8" fillId="0" borderId="0" xfId="0" applyFont="1"/>
    <xf numFmtId="0" fontId="9" fillId="0" borderId="13" xfId="0" applyFont="1" applyBorder="1" applyAlignment="1">
      <alignment horizontal="center"/>
    </xf>
    <xf numFmtId="0" fontId="11" fillId="0" borderId="0" xfId="0" applyFont="1"/>
    <xf numFmtId="0" fontId="9" fillId="0" borderId="0" xfId="0" applyFont="1" applyAlignment="1">
      <alignment horizontal="center" vertical="center"/>
    </xf>
    <xf numFmtId="0" fontId="9" fillId="0" borderId="13" xfId="0" applyFont="1" applyBorder="1" applyAlignment="1">
      <alignment horizontal="center" vertical="center"/>
    </xf>
    <xf numFmtId="1" fontId="9" fillId="0" borderId="13" xfId="0" applyNumberFormat="1" applyFont="1" applyBorder="1" applyAlignment="1">
      <alignment horizontal="center" vertical="center"/>
    </xf>
    <xf numFmtId="49" fontId="9" fillId="0" borderId="0" xfId="0" applyNumberFormat="1" applyFont="1" applyAlignment="1">
      <alignment vertical="center"/>
    </xf>
    <xf numFmtId="170" fontId="9" fillId="0" borderId="13" xfId="0" applyNumberFormat="1" applyFont="1" applyBorder="1" applyAlignment="1">
      <alignment horizontal="center" vertical="center" wrapText="1"/>
    </xf>
    <xf numFmtId="1" fontId="9" fillId="0" borderId="13" xfId="0" applyNumberFormat="1" applyFont="1" applyBorder="1" applyAlignment="1">
      <alignment horizontal="center" vertical="center" wrapText="1"/>
    </xf>
    <xf numFmtId="10" fontId="9" fillId="0" borderId="13" xfId="0" applyNumberFormat="1" applyFont="1" applyBorder="1" applyAlignment="1">
      <alignment horizontal="center" vertical="center" wrapText="1"/>
    </xf>
    <xf numFmtId="169" fontId="9" fillId="0" borderId="13" xfId="0" applyNumberFormat="1" applyFont="1" applyBorder="1" applyAlignment="1">
      <alignment horizontal="center" vertical="center"/>
    </xf>
    <xf numFmtId="0" fontId="15" fillId="0" borderId="0" xfId="0" applyFont="1" applyAlignment="1">
      <alignment horizontal="center" vertical="center"/>
    </xf>
    <xf numFmtId="0" fontId="4" fillId="2" borderId="31" xfId="0" applyFont="1" applyFill="1" applyBorder="1" applyAlignment="1">
      <alignment horizontal="center"/>
    </xf>
    <xf numFmtId="0" fontId="10" fillId="2" borderId="13" xfId="0" applyFont="1" applyFill="1" applyBorder="1" applyAlignment="1">
      <alignment horizontal="center" vertical="center"/>
    </xf>
    <xf numFmtId="0" fontId="10" fillId="0" borderId="13" xfId="0" applyFont="1" applyBorder="1"/>
    <xf numFmtId="176" fontId="4" fillId="2" borderId="13" xfId="0" applyNumberFormat="1" applyFont="1" applyFill="1" applyBorder="1" applyAlignment="1">
      <alignment horizontal="center" vertical="center"/>
    </xf>
    <xf numFmtId="176" fontId="9" fillId="0" borderId="13" xfId="0" applyNumberFormat="1" applyFont="1" applyBorder="1" applyAlignment="1">
      <alignment horizontal="center" vertical="center"/>
    </xf>
    <xf numFmtId="176" fontId="10" fillId="2" borderId="13" xfId="0" applyNumberFormat="1" applyFont="1" applyFill="1" applyBorder="1"/>
    <xf numFmtId="169" fontId="17" fillId="0" borderId="13" xfId="0" applyNumberFormat="1" applyFont="1" applyBorder="1"/>
    <xf numFmtId="176" fontId="9" fillId="0" borderId="13" xfId="0" applyNumberFormat="1" applyFont="1" applyBorder="1"/>
    <xf numFmtId="177" fontId="9" fillId="0" borderId="13" xfId="0" applyNumberFormat="1" applyFont="1" applyBorder="1"/>
    <xf numFmtId="176" fontId="17" fillId="0" borderId="13" xfId="0" applyNumberFormat="1" applyFont="1" applyBorder="1"/>
    <xf numFmtId="176" fontId="9" fillId="0" borderId="0" xfId="0" applyNumberFormat="1" applyFont="1"/>
    <xf numFmtId="0" fontId="12" fillId="3" borderId="13" xfId="0" applyFont="1" applyFill="1" applyBorder="1" applyAlignment="1">
      <alignment horizontal="center"/>
    </xf>
    <xf numFmtId="176" fontId="9" fillId="0" borderId="4" xfId="0" applyNumberFormat="1" applyFont="1" applyBorder="1" applyAlignment="1">
      <alignment horizontal="center" vertical="center"/>
    </xf>
    <xf numFmtId="176" fontId="12" fillId="3" borderId="13" xfId="0" applyNumberFormat="1" applyFont="1" applyFill="1" applyBorder="1" applyAlignment="1">
      <alignment horizontal="center"/>
    </xf>
    <xf numFmtId="176" fontId="12" fillId="3" borderId="13" xfId="0" applyNumberFormat="1" applyFont="1" applyFill="1" applyBorder="1"/>
    <xf numFmtId="178" fontId="9" fillId="0" borderId="13" xfId="0" applyNumberFormat="1" applyFont="1" applyBorder="1" applyAlignment="1">
      <alignment horizontal="center" vertical="center"/>
    </xf>
    <xf numFmtId="0" fontId="12" fillId="0" borderId="4" xfId="0" applyFont="1" applyBorder="1" applyAlignment="1">
      <alignment horizontal="center"/>
    </xf>
    <xf numFmtId="0" fontId="12" fillId="0" borderId="5" xfId="0" applyFont="1" applyBorder="1" applyAlignment="1">
      <alignment horizontal="center"/>
    </xf>
    <xf numFmtId="176" fontId="9" fillId="0" borderId="5" xfId="0" applyNumberFormat="1" applyFont="1" applyBorder="1" applyAlignment="1">
      <alignment horizontal="center" vertical="center"/>
    </xf>
    <xf numFmtId="177" fontId="17" fillId="0" borderId="13" xfId="0" applyNumberFormat="1" applyFont="1" applyBorder="1"/>
    <xf numFmtId="179" fontId="9" fillId="0" borderId="13" xfId="0" applyNumberFormat="1" applyFont="1" applyBorder="1" applyAlignment="1">
      <alignment horizontal="center" vertical="center"/>
    </xf>
    <xf numFmtId="180" fontId="17" fillId="0" borderId="13" xfId="0" applyNumberFormat="1" applyFont="1" applyBorder="1"/>
    <xf numFmtId="0" fontId="13" fillId="0" borderId="0" xfId="0" applyFont="1"/>
    <xf numFmtId="177" fontId="9" fillId="0" borderId="0" xfId="0" applyNumberFormat="1" applyFont="1"/>
    <xf numFmtId="170" fontId="9" fillId="0" borderId="13" xfId="0" applyNumberFormat="1" applyFont="1" applyBorder="1" applyAlignment="1">
      <alignment horizontal="center"/>
    </xf>
    <xf numFmtId="0" fontId="18" fillId="0" borderId="0" xfId="0" applyFont="1" applyAlignment="1">
      <alignment horizontal="center" vertical="center"/>
    </xf>
    <xf numFmtId="0" fontId="9" fillId="0" borderId="13" xfId="0" applyFont="1" applyBorder="1"/>
    <xf numFmtId="0" fontId="19" fillId="0" borderId="0" xfId="0" applyFont="1" applyAlignment="1">
      <alignment horizontal="center" vertical="center"/>
    </xf>
    <xf numFmtId="0" fontId="11" fillId="0" borderId="0" xfId="0" applyFont="1" applyAlignment="1">
      <alignment vertical="center"/>
    </xf>
    <xf numFmtId="0" fontId="9" fillId="0" borderId="13" xfId="0" applyFont="1" applyBorder="1" applyAlignment="1">
      <alignment horizontal="center" vertical="center" wrapText="1"/>
    </xf>
    <xf numFmtId="2" fontId="9" fillId="0" borderId="13" xfId="0" applyNumberFormat="1" applyFont="1" applyBorder="1" applyAlignment="1">
      <alignment horizontal="center" vertical="center" wrapText="1"/>
    </xf>
    <xf numFmtId="0" fontId="4" fillId="2" borderId="13" xfId="0" applyFont="1" applyFill="1" applyBorder="1" applyAlignment="1">
      <alignment horizontal="center" vertical="center" wrapText="1"/>
    </xf>
    <xf numFmtId="2" fontId="12" fillId="0" borderId="11" xfId="0" applyNumberFormat="1" applyFont="1" applyBorder="1" applyAlignment="1">
      <alignment horizontal="center" vertical="center"/>
    </xf>
    <xf numFmtId="2" fontId="12" fillId="0" borderId="11" xfId="0" applyNumberFormat="1" applyFont="1" applyBorder="1" applyAlignment="1">
      <alignment horizontal="center" vertical="center" wrapText="1"/>
    </xf>
    <xf numFmtId="0" fontId="4" fillId="2" borderId="13" xfId="0" applyFont="1" applyFill="1" applyBorder="1" applyAlignment="1">
      <alignment horizontal="center"/>
    </xf>
    <xf numFmtId="2" fontId="22" fillId="0" borderId="13" xfId="0" applyNumberFormat="1" applyFont="1" applyBorder="1" applyAlignment="1">
      <alignment horizontal="center" vertical="center"/>
    </xf>
    <xf numFmtId="178" fontId="9" fillId="0" borderId="13" xfId="0" applyNumberFormat="1" applyFont="1" applyBorder="1" applyAlignment="1">
      <alignment horizontal="center" vertical="center" wrapText="1"/>
    </xf>
    <xf numFmtId="2" fontId="4" fillId="2" borderId="13" xfId="0" applyNumberFormat="1" applyFont="1" applyFill="1" applyBorder="1" applyAlignment="1">
      <alignment horizontal="center" vertical="center" wrapText="1"/>
    </xf>
    <xf numFmtId="0" fontId="9" fillId="0" borderId="9" xfId="0" applyFont="1" applyBorder="1"/>
    <xf numFmtId="0" fontId="4" fillId="2" borderId="13" xfId="0" applyFont="1" applyFill="1" applyBorder="1" applyAlignment="1">
      <alignment vertical="center"/>
    </xf>
    <xf numFmtId="2" fontId="12" fillId="0" borderId="13" xfId="0" applyNumberFormat="1" applyFont="1" applyBorder="1" applyAlignment="1">
      <alignment horizontal="center" vertical="center" wrapText="1"/>
    </xf>
    <xf numFmtId="2" fontId="22" fillId="0" borderId="0" xfId="0" applyNumberFormat="1" applyFont="1" applyAlignment="1">
      <alignment horizontal="center" vertical="center"/>
    </xf>
    <xf numFmtId="0" fontId="4" fillId="2" borderId="16" xfId="0" applyFont="1" applyFill="1" applyBorder="1" applyAlignment="1">
      <alignment horizontal="center" vertical="center" wrapText="1"/>
    </xf>
    <xf numFmtId="2" fontId="4" fillId="2" borderId="16" xfId="0" applyNumberFormat="1" applyFont="1" applyFill="1" applyBorder="1" applyAlignment="1">
      <alignment horizontal="center" vertical="center" wrapText="1"/>
    </xf>
    <xf numFmtId="0" fontId="9" fillId="0" borderId="0" xfId="0" applyFont="1" applyAlignment="1">
      <alignment horizontal="right"/>
    </xf>
    <xf numFmtId="0" fontId="4" fillId="0" borderId="13" xfId="0" applyFont="1" applyBorder="1" applyAlignment="1">
      <alignment horizontal="center" textRotation="90"/>
    </xf>
    <xf numFmtId="3" fontId="31" fillId="0" borderId="13" xfId="0" applyNumberFormat="1" applyFont="1" applyBorder="1" applyAlignment="1">
      <alignment horizontal="center" vertical="center"/>
    </xf>
    <xf numFmtId="2" fontId="31" fillId="0" borderId="13" xfId="0" applyNumberFormat="1" applyFont="1" applyBorder="1" applyAlignment="1">
      <alignment horizontal="center" vertical="center"/>
    </xf>
    <xf numFmtId="0" fontId="28" fillId="2" borderId="18" xfId="0" applyFont="1" applyFill="1" applyBorder="1" applyAlignment="1">
      <alignment vertical="center"/>
    </xf>
    <xf numFmtId="0" fontId="28" fillId="2" borderId="13" xfId="0" applyFont="1" applyFill="1" applyBorder="1" applyAlignment="1">
      <alignment horizontal="center" vertical="center"/>
    </xf>
    <xf numFmtId="0" fontId="31" fillId="0" borderId="13" xfId="0" applyFont="1" applyBorder="1" applyAlignment="1">
      <alignment horizontal="center" vertical="center"/>
    </xf>
    <xf numFmtId="10" fontId="31" fillId="0" borderId="13" xfId="0" applyNumberFormat="1" applyFont="1" applyBorder="1" applyAlignment="1">
      <alignment horizontal="center" vertical="center"/>
    </xf>
    <xf numFmtId="10" fontId="32" fillId="0" borderId="13" xfId="0" applyNumberFormat="1" applyFont="1" applyBorder="1" applyAlignment="1">
      <alignment horizontal="center" vertical="center"/>
    </xf>
    <xf numFmtId="175" fontId="9" fillId="0" borderId="13" xfId="0" applyNumberFormat="1" applyFont="1" applyBorder="1" applyAlignment="1">
      <alignment horizontal="center" vertical="center" wrapText="1"/>
    </xf>
    <xf numFmtId="3" fontId="9" fillId="0" borderId="13" xfId="0" applyNumberFormat="1" applyFont="1" applyBorder="1" applyAlignment="1">
      <alignment horizontal="center" vertical="center" wrapText="1"/>
    </xf>
    <xf numFmtId="169" fontId="16" fillId="0" borderId="13" xfId="0" applyNumberFormat="1" applyFont="1" applyBorder="1" applyAlignment="1">
      <alignment horizontal="center" vertical="center" wrapText="1"/>
    </xf>
    <xf numFmtId="0" fontId="0" fillId="0" borderId="0" xfId="0" applyAlignment="1">
      <alignment wrapText="1"/>
    </xf>
    <xf numFmtId="9" fontId="11" fillId="0" borderId="0" xfId="1" applyFont="1" applyAlignment="1">
      <alignment vertical="center"/>
    </xf>
    <xf numFmtId="44" fontId="11" fillId="0" borderId="0" xfId="2" applyFont="1" applyAlignment="1">
      <alignment vertical="center"/>
    </xf>
    <xf numFmtId="0" fontId="0" fillId="0" borderId="35" xfId="0" applyBorder="1"/>
    <xf numFmtId="0" fontId="0" fillId="0" borderId="29" xfId="0" applyBorder="1"/>
    <xf numFmtId="0" fontId="8" fillId="0" borderId="35" xfId="0" applyFont="1" applyBorder="1"/>
    <xf numFmtId="0" fontId="5" fillId="0" borderId="35" xfId="0" applyFont="1" applyBorder="1"/>
    <xf numFmtId="2" fontId="9" fillId="10" borderId="13" xfId="0" applyNumberFormat="1" applyFont="1" applyFill="1" applyBorder="1" applyAlignment="1">
      <alignment horizontal="center" vertical="center"/>
    </xf>
    <xf numFmtId="2" fontId="9" fillId="10" borderId="13" xfId="0" applyNumberFormat="1" applyFont="1" applyFill="1" applyBorder="1" applyAlignment="1">
      <alignment horizontal="center" vertical="center" wrapText="1"/>
    </xf>
    <xf numFmtId="42" fontId="42" fillId="0" borderId="103" xfId="7" applyFont="1" applyBorder="1" applyAlignment="1">
      <alignment vertical="center"/>
    </xf>
    <xf numFmtId="42" fontId="42" fillId="0" borderId="104" xfId="7" applyFont="1" applyBorder="1" applyAlignment="1">
      <alignment vertical="center"/>
    </xf>
    <xf numFmtId="0" fontId="42" fillId="0" borderId="104" xfId="6" applyFont="1" applyBorder="1" applyAlignment="1">
      <alignment vertical="center"/>
    </xf>
    <xf numFmtId="42" fontId="42" fillId="0" borderId="106" xfId="7" applyFont="1" applyBorder="1" applyAlignment="1">
      <alignment vertical="center"/>
    </xf>
    <xf numFmtId="42" fontId="42" fillId="0" borderId="38" xfId="7" applyFont="1" applyBorder="1" applyAlignment="1">
      <alignment vertical="center"/>
    </xf>
    <xf numFmtId="0" fontId="42" fillId="0" borderId="38" xfId="6" applyFont="1" applyBorder="1" applyAlignment="1">
      <alignment vertical="center"/>
    </xf>
    <xf numFmtId="42" fontId="42" fillId="0" borderId="108" xfId="7" applyFont="1" applyBorder="1" applyAlignment="1">
      <alignment vertical="center"/>
    </xf>
    <xf numFmtId="42" fontId="42" fillId="0" borderId="109" xfId="7" applyFont="1" applyBorder="1" applyAlignment="1">
      <alignment vertical="center"/>
    </xf>
    <xf numFmtId="0" fontId="42" fillId="0" borderId="109" xfId="6" applyFont="1" applyBorder="1" applyAlignment="1">
      <alignment vertical="center"/>
    </xf>
    <xf numFmtId="0" fontId="44" fillId="0" borderId="111" xfId="6" applyFont="1" applyBorder="1" applyAlignment="1">
      <alignment horizontal="center" vertical="center"/>
    </xf>
    <xf numFmtId="0" fontId="44" fillId="0" borderId="112" xfId="6" applyFont="1" applyBorder="1" applyAlignment="1">
      <alignment horizontal="center" vertical="center"/>
    </xf>
    <xf numFmtId="189" fontId="44" fillId="0" borderId="114" xfId="6" applyNumberFormat="1" applyFont="1" applyBorder="1" applyAlignment="1">
      <alignment vertical="center"/>
    </xf>
    <xf numFmtId="189" fontId="42" fillId="0" borderId="103" xfId="6" applyNumberFormat="1" applyFont="1" applyBorder="1" applyAlignment="1">
      <alignment vertical="center"/>
    </xf>
    <xf numFmtId="189" fontId="42" fillId="0" borderId="108" xfId="6" applyNumberFormat="1" applyFont="1" applyBorder="1" applyAlignment="1">
      <alignment vertical="center"/>
    </xf>
    <xf numFmtId="189" fontId="42" fillId="0" borderId="122" xfId="6" applyNumberFormat="1" applyFont="1" applyBorder="1" applyAlignment="1">
      <alignment vertical="center"/>
    </xf>
    <xf numFmtId="189" fontId="42" fillId="0" borderId="125" xfId="6" applyNumberFormat="1" applyFont="1" applyBorder="1" applyAlignment="1">
      <alignment vertical="center"/>
    </xf>
    <xf numFmtId="0" fontId="44" fillId="0" borderId="114" xfId="6" applyFont="1" applyBorder="1" applyAlignment="1">
      <alignment horizontal="center" vertical="center"/>
    </xf>
    <xf numFmtId="10" fontId="44" fillId="0" borderId="114" xfId="6" applyNumberFormat="1" applyFont="1" applyBorder="1" applyAlignment="1">
      <alignment horizontal="center" vertical="center"/>
    </xf>
    <xf numFmtId="10" fontId="42" fillId="0" borderId="103" xfId="6" applyNumberFormat="1" applyFont="1" applyBorder="1" applyAlignment="1">
      <alignment horizontal="center" vertical="center"/>
    </xf>
    <xf numFmtId="10" fontId="42" fillId="0" borderId="108" xfId="6" applyNumberFormat="1" applyFont="1" applyBorder="1" applyAlignment="1">
      <alignment horizontal="center" vertical="center"/>
    </xf>
    <xf numFmtId="10" fontId="42" fillId="0" borderId="106" xfId="6" applyNumberFormat="1" applyFont="1" applyBorder="1" applyAlignment="1">
      <alignment horizontal="center" vertical="center"/>
    </xf>
    <xf numFmtId="10" fontId="42" fillId="0" borderId="125" xfId="6" applyNumberFormat="1" applyFont="1" applyBorder="1" applyAlignment="1">
      <alignment horizontal="center" vertical="center"/>
    </xf>
    <xf numFmtId="10" fontId="42" fillId="0" borderId="122" xfId="6" applyNumberFormat="1" applyFont="1" applyBorder="1" applyAlignment="1">
      <alignment horizontal="center" vertical="center"/>
    </xf>
    <xf numFmtId="3" fontId="42" fillId="0" borderId="122" xfId="6" applyNumberFormat="1" applyFont="1" applyBorder="1" applyAlignment="1">
      <alignment horizontal="center" vertical="center"/>
    </xf>
    <xf numFmtId="3" fontId="44" fillId="0" borderId="106" xfId="6" applyNumberFormat="1" applyFont="1" applyBorder="1" applyAlignment="1">
      <alignment horizontal="center" vertical="center"/>
    </xf>
    <xf numFmtId="3" fontId="42" fillId="0" borderId="108" xfId="6" applyNumberFormat="1" applyFont="1" applyBorder="1" applyAlignment="1">
      <alignment horizontal="center" vertical="center"/>
    </xf>
    <xf numFmtId="0" fontId="27" fillId="0" borderId="27" xfId="0" applyFont="1" applyBorder="1"/>
    <xf numFmtId="0" fontId="3" fillId="0" borderId="16" xfId="0" applyFont="1" applyBorder="1" applyAlignment="1">
      <alignment horizontal="center" vertical="center"/>
    </xf>
    <xf numFmtId="0" fontId="3" fillId="0" borderId="13" xfId="0" applyFont="1" applyBorder="1" applyAlignment="1">
      <alignment horizontal="center" vertical="center"/>
    </xf>
    <xf numFmtId="0" fontId="27" fillId="0" borderId="35" xfId="0" applyFont="1" applyBorder="1"/>
    <xf numFmtId="0" fontId="3" fillId="0" borderId="35" xfId="0" applyFont="1" applyBorder="1" applyAlignment="1">
      <alignment vertical="center"/>
    </xf>
    <xf numFmtId="2" fontId="3" fillId="10" borderId="38" xfId="0" applyNumberFormat="1" applyFont="1" applyFill="1" applyBorder="1" applyAlignment="1">
      <alignment horizontal="center" vertical="center" wrapText="1"/>
    </xf>
    <xf numFmtId="2" fontId="3" fillId="0" borderId="38" xfId="0" applyNumberFormat="1" applyFont="1" applyBorder="1" applyAlignment="1">
      <alignment horizontal="center" vertical="center" wrapText="1"/>
    </xf>
    <xf numFmtId="2" fontId="3" fillId="0" borderId="13" xfId="0" applyNumberFormat="1" applyFont="1" applyBorder="1" applyAlignment="1">
      <alignment horizontal="center" vertical="center" wrapText="1"/>
    </xf>
    <xf numFmtId="0" fontId="27" fillId="0" borderId="29" xfId="0" applyFont="1" applyBorder="1"/>
    <xf numFmtId="9" fontId="3" fillId="0" borderId="13" xfId="1" applyFont="1" applyBorder="1" applyAlignment="1">
      <alignment horizontal="center" vertical="center" wrapText="1"/>
    </xf>
    <xf numFmtId="2" fontId="22" fillId="13" borderId="13" xfId="0" applyNumberFormat="1" applyFont="1" applyFill="1" applyBorder="1" applyAlignment="1">
      <alignment horizontal="center" vertical="center"/>
    </xf>
    <xf numFmtId="2" fontId="22" fillId="13" borderId="35" xfId="0" applyNumberFormat="1" applyFont="1" applyFill="1" applyBorder="1" applyAlignment="1">
      <alignment horizontal="center" vertical="center"/>
    </xf>
    <xf numFmtId="0" fontId="9" fillId="0" borderId="36" xfId="0" applyFont="1" applyBorder="1"/>
    <xf numFmtId="0" fontId="9" fillId="0" borderId="35" xfId="0" applyFont="1" applyBorder="1" applyAlignment="1">
      <alignment wrapText="1"/>
    </xf>
    <xf numFmtId="0" fontId="9" fillId="0" borderId="32" xfId="0" applyFont="1" applyBorder="1" applyAlignment="1">
      <alignment wrapText="1"/>
    </xf>
    <xf numFmtId="44" fontId="0" fillId="0" borderId="0" xfId="2" applyFont="1"/>
    <xf numFmtId="44" fontId="11" fillId="0" borderId="0" xfId="0" applyNumberFormat="1" applyFont="1" applyAlignment="1">
      <alignment vertical="center"/>
    </xf>
    <xf numFmtId="0" fontId="0" fillId="0" borderId="0" xfId="0" applyAlignment="1">
      <alignment horizontal="center"/>
    </xf>
    <xf numFmtId="175" fontId="3" fillId="0" borderId="13" xfId="0" applyNumberFormat="1" applyFont="1" applyBorder="1" applyAlignment="1">
      <alignment horizontal="center" vertical="center" wrapText="1"/>
    </xf>
    <xf numFmtId="176" fontId="3" fillId="0" borderId="13" xfId="0" applyNumberFormat="1" applyFont="1" applyBorder="1" applyAlignment="1">
      <alignment horizontal="center" vertical="center"/>
    </xf>
    <xf numFmtId="2" fontId="22" fillId="0" borderId="28" xfId="0" applyNumberFormat="1" applyFont="1" applyBorder="1" applyAlignment="1">
      <alignment horizontal="center" vertical="center"/>
    </xf>
    <xf numFmtId="2" fontId="22" fillId="13" borderId="28" xfId="0" applyNumberFormat="1" applyFont="1" applyFill="1" applyBorder="1" applyAlignment="1">
      <alignment horizontal="center" vertical="center"/>
    </xf>
    <xf numFmtId="0" fontId="0" fillId="0" borderId="13" xfId="0" applyBorder="1"/>
    <xf numFmtId="0" fontId="5" fillId="0" borderId="30" xfId="0" applyFont="1" applyBorder="1"/>
    <xf numFmtId="0" fontId="5" fillId="7" borderId="30" xfId="0" applyFont="1" applyFill="1" applyBorder="1"/>
    <xf numFmtId="164" fontId="3" fillId="0" borderId="18" xfId="0" applyNumberFormat="1" applyFont="1" applyBorder="1" applyAlignment="1">
      <alignment horizontal="center" vertical="center"/>
    </xf>
    <xf numFmtId="164" fontId="3" fillId="7" borderId="18" xfId="0" applyNumberFormat="1" applyFont="1" applyFill="1" applyBorder="1" applyAlignment="1">
      <alignment horizontal="center" vertical="center"/>
    </xf>
    <xf numFmtId="2" fontId="47" fillId="0" borderId="13" xfId="0" applyNumberFormat="1" applyFont="1" applyBorder="1" applyAlignment="1">
      <alignment horizontal="center" vertical="center" wrapText="1"/>
    </xf>
    <xf numFmtId="2" fontId="47" fillId="17" borderId="13" xfId="0" applyNumberFormat="1" applyFont="1" applyFill="1" applyBorder="1" applyAlignment="1">
      <alignment horizontal="center" vertical="center" wrapText="1"/>
    </xf>
    <xf numFmtId="2" fontId="47" fillId="17" borderId="169" xfId="0" applyNumberFormat="1" applyFont="1" applyFill="1" applyBorder="1" applyAlignment="1">
      <alignment horizontal="center" vertical="center" wrapText="1"/>
    </xf>
    <xf numFmtId="2" fontId="47" fillId="0" borderId="169" xfId="0" applyNumberFormat="1" applyFont="1" applyBorder="1" applyAlignment="1">
      <alignment horizontal="center" vertical="center" wrapText="1"/>
    </xf>
    <xf numFmtId="2" fontId="3" fillId="17" borderId="13" xfId="0" applyNumberFormat="1" applyFont="1" applyFill="1" applyBorder="1" applyAlignment="1">
      <alignment horizontal="center" vertical="center" wrapText="1"/>
    </xf>
    <xf numFmtId="164" fontId="9" fillId="0" borderId="18" xfId="0" applyNumberFormat="1" applyFont="1" applyBorder="1" applyAlignment="1">
      <alignment horizontal="center" vertical="center"/>
    </xf>
    <xf numFmtId="0" fontId="51" fillId="0" borderId="35" xfId="0" applyFont="1" applyBorder="1"/>
    <xf numFmtId="0" fontId="51" fillId="0" borderId="0" xfId="0" applyFont="1"/>
    <xf numFmtId="190" fontId="0" fillId="0" borderId="0" xfId="0" applyNumberFormat="1"/>
    <xf numFmtId="0" fontId="45" fillId="0" borderId="0" xfId="0" applyFont="1"/>
    <xf numFmtId="3" fontId="13" fillId="4" borderId="39" xfId="4" applyNumberFormat="1" applyFont="1" applyFill="1" applyBorder="1"/>
    <xf numFmtId="3" fontId="13" fillId="4" borderId="20" xfId="4" applyNumberFormat="1" applyFont="1" applyFill="1" applyBorder="1"/>
    <xf numFmtId="183" fontId="13" fillId="4" borderId="20" xfId="4" applyNumberFormat="1" applyFont="1" applyFill="1" applyBorder="1"/>
    <xf numFmtId="3" fontId="56" fillId="4" borderId="39" xfId="4" applyNumberFormat="1" applyFont="1" applyFill="1" applyBorder="1"/>
    <xf numFmtId="3" fontId="56" fillId="4" borderId="20" xfId="4" applyNumberFormat="1" applyFont="1" applyFill="1" applyBorder="1"/>
    <xf numFmtId="183" fontId="56" fillId="4" borderId="20" xfId="4" applyNumberFormat="1" applyFont="1" applyFill="1" applyBorder="1"/>
    <xf numFmtId="0" fontId="57" fillId="0" borderId="60" xfId="4" applyFont="1" applyBorder="1" applyAlignment="1">
      <alignment vertical="center"/>
    </xf>
    <xf numFmtId="14" fontId="13" fillId="4" borderId="25" xfId="4" applyNumberFormat="1" applyFont="1" applyFill="1" applyBorder="1" applyAlignment="1">
      <alignment horizontal="left" vertical="center"/>
    </xf>
    <xf numFmtId="187" fontId="13" fillId="4" borderId="35" xfId="4" applyNumberFormat="1" applyFont="1" applyFill="1" applyAlignment="1">
      <alignment horizontal="left" vertical="center"/>
    </xf>
    <xf numFmtId="14" fontId="13" fillId="4" borderId="35" xfId="4" applyNumberFormat="1" applyFont="1" applyFill="1" applyAlignment="1">
      <alignment horizontal="right" vertical="center"/>
    </xf>
    <xf numFmtId="49" fontId="13" fillId="4" borderId="35" xfId="4" applyNumberFormat="1" applyFont="1" applyFill="1" applyAlignment="1">
      <alignment vertical="center"/>
    </xf>
    <xf numFmtId="0" fontId="13" fillId="4" borderId="35" xfId="4" applyFont="1" applyFill="1"/>
    <xf numFmtId="0" fontId="13" fillId="4" borderId="58" xfId="4" applyFont="1" applyFill="1" applyBorder="1"/>
    <xf numFmtId="0" fontId="13" fillId="4" borderId="35" xfId="4" applyFont="1" applyFill="1" applyAlignment="1">
      <alignment vertical="center"/>
    </xf>
    <xf numFmtId="0" fontId="13" fillId="4" borderId="35" xfId="4" applyFont="1" applyFill="1" applyAlignment="1">
      <alignment horizontal="left" vertical="center"/>
    </xf>
    <xf numFmtId="1" fontId="13" fillId="4" borderId="35" xfId="4" applyNumberFormat="1" applyFont="1" applyFill="1" applyAlignment="1">
      <alignment horizontal="left" vertical="center"/>
    </xf>
    <xf numFmtId="14" fontId="13" fillId="4" borderId="25" xfId="4" applyNumberFormat="1" applyFont="1" applyFill="1" applyBorder="1" applyAlignment="1">
      <alignment horizontal="left" vertical="top"/>
    </xf>
    <xf numFmtId="14" fontId="13" fillId="4" borderId="25" xfId="4" applyNumberFormat="1" applyFont="1" applyFill="1" applyBorder="1" applyAlignment="1">
      <alignment vertical="center"/>
    </xf>
    <xf numFmtId="14" fontId="13" fillId="4" borderId="35" xfId="4" applyNumberFormat="1" applyFont="1" applyFill="1" applyAlignment="1">
      <alignment vertical="center"/>
    </xf>
    <xf numFmtId="14" fontId="13" fillId="4" borderId="35" xfId="4" applyNumberFormat="1" applyFont="1" applyFill="1" applyAlignment="1">
      <alignment horizontal="center" vertical="center"/>
    </xf>
    <xf numFmtId="14" fontId="13" fillId="4" borderId="58" xfId="4" applyNumberFormat="1" applyFont="1" applyFill="1" applyBorder="1" applyAlignment="1">
      <alignment horizontal="center" vertical="center"/>
    </xf>
    <xf numFmtId="0" fontId="13" fillId="0" borderId="25" xfId="4" applyFont="1" applyBorder="1"/>
    <xf numFmtId="3" fontId="13" fillId="4" borderId="78" xfId="4" applyNumberFormat="1" applyFont="1" applyFill="1" applyBorder="1" applyAlignment="1">
      <alignment horizontal="left"/>
    </xf>
    <xf numFmtId="0" fontId="13" fillId="4" borderId="95" xfId="4" applyFont="1" applyFill="1" applyBorder="1" applyAlignment="1">
      <alignment horizontal="left"/>
    </xf>
    <xf numFmtId="0" fontId="13" fillId="4" borderId="95" xfId="4" applyFont="1" applyFill="1" applyBorder="1"/>
    <xf numFmtId="181" fontId="13" fillId="0" borderId="78" xfId="4" applyNumberFormat="1" applyFont="1" applyBorder="1"/>
    <xf numFmtId="182" fontId="13" fillId="0" borderId="92" xfId="4" applyNumberFormat="1" applyFont="1" applyBorder="1"/>
    <xf numFmtId="3" fontId="13" fillId="4" borderId="94" xfId="4" applyNumberFormat="1" applyFont="1" applyFill="1" applyBorder="1" applyAlignment="1">
      <alignment horizontal="left"/>
    </xf>
    <xf numFmtId="0" fontId="13" fillId="4" borderId="93" xfId="4" applyFont="1" applyFill="1" applyBorder="1" applyAlignment="1">
      <alignment horizontal="left"/>
    </xf>
    <xf numFmtId="0" fontId="13" fillId="4" borderId="93" xfId="4" applyFont="1" applyFill="1" applyBorder="1"/>
    <xf numFmtId="183" fontId="13" fillId="4" borderId="93" xfId="4" applyNumberFormat="1" applyFont="1" applyFill="1" applyBorder="1"/>
    <xf numFmtId="183" fontId="13" fillId="4" borderId="93" xfId="4" applyNumberFormat="1" applyFont="1" applyFill="1" applyBorder="1" applyAlignment="1">
      <alignment horizontal="left"/>
    </xf>
    <xf numFmtId="184" fontId="13" fillId="4" borderId="93" xfId="4" applyNumberFormat="1" applyFont="1" applyFill="1" applyBorder="1"/>
    <xf numFmtId="185" fontId="13" fillId="4" borderId="93" xfId="4" applyNumberFormat="1" applyFont="1" applyFill="1" applyBorder="1"/>
    <xf numFmtId="3" fontId="13" fillId="4" borderId="64" xfId="4" applyNumberFormat="1" applyFont="1" applyFill="1" applyBorder="1" applyAlignment="1">
      <alignment horizontal="left"/>
    </xf>
    <xf numFmtId="3" fontId="13" fillId="4" borderId="71" xfId="4" applyNumberFormat="1" applyFont="1" applyFill="1" applyBorder="1" applyAlignment="1">
      <alignment horizontal="left"/>
    </xf>
    <xf numFmtId="183" fontId="13" fillId="4" borderId="73" xfId="4" applyNumberFormat="1" applyFont="1" applyFill="1" applyBorder="1" applyAlignment="1">
      <alignment horizontal="left"/>
    </xf>
    <xf numFmtId="2" fontId="13" fillId="4" borderId="73" xfId="4" applyNumberFormat="1" applyFont="1" applyFill="1" applyBorder="1"/>
    <xf numFmtId="181" fontId="13" fillId="4" borderId="91" xfId="4" applyNumberFormat="1" applyFont="1" applyFill="1" applyBorder="1" applyAlignment="1">
      <alignment horizontal="right"/>
    </xf>
    <xf numFmtId="182" fontId="13" fillId="4" borderId="90" xfId="4" applyNumberFormat="1" applyFont="1" applyFill="1" applyBorder="1"/>
    <xf numFmtId="0" fontId="13" fillId="0" borderId="35" xfId="4" applyFont="1"/>
    <xf numFmtId="3" fontId="57" fillId="0" borderId="68" xfId="4" applyNumberFormat="1" applyFont="1" applyBorder="1" applyAlignment="1">
      <alignment horizontal="left"/>
    </xf>
    <xf numFmtId="3" fontId="58" fillId="0" borderId="68" xfId="4" applyNumberFormat="1" applyFont="1" applyBorder="1" applyAlignment="1">
      <alignment horizontal="right"/>
    </xf>
    <xf numFmtId="181" fontId="13" fillId="0" borderId="67" xfId="4" applyNumberFormat="1" applyFont="1" applyBorder="1"/>
    <xf numFmtId="3" fontId="57" fillId="0" borderId="35" xfId="4" applyNumberFormat="1" applyFont="1" applyAlignment="1">
      <alignment horizontal="right"/>
    </xf>
    <xf numFmtId="0" fontId="13" fillId="0" borderId="88" xfId="4" applyFont="1" applyBorder="1"/>
    <xf numFmtId="0" fontId="13" fillId="0" borderId="87" xfId="4" applyFont="1" applyBorder="1"/>
    <xf numFmtId="3" fontId="13" fillId="0" borderId="35" xfId="4" applyNumberFormat="1" applyFont="1" applyAlignment="1">
      <alignment horizontal="left"/>
    </xf>
    <xf numFmtId="183" fontId="13" fillId="0" borderId="86" xfId="4" applyNumberFormat="1" applyFont="1" applyBorder="1" applyAlignment="1">
      <alignment horizontal="center"/>
    </xf>
    <xf numFmtId="183" fontId="13" fillId="0" borderId="85" xfId="4" applyNumberFormat="1" applyFont="1" applyBorder="1" applyAlignment="1">
      <alignment horizontal="center"/>
    </xf>
    <xf numFmtId="183" fontId="13" fillId="0" borderId="84" xfId="4" applyNumberFormat="1" applyFont="1" applyBorder="1" applyAlignment="1">
      <alignment horizontal="center"/>
    </xf>
    <xf numFmtId="0" fontId="13" fillId="0" borderId="83" xfId="4" applyFont="1" applyBorder="1" applyAlignment="1">
      <alignment horizontal="center"/>
    </xf>
    <xf numFmtId="3" fontId="58" fillId="0" borderId="25" xfId="4" applyNumberFormat="1" applyFont="1" applyBorder="1" applyAlignment="1">
      <alignment horizontal="left"/>
    </xf>
    <xf numFmtId="181" fontId="13" fillId="4" borderId="82" xfId="4" applyNumberFormat="1" applyFont="1" applyFill="1" applyBorder="1" applyAlignment="1">
      <alignment horizontal="right"/>
    </xf>
    <xf numFmtId="181" fontId="13" fillId="4" borderId="81" xfId="4" applyNumberFormat="1" applyFont="1" applyFill="1" applyBorder="1" applyAlignment="1">
      <alignment horizontal="right"/>
    </xf>
    <xf numFmtId="0" fontId="13" fillId="4" borderId="80" xfId="4" applyFont="1" applyFill="1" applyBorder="1"/>
    <xf numFmtId="181" fontId="13" fillId="0" borderId="79" xfId="4" applyNumberFormat="1" applyFont="1" applyBorder="1"/>
    <xf numFmtId="3" fontId="13" fillId="4" borderId="35" xfId="4" applyNumberFormat="1" applyFont="1" applyFill="1" applyAlignment="1">
      <alignment horizontal="left"/>
    </xf>
    <xf numFmtId="181" fontId="13" fillId="4" borderId="77" xfId="4" applyNumberFormat="1" applyFont="1" applyFill="1" applyBorder="1" applyAlignment="1">
      <alignment horizontal="right"/>
    </xf>
    <xf numFmtId="181" fontId="13" fillId="4" borderId="76" xfId="4" applyNumberFormat="1" applyFont="1" applyFill="1" applyBorder="1" applyAlignment="1">
      <alignment horizontal="right"/>
    </xf>
    <xf numFmtId="0" fontId="13" fillId="4" borderId="88" xfId="4" applyFont="1" applyFill="1" applyBorder="1"/>
    <xf numFmtId="181" fontId="13" fillId="0" borderId="87" xfId="4" applyNumberFormat="1" applyFont="1" applyBorder="1"/>
    <xf numFmtId="3" fontId="13" fillId="4" borderId="73" xfId="4" applyNumberFormat="1" applyFont="1" applyFill="1" applyBorder="1" applyAlignment="1">
      <alignment horizontal="left"/>
    </xf>
    <xf numFmtId="181" fontId="13" fillId="4" borderId="72" xfId="4" applyNumberFormat="1" applyFont="1" applyFill="1" applyBorder="1" applyAlignment="1">
      <alignment horizontal="right"/>
    </xf>
    <xf numFmtId="181" fontId="13" fillId="4" borderId="71" xfId="4" applyNumberFormat="1" applyFont="1" applyFill="1" applyBorder="1" applyAlignment="1">
      <alignment horizontal="right"/>
    </xf>
    <xf numFmtId="0" fontId="13" fillId="4" borderId="70" xfId="4" applyFont="1" applyFill="1" applyBorder="1"/>
    <xf numFmtId="181" fontId="13" fillId="0" borderId="89" xfId="4" applyNumberFormat="1" applyFont="1" applyBorder="1"/>
    <xf numFmtId="3" fontId="57" fillId="0" borderId="88" xfId="4" applyNumberFormat="1" applyFont="1" applyBorder="1" applyAlignment="1">
      <alignment horizontal="right"/>
    </xf>
    <xf numFmtId="9" fontId="13" fillId="4" borderId="80" xfId="4" applyNumberFormat="1" applyFont="1" applyFill="1" applyBorder="1"/>
    <xf numFmtId="0" fontId="13" fillId="4" borderId="75" xfId="4" applyFont="1" applyFill="1" applyBorder="1"/>
    <xf numFmtId="181" fontId="13" fillId="0" borderId="74" xfId="4" applyNumberFormat="1" applyFont="1" applyBorder="1"/>
    <xf numFmtId="181" fontId="13" fillId="0" borderId="69" xfId="4" applyNumberFormat="1" applyFont="1" applyBorder="1"/>
    <xf numFmtId="0" fontId="58" fillId="0" borderId="25" xfId="4" applyFont="1" applyBorder="1"/>
    <xf numFmtId="184" fontId="13" fillId="4" borderId="80" xfId="4" applyNumberFormat="1" applyFont="1" applyFill="1" applyBorder="1"/>
    <xf numFmtId="183" fontId="13" fillId="4" borderId="75" xfId="4" applyNumberFormat="1" applyFont="1" applyFill="1" applyBorder="1"/>
    <xf numFmtId="3" fontId="13" fillId="0" borderId="25" xfId="4" applyNumberFormat="1" applyFont="1" applyBorder="1" applyAlignment="1">
      <alignment horizontal="left"/>
    </xf>
    <xf numFmtId="183" fontId="13" fillId="4" borderId="70" xfId="4" applyNumberFormat="1" applyFont="1" applyFill="1" applyBorder="1"/>
    <xf numFmtId="183" fontId="13" fillId="0" borderId="35" xfId="4" applyNumberFormat="1" applyFont="1"/>
    <xf numFmtId="0" fontId="13" fillId="0" borderId="58" xfId="4" applyFont="1" applyBorder="1"/>
    <xf numFmtId="182" fontId="13" fillId="4" borderId="66" xfId="4" applyNumberFormat="1" applyFont="1" applyFill="1" applyBorder="1"/>
    <xf numFmtId="0" fontId="57" fillId="0" borderId="35" xfId="4" applyFont="1"/>
    <xf numFmtId="0" fontId="57" fillId="0" borderId="58" xfId="4" applyFont="1" applyBorder="1"/>
    <xf numFmtId="3" fontId="57" fillId="4" borderId="65" xfId="4" applyNumberFormat="1" applyFont="1" applyFill="1" applyBorder="1"/>
    <xf numFmtId="3" fontId="57" fillId="4" borderId="64" xfId="4" applyNumberFormat="1" applyFont="1" applyFill="1" applyBorder="1"/>
    <xf numFmtId="3" fontId="57" fillId="4" borderId="63" xfId="4" applyNumberFormat="1" applyFont="1" applyFill="1" applyBorder="1"/>
    <xf numFmtId="3" fontId="57" fillId="4" borderId="25" xfId="4" applyNumberFormat="1" applyFont="1" applyFill="1" applyBorder="1"/>
    <xf numFmtId="3" fontId="57" fillId="4" borderId="35" xfId="4" applyNumberFormat="1" applyFont="1" applyFill="1"/>
    <xf numFmtId="3" fontId="57" fillId="4" borderId="58" xfId="4" applyNumberFormat="1" applyFont="1" applyFill="1" applyBorder="1"/>
    <xf numFmtId="3" fontId="57" fillId="4" borderId="57" xfId="4" applyNumberFormat="1" applyFont="1" applyFill="1" applyBorder="1"/>
    <xf numFmtId="3" fontId="57" fillId="4" borderId="55" xfId="4" applyNumberFormat="1" applyFont="1" applyFill="1" applyBorder="1"/>
    <xf numFmtId="3" fontId="57" fillId="4" borderId="56" xfId="4" applyNumberFormat="1" applyFont="1" applyFill="1" applyBorder="1"/>
    <xf numFmtId="182" fontId="13" fillId="0" borderId="102" xfId="4" applyNumberFormat="1" applyFont="1" applyBorder="1"/>
    <xf numFmtId="0" fontId="13" fillId="0" borderId="86" xfId="4" applyFont="1" applyBorder="1" applyAlignment="1">
      <alignment horizontal="center"/>
    </xf>
    <xf numFmtId="181" fontId="13" fillId="0" borderId="82" xfId="4" applyNumberFormat="1" applyFont="1" applyBorder="1"/>
    <xf numFmtId="181" fontId="13" fillId="0" borderId="101" xfId="4" applyNumberFormat="1" applyFont="1" applyBorder="1"/>
    <xf numFmtId="181" fontId="13" fillId="0" borderId="100" xfId="4" applyNumberFormat="1" applyFont="1" applyBorder="1"/>
    <xf numFmtId="181" fontId="13" fillId="0" borderId="99" xfId="4" applyNumberFormat="1" applyFont="1" applyBorder="1"/>
    <xf numFmtId="183" fontId="13" fillId="4" borderId="80" xfId="4" applyNumberFormat="1" applyFont="1" applyFill="1" applyBorder="1"/>
    <xf numFmtId="0" fontId="24" fillId="0" borderId="35" xfId="4" applyFont="1"/>
    <xf numFmtId="14" fontId="56" fillId="4" borderId="25" xfId="4" applyNumberFormat="1" applyFont="1" applyFill="1" applyBorder="1" applyAlignment="1">
      <alignment horizontal="left" vertical="center"/>
    </xf>
    <xf numFmtId="187" fontId="56" fillId="4" borderId="35" xfId="4" applyNumberFormat="1" applyFont="1" applyFill="1" applyAlignment="1">
      <alignment horizontal="left" vertical="center"/>
    </xf>
    <xf numFmtId="14" fontId="56" fillId="4" borderId="35" xfId="4" applyNumberFormat="1" applyFont="1" applyFill="1" applyAlignment="1">
      <alignment horizontal="right" vertical="center"/>
    </xf>
    <xf numFmtId="49" fontId="56" fillId="4" borderId="35" xfId="4" applyNumberFormat="1" applyFont="1" applyFill="1" applyAlignment="1">
      <alignment vertical="center"/>
    </xf>
    <xf numFmtId="0" fontId="56" fillId="4" borderId="35" xfId="4" applyFont="1" applyFill="1"/>
    <xf numFmtId="0" fontId="56" fillId="4" borderId="58" xfId="4" applyFont="1" applyFill="1" applyBorder="1"/>
    <xf numFmtId="0" fontId="56" fillId="4" borderId="35" xfId="4" applyFont="1" applyFill="1" applyAlignment="1">
      <alignment vertical="center"/>
    </xf>
    <xf numFmtId="0" fontId="56" fillId="4" borderId="35" xfId="4" applyFont="1" applyFill="1" applyAlignment="1">
      <alignment horizontal="left" vertical="center"/>
    </xf>
    <xf numFmtId="1" fontId="56" fillId="4" borderId="35" xfId="4" applyNumberFormat="1" applyFont="1" applyFill="1" applyAlignment="1">
      <alignment horizontal="left" vertical="center"/>
    </xf>
    <xf numFmtId="14" fontId="56" fillId="4" borderId="25" xfId="4" applyNumberFormat="1" applyFont="1" applyFill="1" applyBorder="1" applyAlignment="1">
      <alignment horizontal="left" vertical="top"/>
    </xf>
    <xf numFmtId="14" fontId="56" fillId="4" borderId="25" xfId="4" applyNumberFormat="1" applyFont="1" applyFill="1" applyBorder="1" applyAlignment="1">
      <alignment vertical="center"/>
    </xf>
    <xf numFmtId="14" fontId="56" fillId="4" borderId="35" xfId="4" applyNumberFormat="1" applyFont="1" applyFill="1" applyAlignment="1">
      <alignment vertical="center"/>
    </xf>
    <xf numFmtId="14" fontId="56" fillId="4" borderId="35" xfId="4" applyNumberFormat="1" applyFont="1" applyFill="1" applyAlignment="1">
      <alignment horizontal="center" vertical="center"/>
    </xf>
    <xf numFmtId="14" fontId="56" fillId="4" borderId="58" xfId="4" applyNumberFormat="1" applyFont="1" applyFill="1" applyBorder="1" applyAlignment="1">
      <alignment horizontal="center" vertical="center"/>
    </xf>
    <xf numFmtId="0" fontId="56" fillId="0" borderId="25" xfId="4" applyFont="1" applyBorder="1"/>
    <xf numFmtId="3" fontId="56" fillId="4" borderId="78" xfId="4" applyNumberFormat="1" applyFont="1" applyFill="1" applyBorder="1" applyAlignment="1">
      <alignment horizontal="left"/>
    </xf>
    <xf numFmtId="0" fontId="56" fillId="4" borderId="95" xfId="4" applyFont="1" applyFill="1" applyBorder="1" applyAlignment="1">
      <alignment horizontal="left"/>
    </xf>
    <xf numFmtId="0" fontId="56" fillId="4" borderId="95" xfId="4" applyFont="1" applyFill="1" applyBorder="1"/>
    <xf numFmtId="181" fontId="56" fillId="0" borderId="95" xfId="4" applyNumberFormat="1" applyFont="1" applyBorder="1"/>
    <xf numFmtId="182" fontId="56" fillId="0" borderId="92" xfId="4" applyNumberFormat="1" applyFont="1" applyBorder="1"/>
    <xf numFmtId="3" fontId="56" fillId="4" borderId="94" xfId="4" applyNumberFormat="1" applyFont="1" applyFill="1" applyBorder="1" applyAlignment="1">
      <alignment horizontal="left"/>
    </xf>
    <xf numFmtId="0" fontId="56" fillId="4" borderId="93" xfId="4" applyFont="1" applyFill="1" applyBorder="1" applyAlignment="1">
      <alignment horizontal="left"/>
    </xf>
    <xf numFmtId="0" fontId="56" fillId="4" borderId="93" xfId="4" applyFont="1" applyFill="1" applyBorder="1"/>
    <xf numFmtId="181" fontId="56" fillId="0" borderId="93" xfId="4" applyNumberFormat="1" applyFont="1" applyBorder="1"/>
    <xf numFmtId="182" fontId="56" fillId="0" borderId="102" xfId="4" applyNumberFormat="1" applyFont="1" applyBorder="1"/>
    <xf numFmtId="183" fontId="56" fillId="4" borderId="93" xfId="4" applyNumberFormat="1" applyFont="1" applyFill="1" applyBorder="1" applyAlignment="1">
      <alignment horizontal="left"/>
    </xf>
    <xf numFmtId="183" fontId="56" fillId="4" borderId="93" xfId="4" applyNumberFormat="1" applyFont="1" applyFill="1" applyBorder="1"/>
    <xf numFmtId="3" fontId="56" fillId="4" borderId="64" xfId="4" applyNumberFormat="1" applyFont="1" applyFill="1" applyBorder="1" applyAlignment="1">
      <alignment horizontal="left"/>
    </xf>
    <xf numFmtId="3" fontId="56" fillId="4" borderId="71" xfId="4" applyNumberFormat="1" applyFont="1" applyFill="1" applyBorder="1" applyAlignment="1">
      <alignment horizontal="left"/>
    </xf>
    <xf numFmtId="183" fontId="56" fillId="4" borderId="73" xfId="4" applyNumberFormat="1" applyFont="1" applyFill="1" applyBorder="1" applyAlignment="1">
      <alignment horizontal="left"/>
    </xf>
    <xf numFmtId="2" fontId="56" fillId="4" borderId="73" xfId="4" applyNumberFormat="1" applyFont="1" applyFill="1" applyBorder="1"/>
    <xf numFmtId="181" fontId="56" fillId="4" borderId="91" xfId="4" applyNumberFormat="1" applyFont="1" applyFill="1" applyBorder="1" applyAlignment="1">
      <alignment horizontal="right"/>
    </xf>
    <xf numFmtId="0" fontId="56" fillId="0" borderId="35" xfId="4" applyFont="1"/>
    <xf numFmtId="3" fontId="59" fillId="0" borderId="68" xfId="4" applyNumberFormat="1" applyFont="1" applyBorder="1" applyAlignment="1">
      <alignment horizontal="left"/>
    </xf>
    <xf numFmtId="3" fontId="60" fillId="0" borderId="68" xfId="4" applyNumberFormat="1" applyFont="1" applyBorder="1" applyAlignment="1">
      <alignment horizontal="right"/>
    </xf>
    <xf numFmtId="181" fontId="56" fillId="0" borderId="67" xfId="4" applyNumberFormat="1" applyFont="1" applyBorder="1"/>
    <xf numFmtId="3" fontId="59" fillId="0" borderId="35" xfId="4" applyNumberFormat="1" applyFont="1" applyAlignment="1">
      <alignment horizontal="right"/>
    </xf>
    <xf numFmtId="0" fontId="56" fillId="0" borderId="88" xfId="4" applyFont="1" applyBorder="1"/>
    <xf numFmtId="0" fontId="56" fillId="0" borderId="87" xfId="4" applyFont="1" applyBorder="1"/>
    <xf numFmtId="3" fontId="56" fillId="0" borderId="35" xfId="4" applyNumberFormat="1" applyFont="1" applyAlignment="1">
      <alignment horizontal="left"/>
    </xf>
    <xf numFmtId="183" fontId="56" fillId="0" borderId="84" xfId="4" applyNumberFormat="1" applyFont="1" applyBorder="1" applyAlignment="1">
      <alignment horizontal="center"/>
    </xf>
    <xf numFmtId="0" fontId="56" fillId="0" borderId="83" xfId="4" applyFont="1" applyBorder="1" applyAlignment="1">
      <alignment horizontal="center"/>
    </xf>
    <xf numFmtId="3" fontId="60" fillId="0" borderId="25" xfId="4" applyNumberFormat="1" applyFont="1" applyBorder="1" applyAlignment="1">
      <alignment horizontal="left"/>
    </xf>
    <xf numFmtId="0" fontId="56" fillId="4" borderId="80" xfId="4" applyFont="1" applyFill="1" applyBorder="1"/>
    <xf numFmtId="181" fontId="56" fillId="0" borderId="79" xfId="4" applyNumberFormat="1" applyFont="1" applyBorder="1"/>
    <xf numFmtId="3" fontId="56" fillId="4" borderId="35" xfId="4" applyNumberFormat="1" applyFont="1" applyFill="1" applyAlignment="1">
      <alignment horizontal="left"/>
    </xf>
    <xf numFmtId="0" fontId="56" fillId="4" borderId="88" xfId="4" applyFont="1" applyFill="1" applyBorder="1"/>
    <xf numFmtId="181" fontId="56" fillId="0" borderId="87" xfId="4" applyNumberFormat="1" applyFont="1" applyBorder="1"/>
    <xf numFmtId="3" fontId="56" fillId="4" borderId="73" xfId="4" applyNumberFormat="1" applyFont="1" applyFill="1" applyBorder="1" applyAlignment="1">
      <alignment horizontal="left"/>
    </xf>
    <xf numFmtId="0" fontId="56" fillId="4" borderId="70" xfId="4" applyFont="1" applyFill="1" applyBorder="1"/>
    <xf numFmtId="181" fontId="56" fillId="0" borderId="89" xfId="4" applyNumberFormat="1" applyFont="1" applyBorder="1"/>
    <xf numFmtId="3" fontId="59" fillId="0" borderId="88" xfId="4" applyNumberFormat="1" applyFont="1" applyBorder="1" applyAlignment="1">
      <alignment horizontal="right"/>
    </xf>
    <xf numFmtId="9" fontId="56" fillId="4" borderId="80" xfId="4" applyNumberFormat="1" applyFont="1" applyFill="1" applyBorder="1"/>
    <xf numFmtId="0" fontId="56" fillId="4" borderId="75" xfId="4" applyFont="1" applyFill="1" applyBorder="1"/>
    <xf numFmtId="181" fontId="56" fillId="0" borderId="74" xfId="4" applyNumberFormat="1" applyFont="1" applyBorder="1"/>
    <xf numFmtId="181" fontId="56" fillId="0" borderId="69" xfId="4" applyNumberFormat="1" applyFont="1" applyBorder="1"/>
    <xf numFmtId="0" fontId="60" fillId="0" borderId="25" xfId="4" applyFont="1" applyBorder="1"/>
    <xf numFmtId="188" fontId="13" fillId="4" borderId="80" xfId="4" applyNumberFormat="1" applyFont="1" applyFill="1" applyBorder="1"/>
    <xf numFmtId="183" fontId="56" fillId="4" borderId="75" xfId="4" applyNumberFormat="1" applyFont="1" applyFill="1" applyBorder="1"/>
    <xf numFmtId="3" fontId="56" fillId="0" borderId="25" xfId="4" applyNumberFormat="1" applyFont="1" applyBorder="1" applyAlignment="1">
      <alignment horizontal="left"/>
    </xf>
    <xf numFmtId="183" fontId="56" fillId="4" borderId="70" xfId="4" applyNumberFormat="1" applyFont="1" applyFill="1" applyBorder="1"/>
    <xf numFmtId="183" fontId="56" fillId="0" borderId="35" xfId="4" applyNumberFormat="1" applyFont="1"/>
    <xf numFmtId="0" fontId="56" fillId="0" borderId="58" xfId="4" applyFont="1" applyBorder="1"/>
    <xf numFmtId="182" fontId="56" fillId="4" borderId="66" xfId="4" applyNumberFormat="1" applyFont="1" applyFill="1" applyBorder="1"/>
    <xf numFmtId="0" fontId="59" fillId="0" borderId="35" xfId="4" applyFont="1"/>
    <xf numFmtId="0" fontId="59" fillId="0" borderId="58" xfId="4" applyFont="1" applyBorder="1"/>
    <xf numFmtId="3" fontId="59" fillId="4" borderId="35" xfId="4" applyNumberFormat="1" applyFont="1" applyFill="1"/>
    <xf numFmtId="3" fontId="56" fillId="0" borderId="78" xfId="4" applyNumberFormat="1" applyFont="1" applyBorder="1" applyAlignment="1">
      <alignment horizontal="left"/>
    </xf>
    <xf numFmtId="0" fontId="56" fillId="4" borderId="95" xfId="4" applyFont="1" applyFill="1" applyBorder="1" applyAlignment="1">
      <alignment horizontal="center"/>
    </xf>
    <xf numFmtId="183" fontId="56" fillId="4" borderId="80" xfId="4" applyNumberFormat="1" applyFont="1" applyFill="1" applyBorder="1"/>
    <xf numFmtId="3" fontId="56" fillId="4" borderId="94" xfId="4" applyNumberFormat="1" applyFont="1" applyFill="1" applyBorder="1" applyAlignment="1">
      <alignment horizontal="left" vertical="center"/>
    </xf>
    <xf numFmtId="3" fontId="56" fillId="4" borderId="94" xfId="4" applyNumberFormat="1" applyFont="1" applyFill="1" applyBorder="1" applyAlignment="1">
      <alignment horizontal="left" vertical="center" wrapText="1"/>
    </xf>
    <xf numFmtId="184" fontId="56" fillId="4" borderId="93" xfId="4" applyNumberFormat="1" applyFont="1" applyFill="1" applyBorder="1"/>
    <xf numFmtId="182" fontId="13" fillId="0" borderId="94" xfId="4" applyNumberFormat="1" applyFont="1" applyBorder="1"/>
    <xf numFmtId="0" fontId="42" fillId="0" borderId="110" xfId="6" applyFont="1" applyBorder="1" applyAlignment="1">
      <alignment horizontal="center" vertical="center"/>
    </xf>
    <xf numFmtId="0" fontId="42" fillId="0" borderId="107" xfId="6" applyFont="1" applyBorder="1" applyAlignment="1">
      <alignment horizontal="center" vertical="center"/>
    </xf>
    <xf numFmtId="0" fontId="42" fillId="0" borderId="105" xfId="6" applyFont="1" applyBorder="1" applyAlignment="1">
      <alignment horizontal="center" vertical="center"/>
    </xf>
    <xf numFmtId="2" fontId="3" fillId="0" borderId="13" xfId="0" applyNumberFormat="1" applyFont="1" applyBorder="1" applyAlignment="1">
      <alignment horizontal="center" vertical="center"/>
    </xf>
    <xf numFmtId="1" fontId="9" fillId="0" borderId="35" xfId="0" applyNumberFormat="1" applyFont="1" applyBorder="1" applyAlignment="1">
      <alignment horizontal="center" vertical="center" wrapText="1"/>
    </xf>
    <xf numFmtId="14" fontId="9" fillId="0" borderId="13" xfId="0" applyNumberFormat="1" applyFont="1" applyBorder="1" applyAlignment="1">
      <alignment horizontal="center" vertical="center"/>
    </xf>
    <xf numFmtId="14" fontId="9" fillId="0" borderId="13" xfId="0" applyNumberFormat="1" applyFont="1" applyBorder="1" applyAlignment="1">
      <alignment horizontal="center" vertical="center" wrapText="1"/>
    </xf>
    <xf numFmtId="0" fontId="4" fillId="2" borderId="38" xfId="0" applyFont="1" applyFill="1" applyBorder="1" applyAlignment="1">
      <alignment horizontal="center" vertical="center"/>
    </xf>
    <xf numFmtId="0" fontId="27" fillId="0" borderId="20" xfId="0" applyFont="1" applyBorder="1"/>
    <xf numFmtId="0" fontId="0" fillId="0" borderId="35" xfId="0" applyBorder="1" applyAlignment="1">
      <alignment horizontal="center"/>
    </xf>
    <xf numFmtId="0" fontId="0" fillId="0" borderId="178" xfId="0" applyBorder="1" applyAlignment="1">
      <alignment horizontal="center"/>
    </xf>
    <xf numFmtId="0" fontId="33" fillId="0" borderId="35" xfId="0" applyFont="1" applyBorder="1" applyAlignment="1">
      <alignment vertical="center"/>
    </xf>
    <xf numFmtId="0" fontId="33" fillId="0" borderId="35" xfId="0" applyFont="1" applyBorder="1"/>
    <xf numFmtId="0" fontId="0" fillId="0" borderId="123" xfId="0" applyBorder="1"/>
    <xf numFmtId="0" fontId="0" fillId="0" borderId="179" xfId="0" applyBorder="1"/>
    <xf numFmtId="0" fontId="0" fillId="0" borderId="52" xfId="0" applyBorder="1"/>
    <xf numFmtId="0" fontId="0" fillId="0" borderId="53" xfId="0" applyBorder="1"/>
    <xf numFmtId="0" fontId="0" fillId="0" borderId="54" xfId="0" applyBorder="1"/>
    <xf numFmtId="0" fontId="0" fillId="0" borderId="180" xfId="0" applyBorder="1"/>
    <xf numFmtId="0" fontId="0" fillId="0" borderId="48" xfId="0" applyBorder="1"/>
    <xf numFmtId="0" fontId="0" fillId="0" borderId="173" xfId="0" applyBorder="1"/>
    <xf numFmtId="2" fontId="12" fillId="3" borderId="187" xfId="0" applyNumberFormat="1" applyFont="1" applyFill="1" applyBorder="1" applyAlignment="1">
      <alignment horizontal="center" vertical="center"/>
    </xf>
    <xf numFmtId="0" fontId="8" fillId="0" borderId="173" xfId="0" applyFont="1" applyBorder="1"/>
    <xf numFmtId="0" fontId="0" fillId="0" borderId="49" xfId="0" applyBorder="1"/>
    <xf numFmtId="0" fontId="0" fillId="0" borderId="174" xfId="0" applyBorder="1"/>
    <xf numFmtId="0" fontId="0" fillId="0" borderId="175" xfId="0" applyBorder="1"/>
    <xf numFmtId="0" fontId="29" fillId="0" borderId="48" xfId="0" applyFont="1" applyBorder="1"/>
    <xf numFmtId="0" fontId="31" fillId="0" borderId="35" xfId="0" applyFont="1" applyBorder="1" applyAlignment="1">
      <alignment vertical="center" wrapText="1"/>
    </xf>
    <xf numFmtId="0" fontId="31" fillId="0" borderId="35" xfId="0" applyFont="1" applyBorder="1" applyAlignment="1">
      <alignment vertical="center"/>
    </xf>
    <xf numFmtId="0" fontId="28" fillId="2" borderId="20" xfId="0" applyFont="1" applyFill="1" applyBorder="1" applyAlignment="1">
      <alignment vertical="center"/>
    </xf>
    <xf numFmtId="0" fontId="32" fillId="3" borderId="190" xfId="0" applyFont="1" applyFill="1" applyBorder="1" applyAlignment="1">
      <alignment horizontal="center" vertical="center"/>
    </xf>
    <xf numFmtId="0" fontId="31" fillId="0" borderId="190" xfId="0" applyFont="1" applyBorder="1" applyAlignment="1">
      <alignment horizontal="center" vertical="center"/>
    </xf>
    <xf numFmtId="0" fontId="12" fillId="3" borderId="190" xfId="0" applyFont="1" applyFill="1" applyBorder="1" applyAlignment="1">
      <alignment horizontal="center" vertical="center"/>
    </xf>
    <xf numFmtId="0" fontId="3" fillId="0" borderId="190" xfId="0" applyFont="1" applyBorder="1" applyAlignment="1">
      <alignment horizontal="center" vertical="center"/>
    </xf>
    <xf numFmtId="0" fontId="12" fillId="3" borderId="189" xfId="0" applyFont="1" applyFill="1" applyBorder="1" applyAlignment="1">
      <alignment horizontal="center" vertical="center"/>
    </xf>
    <xf numFmtId="0" fontId="29" fillId="0" borderId="35" xfId="0" applyFont="1" applyBorder="1" applyAlignment="1">
      <alignment wrapText="1"/>
    </xf>
    <xf numFmtId="0" fontId="29" fillId="0" borderId="35" xfId="0" applyFont="1" applyBorder="1"/>
    <xf numFmtId="0" fontId="29" fillId="0" borderId="173" xfId="0" applyFont="1" applyBorder="1"/>
    <xf numFmtId="0" fontId="31" fillId="0" borderId="35" xfId="0" applyFont="1" applyBorder="1" applyAlignment="1">
      <alignment horizontal="center" vertical="center"/>
    </xf>
    <xf numFmtId="0" fontId="31" fillId="0" borderId="48" xfId="0" applyFont="1" applyBorder="1" applyAlignment="1">
      <alignment horizontal="center" vertical="center"/>
    </xf>
    <xf numFmtId="0" fontId="31" fillId="0" borderId="35" xfId="0" applyFont="1" applyBorder="1" applyAlignment="1">
      <alignment horizontal="center" vertical="center" wrapText="1"/>
    </xf>
    <xf numFmtId="0" fontId="31" fillId="0" borderId="173" xfId="0" applyFont="1" applyBorder="1" applyAlignment="1">
      <alignment horizontal="center" vertical="center"/>
    </xf>
    <xf numFmtId="0" fontId="32" fillId="3" borderId="189" xfId="0" applyFont="1" applyFill="1" applyBorder="1" applyAlignment="1">
      <alignment horizontal="center" vertical="center"/>
    </xf>
    <xf numFmtId="0" fontId="3" fillId="0" borderId="189" xfId="0" applyFont="1" applyBorder="1" applyAlignment="1">
      <alignment horizontal="center" vertical="center"/>
    </xf>
    <xf numFmtId="0" fontId="31" fillId="0" borderId="35" xfId="0" applyFont="1" applyBorder="1" applyAlignment="1">
      <alignment horizontal="left" vertical="center" wrapText="1"/>
    </xf>
    <xf numFmtId="0" fontId="31" fillId="0" borderId="35" xfId="0" applyFont="1" applyBorder="1" applyAlignment="1">
      <alignment horizontal="left" vertical="center"/>
    </xf>
    <xf numFmtId="0" fontId="31" fillId="0" borderId="48" xfId="0" applyFont="1" applyBorder="1" applyAlignment="1">
      <alignment horizontal="left" vertical="center"/>
    </xf>
    <xf numFmtId="0" fontId="31" fillId="0" borderId="35" xfId="0" applyFont="1" applyBorder="1" applyAlignment="1">
      <alignment horizontal="center"/>
    </xf>
    <xf numFmtId="1" fontId="31" fillId="0" borderId="20" xfId="0" applyNumberFormat="1" applyFont="1" applyBorder="1" applyAlignment="1">
      <alignment horizontal="center" vertical="center"/>
    </xf>
    <xf numFmtId="0" fontId="31" fillId="0" borderId="48" xfId="0" applyFont="1" applyBorder="1" applyAlignment="1">
      <alignment vertical="center"/>
    </xf>
    <xf numFmtId="0" fontId="0" fillId="0" borderId="35" xfId="0" applyBorder="1" applyAlignment="1">
      <alignment horizontal="left" vertical="center"/>
    </xf>
    <xf numFmtId="0" fontId="31" fillId="0" borderId="35" xfId="0" applyFont="1" applyBorder="1" applyAlignment="1">
      <alignment horizontal="left"/>
    </xf>
    <xf numFmtId="9" fontId="27" fillId="0" borderId="30" xfId="0" applyNumberFormat="1" applyFont="1" applyBorder="1" applyAlignment="1">
      <alignment horizontal="center" vertical="center"/>
    </xf>
    <xf numFmtId="0" fontId="31" fillId="0" borderId="48" xfId="0" applyFont="1" applyBorder="1"/>
    <xf numFmtId="0" fontId="31" fillId="0" borderId="35" xfId="0" applyFont="1" applyBorder="1"/>
    <xf numFmtId="0" fontId="9" fillId="0" borderId="25" xfId="0" applyFont="1" applyBorder="1"/>
    <xf numFmtId="0" fontId="9" fillId="0" borderId="35" xfId="0" applyFont="1" applyBorder="1"/>
    <xf numFmtId="49" fontId="9" fillId="0" borderId="35" xfId="0" applyNumberFormat="1" applyFont="1" applyBorder="1" applyAlignment="1">
      <alignment vertical="center"/>
    </xf>
    <xf numFmtId="0" fontId="12" fillId="0" borderId="35" xfId="0" applyFont="1" applyBorder="1" applyAlignment="1">
      <alignment horizontal="left" vertical="center" wrapText="1"/>
    </xf>
    <xf numFmtId="0" fontId="12" fillId="0" borderId="58" xfId="0" applyFont="1" applyBorder="1" applyAlignment="1">
      <alignment horizontal="left" vertical="center" wrapText="1"/>
    </xf>
    <xf numFmtId="0" fontId="9" fillId="0" borderId="58" xfId="0" applyFont="1" applyBorder="1"/>
    <xf numFmtId="169" fontId="4" fillId="2" borderId="199" xfId="0" applyNumberFormat="1" applyFont="1" applyFill="1" applyBorder="1" applyAlignment="1">
      <alignment horizontal="center" vertical="center" wrapText="1"/>
    </xf>
    <xf numFmtId="169" fontId="9" fillId="0" borderId="199" xfId="0" applyNumberFormat="1" applyFont="1" applyBorder="1" applyAlignment="1">
      <alignment horizontal="center" vertical="center" wrapText="1"/>
    </xf>
    <xf numFmtId="0" fontId="9" fillId="0" borderId="25" xfId="0" applyFont="1" applyBorder="1" applyAlignment="1">
      <alignment horizontal="center" vertical="center"/>
    </xf>
    <xf numFmtId="0" fontId="9" fillId="0" borderId="35" xfId="0" applyFont="1" applyBorder="1" applyAlignment="1">
      <alignment horizontal="center" vertical="center"/>
    </xf>
    <xf numFmtId="169" fontId="9" fillId="0" borderId="25" xfId="0" applyNumberFormat="1" applyFont="1" applyBorder="1" applyAlignment="1">
      <alignment horizontal="center" vertical="center" wrapText="1"/>
    </xf>
    <xf numFmtId="1" fontId="9" fillId="0" borderId="35" xfId="0" applyNumberFormat="1" applyFont="1" applyBorder="1" applyAlignment="1">
      <alignment horizontal="right" vertical="center" wrapText="1"/>
    </xf>
    <xf numFmtId="1" fontId="9" fillId="0" borderId="58" xfId="0" applyNumberFormat="1" applyFont="1" applyBorder="1" applyAlignment="1">
      <alignment horizontal="center" vertical="center" wrapText="1"/>
    </xf>
    <xf numFmtId="169" fontId="4" fillId="2" borderId="39" xfId="0" applyNumberFormat="1" applyFont="1" applyFill="1" applyBorder="1" applyAlignment="1">
      <alignment horizontal="center" vertical="center"/>
    </xf>
    <xf numFmtId="1" fontId="9" fillId="0" borderId="39" xfId="0" applyNumberFormat="1" applyFont="1" applyBorder="1" applyAlignment="1">
      <alignment horizontal="center" vertical="center"/>
    </xf>
    <xf numFmtId="169" fontId="12" fillId="0" borderId="35" xfId="0" applyNumberFormat="1" applyFont="1" applyBorder="1" applyAlignment="1">
      <alignment horizontal="center" vertical="center"/>
    </xf>
    <xf numFmtId="0" fontId="0" fillId="0" borderId="25" xfId="0" applyBorder="1"/>
    <xf numFmtId="0" fontId="0" fillId="0" borderId="58" xfId="0" applyBorder="1"/>
    <xf numFmtId="0" fontId="8" fillId="0" borderId="58" xfId="0" applyFont="1" applyBorder="1"/>
    <xf numFmtId="0" fontId="0" fillId="0" borderId="57" xfId="0" applyBorder="1"/>
    <xf numFmtId="0" fontId="0" fillId="0" borderId="55" xfId="0" applyBorder="1"/>
    <xf numFmtId="0" fontId="0" fillId="0" borderId="56" xfId="0" applyBorder="1"/>
    <xf numFmtId="0" fontId="9" fillId="0" borderId="58" xfId="0" applyFont="1" applyBorder="1" applyAlignment="1">
      <alignment horizontal="center" vertical="center"/>
    </xf>
    <xf numFmtId="0" fontId="33" fillId="0" borderId="55" xfId="0" applyFont="1" applyBorder="1" applyAlignment="1">
      <alignment vertical="center"/>
    </xf>
    <xf numFmtId="0" fontId="14" fillId="2" borderId="38" xfId="0" applyFont="1" applyFill="1" applyBorder="1" applyAlignment="1">
      <alignment horizontal="center" vertical="center"/>
    </xf>
    <xf numFmtId="2" fontId="34" fillId="3" borderId="38" xfId="0" applyNumberFormat="1" applyFont="1" applyFill="1" applyBorder="1" applyAlignment="1">
      <alignment horizontal="center" vertical="center"/>
    </xf>
    <xf numFmtId="2" fontId="34" fillId="3" borderId="13" xfId="0" applyNumberFormat="1" applyFont="1" applyFill="1" applyBorder="1" applyAlignment="1">
      <alignment horizontal="center" vertical="center"/>
    </xf>
    <xf numFmtId="2" fontId="63" fillId="0" borderId="13" xfId="0" applyNumberFormat="1" applyFont="1" applyBorder="1" applyAlignment="1">
      <alignment horizontal="center" vertical="center"/>
    </xf>
    <xf numFmtId="0" fontId="14" fillId="2" borderId="13" xfId="0" applyFont="1" applyFill="1" applyBorder="1" applyAlignment="1">
      <alignment horizontal="center" vertical="center"/>
    </xf>
    <xf numFmtId="9" fontId="14" fillId="2" borderId="13" xfId="0" applyNumberFormat="1" applyFont="1" applyFill="1" applyBorder="1" applyAlignment="1">
      <alignment horizontal="center" vertical="center"/>
    </xf>
    <xf numFmtId="0" fontId="63" fillId="0" borderId="13" xfId="0" applyFont="1" applyBorder="1" applyAlignment="1">
      <alignment horizontal="center" vertical="center"/>
    </xf>
    <xf numFmtId="9" fontId="34" fillId="0" borderId="13" xfId="0" applyNumberFormat="1" applyFont="1" applyBorder="1" applyAlignment="1">
      <alignment horizontal="center" vertical="center"/>
    </xf>
    <xf numFmtId="0" fontId="33" fillId="0" borderId="55" xfId="0" applyFont="1" applyBorder="1"/>
    <xf numFmtId="169" fontId="14" fillId="2" borderId="199" xfId="0" applyNumberFormat="1" applyFont="1" applyFill="1" applyBorder="1" applyAlignment="1">
      <alignment horizontal="center" vertical="center" wrapText="1"/>
    </xf>
    <xf numFmtId="169" fontId="63" fillId="0" borderId="199" xfId="0" applyNumberFormat="1" applyFont="1" applyBorder="1" applyAlignment="1">
      <alignment horizontal="center" vertical="center" wrapText="1"/>
    </xf>
    <xf numFmtId="170" fontId="63" fillId="0" borderId="13" xfId="0" applyNumberFormat="1" applyFont="1" applyBorder="1" applyAlignment="1">
      <alignment horizontal="center" vertical="center" wrapText="1"/>
    </xf>
    <xf numFmtId="1" fontId="63" fillId="0" borderId="13" xfId="0" applyNumberFormat="1" applyFont="1" applyBorder="1" applyAlignment="1">
      <alignment horizontal="center" vertical="center" wrapText="1"/>
    </xf>
    <xf numFmtId="10" fontId="63" fillId="0" borderId="13" xfId="0" applyNumberFormat="1" applyFont="1" applyBorder="1" applyAlignment="1">
      <alignment horizontal="center" vertical="center" wrapText="1"/>
    </xf>
    <xf numFmtId="10" fontId="63" fillId="0" borderId="13" xfId="0" applyNumberFormat="1" applyFont="1" applyBorder="1" applyAlignment="1">
      <alignment horizontal="center" vertical="center"/>
    </xf>
    <xf numFmtId="0" fontId="63" fillId="0" borderId="25" xfId="0" applyFont="1" applyBorder="1" applyAlignment="1">
      <alignment horizontal="center" vertical="center"/>
    </xf>
    <xf numFmtId="0" fontId="63" fillId="0" borderId="35" xfId="0" applyFont="1" applyBorder="1" applyAlignment="1">
      <alignment horizontal="center" vertical="center"/>
    </xf>
    <xf numFmtId="169" fontId="63" fillId="0" borderId="25" xfId="0" applyNumberFormat="1" applyFont="1" applyBorder="1" applyAlignment="1">
      <alignment horizontal="center" vertical="center" wrapText="1"/>
    </xf>
    <xf numFmtId="1" fontId="63" fillId="0" borderId="35" xfId="0" applyNumberFormat="1" applyFont="1" applyBorder="1" applyAlignment="1">
      <alignment horizontal="right" vertical="center" wrapText="1"/>
    </xf>
    <xf numFmtId="1" fontId="63" fillId="0" borderId="35" xfId="0" applyNumberFormat="1" applyFont="1" applyBorder="1" applyAlignment="1">
      <alignment horizontal="center" vertical="center" wrapText="1"/>
    </xf>
    <xf numFmtId="1" fontId="63" fillId="0" borderId="58" xfId="0" applyNumberFormat="1" applyFont="1" applyBorder="1" applyAlignment="1">
      <alignment horizontal="center" vertical="center" wrapText="1"/>
    </xf>
    <xf numFmtId="169" fontId="14" fillId="2" borderId="39" xfId="0" applyNumberFormat="1" applyFont="1" applyFill="1" applyBorder="1" applyAlignment="1">
      <alignment horizontal="center" vertical="center"/>
    </xf>
    <xf numFmtId="1" fontId="63" fillId="0" borderId="39" xfId="0" applyNumberFormat="1" applyFont="1" applyBorder="1" applyAlignment="1">
      <alignment horizontal="center" vertical="center"/>
    </xf>
    <xf numFmtId="169" fontId="63" fillId="0" borderId="13" xfId="0" applyNumberFormat="1" applyFont="1" applyBorder="1" applyAlignment="1">
      <alignment horizontal="center" vertical="center"/>
    </xf>
    <xf numFmtId="169" fontId="34" fillId="0" borderId="35" xfId="0" applyNumberFormat="1" applyFont="1" applyBorder="1" applyAlignment="1">
      <alignment horizontal="center" vertical="center"/>
    </xf>
    <xf numFmtId="0" fontId="21" fillId="0" borderId="35" xfId="0" applyFont="1" applyBorder="1"/>
    <xf numFmtId="4" fontId="34" fillId="0" borderId="35" xfId="0" applyNumberFormat="1" applyFont="1" applyBorder="1" applyAlignment="1">
      <alignment horizontal="center" vertical="center" wrapText="1"/>
    </xf>
    <xf numFmtId="171" fontId="34" fillId="0" borderId="35" xfId="0" applyNumberFormat="1" applyFont="1" applyBorder="1" applyAlignment="1">
      <alignment horizontal="center" vertical="center" wrapText="1"/>
    </xf>
    <xf numFmtId="4" fontId="63" fillId="0" borderId="35" xfId="0" applyNumberFormat="1" applyFont="1" applyBorder="1"/>
    <xf numFmtId="4" fontId="63" fillId="0" borderId="35" xfId="0" applyNumberFormat="1" applyFont="1" applyBorder="1" applyAlignment="1">
      <alignment horizontal="center" vertical="center" wrapText="1"/>
    </xf>
    <xf numFmtId="0" fontId="63" fillId="0" borderId="35" xfId="0" applyFont="1" applyBorder="1"/>
    <xf numFmtId="4" fontId="14" fillId="2" borderId="13" xfId="0" applyNumberFormat="1" applyFont="1" applyFill="1" applyBorder="1" applyAlignment="1">
      <alignment horizontal="center" vertical="center" wrapText="1"/>
    </xf>
    <xf numFmtId="0" fontId="0" fillId="0" borderId="31" xfId="0" applyBorder="1"/>
    <xf numFmtId="0" fontId="0" fillId="0" borderId="32" xfId="0" applyBorder="1"/>
    <xf numFmtId="0" fontId="0" fillId="0" borderId="33" xfId="0" applyBorder="1"/>
    <xf numFmtId="0" fontId="0" fillId="0" borderId="37" xfId="0" applyBorder="1"/>
    <xf numFmtId="0" fontId="0" fillId="0" borderId="26" xfId="0" applyBorder="1"/>
    <xf numFmtId="0" fontId="0" fillId="0" borderId="36" xfId="0" applyBorder="1"/>
    <xf numFmtId="0" fontId="0" fillId="0" borderId="27" xfId="0" applyBorder="1"/>
    <xf numFmtId="0" fontId="0" fillId="0" borderId="50" xfId="0" applyBorder="1"/>
    <xf numFmtId="0" fontId="0" fillId="0" borderId="51" xfId="0" applyBorder="1"/>
    <xf numFmtId="0" fontId="0" fillId="0" borderId="51" xfId="0" applyBorder="1" applyAlignment="1">
      <alignment horizontal="center"/>
    </xf>
    <xf numFmtId="14" fontId="63" fillId="0" borderId="13" xfId="0" applyNumberFormat="1" applyFont="1" applyBorder="1" applyAlignment="1">
      <alignment horizontal="center" vertical="center"/>
    </xf>
    <xf numFmtId="0" fontId="19" fillId="0" borderId="35" xfId="0" applyFont="1" applyBorder="1" applyAlignment="1">
      <alignment horizontal="center" vertical="center"/>
    </xf>
    <xf numFmtId="0" fontId="66" fillId="0" borderId="35" xfId="0" applyFont="1" applyBorder="1" applyAlignment="1">
      <alignment horizontal="center" vertical="center"/>
    </xf>
    <xf numFmtId="0" fontId="9" fillId="0" borderId="25" xfId="0" applyFont="1" applyBorder="1" applyAlignment="1">
      <alignment wrapText="1"/>
    </xf>
    <xf numFmtId="0" fontId="9" fillId="0" borderId="58" xfId="0" applyFont="1" applyBorder="1" applyAlignment="1">
      <alignment wrapText="1"/>
    </xf>
    <xf numFmtId="0" fontId="33" fillId="0" borderId="55" xfId="0" applyFont="1" applyBorder="1" applyAlignment="1">
      <alignment horizontal="center"/>
    </xf>
    <xf numFmtId="0" fontId="35" fillId="0" borderId="55" xfId="0" applyFont="1" applyBorder="1"/>
    <xf numFmtId="0" fontId="63" fillId="0" borderId="25" xfId="0" applyFont="1" applyBorder="1" applyAlignment="1">
      <alignment wrapText="1"/>
    </xf>
    <xf numFmtId="0" fontId="63" fillId="0" borderId="35" xfId="0" applyFont="1" applyBorder="1" applyAlignment="1">
      <alignment wrapText="1"/>
    </xf>
    <xf numFmtId="0" fontId="63" fillId="4" borderId="202" xfId="0" applyFont="1" applyFill="1" applyBorder="1" applyAlignment="1">
      <alignment horizontal="center" vertical="center" wrapText="1"/>
    </xf>
    <xf numFmtId="0" fontId="63" fillId="0" borderId="35" xfId="0" applyFont="1" applyBorder="1" applyAlignment="1">
      <alignment horizontal="center" wrapText="1"/>
    </xf>
    <xf numFmtId="0" fontId="63" fillId="0" borderId="58" xfId="0" applyFont="1" applyBorder="1" applyAlignment="1">
      <alignment wrapText="1"/>
    </xf>
    <xf numFmtId="0" fontId="14" fillId="2" borderId="18" xfId="0" applyFont="1" applyFill="1" applyBorder="1" applyAlignment="1">
      <alignment horizontal="center" vertical="center" wrapText="1"/>
    </xf>
    <xf numFmtId="9" fontId="14" fillId="2" borderId="30" xfId="0" applyNumberFormat="1" applyFont="1" applyFill="1" applyBorder="1" applyAlignment="1">
      <alignment horizontal="center" vertical="center" wrapText="1"/>
    </xf>
    <xf numFmtId="0" fontId="63" fillId="0" borderId="25" xfId="0" applyFont="1" applyBorder="1"/>
    <xf numFmtId="49" fontId="63" fillId="0" borderId="35" xfId="0" applyNumberFormat="1" applyFont="1" applyBorder="1" applyAlignment="1">
      <alignment vertical="center"/>
    </xf>
    <xf numFmtId="0" fontId="34" fillId="0" borderId="35" xfId="0" applyFont="1" applyBorder="1" applyAlignment="1">
      <alignment horizontal="left" vertical="center" wrapText="1"/>
    </xf>
    <xf numFmtId="0" fontId="34" fillId="0" borderId="58" xfId="0" applyFont="1" applyBorder="1" applyAlignment="1">
      <alignment horizontal="left" vertical="center" wrapText="1"/>
    </xf>
    <xf numFmtId="2" fontId="63" fillId="0" borderId="13" xfId="0" applyNumberFormat="1" applyFont="1" applyBorder="1" applyAlignment="1">
      <alignment horizontal="center" vertical="center" wrapText="1"/>
    </xf>
    <xf numFmtId="10" fontId="14" fillId="2" borderId="18" xfId="1" applyNumberFormat="1" applyFont="1" applyFill="1" applyBorder="1" applyAlignment="1">
      <alignment vertical="center"/>
    </xf>
    <xf numFmtId="0" fontId="51" fillId="0" borderId="29" xfId="0" applyFont="1" applyBorder="1"/>
    <xf numFmtId="0" fontId="3" fillId="0" borderId="48" xfId="0" applyFont="1" applyBorder="1" applyAlignment="1">
      <alignment horizontal="center" vertical="center"/>
    </xf>
    <xf numFmtId="0" fontId="3" fillId="0" borderId="35" xfId="0" applyFont="1" applyBorder="1" applyAlignment="1">
      <alignment horizontal="center" vertical="center"/>
    </xf>
    <xf numFmtId="0" fontId="21" fillId="0" borderId="48" xfId="0" applyFont="1" applyBorder="1"/>
    <xf numFmtId="0" fontId="8" fillId="0" borderId="48" xfId="0" applyFont="1" applyBorder="1"/>
    <xf numFmtId="0" fontId="3" fillId="0" borderId="48" xfId="0" applyFont="1" applyBorder="1" applyAlignment="1">
      <alignment vertical="center"/>
    </xf>
    <xf numFmtId="0" fontId="5" fillId="0" borderId="48" xfId="0" applyFont="1" applyBorder="1"/>
    <xf numFmtId="0" fontId="8" fillId="0" borderId="49" xfId="0" applyFont="1" applyBorder="1"/>
    <xf numFmtId="0" fontId="8" fillId="0" borderId="174" xfId="0" applyFont="1" applyBorder="1"/>
    <xf numFmtId="0" fontId="8" fillId="0" borderId="175" xfId="0" applyFont="1" applyBorder="1"/>
    <xf numFmtId="0" fontId="67" fillId="0" borderId="35" xfId="0" applyFont="1" applyBorder="1"/>
    <xf numFmtId="0" fontId="52" fillId="0" borderId="35" xfId="0" applyFont="1" applyBorder="1" applyAlignment="1">
      <alignment horizontal="center" vertical="center"/>
    </xf>
    <xf numFmtId="0" fontId="68" fillId="0" borderId="0" xfId="0" applyFont="1" applyAlignment="1">
      <alignment horizontal="center" vertical="center"/>
    </xf>
    <xf numFmtId="0" fontId="68" fillId="0" borderId="35" xfId="0" applyFont="1" applyBorder="1" applyAlignment="1">
      <alignment horizontal="center" vertical="center"/>
    </xf>
    <xf numFmtId="2" fontId="51" fillId="0" borderId="0" xfId="0" applyNumberFormat="1" applyFont="1"/>
    <xf numFmtId="0" fontId="23" fillId="2" borderId="13" xfId="0" applyFont="1" applyFill="1" applyBorder="1" applyAlignment="1">
      <alignment horizontal="center" vertical="center"/>
    </xf>
    <xf numFmtId="0" fontId="70" fillId="2" borderId="13" xfId="0" applyFont="1" applyFill="1" applyBorder="1" applyAlignment="1">
      <alignment horizontal="center"/>
    </xf>
    <xf numFmtId="0" fontId="69" fillId="0" borderId="13" xfId="0" applyFont="1" applyBorder="1" applyAlignment="1">
      <alignment horizontal="center" vertical="center"/>
    </xf>
    <xf numFmtId="2" fontId="69" fillId="0" borderId="13" xfId="0" applyNumberFormat="1" applyFont="1" applyBorder="1" applyAlignment="1">
      <alignment horizontal="center"/>
    </xf>
    <xf numFmtId="0" fontId="73" fillId="2" borderId="13" xfId="0" applyFont="1" applyFill="1" applyBorder="1" applyAlignment="1">
      <alignment horizontal="center"/>
    </xf>
    <xf numFmtId="0" fontId="55" fillId="5" borderId="13" xfId="0" applyFont="1" applyFill="1" applyBorder="1" applyAlignment="1">
      <alignment horizontal="center" vertical="center"/>
    </xf>
    <xf numFmtId="0" fontId="55" fillId="11" borderId="13" xfId="0" applyFont="1" applyFill="1" applyBorder="1" applyAlignment="1">
      <alignment horizontal="center" vertical="center"/>
    </xf>
    <xf numFmtId="9" fontId="73" fillId="2" borderId="28" xfId="0" applyNumberFormat="1" applyFont="1" applyFill="1" applyBorder="1" applyAlignment="1">
      <alignment horizontal="center" vertical="center"/>
    </xf>
    <xf numFmtId="9" fontId="73" fillId="2" borderId="13" xfId="0" applyNumberFormat="1" applyFont="1" applyFill="1" applyBorder="1" applyAlignment="1">
      <alignment horizontal="center" vertical="center"/>
    </xf>
    <xf numFmtId="2" fontId="73" fillId="2" borderId="13" xfId="0" applyNumberFormat="1" applyFont="1" applyFill="1" applyBorder="1" applyAlignment="1">
      <alignment horizontal="center"/>
    </xf>
    <xf numFmtId="4" fontId="73" fillId="2" borderId="16" xfId="0" applyNumberFormat="1" applyFont="1" applyFill="1" applyBorder="1" applyAlignment="1">
      <alignment horizontal="center" vertical="center" wrapText="1"/>
    </xf>
    <xf numFmtId="0" fontId="75" fillId="0" borderId="13" xfId="0" quotePrefix="1" applyFont="1" applyBorder="1" applyAlignment="1">
      <alignment horizontal="center"/>
    </xf>
    <xf numFmtId="0" fontId="75" fillId="0" borderId="13" xfId="0" applyFont="1" applyBorder="1" applyAlignment="1">
      <alignment horizontal="center" vertical="center"/>
    </xf>
    <xf numFmtId="2" fontId="75" fillId="0" borderId="13" xfId="0" applyNumberFormat="1" applyFont="1" applyBorder="1" applyAlignment="1">
      <alignment horizontal="center"/>
    </xf>
    <xf numFmtId="0" fontId="75" fillId="0" borderId="18" xfId="0" applyFont="1" applyBorder="1" applyAlignment="1">
      <alignment horizontal="center"/>
    </xf>
    <xf numFmtId="0" fontId="76" fillId="0" borderId="13" xfId="0" applyFont="1" applyBorder="1" applyAlignment="1">
      <alignment horizontal="center" vertical="center"/>
    </xf>
    <xf numFmtId="4" fontId="75" fillId="0" borderId="13" xfId="0" applyNumberFormat="1" applyFont="1" applyBorder="1" applyAlignment="1">
      <alignment horizontal="center" vertical="center"/>
    </xf>
    <xf numFmtId="0" fontId="73" fillId="2" borderId="13" xfId="0" applyFont="1" applyFill="1" applyBorder="1" applyAlignment="1">
      <alignment horizontal="center" vertical="center"/>
    </xf>
    <xf numFmtId="0" fontId="79" fillId="0" borderId="35" xfId="0" applyFont="1" applyBorder="1" applyAlignment="1">
      <alignment vertical="center" wrapText="1"/>
    </xf>
    <xf numFmtId="0" fontId="70" fillId="2" borderId="18" xfId="0" applyFont="1" applyFill="1" applyBorder="1" applyAlignment="1">
      <alignment horizontal="center"/>
    </xf>
    <xf numFmtId="0" fontId="82" fillId="2" borderId="13" xfId="0" applyFont="1" applyFill="1" applyBorder="1" applyAlignment="1">
      <alignment horizontal="center"/>
    </xf>
    <xf numFmtId="0" fontId="79" fillId="0" borderId="35" xfId="0" applyFont="1" applyBorder="1" applyAlignment="1">
      <alignment horizontal="center" vertical="center" wrapText="1"/>
    </xf>
    <xf numFmtId="0" fontId="69" fillId="0" borderId="38" xfId="0" applyFont="1" applyBorder="1" applyAlignment="1">
      <alignment horizontal="center" vertical="center"/>
    </xf>
    <xf numFmtId="0" fontId="83" fillId="7" borderId="38" xfId="0" applyFont="1" applyFill="1" applyBorder="1" applyAlignment="1">
      <alignment horizontal="center" vertical="center"/>
    </xf>
    <xf numFmtId="0" fontId="72" fillId="0" borderId="38" xfId="0" applyFont="1" applyBorder="1"/>
    <xf numFmtId="2" fontId="69" fillId="0" borderId="13" xfId="0" applyNumberFormat="1" applyFont="1" applyBorder="1" applyAlignment="1">
      <alignment horizontal="center" vertical="center"/>
    </xf>
    <xf numFmtId="0" fontId="72" fillId="0" borderId="42" xfId="0" applyFont="1" applyBorder="1"/>
    <xf numFmtId="9" fontId="82" fillId="2" borderId="13" xfId="0" applyNumberFormat="1" applyFont="1" applyFill="1" applyBorder="1" applyAlignment="1">
      <alignment horizontal="center"/>
    </xf>
    <xf numFmtId="10" fontId="69" fillId="0" borderId="13" xfId="0" applyNumberFormat="1" applyFont="1" applyBorder="1" applyAlignment="1">
      <alignment horizontal="center" vertical="center"/>
    </xf>
    <xf numFmtId="2" fontId="84" fillId="7" borderId="38" xfId="0" applyNumberFormat="1" applyFont="1" applyFill="1" applyBorder="1" applyAlignment="1">
      <alignment horizontal="center" vertical="center"/>
    </xf>
    <xf numFmtId="0" fontId="72" fillId="0" borderId="13" xfId="0" applyFont="1" applyBorder="1"/>
    <xf numFmtId="0" fontId="82" fillId="2" borderId="16" xfId="0" applyFont="1" applyFill="1" applyBorder="1" applyAlignment="1">
      <alignment horizontal="center"/>
    </xf>
    <xf numFmtId="0" fontId="70" fillId="2" borderId="28" xfId="0" applyFont="1" applyFill="1" applyBorder="1" applyAlignment="1">
      <alignment horizontal="center"/>
    </xf>
    <xf numFmtId="0" fontId="72" fillId="0" borderId="35" xfId="0" applyFont="1" applyBorder="1"/>
    <xf numFmtId="0" fontId="69" fillId="0" borderId="35" xfId="0" applyFont="1" applyBorder="1" applyAlignment="1">
      <alignment horizontal="left" vertical="center"/>
    </xf>
    <xf numFmtId="0" fontId="78" fillId="0" borderId="35" xfId="0" applyFont="1" applyBorder="1"/>
    <xf numFmtId="0" fontId="69" fillId="0" borderId="35" xfId="0" applyFont="1" applyBorder="1" applyAlignment="1">
      <alignment horizontal="center"/>
    </xf>
    <xf numFmtId="2" fontId="54" fillId="10" borderId="38" xfId="0" applyNumberFormat="1" applyFont="1" applyFill="1" applyBorder="1" applyAlignment="1">
      <alignment horizontal="center" vertical="center"/>
    </xf>
    <xf numFmtId="0" fontId="81" fillId="0" borderId="35" xfId="0" applyFont="1" applyBorder="1" applyAlignment="1">
      <alignment horizontal="left"/>
    </xf>
    <xf numFmtId="0" fontId="54" fillId="5" borderId="38" xfId="0" applyFont="1" applyFill="1" applyBorder="1" applyAlignment="1">
      <alignment horizontal="center" vertical="center"/>
    </xf>
    <xf numFmtId="0" fontId="54" fillId="11" borderId="38" xfId="0" applyFont="1" applyFill="1" applyBorder="1" applyAlignment="1">
      <alignment horizontal="center" vertical="center"/>
    </xf>
    <xf numFmtId="9" fontId="78" fillId="0" borderId="38" xfId="0" applyNumberFormat="1" applyFont="1" applyBorder="1" applyAlignment="1">
      <alignment horizontal="center"/>
    </xf>
    <xf numFmtId="9" fontId="72" fillId="0" borderId="38" xfId="0" applyNumberFormat="1" applyFont="1" applyBorder="1" applyAlignment="1">
      <alignment horizontal="center"/>
    </xf>
    <xf numFmtId="0" fontId="81" fillId="0" borderId="38" xfId="0" applyFont="1" applyBorder="1" applyAlignment="1">
      <alignment horizontal="left"/>
    </xf>
    <xf numFmtId="1" fontId="54" fillId="0" borderId="38" xfId="0" applyNumberFormat="1" applyFont="1" applyBorder="1" applyAlignment="1">
      <alignment horizontal="center" vertical="center" wrapText="1"/>
    </xf>
    <xf numFmtId="0" fontId="69" fillId="0" borderId="38" xfId="0" applyFont="1" applyBorder="1" applyAlignment="1">
      <alignment horizontal="center"/>
    </xf>
    <xf numFmtId="1" fontId="69" fillId="0" borderId="42" xfId="0" applyNumberFormat="1" applyFont="1" applyBorder="1" applyAlignment="1">
      <alignment horizontal="center" vertical="center" wrapText="1"/>
    </xf>
    <xf numFmtId="1" fontId="69" fillId="0" borderId="38" xfId="0" applyNumberFormat="1" applyFont="1" applyBorder="1" applyAlignment="1">
      <alignment horizontal="center" vertical="center" wrapText="1"/>
    </xf>
    <xf numFmtId="1" fontId="69" fillId="0" borderId="38" xfId="0" applyNumberFormat="1" applyFont="1" applyBorder="1"/>
    <xf numFmtId="0" fontId="79" fillId="0" borderId="36" xfId="0" applyFont="1" applyBorder="1" applyAlignment="1">
      <alignment vertical="center" wrapText="1"/>
    </xf>
    <xf numFmtId="0" fontId="51" fillId="0" borderId="48" xfId="0" applyFont="1" applyBorder="1"/>
    <xf numFmtId="0" fontId="51" fillId="0" borderId="173" xfId="0" applyFont="1" applyBorder="1"/>
    <xf numFmtId="0" fontId="72" fillId="0" borderId="35" xfId="0" applyFont="1" applyBorder="1" applyAlignment="1">
      <alignment horizontal="center" vertical="center"/>
    </xf>
    <xf numFmtId="0" fontId="72" fillId="0" borderId="35" xfId="0" applyFont="1" applyBorder="1" applyAlignment="1">
      <alignment wrapText="1"/>
    </xf>
    <xf numFmtId="2" fontId="69" fillId="0" borderId="16" xfId="0" applyNumberFormat="1" applyFont="1" applyBorder="1" applyAlignment="1">
      <alignment horizontal="center" vertical="center"/>
    </xf>
    <xf numFmtId="0" fontId="69" fillId="0" borderId="30" xfId="0" applyFont="1" applyBorder="1" applyAlignment="1">
      <alignment horizontal="center"/>
    </xf>
    <xf numFmtId="9" fontId="78" fillId="0" borderId="35" xfId="0" applyNumberFormat="1" applyFont="1" applyBorder="1"/>
    <xf numFmtId="4" fontId="75" fillId="0" borderId="16" xfId="0" applyNumberFormat="1" applyFont="1" applyBorder="1" applyAlignment="1">
      <alignment horizontal="center" vertical="center"/>
    </xf>
    <xf numFmtId="0" fontId="73" fillId="2" borderId="18" xfId="0" applyFont="1" applyFill="1" applyBorder="1" applyAlignment="1">
      <alignment horizontal="center"/>
    </xf>
    <xf numFmtId="0" fontId="75" fillId="0" borderId="30" xfId="0" applyFont="1" applyBorder="1" applyAlignment="1">
      <alignment horizontal="center"/>
    </xf>
    <xf numFmtId="4" fontId="75" fillId="0" borderId="28" xfId="0" applyNumberFormat="1" applyFont="1" applyBorder="1" applyAlignment="1">
      <alignment horizontal="center" vertical="center"/>
    </xf>
    <xf numFmtId="2" fontId="51" fillId="0" borderId="35" xfId="0" applyNumberFormat="1" applyFont="1" applyBorder="1"/>
    <xf numFmtId="0" fontId="51" fillId="0" borderId="49" xfId="0" applyFont="1" applyBorder="1"/>
    <xf numFmtId="0" fontId="51" fillId="0" borderId="174" xfId="0" applyFont="1" applyBorder="1"/>
    <xf numFmtId="2" fontId="51" fillId="0" borderId="174" xfId="0" applyNumberFormat="1" applyFont="1" applyBorder="1"/>
    <xf numFmtId="0" fontId="51" fillId="0" borderId="175" xfId="0" applyFont="1" applyBorder="1"/>
    <xf numFmtId="0" fontId="78" fillId="0" borderId="48" xfId="0" applyFont="1" applyBorder="1"/>
    <xf numFmtId="0" fontId="72" fillId="0" borderId="173" xfId="0" applyFont="1" applyBorder="1"/>
    <xf numFmtId="0" fontId="79" fillId="0" borderId="173" xfId="0" applyFont="1" applyBorder="1" applyAlignment="1">
      <alignment horizontal="center" vertical="center" wrapText="1"/>
    </xf>
    <xf numFmtId="0" fontId="72" fillId="0" borderId="48" xfId="0" applyFont="1" applyBorder="1"/>
    <xf numFmtId="0" fontId="69" fillId="0" borderId="48" xfId="0" applyFont="1" applyBorder="1" applyAlignment="1">
      <alignment horizontal="left" vertical="center"/>
    </xf>
    <xf numFmtId="0" fontId="79" fillId="0" borderId="173" xfId="0" applyFont="1" applyBorder="1" applyAlignment="1">
      <alignment vertical="center" wrapText="1"/>
    </xf>
    <xf numFmtId="0" fontId="79" fillId="0" borderId="185" xfId="0" applyFont="1" applyBorder="1" applyAlignment="1">
      <alignment vertical="center" wrapText="1"/>
    </xf>
    <xf numFmtId="0" fontId="73" fillId="2" borderId="190" xfId="0" applyFont="1" applyFill="1" applyBorder="1" applyAlignment="1">
      <alignment horizontal="center"/>
    </xf>
    <xf numFmtId="2" fontId="73" fillId="2" borderId="187" xfId="0" applyNumberFormat="1" applyFont="1" applyFill="1" applyBorder="1" applyAlignment="1">
      <alignment horizontal="center" vertical="center"/>
    </xf>
    <xf numFmtId="0" fontId="75" fillId="0" borderId="190" xfId="0" quotePrefix="1" applyFont="1" applyBorder="1" applyAlignment="1">
      <alignment horizontal="center"/>
    </xf>
    <xf numFmtId="4" fontId="75" fillId="0" borderId="147" xfId="0" applyNumberFormat="1" applyFont="1" applyBorder="1" applyAlignment="1">
      <alignment horizontal="center" vertical="center"/>
    </xf>
    <xf numFmtId="0" fontId="23" fillId="2" borderId="190" xfId="0" applyFont="1" applyFill="1" applyBorder="1" applyAlignment="1">
      <alignment horizontal="center" vertical="center"/>
    </xf>
    <xf numFmtId="0" fontId="76" fillId="0" borderId="0" xfId="0" applyFont="1"/>
    <xf numFmtId="179" fontId="76" fillId="0" borderId="0" xfId="0" applyNumberFormat="1" applyFont="1"/>
    <xf numFmtId="0" fontId="76" fillId="0" borderId="48" xfId="0" applyFont="1" applyBorder="1"/>
    <xf numFmtId="0" fontId="76" fillId="0" borderId="35" xfId="0" applyFont="1" applyBorder="1"/>
    <xf numFmtId="0" fontId="76" fillId="0" borderId="173" xfId="0" applyFont="1" applyBorder="1"/>
    <xf numFmtId="179" fontId="76" fillId="0" borderId="35" xfId="0" applyNumberFormat="1" applyFont="1" applyBorder="1"/>
    <xf numFmtId="0" fontId="76" fillId="0" borderId="49" xfId="0" applyFont="1" applyBorder="1"/>
    <xf numFmtId="0" fontId="76" fillId="0" borderId="174" xfId="0" applyFont="1" applyBorder="1"/>
    <xf numFmtId="179" fontId="76" fillId="0" borderId="174" xfId="0" applyNumberFormat="1" applyFont="1" applyBorder="1"/>
    <xf numFmtId="0" fontId="76" fillId="0" borderId="175" xfId="0" applyFont="1" applyBorder="1"/>
    <xf numFmtId="0" fontId="88" fillId="14" borderId="107" xfId="0" applyFont="1" applyFill="1" applyBorder="1" applyAlignment="1">
      <alignment horizontal="center" vertical="center"/>
    </xf>
    <xf numFmtId="0" fontId="88" fillId="14" borderId="38" xfId="0" applyFont="1" applyFill="1" applyBorder="1" applyAlignment="1">
      <alignment horizontal="center" vertical="center" wrapText="1"/>
    </xf>
    <xf numFmtId="179" fontId="88" fillId="14" borderId="38" xfId="0" applyNumberFormat="1" applyFont="1" applyFill="1" applyBorder="1" applyAlignment="1">
      <alignment horizontal="center" vertical="center"/>
    </xf>
    <xf numFmtId="0" fontId="88" fillId="14" borderId="38" xfId="0" applyFont="1" applyFill="1" applyBorder="1" applyAlignment="1">
      <alignment horizontal="center" vertical="center"/>
    </xf>
    <xf numFmtId="2" fontId="88" fillId="14" borderId="38" xfId="0" applyNumberFormat="1" applyFont="1" applyFill="1" applyBorder="1" applyAlignment="1">
      <alignment horizontal="center" vertical="center"/>
    </xf>
    <xf numFmtId="2" fontId="88" fillId="14" borderId="38" xfId="0" applyNumberFormat="1" applyFont="1" applyFill="1" applyBorder="1" applyAlignment="1">
      <alignment horizontal="center" vertical="center" wrapText="1"/>
    </xf>
    <xf numFmtId="0" fontId="89" fillId="0" borderId="107" xfId="0" applyFont="1" applyBorder="1" applyAlignment="1">
      <alignment horizontal="center" vertical="center"/>
    </xf>
    <xf numFmtId="0" fontId="89" fillId="0" borderId="38" xfId="0" applyFont="1" applyBorder="1" applyAlignment="1">
      <alignment horizontal="center" vertical="center" wrapText="1"/>
    </xf>
    <xf numFmtId="179" fontId="90" fillId="0" borderId="38" xfId="0" applyNumberFormat="1" applyFont="1" applyBorder="1"/>
    <xf numFmtId="3" fontId="90" fillId="7" borderId="38" xfId="0" applyNumberFormat="1" applyFont="1" applyFill="1" applyBorder="1"/>
    <xf numFmtId="0" fontId="89" fillId="0" borderId="38" xfId="0" applyFont="1" applyBorder="1" applyAlignment="1">
      <alignment horizontal="center" vertical="center"/>
    </xf>
    <xf numFmtId="2" fontId="90" fillId="0" borderId="38" xfId="0" applyNumberFormat="1" applyFont="1" applyBorder="1"/>
    <xf numFmtId="0" fontId="90" fillId="0" borderId="38" xfId="0" applyFont="1" applyBorder="1"/>
    <xf numFmtId="0" fontId="90" fillId="0" borderId="38" xfId="0" applyFont="1" applyBorder="1" applyAlignment="1">
      <alignment horizontal="center"/>
    </xf>
    <xf numFmtId="3" fontId="90" fillId="0" borderId="38" xfId="0" applyNumberFormat="1" applyFont="1" applyBorder="1"/>
    <xf numFmtId="0" fontId="90" fillId="0" borderId="38" xfId="0" applyFont="1" applyBorder="1" applyAlignment="1">
      <alignment horizontal="center" vertical="center"/>
    </xf>
    <xf numFmtId="179" fontId="90" fillId="0" borderId="38" xfId="0" applyNumberFormat="1" applyFont="1" applyBorder="1" applyAlignment="1">
      <alignment vertical="center"/>
    </xf>
    <xf numFmtId="2" fontId="90" fillId="0" borderId="38" xfId="0" applyNumberFormat="1" applyFont="1" applyBorder="1" applyAlignment="1">
      <alignment vertical="center"/>
    </xf>
    <xf numFmtId="179" fontId="89" fillId="0" borderId="38" xfId="0" applyNumberFormat="1" applyFont="1" applyBorder="1" applyAlignment="1">
      <alignment horizontal="right" vertical="center"/>
    </xf>
    <xf numFmtId="0" fontId="89" fillId="0" borderId="38" xfId="0" applyFont="1" applyBorder="1" applyAlignment="1">
      <alignment horizontal="center"/>
    </xf>
    <xf numFmtId="0" fontId="89" fillId="10" borderId="38" xfId="0" applyFont="1" applyFill="1" applyBorder="1" applyAlignment="1">
      <alignment horizontal="center"/>
    </xf>
    <xf numFmtId="0" fontId="89" fillId="0" borderId="48" xfId="0" applyFont="1" applyBorder="1"/>
    <xf numFmtId="0" fontId="89" fillId="0" borderId="35" xfId="0" applyFont="1" applyBorder="1"/>
    <xf numFmtId="0" fontId="89" fillId="0" borderId="173" xfId="0" applyFont="1" applyBorder="1"/>
    <xf numFmtId="0" fontId="87" fillId="2" borderId="38" xfId="0" applyFont="1" applyFill="1" applyBorder="1" applyAlignment="1">
      <alignment horizontal="center" vertical="center"/>
    </xf>
    <xf numFmtId="2" fontId="92" fillId="10" borderId="13" xfId="0" applyNumberFormat="1" applyFont="1" applyFill="1" applyBorder="1" applyAlignment="1">
      <alignment horizontal="center" vertical="center"/>
    </xf>
    <xf numFmtId="2" fontId="92" fillId="17" borderId="13" xfId="0" applyNumberFormat="1" applyFont="1" applyFill="1" applyBorder="1" applyAlignment="1">
      <alignment horizontal="center" vertical="center"/>
    </xf>
    <xf numFmtId="2" fontId="92" fillId="10" borderId="13" xfId="0" applyNumberFormat="1" applyFont="1" applyFill="1" applyBorder="1" applyAlignment="1">
      <alignment horizontal="center" vertical="center" wrapText="1"/>
    </xf>
    <xf numFmtId="2" fontId="92" fillId="0" borderId="13" xfId="0" applyNumberFormat="1" applyFont="1" applyBorder="1" applyAlignment="1">
      <alignment horizontal="center" vertical="center" wrapText="1"/>
    </xf>
    <xf numFmtId="178" fontId="92" fillId="0" borderId="13" xfId="0" applyNumberFormat="1" applyFont="1" applyBorder="1" applyAlignment="1">
      <alignment horizontal="center" vertical="center" wrapText="1"/>
    </xf>
    <xf numFmtId="179" fontId="89" fillId="0" borderId="35" xfId="0" applyNumberFormat="1" applyFont="1" applyBorder="1"/>
    <xf numFmtId="0" fontId="89" fillId="0" borderId="0" xfId="0" applyFont="1"/>
    <xf numFmtId="0" fontId="95" fillId="0" borderId="35" xfId="0" applyFont="1" applyBorder="1"/>
    <xf numFmtId="0" fontId="92" fillId="0" borderId="0" xfId="0" applyFont="1" applyAlignment="1">
      <alignment horizontal="center" vertical="center"/>
    </xf>
    <xf numFmtId="0" fontId="96" fillId="0" borderId="48" xfId="0" applyFont="1" applyBorder="1"/>
    <xf numFmtId="0" fontId="96" fillId="0" borderId="35" xfId="0" applyFont="1" applyBorder="1"/>
    <xf numFmtId="179" fontId="96" fillId="0" borderId="35" xfId="0" applyNumberFormat="1" applyFont="1" applyBorder="1"/>
    <xf numFmtId="0" fontId="96" fillId="0" borderId="173" xfId="0" applyFont="1" applyBorder="1"/>
    <xf numFmtId="0" fontId="96" fillId="0" borderId="0" xfId="0" applyFont="1"/>
    <xf numFmtId="0" fontId="87" fillId="2" borderId="13" xfId="0" applyFont="1" applyFill="1" applyBorder="1" applyAlignment="1">
      <alignment horizontal="center" vertical="center"/>
    </xf>
    <xf numFmtId="2" fontId="92" fillId="17" borderId="13" xfId="0" applyNumberFormat="1" applyFont="1" applyFill="1" applyBorder="1" applyAlignment="1">
      <alignment horizontal="center" vertical="center" wrapText="1"/>
    </xf>
    <xf numFmtId="2" fontId="92" fillId="0" borderId="13" xfId="0" applyNumberFormat="1" applyFont="1" applyBorder="1" applyAlignment="1">
      <alignment horizontal="center" vertical="center"/>
    </xf>
    <xf numFmtId="2" fontId="89" fillId="0" borderId="35" xfId="0" applyNumberFormat="1" applyFont="1" applyBorder="1"/>
    <xf numFmtId="0" fontId="99" fillId="0" borderId="35" xfId="0" applyFont="1" applyBorder="1" applyAlignment="1">
      <alignment horizontal="center" vertical="center"/>
    </xf>
    <xf numFmtId="0" fontId="100" fillId="0" borderId="35" xfId="0" applyFont="1" applyBorder="1" applyAlignment="1">
      <alignment horizontal="center" vertical="center"/>
    </xf>
    <xf numFmtId="0" fontId="103" fillId="0" borderId="35" xfId="0" applyFont="1" applyBorder="1" applyAlignment="1">
      <alignment vertical="center"/>
    </xf>
    <xf numFmtId="0" fontId="53" fillId="0" borderId="0" xfId="0" applyFont="1"/>
    <xf numFmtId="0" fontId="106" fillId="0" borderId="0" xfId="0" applyFont="1"/>
    <xf numFmtId="0" fontId="7" fillId="0" borderId="0" xfId="0" applyFont="1"/>
    <xf numFmtId="2" fontId="23" fillId="2" borderId="13" xfId="0" applyNumberFormat="1" applyFont="1" applyFill="1" applyBorder="1" applyAlignment="1">
      <alignment horizontal="center" vertical="center" wrapText="1"/>
    </xf>
    <xf numFmtId="0" fontId="107" fillId="0" borderId="0" xfId="0" applyFont="1"/>
    <xf numFmtId="0" fontId="107" fillId="0" borderId="13" xfId="0" applyFont="1" applyBorder="1" applyAlignment="1">
      <alignment horizontal="center" vertical="center"/>
    </xf>
    <xf numFmtId="2" fontId="107" fillId="0" borderId="13" xfId="0" applyNumberFormat="1" applyFont="1" applyBorder="1" applyAlignment="1">
      <alignment horizontal="center" vertical="center" wrapText="1"/>
    </xf>
    <xf numFmtId="1" fontId="107" fillId="0" borderId="13" xfId="0" applyNumberFormat="1" applyFont="1" applyBorder="1" applyAlignment="1">
      <alignment horizontal="center" vertical="center" wrapText="1"/>
    </xf>
    <xf numFmtId="179" fontId="107" fillId="0" borderId="13" xfId="0" applyNumberFormat="1" applyFont="1" applyBorder="1" applyAlignment="1">
      <alignment horizontal="center" vertical="center" wrapText="1"/>
    </xf>
    <xf numFmtId="1" fontId="23" fillId="2" borderId="13" xfId="0" applyNumberFormat="1" applyFont="1" applyFill="1" applyBorder="1" applyAlignment="1">
      <alignment horizontal="center" vertical="center" wrapText="1"/>
    </xf>
    <xf numFmtId="2" fontId="107" fillId="0" borderId="35" xfId="0" applyNumberFormat="1" applyFont="1" applyBorder="1" applyAlignment="1">
      <alignment horizontal="center" vertical="center" wrapText="1"/>
    </xf>
    <xf numFmtId="1" fontId="107" fillId="0" borderId="35" xfId="0" applyNumberFormat="1" applyFont="1" applyBorder="1" applyAlignment="1">
      <alignment horizontal="center" vertical="center" wrapText="1"/>
    </xf>
    <xf numFmtId="0" fontId="107" fillId="0" borderId="13" xfId="0" applyFont="1" applyBorder="1" applyAlignment="1">
      <alignment horizontal="center"/>
    </xf>
    <xf numFmtId="0" fontId="23" fillId="2" borderId="13" xfId="0" applyFont="1" applyFill="1" applyBorder="1" applyAlignment="1">
      <alignment horizontal="center" vertical="center" wrapText="1"/>
    </xf>
    <xf numFmtId="2" fontId="107" fillId="0" borderId="13" xfId="0" applyNumberFormat="1" applyFont="1" applyBorder="1" applyAlignment="1">
      <alignment horizontal="center" vertical="center"/>
    </xf>
    <xf numFmtId="0" fontId="107" fillId="0" borderId="35" xfId="0" applyFont="1" applyBorder="1" applyAlignment="1">
      <alignment horizontal="center"/>
    </xf>
    <xf numFmtId="1" fontId="107" fillId="0" borderId="13" xfId="0" applyNumberFormat="1" applyFont="1" applyBorder="1" applyAlignment="1">
      <alignment horizontal="center" vertical="center"/>
    </xf>
    <xf numFmtId="2" fontId="107" fillId="0" borderId="13" xfId="0" quotePrefix="1" applyNumberFormat="1" applyFont="1" applyBorder="1" applyAlignment="1">
      <alignment horizontal="center" vertical="center"/>
    </xf>
    <xf numFmtId="1" fontId="107" fillId="0" borderId="34" xfId="0" applyNumberFormat="1" applyFont="1" applyBorder="1" applyAlignment="1">
      <alignment horizontal="center" vertical="center"/>
    </xf>
    <xf numFmtId="0" fontId="7" fillId="0" borderId="48" xfId="0" applyFont="1" applyBorder="1"/>
    <xf numFmtId="0" fontId="7" fillId="0" borderId="35" xfId="0" applyFont="1" applyBorder="1"/>
    <xf numFmtId="0" fontId="7" fillId="0" borderId="173" xfId="0" applyFont="1" applyBorder="1"/>
    <xf numFmtId="2" fontId="23" fillId="2" borderId="190" xfId="0" applyNumberFormat="1" applyFont="1" applyFill="1" applyBorder="1" applyAlignment="1">
      <alignment horizontal="center" vertical="center" wrapText="1"/>
    </xf>
    <xf numFmtId="0" fontId="107" fillId="0" borderId="48" xfId="0" applyFont="1" applyBorder="1" applyAlignment="1">
      <alignment horizontal="center"/>
    </xf>
    <xf numFmtId="0" fontId="106" fillId="0" borderId="35" xfId="0" applyFont="1" applyBorder="1"/>
    <xf numFmtId="0" fontId="107" fillId="0" borderId="48" xfId="0" applyFont="1" applyBorder="1"/>
    <xf numFmtId="0" fontId="107" fillId="0" borderId="35" xfId="0" applyFont="1" applyBorder="1"/>
    <xf numFmtId="0" fontId="106" fillId="0" borderId="173" xfId="0" applyFont="1" applyBorder="1"/>
    <xf numFmtId="2" fontId="23" fillId="2" borderId="16" xfId="0" applyNumberFormat="1" applyFont="1" applyFill="1" applyBorder="1" applyAlignment="1">
      <alignment horizontal="center" vertical="center" wrapText="1"/>
    </xf>
    <xf numFmtId="2" fontId="107" fillId="0" borderId="190" xfId="0" applyNumberFormat="1" applyFont="1" applyBorder="1" applyAlignment="1">
      <alignment horizontal="center" vertical="center" wrapText="1"/>
    </xf>
    <xf numFmtId="0" fontId="107" fillId="0" borderId="48" xfId="0" applyFont="1" applyBorder="1" applyAlignment="1">
      <alignment wrapText="1"/>
    </xf>
    <xf numFmtId="0" fontId="107" fillId="0" borderId="35" xfId="0" applyFont="1" applyBorder="1" applyAlignment="1">
      <alignment wrapText="1"/>
    </xf>
    <xf numFmtId="2" fontId="107" fillId="0" borderId="48" xfId="0" applyNumberFormat="1" applyFont="1" applyBorder="1" applyAlignment="1">
      <alignment horizontal="center" vertical="center" wrapText="1"/>
    </xf>
    <xf numFmtId="0" fontId="23" fillId="2" borderId="190" xfId="0" applyFont="1" applyFill="1" applyBorder="1" applyAlignment="1">
      <alignment horizontal="center" vertical="center" wrapText="1"/>
    </xf>
    <xf numFmtId="2" fontId="107" fillId="0" borderId="190" xfId="0" applyNumberFormat="1" applyFont="1" applyBorder="1" applyAlignment="1">
      <alignment horizontal="center" vertical="center"/>
    </xf>
    <xf numFmtId="0" fontId="107" fillId="0" borderId="190" xfId="0" applyFont="1" applyBorder="1" applyAlignment="1">
      <alignment horizontal="center"/>
    </xf>
    <xf numFmtId="2" fontId="107" fillId="0" borderId="18" xfId="0" quotePrefix="1" applyNumberFormat="1" applyFont="1" applyBorder="1" applyAlignment="1">
      <alignment horizontal="center" vertical="center"/>
    </xf>
    <xf numFmtId="2" fontId="107" fillId="0" borderId="18" xfId="0" applyNumberFormat="1" applyFont="1" applyBorder="1" applyAlignment="1">
      <alignment horizontal="center" vertical="center"/>
    </xf>
    <xf numFmtId="2" fontId="107" fillId="0" borderId="144" xfId="0" applyNumberFormat="1" applyFont="1" applyBorder="1" applyAlignment="1">
      <alignment horizontal="center" vertical="center"/>
    </xf>
    <xf numFmtId="2" fontId="107" fillId="0" borderId="35" xfId="0" applyNumberFormat="1" applyFont="1" applyBorder="1" applyAlignment="1">
      <alignment horizontal="center" vertical="center"/>
    </xf>
    <xf numFmtId="0" fontId="95" fillId="0" borderId="173" xfId="0" applyFont="1" applyBorder="1"/>
    <xf numFmtId="0" fontId="0" fillId="0" borderId="170" xfId="0" applyBorder="1"/>
    <xf numFmtId="0" fontId="0" fillId="0" borderId="171" xfId="0" applyBorder="1"/>
    <xf numFmtId="0" fontId="9" fillId="0" borderId="171" xfId="0" applyFont="1" applyBorder="1" applyAlignment="1">
      <alignment horizontal="right"/>
    </xf>
    <xf numFmtId="0" fontId="9" fillId="0" borderId="35" xfId="0" applyFont="1" applyBorder="1" applyAlignment="1">
      <alignment horizontal="right"/>
    </xf>
    <xf numFmtId="0" fontId="9" fillId="0" borderId="174" xfId="0" applyFont="1" applyBorder="1" applyAlignment="1">
      <alignment horizontal="right"/>
    </xf>
    <xf numFmtId="0" fontId="9" fillId="0" borderId="48" xfId="0" applyFont="1" applyBorder="1" applyAlignment="1">
      <alignment horizontal="right"/>
    </xf>
    <xf numFmtId="2" fontId="34" fillId="0" borderId="31" xfId="0" applyNumberFormat="1" applyFont="1" applyBorder="1" applyAlignment="1">
      <alignment horizontal="center" vertical="center"/>
    </xf>
    <xf numFmtId="0" fontId="34" fillId="0" borderId="148" xfId="0" applyFont="1" applyBorder="1" applyAlignment="1">
      <alignment horizontal="center" vertical="center" textRotation="90"/>
    </xf>
    <xf numFmtId="0" fontId="34" fillId="0" borderId="146" xfId="0" applyFont="1" applyBorder="1" applyAlignment="1">
      <alignment horizontal="center" vertical="center" textRotation="90"/>
    </xf>
    <xf numFmtId="0" fontId="34" fillId="0" borderId="28" xfId="0" applyFont="1" applyBorder="1" applyAlignment="1">
      <alignment horizontal="center" vertical="center" textRotation="90"/>
    </xf>
    <xf numFmtId="0" fontId="34" fillId="0" borderId="147" xfId="0" applyFont="1" applyBorder="1" applyAlignment="1">
      <alignment horizontal="center" vertical="center" textRotation="90"/>
    </xf>
    <xf numFmtId="0" fontId="14" fillId="0" borderId="146" xfId="0" applyFont="1" applyBorder="1" applyAlignment="1">
      <alignment horizontal="center" vertical="center" textRotation="90"/>
    </xf>
    <xf numFmtId="0" fontId="14" fillId="0" borderId="28" xfId="0" applyFont="1" applyBorder="1" applyAlignment="1">
      <alignment horizontal="center" vertical="center" textRotation="90"/>
    </xf>
    <xf numFmtId="0" fontId="14" fillId="0" borderId="147" xfId="0" applyFont="1" applyBorder="1" applyAlignment="1">
      <alignment horizontal="center" vertical="center" textRotation="90"/>
    </xf>
    <xf numFmtId="0" fontId="14" fillId="0" borderId="148" xfId="0" applyFont="1" applyBorder="1" applyAlignment="1">
      <alignment horizontal="center" vertical="center" textRotation="90"/>
    </xf>
    <xf numFmtId="2" fontId="63" fillId="0" borderId="154" xfId="0" applyNumberFormat="1" applyFont="1" applyBorder="1" applyAlignment="1">
      <alignment horizontal="center" vertical="center"/>
    </xf>
    <xf numFmtId="0" fontId="51" fillId="0" borderId="13" xfId="0" applyFont="1" applyBorder="1" applyAlignment="1">
      <alignment vertical="center"/>
    </xf>
    <xf numFmtId="0" fontId="51" fillId="0" borderId="18" xfId="0" applyFont="1" applyBorder="1" applyAlignment="1">
      <alignment vertical="center"/>
    </xf>
    <xf numFmtId="0" fontId="51" fillId="0" borderId="165" xfId="0" applyFont="1" applyBorder="1" applyAlignment="1">
      <alignment vertical="center"/>
    </xf>
    <xf numFmtId="0" fontId="51" fillId="0" borderId="150" xfId="0" applyFont="1" applyBorder="1" applyAlignment="1">
      <alignment vertical="center"/>
    </xf>
    <xf numFmtId="0" fontId="51" fillId="0" borderId="44" xfId="0" applyFont="1" applyBorder="1" applyAlignment="1">
      <alignment vertical="center"/>
    </xf>
    <xf numFmtId="0" fontId="51" fillId="0" borderId="168" xfId="0" applyFont="1" applyBorder="1" applyAlignment="1">
      <alignment vertical="center"/>
    </xf>
    <xf numFmtId="0" fontId="51" fillId="0" borderId="151" xfId="0" applyFont="1" applyBorder="1" applyAlignment="1">
      <alignment vertical="center"/>
    </xf>
    <xf numFmtId="0" fontId="51" fillId="0" borderId="149" xfId="0" applyFont="1" applyBorder="1" applyAlignment="1">
      <alignment vertical="center"/>
    </xf>
    <xf numFmtId="0" fontId="23" fillId="2" borderId="16" xfId="0" applyFont="1" applyFill="1" applyBorder="1" applyAlignment="1">
      <alignment horizontal="center" vertical="center" wrapText="1"/>
    </xf>
    <xf numFmtId="2" fontId="107" fillId="0" borderId="152" xfId="0" applyNumberFormat="1" applyFont="1" applyBorder="1" applyAlignment="1">
      <alignment horizontal="center" vertical="center"/>
    </xf>
    <xf numFmtId="2" fontId="107" fillId="0" borderId="153" xfId="0" applyNumberFormat="1" applyFont="1" applyBorder="1" applyAlignment="1">
      <alignment horizontal="center" vertical="center"/>
    </xf>
    <xf numFmtId="2" fontId="107" fillId="0" borderId="154" xfId="0" applyNumberFormat="1" applyFont="1" applyBorder="1" applyAlignment="1">
      <alignment horizontal="center" vertical="center"/>
    </xf>
    <xf numFmtId="2" fontId="107" fillId="0" borderId="155" xfId="0" applyNumberFormat="1" applyFont="1" applyBorder="1" applyAlignment="1">
      <alignment horizontal="center" vertical="center"/>
    </xf>
    <xf numFmtId="2" fontId="107" fillId="13" borderId="154" xfId="0" applyNumberFormat="1" applyFont="1" applyFill="1" applyBorder="1" applyAlignment="1">
      <alignment horizontal="center" vertical="center"/>
    </xf>
    <xf numFmtId="2" fontId="107" fillId="13" borderId="155" xfId="0" applyNumberFormat="1" applyFont="1" applyFill="1" applyBorder="1" applyAlignment="1">
      <alignment horizontal="center" vertical="center"/>
    </xf>
    <xf numFmtId="2" fontId="107" fillId="13" borderId="152" xfId="0" applyNumberFormat="1" applyFont="1" applyFill="1" applyBorder="1" applyAlignment="1">
      <alignment horizontal="center" vertical="center"/>
    </xf>
    <xf numFmtId="2" fontId="107" fillId="13" borderId="153" xfId="0" applyNumberFormat="1" applyFont="1" applyFill="1" applyBorder="1" applyAlignment="1">
      <alignment horizontal="center" vertical="center"/>
    </xf>
    <xf numFmtId="2" fontId="107" fillId="0" borderId="163" xfId="0" applyNumberFormat="1" applyFont="1" applyBorder="1" applyAlignment="1">
      <alignment horizontal="center" vertical="center"/>
    </xf>
    <xf numFmtId="2" fontId="107" fillId="0" borderId="166" xfId="0" applyNumberFormat="1" applyFont="1" applyBorder="1" applyAlignment="1">
      <alignment horizontal="center" vertical="center"/>
    </xf>
    <xf numFmtId="2" fontId="107" fillId="0" borderId="107" xfId="0" applyNumberFormat="1" applyFont="1" applyBorder="1" applyAlignment="1">
      <alignment horizontal="center" vertical="center"/>
    </xf>
    <xf numFmtId="2" fontId="107" fillId="0" borderId="106" xfId="0" applyNumberFormat="1" applyFont="1" applyBorder="1" applyAlignment="1">
      <alignment horizontal="center" vertical="center"/>
    </xf>
    <xf numFmtId="2" fontId="107" fillId="0" borderId="156" xfId="0" applyNumberFormat="1" applyFont="1" applyBorder="1" applyAlignment="1">
      <alignment horizontal="center" vertical="center"/>
    </xf>
    <xf numFmtId="2" fontId="107" fillId="13" borderId="157" xfId="0" applyNumberFormat="1" applyFont="1" applyFill="1" applyBorder="1" applyAlignment="1">
      <alignment horizontal="center" vertical="center"/>
    </xf>
    <xf numFmtId="2" fontId="107" fillId="13" borderId="141" xfId="0" applyNumberFormat="1" applyFont="1" applyFill="1" applyBorder="1" applyAlignment="1">
      <alignment horizontal="center" vertical="center"/>
    </xf>
    <xf numFmtId="2" fontId="107" fillId="13" borderId="156" xfId="0" applyNumberFormat="1" applyFont="1" applyFill="1" applyBorder="1" applyAlignment="1">
      <alignment horizontal="center" vertical="center"/>
    </xf>
    <xf numFmtId="2" fontId="107" fillId="13" borderId="13" xfId="0" applyNumberFormat="1" applyFont="1" applyFill="1" applyBorder="1" applyAlignment="1">
      <alignment horizontal="center" vertical="center"/>
    </xf>
    <xf numFmtId="2" fontId="107" fillId="0" borderId="158" xfId="0" applyNumberFormat="1" applyFont="1" applyBorder="1" applyAlignment="1">
      <alignment horizontal="center" vertical="center"/>
    </xf>
    <xf numFmtId="2" fontId="107" fillId="0" borderId="141" xfId="0" applyNumberFormat="1" applyFont="1" applyBorder="1" applyAlignment="1">
      <alignment horizontal="center" vertical="center"/>
    </xf>
    <xf numFmtId="2" fontId="107" fillId="13" borderId="158" xfId="0" applyNumberFormat="1" applyFont="1" applyFill="1" applyBorder="1" applyAlignment="1">
      <alignment horizontal="center" vertical="center"/>
    </xf>
    <xf numFmtId="0" fontId="106" fillId="0" borderId="107" xfId="0" applyFont="1" applyBorder="1" applyAlignment="1">
      <alignment vertical="center"/>
    </xf>
    <xf numFmtId="0" fontId="106" fillId="0" borderId="38" xfId="0" applyFont="1" applyBorder="1" applyAlignment="1">
      <alignment vertical="center"/>
    </xf>
    <xf numFmtId="0" fontId="107" fillId="0" borderId="38" xfId="0" applyFont="1" applyBorder="1" applyAlignment="1">
      <alignment horizontal="right" vertical="center"/>
    </xf>
    <xf numFmtId="0" fontId="107" fillId="0" borderId="106" xfId="0" applyFont="1" applyBorder="1" applyAlignment="1">
      <alignment horizontal="right" vertical="center"/>
    </xf>
    <xf numFmtId="2" fontId="6" fillId="0" borderId="18" xfId="0" applyNumberFormat="1" applyFont="1" applyBorder="1" applyAlignment="1">
      <alignment horizontal="center" vertical="center" wrapText="1"/>
    </xf>
    <xf numFmtId="2" fontId="23" fillId="2" borderId="31" xfId="0" applyNumberFormat="1" applyFont="1" applyFill="1" applyBorder="1" applyAlignment="1">
      <alignment horizontal="center" vertical="center" wrapText="1"/>
    </xf>
    <xf numFmtId="0" fontId="106" fillId="0" borderId="157" xfId="0" applyFont="1" applyBorder="1" applyAlignment="1">
      <alignment vertical="center"/>
    </xf>
    <xf numFmtId="0" fontId="106" fillId="0" borderId="106" xfId="0" applyFont="1" applyBorder="1" applyAlignment="1">
      <alignment vertical="center"/>
    </xf>
    <xf numFmtId="2" fontId="7" fillId="0" borderId="167" xfId="0" applyNumberFormat="1" applyFont="1" applyBorder="1" applyAlignment="1">
      <alignment horizontal="center" vertical="center"/>
    </xf>
    <xf numFmtId="0" fontId="106" fillId="0" borderId="42" xfId="0" applyFont="1" applyBorder="1" applyAlignment="1">
      <alignment vertical="center"/>
    </xf>
    <xf numFmtId="2" fontId="106" fillId="0" borderId="167" xfId="0" applyNumberFormat="1" applyFont="1" applyBorder="1" applyAlignment="1">
      <alignment horizontal="center"/>
    </xf>
    <xf numFmtId="0" fontId="7" fillId="15" borderId="107" xfId="0" applyFont="1" applyFill="1" applyBorder="1" applyAlignment="1">
      <alignment horizontal="center" vertical="center"/>
    </xf>
    <xf numFmtId="0" fontId="106" fillId="0" borderId="38" xfId="0" applyFont="1" applyBorder="1" applyAlignment="1">
      <alignment horizontal="center" vertical="center"/>
    </xf>
    <xf numFmtId="0" fontId="106" fillId="0" borderId="162" xfId="0" applyFont="1" applyBorder="1" applyAlignment="1">
      <alignment vertical="center"/>
    </xf>
    <xf numFmtId="0" fontId="106" fillId="0" borderId="164" xfId="0" applyFont="1" applyBorder="1" applyAlignment="1">
      <alignment vertical="center"/>
    </xf>
    <xf numFmtId="2" fontId="107" fillId="0" borderId="160" xfId="0" applyNumberFormat="1" applyFont="1" applyBorder="1" applyAlignment="1">
      <alignment horizontal="center" vertical="center"/>
    </xf>
    <xf numFmtId="2" fontId="107" fillId="0" borderId="142" xfId="0" applyNumberFormat="1" applyFont="1" applyBorder="1" applyAlignment="1">
      <alignment horizontal="center" vertical="center"/>
    </xf>
    <xf numFmtId="2" fontId="107" fillId="0" borderId="16" xfId="0" applyNumberFormat="1" applyFont="1" applyBorder="1" applyAlignment="1">
      <alignment horizontal="center" vertical="center"/>
    </xf>
    <xf numFmtId="2" fontId="107" fillId="0" borderId="209" xfId="0" applyNumberFormat="1" applyFont="1" applyBorder="1" applyAlignment="1">
      <alignment horizontal="center" vertical="center"/>
    </xf>
    <xf numFmtId="2" fontId="107" fillId="0" borderId="143" xfId="0" applyNumberFormat="1" applyFont="1" applyBorder="1" applyAlignment="1">
      <alignment horizontal="center" vertical="center"/>
    </xf>
    <xf numFmtId="2" fontId="107" fillId="0" borderId="210" xfId="0" applyNumberFormat="1" applyFont="1" applyBorder="1" applyAlignment="1">
      <alignment horizontal="center" vertical="center"/>
    </xf>
    <xf numFmtId="2" fontId="107" fillId="13" borderId="209" xfId="0" applyNumberFormat="1" applyFont="1" applyFill="1" applyBorder="1" applyAlignment="1">
      <alignment horizontal="center" vertical="center"/>
    </xf>
    <xf numFmtId="2" fontId="107" fillId="13" borderId="211" xfId="0" applyNumberFormat="1" applyFont="1" applyFill="1" applyBorder="1" applyAlignment="1">
      <alignment horizontal="center" vertical="center"/>
    </xf>
    <xf numFmtId="2" fontId="107" fillId="13" borderId="160" xfId="0" applyNumberFormat="1" applyFont="1" applyFill="1" applyBorder="1" applyAlignment="1">
      <alignment horizontal="center" vertical="center"/>
    </xf>
    <xf numFmtId="0" fontId="106" fillId="0" borderId="212" xfId="0" applyFont="1" applyBorder="1" applyAlignment="1">
      <alignment vertical="center"/>
    </xf>
    <xf numFmtId="2" fontId="107" fillId="0" borderId="200" xfId="0" applyNumberFormat="1" applyFont="1" applyBorder="1" applyAlignment="1">
      <alignment horizontal="center" vertical="center"/>
    </xf>
    <xf numFmtId="2" fontId="107" fillId="0" borderId="31" xfId="0" applyNumberFormat="1" applyFont="1" applyBorder="1" applyAlignment="1">
      <alignment horizontal="center" vertical="center"/>
    </xf>
    <xf numFmtId="2" fontId="107" fillId="0" borderId="213" xfId="0" applyNumberFormat="1" applyFont="1" applyBorder="1" applyAlignment="1">
      <alignment horizontal="center" vertical="center"/>
    </xf>
    <xf numFmtId="2" fontId="107" fillId="0" borderId="105" xfId="0" applyNumberFormat="1" applyFont="1" applyBorder="1" applyAlignment="1">
      <alignment horizontal="center" vertical="center"/>
    </xf>
    <xf numFmtId="2" fontId="107" fillId="0" borderId="103" xfId="0" applyNumberFormat="1" applyFont="1" applyBorder="1" applyAlignment="1">
      <alignment horizontal="center" vertical="center"/>
    </xf>
    <xf numFmtId="0" fontId="105" fillId="2" borderId="18" xfId="0" applyFont="1" applyFill="1" applyBorder="1" applyAlignment="1">
      <alignment vertical="center"/>
    </xf>
    <xf numFmtId="0" fontId="105" fillId="14" borderId="137" xfId="0" applyFont="1" applyFill="1" applyBorder="1" applyAlignment="1">
      <alignment horizontal="center"/>
    </xf>
    <xf numFmtId="189" fontId="44" fillId="0" borderId="108" xfId="6" applyNumberFormat="1" applyFont="1" applyBorder="1" applyAlignment="1">
      <alignment vertical="center"/>
    </xf>
    <xf numFmtId="189" fontId="44" fillId="0" borderId="103" xfId="6" applyNumberFormat="1" applyFont="1" applyBorder="1" applyAlignment="1">
      <alignment vertical="center"/>
    </xf>
    <xf numFmtId="0" fontId="56" fillId="0" borderId="80" xfId="4" applyFont="1" applyBorder="1"/>
    <xf numFmtId="3" fontId="57" fillId="4" borderId="174" xfId="4" applyNumberFormat="1" applyFont="1" applyFill="1" applyBorder="1" applyAlignment="1">
      <alignment horizontal="center"/>
    </xf>
    <xf numFmtId="3" fontId="56" fillId="4" borderId="225" xfId="4" applyNumberFormat="1" applyFont="1" applyFill="1" applyBorder="1" applyAlignment="1">
      <alignment horizontal="left"/>
    </xf>
    <xf numFmtId="183" fontId="56" fillId="4" borderId="226" xfId="4" applyNumberFormat="1" applyFont="1" applyFill="1" applyBorder="1" applyAlignment="1">
      <alignment horizontal="left"/>
    </xf>
    <xf numFmtId="183" fontId="56" fillId="4" borderId="226" xfId="4" applyNumberFormat="1" applyFont="1" applyFill="1" applyBorder="1"/>
    <xf numFmtId="181" fontId="56" fillId="0" borderId="226" xfId="4" applyNumberFormat="1" applyFont="1" applyBorder="1"/>
    <xf numFmtId="182" fontId="56" fillId="0" borderId="227" xfId="4" applyNumberFormat="1" applyFont="1" applyBorder="1"/>
    <xf numFmtId="14" fontId="56" fillId="4" borderId="228" xfId="4" applyNumberFormat="1" applyFont="1" applyFill="1" applyBorder="1" applyAlignment="1">
      <alignment vertical="center"/>
    </xf>
    <xf numFmtId="14" fontId="56" fillId="4" borderId="229" xfId="4" applyNumberFormat="1" applyFont="1" applyFill="1" applyBorder="1" applyAlignment="1">
      <alignment vertical="center"/>
    </xf>
    <xf numFmtId="3" fontId="56" fillId="0" borderId="230" xfId="4" applyNumberFormat="1" applyFont="1" applyBorder="1" applyAlignment="1">
      <alignment horizontal="left"/>
    </xf>
    <xf numFmtId="182" fontId="56" fillId="0" borderId="231" xfId="4" applyNumberFormat="1" applyFont="1" applyBorder="1"/>
    <xf numFmtId="0" fontId="56" fillId="0" borderId="228" xfId="4" applyFont="1" applyBorder="1"/>
    <xf numFmtId="183" fontId="56" fillId="4" borderId="232" xfId="4" applyNumberFormat="1" applyFont="1" applyFill="1" applyBorder="1" applyAlignment="1">
      <alignment horizontal="left"/>
    </xf>
    <xf numFmtId="183" fontId="56" fillId="4" borderId="232" xfId="4" applyNumberFormat="1" applyFont="1" applyFill="1" applyBorder="1"/>
    <xf numFmtId="181" fontId="56" fillId="0" borderId="232" xfId="4" applyNumberFormat="1" applyFont="1" applyBorder="1"/>
    <xf numFmtId="182" fontId="56" fillId="0" borderId="233" xfId="4" applyNumberFormat="1" applyFont="1" applyBorder="1"/>
    <xf numFmtId="3" fontId="57" fillId="0" borderId="35" xfId="4" applyNumberFormat="1" applyFont="1"/>
    <xf numFmtId="3" fontId="57" fillId="0" borderId="35" xfId="4" applyNumberFormat="1" applyFont="1" applyAlignment="1">
      <alignment horizontal="center"/>
    </xf>
    <xf numFmtId="0" fontId="42" fillId="0" borderId="48" xfId="6" applyFont="1" applyBorder="1" applyAlignment="1">
      <alignment vertical="center"/>
    </xf>
    <xf numFmtId="0" fontId="42" fillId="0" borderId="35" xfId="6" applyFont="1" applyAlignment="1">
      <alignment vertical="center"/>
    </xf>
    <xf numFmtId="0" fontId="24" fillId="0" borderId="173" xfId="4" applyFont="1" applyBorder="1"/>
    <xf numFmtId="0" fontId="42" fillId="0" borderId="48" xfId="6" applyFont="1" applyBorder="1"/>
    <xf numFmtId="0" fontId="42" fillId="0" borderId="35" xfId="6" applyFont="1"/>
    <xf numFmtId="0" fontId="44" fillId="0" borderId="35" xfId="6" applyFont="1" applyAlignment="1">
      <alignment vertical="center"/>
    </xf>
    <xf numFmtId="10" fontId="44" fillId="0" borderId="35" xfId="6" applyNumberFormat="1" applyFont="1" applyAlignment="1">
      <alignment vertical="center"/>
    </xf>
    <xf numFmtId="0" fontId="44" fillId="0" borderId="35" xfId="6" applyFont="1" applyAlignment="1">
      <alignment horizontal="left"/>
    </xf>
    <xf numFmtId="189" fontId="44" fillId="0" borderId="35" xfId="6" applyNumberFormat="1" applyFont="1"/>
    <xf numFmtId="0" fontId="44" fillId="0" borderId="35" xfId="6" applyFont="1"/>
    <xf numFmtId="0" fontId="24" fillId="0" borderId="48" xfId="4" applyFont="1" applyBorder="1"/>
    <xf numFmtId="3" fontId="57" fillId="0" borderId="48" xfId="4" applyNumberFormat="1" applyFont="1" applyBorder="1"/>
    <xf numFmtId="3" fontId="57" fillId="0" borderId="173" xfId="4" applyNumberFormat="1" applyFont="1" applyBorder="1"/>
    <xf numFmtId="3" fontId="57" fillId="0" borderId="49" xfId="4" applyNumberFormat="1" applyFont="1" applyBorder="1"/>
    <xf numFmtId="3" fontId="57" fillId="0" borderId="174" xfId="4" applyNumberFormat="1" applyFont="1" applyBorder="1"/>
    <xf numFmtId="3" fontId="57" fillId="0" borderId="175" xfId="4" applyNumberFormat="1" applyFont="1" applyBorder="1"/>
    <xf numFmtId="3" fontId="57" fillId="0" borderId="171" xfId="4" applyNumberFormat="1" applyFont="1" applyBorder="1"/>
    <xf numFmtId="0" fontId="31" fillId="0" borderId="173" xfId="0" applyFont="1" applyBorder="1" applyAlignment="1">
      <alignment vertical="center"/>
    </xf>
    <xf numFmtId="0" fontId="0" fillId="0" borderId="0" xfId="0" applyAlignment="1">
      <alignment horizontal="left"/>
    </xf>
    <xf numFmtId="0" fontId="62" fillId="0" borderId="0" xfId="0" applyFont="1"/>
    <xf numFmtId="0" fontId="26" fillId="0" borderId="0" xfId="0" applyFont="1"/>
    <xf numFmtId="2" fontId="0" fillId="0" borderId="0" xfId="0" applyNumberFormat="1"/>
    <xf numFmtId="2" fontId="62" fillId="0" borderId="0" xfId="0" applyNumberFormat="1" applyFont="1"/>
    <xf numFmtId="0" fontId="0" fillId="7" borderId="0" xfId="0" applyFill="1"/>
    <xf numFmtId="1" fontId="3" fillId="0" borderId="13" xfId="0" applyNumberFormat="1" applyFont="1" applyBorder="1" applyAlignment="1">
      <alignment horizontal="center" vertical="center" wrapText="1"/>
    </xf>
    <xf numFmtId="9" fontId="3" fillId="0" borderId="13" xfId="0" applyNumberFormat="1" applyFont="1" applyBorder="1" applyAlignment="1">
      <alignment horizontal="center" vertical="center" wrapText="1"/>
    </xf>
    <xf numFmtId="169" fontId="3" fillId="0" borderId="199" xfId="0" applyNumberFormat="1" applyFont="1" applyBorder="1" applyAlignment="1">
      <alignment horizontal="center" vertical="center" wrapText="1"/>
    </xf>
    <xf numFmtId="10" fontId="0" fillId="0" borderId="58" xfId="1" applyNumberFormat="1" applyFont="1" applyBorder="1"/>
    <xf numFmtId="0" fontId="3" fillId="0" borderId="13" xfId="0" applyFont="1" applyBorder="1" applyAlignment="1">
      <alignment horizontal="center" vertical="center" wrapText="1"/>
    </xf>
    <xf numFmtId="0" fontId="9" fillId="0" borderId="32" xfId="0" applyFont="1" applyBorder="1"/>
    <xf numFmtId="0" fontId="55" fillId="0" borderId="35" xfId="0" applyFont="1" applyBorder="1" applyAlignment="1">
      <alignment horizontal="center" vertical="center"/>
    </xf>
    <xf numFmtId="0" fontId="86" fillId="0" borderId="35" xfId="0" applyFont="1" applyBorder="1" applyAlignment="1">
      <alignment horizontal="center" vertical="center"/>
    </xf>
    <xf numFmtId="0" fontId="23" fillId="2" borderId="18" xfId="0" applyFont="1" applyFill="1" applyBorder="1" applyAlignment="1">
      <alignment horizontal="center" vertical="center"/>
    </xf>
    <xf numFmtId="0" fontId="75" fillId="0" borderId="48" xfId="0" quotePrefix="1" applyFont="1" applyBorder="1" applyAlignment="1">
      <alignment horizontal="center"/>
    </xf>
    <xf numFmtId="0" fontId="75" fillId="0" borderId="35" xfId="0" quotePrefix="1" applyFont="1" applyBorder="1" applyAlignment="1">
      <alignment horizontal="center"/>
    </xf>
    <xf numFmtId="0" fontId="75" fillId="0" borderId="35" xfId="0" applyFont="1" applyBorder="1" applyAlignment="1">
      <alignment horizontal="center" vertical="center"/>
    </xf>
    <xf numFmtId="2" fontId="75" fillId="0" borderId="35" xfId="0" applyNumberFormat="1" applyFont="1" applyBorder="1" applyAlignment="1">
      <alignment horizontal="center"/>
    </xf>
    <xf numFmtId="0" fontId="75" fillId="0" borderId="35" xfId="0" applyFont="1" applyBorder="1" applyAlignment="1">
      <alignment horizontal="center"/>
    </xf>
    <xf numFmtId="0" fontId="76" fillId="0" borderId="35" xfId="0" applyFont="1" applyBorder="1" applyAlignment="1">
      <alignment horizontal="center" vertical="center"/>
    </xf>
    <xf numFmtId="4" fontId="75" fillId="0" borderId="35" xfId="0" applyNumberFormat="1" applyFont="1" applyBorder="1" applyAlignment="1">
      <alignment horizontal="center" vertical="center"/>
    </xf>
    <xf numFmtId="0" fontId="4" fillId="2" borderId="18" xfId="0" applyFont="1" applyFill="1" applyBorder="1" applyAlignment="1">
      <alignment vertical="center"/>
    </xf>
    <xf numFmtId="0" fontId="109" fillId="0" borderId="35" xfId="0" applyFont="1" applyBorder="1" applyAlignment="1">
      <alignment horizontal="left"/>
    </xf>
    <xf numFmtId="0" fontId="7" fillId="0" borderId="35" xfId="0" applyFont="1" applyBorder="1" applyAlignment="1">
      <alignment horizontal="center"/>
    </xf>
    <xf numFmtId="0" fontId="70" fillId="2" borderId="13" xfId="0" applyFont="1" applyFill="1" applyBorder="1" applyAlignment="1">
      <alignment horizontal="center" vertical="center"/>
    </xf>
    <xf numFmtId="0" fontId="54" fillId="5" borderId="13" xfId="0" applyFont="1" applyFill="1" applyBorder="1" applyAlignment="1">
      <alignment horizontal="center" vertical="center"/>
    </xf>
    <xf numFmtId="0" fontId="54" fillId="11" borderId="13" xfId="0" applyFont="1" applyFill="1" applyBorder="1" applyAlignment="1">
      <alignment horizontal="center" vertical="center"/>
    </xf>
    <xf numFmtId="9" fontId="70" fillId="2" borderId="28" xfId="0" applyNumberFormat="1" applyFont="1" applyFill="1" applyBorder="1" applyAlignment="1">
      <alignment horizontal="center" vertical="center"/>
    </xf>
    <xf numFmtId="9" fontId="70" fillId="2" borderId="13" xfId="0" applyNumberFormat="1" applyFont="1" applyFill="1" applyBorder="1" applyAlignment="1">
      <alignment horizontal="center" vertical="center"/>
    </xf>
    <xf numFmtId="0" fontId="51" fillId="0" borderId="13" xfId="0" applyFont="1" applyBorder="1"/>
    <xf numFmtId="0" fontId="51" fillId="0" borderId="202" xfId="0" applyFont="1" applyBorder="1"/>
    <xf numFmtId="4" fontId="69" fillId="0" borderId="16" xfId="0" applyNumberFormat="1" applyFont="1" applyBorder="1" applyAlignment="1">
      <alignment horizontal="center" vertical="center"/>
    </xf>
    <xf numFmtId="2" fontId="23" fillId="2" borderId="13" xfId="0" applyNumberFormat="1" applyFont="1" applyFill="1" applyBorder="1" applyAlignment="1">
      <alignment horizontal="center" vertical="center"/>
    </xf>
    <xf numFmtId="0" fontId="110" fillId="0" borderId="173" xfId="0" applyFont="1" applyBorder="1"/>
    <xf numFmtId="0" fontId="75" fillId="0" borderId="13" xfId="0" quotePrefix="1" applyFont="1" applyBorder="1" applyAlignment="1">
      <alignment horizontal="center" vertical="center"/>
    </xf>
    <xf numFmtId="2" fontId="75" fillId="0" borderId="13" xfId="0" applyNumberFormat="1" applyFont="1" applyBorder="1" applyAlignment="1">
      <alignment horizontal="center" vertical="center"/>
    </xf>
    <xf numFmtId="4" fontId="75" fillId="0" borderId="30" xfId="0" applyNumberFormat="1" applyFont="1" applyBorder="1" applyAlignment="1">
      <alignment horizontal="center" vertical="center"/>
    </xf>
    <xf numFmtId="0" fontId="110" fillId="0" borderId="13" xfId="0" applyFont="1" applyBorder="1"/>
    <xf numFmtId="0" fontId="110" fillId="0" borderId="202" xfId="0" applyFont="1" applyBorder="1"/>
    <xf numFmtId="0" fontId="110" fillId="0" borderId="35" xfId="0" applyFont="1" applyBorder="1"/>
    <xf numFmtId="0" fontId="110" fillId="0" borderId="0" xfId="0" applyFont="1"/>
    <xf numFmtId="0" fontId="82" fillId="2" borderId="35" xfId="0" applyFont="1" applyFill="1" applyBorder="1" applyAlignment="1">
      <alignment horizontal="center"/>
    </xf>
    <xf numFmtId="2" fontId="69" fillId="0" borderId="35" xfId="0" applyNumberFormat="1" applyFont="1" applyBorder="1" applyAlignment="1">
      <alignment horizontal="center"/>
    </xf>
    <xf numFmtId="2" fontId="69" fillId="0" borderId="35" xfId="0" applyNumberFormat="1" applyFont="1" applyBorder="1" applyAlignment="1">
      <alignment horizontal="center" vertical="center"/>
    </xf>
    <xf numFmtId="10" fontId="69" fillId="0" borderId="35" xfId="0" applyNumberFormat="1" applyFont="1" applyBorder="1" applyAlignment="1">
      <alignment horizontal="center" vertical="center"/>
    </xf>
    <xf numFmtId="2" fontId="54" fillId="10" borderId="35" xfId="0" applyNumberFormat="1" applyFont="1" applyFill="1" applyBorder="1" applyAlignment="1">
      <alignment horizontal="center" vertical="center"/>
    </xf>
    <xf numFmtId="2" fontId="107" fillId="0" borderId="48" xfId="0" applyNumberFormat="1" applyFont="1" applyBorder="1" applyAlignment="1">
      <alignment horizontal="center" vertical="center"/>
    </xf>
    <xf numFmtId="0" fontId="107" fillId="0" borderId="38" xfId="0" applyFont="1" applyBorder="1" applyAlignment="1">
      <alignment horizontal="center"/>
    </xf>
    <xf numFmtId="0" fontId="108" fillId="0" borderId="38" xfId="0" applyFont="1" applyBorder="1" applyAlignment="1">
      <alignment horizontal="center"/>
    </xf>
    <xf numFmtId="2" fontId="107" fillId="0" borderId="203" xfId="0" applyNumberFormat="1" applyFont="1" applyBorder="1" applyAlignment="1">
      <alignment horizontal="center" vertical="center" wrapText="1"/>
    </xf>
    <xf numFmtId="0" fontId="7" fillId="0" borderId="42" xfId="0" applyFont="1" applyBorder="1"/>
    <xf numFmtId="2" fontId="107" fillId="0" borderId="33" xfId="0" applyNumberFormat="1" applyFont="1" applyBorder="1" applyAlignment="1">
      <alignment horizontal="center" vertical="center" wrapText="1"/>
    </xf>
    <xf numFmtId="0" fontId="107" fillId="0" borderId="43" xfId="0" applyFont="1" applyBorder="1" applyAlignment="1">
      <alignment horizontal="center"/>
    </xf>
    <xf numFmtId="2" fontId="107" fillId="0" borderId="38" xfId="0" applyNumberFormat="1" applyFont="1" applyBorder="1" applyAlignment="1">
      <alignment horizontal="center" vertical="center" wrapText="1"/>
    </xf>
    <xf numFmtId="0" fontId="7" fillId="0" borderId="42" xfId="0" applyFont="1" applyBorder="1" applyAlignment="1">
      <alignment horizontal="center"/>
    </xf>
    <xf numFmtId="0" fontId="7" fillId="0" borderId="38" xfId="0" applyFont="1" applyBorder="1" applyAlignment="1">
      <alignment horizontal="center"/>
    </xf>
    <xf numFmtId="2" fontId="7" fillId="0" borderId="38" xfId="0" applyNumberFormat="1" applyFont="1" applyBorder="1" applyAlignment="1">
      <alignment horizontal="center"/>
    </xf>
    <xf numFmtId="0" fontId="23" fillId="2" borderId="38" xfId="0" applyFont="1" applyFill="1" applyBorder="1" applyAlignment="1">
      <alignment horizontal="center" vertical="center"/>
    </xf>
    <xf numFmtId="2" fontId="107" fillId="0" borderId="38" xfId="0" applyNumberFormat="1" applyFont="1" applyBorder="1" applyAlignment="1">
      <alignment horizontal="center"/>
    </xf>
    <xf numFmtId="2" fontId="3" fillId="0" borderId="13" xfId="1" applyNumberFormat="1" applyFont="1" applyBorder="1" applyAlignment="1">
      <alignment horizontal="center" vertical="center" wrapText="1"/>
    </xf>
    <xf numFmtId="0" fontId="14" fillId="2" borderId="31" xfId="0" applyFont="1" applyFill="1" applyBorder="1" applyAlignment="1">
      <alignment horizontal="center"/>
    </xf>
    <xf numFmtId="44" fontId="0" fillId="0" borderId="0" xfId="0" applyNumberFormat="1"/>
    <xf numFmtId="2" fontId="72" fillId="0" borderId="35" xfId="0" applyNumberFormat="1" applyFont="1" applyBorder="1"/>
    <xf numFmtId="2" fontId="70" fillId="2" borderId="28" xfId="0" applyNumberFormat="1" applyFont="1" applyFill="1" applyBorder="1" applyAlignment="1">
      <alignment horizontal="center"/>
    </xf>
    <xf numFmtId="10" fontId="0" fillId="0" borderId="35" xfId="0" applyNumberFormat="1" applyBorder="1"/>
    <xf numFmtId="1" fontId="3" fillId="0" borderId="39" xfId="0" applyNumberFormat="1" applyFont="1" applyBorder="1" applyAlignment="1">
      <alignment horizontal="center" vertical="center"/>
    </xf>
    <xf numFmtId="0" fontId="9" fillId="0" borderId="13" xfId="1" applyNumberFormat="1" applyFont="1" applyBorder="1" applyAlignment="1">
      <alignment horizontal="center" vertical="center"/>
    </xf>
    <xf numFmtId="10" fontId="9" fillId="0" borderId="58" xfId="0" applyNumberFormat="1" applyFont="1" applyBorder="1" applyAlignment="1">
      <alignment horizontal="center" vertical="center"/>
    </xf>
    <xf numFmtId="44" fontId="0" fillId="0" borderId="35" xfId="0" applyNumberFormat="1" applyBorder="1"/>
    <xf numFmtId="1" fontId="31" fillId="0" borderId="13" xfId="0" applyNumberFormat="1" applyFont="1" applyBorder="1" applyAlignment="1">
      <alignment horizontal="center" vertical="center"/>
    </xf>
    <xf numFmtId="4" fontId="31" fillId="0" borderId="13" xfId="0" applyNumberFormat="1" applyFont="1" applyBorder="1" applyAlignment="1">
      <alignment horizontal="center" vertical="center"/>
    </xf>
    <xf numFmtId="4" fontId="4" fillId="2" borderId="235" xfId="0" applyNumberFormat="1" applyFont="1" applyFill="1" applyBorder="1" applyAlignment="1">
      <alignment horizontal="center" vertical="center" wrapText="1"/>
    </xf>
    <xf numFmtId="4" fontId="4" fillId="2" borderId="236" xfId="0" applyNumberFormat="1" applyFont="1" applyFill="1" applyBorder="1" applyAlignment="1">
      <alignment horizontal="center" vertical="center" wrapText="1"/>
    </xf>
    <xf numFmtId="0" fontId="9" fillId="0" borderId="48" xfId="0" applyFont="1" applyBorder="1" applyAlignment="1">
      <alignment horizontal="center" vertical="center"/>
    </xf>
    <xf numFmtId="0" fontId="9" fillId="0" borderId="173" xfId="0" applyFont="1" applyBorder="1" applyAlignment="1">
      <alignment horizontal="center" vertical="center"/>
    </xf>
    <xf numFmtId="4" fontId="63" fillId="0" borderId="48" xfId="0" applyNumberFormat="1" applyFont="1" applyBorder="1"/>
    <xf numFmtId="4" fontId="63" fillId="0" borderId="173" xfId="0" applyNumberFormat="1" applyFont="1" applyBorder="1"/>
    <xf numFmtId="4" fontId="14" fillId="2" borderId="190" xfId="0" applyNumberFormat="1" applyFont="1" applyFill="1" applyBorder="1" applyAlignment="1">
      <alignment horizontal="center" vertical="center" wrapText="1"/>
    </xf>
    <xf numFmtId="4" fontId="14" fillId="2" borderId="187" xfId="0" applyNumberFormat="1" applyFont="1" applyFill="1" applyBorder="1" applyAlignment="1">
      <alignment horizontal="center" vertical="center" wrapText="1"/>
    </xf>
    <xf numFmtId="9" fontId="63" fillId="0" borderId="187" xfId="0" applyNumberFormat="1" applyFont="1" applyBorder="1" applyAlignment="1">
      <alignment horizontal="center" vertical="center" wrapText="1"/>
    </xf>
    <xf numFmtId="9" fontId="14" fillId="2" borderId="187" xfId="0" applyNumberFormat="1" applyFont="1" applyFill="1" applyBorder="1" applyAlignment="1">
      <alignment horizontal="center" vertical="center" wrapText="1"/>
    </xf>
    <xf numFmtId="4" fontId="63" fillId="0" borderId="173" xfId="0" applyNumberFormat="1" applyFont="1" applyBorder="1" applyAlignment="1">
      <alignment horizontal="center" vertical="center"/>
    </xf>
    <xf numFmtId="10" fontId="63" fillId="0" borderId="187" xfId="0" applyNumberFormat="1" applyFont="1" applyBorder="1" applyAlignment="1">
      <alignment horizontal="center" vertical="center"/>
    </xf>
    <xf numFmtId="10" fontId="14" fillId="2" borderId="187" xfId="0" applyNumberFormat="1" applyFont="1" applyFill="1" applyBorder="1" applyAlignment="1">
      <alignment horizontal="center" vertical="center" wrapText="1"/>
    </xf>
    <xf numFmtId="10" fontId="63" fillId="0" borderId="173" xfId="0" applyNumberFormat="1" applyFont="1" applyBorder="1"/>
    <xf numFmtId="10" fontId="14" fillId="2" borderId="147" xfId="0" applyNumberFormat="1" applyFont="1" applyFill="1" applyBorder="1" applyAlignment="1">
      <alignment horizontal="center" vertical="center" wrapText="1"/>
    </xf>
    <xf numFmtId="4" fontId="34" fillId="0" borderId="48" xfId="0" applyNumberFormat="1" applyFont="1" applyBorder="1" applyAlignment="1">
      <alignment horizontal="center" vertical="center" wrapText="1"/>
    </xf>
    <xf numFmtId="4" fontId="63" fillId="0" borderId="48" xfId="0" applyNumberFormat="1" applyFont="1" applyBorder="1" applyAlignment="1">
      <alignment horizontal="center" vertical="center" wrapText="1"/>
    </xf>
    <xf numFmtId="4" fontId="63" fillId="0" borderId="173" xfId="0" applyNumberFormat="1" applyFont="1" applyBorder="1" applyAlignment="1">
      <alignment wrapText="1"/>
    </xf>
    <xf numFmtId="4" fontId="34" fillId="0" borderId="187" xfId="0" applyNumberFormat="1" applyFont="1" applyBorder="1" applyAlignment="1">
      <alignment horizontal="center" vertical="center" wrapText="1"/>
    </xf>
    <xf numFmtId="0" fontId="0" fillId="0" borderId="237" xfId="0" applyBorder="1" applyAlignment="1">
      <alignment horizontal="center"/>
    </xf>
    <xf numFmtId="0" fontId="19" fillId="0" borderId="173" xfId="0" applyFont="1" applyBorder="1" applyAlignment="1">
      <alignment horizontal="center" vertical="center"/>
    </xf>
    <xf numFmtId="0" fontId="14" fillId="2" borderId="203" xfId="0" applyFont="1" applyFill="1" applyBorder="1" applyAlignment="1">
      <alignment horizontal="center"/>
    </xf>
    <xf numFmtId="0" fontId="63" fillId="0" borderId="190" xfId="0" applyFont="1" applyBorder="1" applyAlignment="1">
      <alignment horizontal="center" vertical="center"/>
    </xf>
    <xf numFmtId="0" fontId="0" fillId="0" borderId="203" xfId="0" applyBorder="1"/>
    <xf numFmtId="0" fontId="0" fillId="0" borderId="188" xfId="0" applyBorder="1"/>
    <xf numFmtId="169" fontId="3" fillId="0" borderId="13" xfId="0" applyNumberFormat="1" applyFont="1" applyBorder="1" applyAlignment="1">
      <alignment horizontal="center" vertical="center" wrapText="1"/>
    </xf>
    <xf numFmtId="0" fontId="85" fillId="0" borderId="174" xfId="0" applyFont="1" applyBorder="1"/>
    <xf numFmtId="0" fontId="104" fillId="0" borderId="35" xfId="0" applyFont="1" applyBorder="1" applyAlignment="1">
      <alignment vertical="center"/>
    </xf>
    <xf numFmtId="0" fontId="112" fillId="0" borderId="35" xfId="0" applyFont="1" applyBorder="1" applyAlignment="1">
      <alignment vertical="center"/>
    </xf>
    <xf numFmtId="0" fontId="111" fillId="0" borderId="35" xfId="0" applyFont="1" applyBorder="1" applyAlignment="1">
      <alignment vertical="center"/>
    </xf>
    <xf numFmtId="170" fontId="31" fillId="0" borderId="20" xfId="0" applyNumberFormat="1" applyFont="1" applyBorder="1" applyAlignment="1">
      <alignment horizontal="center" vertical="center"/>
    </xf>
    <xf numFmtId="10" fontId="0" fillId="0" borderId="0" xfId="0" applyNumberFormat="1"/>
    <xf numFmtId="0" fontId="0" fillId="18" borderId="244" xfId="0" applyFill="1" applyBorder="1"/>
    <xf numFmtId="0" fontId="0" fillId="18" borderId="104" xfId="0" applyFill="1" applyBorder="1"/>
    <xf numFmtId="0" fontId="0" fillId="18" borderId="241" xfId="0" applyFill="1" applyBorder="1"/>
    <xf numFmtId="0" fontId="113" fillId="18" borderId="245" xfId="11" applyFont="1" applyFill="1" applyBorder="1"/>
    <xf numFmtId="0" fontId="113" fillId="18" borderId="242" xfId="11" applyFont="1" applyFill="1" applyBorder="1"/>
    <xf numFmtId="0" fontId="113" fillId="18" borderId="242" xfId="11" applyFont="1" applyFill="1" applyBorder="1" applyAlignment="1">
      <alignment horizontal="center"/>
    </xf>
    <xf numFmtId="0" fontId="0" fillId="18" borderId="242" xfId="0" applyFill="1" applyBorder="1"/>
    <xf numFmtId="0" fontId="0" fillId="18" borderId="246" xfId="0" applyFill="1" applyBorder="1"/>
    <xf numFmtId="0" fontId="0" fillId="0" borderId="38" xfId="0" applyBorder="1"/>
    <xf numFmtId="0" fontId="8" fillId="0" borderId="38" xfId="0" applyFont="1" applyBorder="1"/>
    <xf numFmtId="167" fontId="0" fillId="0" borderId="0" xfId="0" applyNumberFormat="1"/>
    <xf numFmtId="164" fontId="32" fillId="0" borderId="35" xfId="0" applyNumberFormat="1" applyFont="1" applyBorder="1" applyAlignment="1">
      <alignment horizontal="right" wrapText="1"/>
    </xf>
    <xf numFmtId="164" fontId="27" fillId="0" borderId="173" xfId="0" applyNumberFormat="1" applyFont="1" applyBorder="1"/>
    <xf numFmtId="0" fontId="4" fillId="19" borderId="35" xfId="0" applyFont="1" applyFill="1" applyBorder="1" applyAlignment="1">
      <alignment horizontal="left" vertical="center" wrapText="1"/>
    </xf>
    <xf numFmtId="44" fontId="8" fillId="0" borderId="173" xfId="2" applyFont="1" applyBorder="1" applyAlignment="1"/>
    <xf numFmtId="44" fontId="0" fillId="0" borderId="173" xfId="0" applyNumberFormat="1" applyBorder="1"/>
    <xf numFmtId="0" fontId="118" fillId="18" borderId="38" xfId="12" applyFont="1" applyFill="1" applyBorder="1" applyAlignment="1">
      <alignment vertical="center"/>
    </xf>
    <xf numFmtId="0" fontId="122" fillId="19" borderId="38" xfId="0" applyFont="1" applyFill="1" applyBorder="1" applyAlignment="1">
      <alignment horizontal="left" vertical="center" wrapText="1"/>
    </xf>
    <xf numFmtId="194" fontId="120" fillId="18" borderId="38" xfId="21" applyNumberFormat="1" applyFont="1" applyFill="1" applyBorder="1" applyAlignment="1">
      <alignment horizontal="center" vertical="center"/>
    </xf>
    <xf numFmtId="0" fontId="21" fillId="18" borderId="38" xfId="0" applyFont="1" applyFill="1" applyBorder="1" applyAlignment="1">
      <alignment horizontal="justify" vertical="justify"/>
    </xf>
    <xf numFmtId="0" fontId="21" fillId="18" borderId="38" xfId="0" applyFont="1" applyFill="1" applyBorder="1" applyAlignment="1">
      <alignment horizontal="justify" vertical="justify" wrapText="1"/>
    </xf>
    <xf numFmtId="0" fontId="121" fillId="18" borderId="38" xfId="0" applyFont="1" applyFill="1" applyBorder="1" applyAlignment="1">
      <alignment horizontal="justify" vertical="justify"/>
    </xf>
    <xf numFmtId="0" fontId="31" fillId="0" borderId="38" xfId="0" applyFont="1" applyBorder="1"/>
    <xf numFmtId="0" fontId="4" fillId="19" borderId="38" xfId="0" applyFont="1" applyFill="1" applyBorder="1" applyAlignment="1">
      <alignment horizontal="left" vertical="center" wrapText="1"/>
    </xf>
    <xf numFmtId="164" fontId="32" fillId="0" borderId="38" xfId="0" applyNumberFormat="1" applyFont="1" applyBorder="1" applyAlignment="1">
      <alignment horizontal="right" wrapText="1"/>
    </xf>
    <xf numFmtId="10" fontId="62" fillId="0" borderId="38" xfId="0" applyNumberFormat="1" applyFont="1" applyBorder="1" applyAlignment="1">
      <alignment horizontal="center"/>
    </xf>
    <xf numFmtId="0" fontId="21" fillId="0" borderId="38" xfId="0" applyFont="1" applyBorder="1" applyAlignment="1">
      <alignment horizontal="justify" vertical="justify"/>
    </xf>
    <xf numFmtId="0" fontId="21" fillId="0" borderId="38" xfId="0" applyFont="1" applyBorder="1" applyAlignment="1">
      <alignment horizontal="justify" vertical="justify" wrapText="1"/>
    </xf>
    <xf numFmtId="0" fontId="121" fillId="0" borderId="38" xfId="0" applyFont="1" applyBorder="1" applyAlignment="1">
      <alignment horizontal="justify" vertical="justify"/>
    </xf>
    <xf numFmtId="10" fontId="123" fillId="0" borderId="38" xfId="0" applyNumberFormat="1" applyFont="1" applyBorder="1" applyAlignment="1">
      <alignment horizontal="center"/>
    </xf>
    <xf numFmtId="44" fontId="0" fillId="0" borderId="38" xfId="0" applyNumberFormat="1" applyBorder="1"/>
    <xf numFmtId="167" fontId="12" fillId="0" borderId="173" xfId="0" applyNumberFormat="1" applyFont="1" applyBorder="1"/>
    <xf numFmtId="10" fontId="62" fillId="0" borderId="38" xfId="0" applyNumberFormat="1" applyFont="1" applyBorder="1" applyAlignment="1">
      <alignment horizontal="center" vertical="center"/>
    </xf>
    <xf numFmtId="9" fontId="12" fillId="0" borderId="38" xfId="0" applyNumberFormat="1" applyFont="1" applyBorder="1" applyAlignment="1">
      <alignment horizontal="center" vertical="center" wrapText="1"/>
    </xf>
    <xf numFmtId="9" fontId="62" fillId="0" borderId="38" xfId="0" applyNumberFormat="1" applyFont="1" applyBorder="1" applyAlignment="1">
      <alignment horizontal="center" vertical="center"/>
    </xf>
    <xf numFmtId="9" fontId="123" fillId="0" borderId="38" xfId="2" applyNumberFormat="1" applyFont="1" applyBorder="1" applyAlignment="1">
      <alignment horizontal="center" vertical="center"/>
    </xf>
    <xf numFmtId="10" fontId="31" fillId="0" borderId="28" xfId="0" applyNumberFormat="1" applyFont="1" applyBorder="1" applyAlignment="1">
      <alignment horizontal="center" vertical="center"/>
    </xf>
    <xf numFmtId="0" fontId="0" fillId="0" borderId="248" xfId="0" applyBorder="1"/>
    <xf numFmtId="167" fontId="12" fillId="0" borderId="250" xfId="0" applyNumberFormat="1" applyFont="1" applyBorder="1"/>
    <xf numFmtId="167" fontId="31" fillId="0" borderId="35" xfId="0" applyNumberFormat="1" applyFont="1" applyBorder="1" applyAlignment="1">
      <alignment vertical="center"/>
    </xf>
    <xf numFmtId="167" fontId="29" fillId="0" borderId="35" xfId="0" applyNumberFormat="1" applyFont="1" applyBorder="1"/>
    <xf numFmtId="1" fontId="9" fillId="0" borderId="25" xfId="0" applyNumberFormat="1" applyFont="1" applyBorder="1" applyAlignment="1">
      <alignment horizontal="center" vertical="center"/>
    </xf>
    <xf numFmtId="167" fontId="0" fillId="0" borderId="35" xfId="0" applyNumberFormat="1" applyBorder="1"/>
    <xf numFmtId="10" fontId="27" fillId="0" borderId="13" xfId="0" applyNumberFormat="1" applyFont="1" applyBorder="1" applyAlignment="1">
      <alignment horizontal="center" vertical="center"/>
    </xf>
    <xf numFmtId="0" fontId="3" fillId="0" borderId="19" xfId="0" applyFont="1" applyBorder="1" applyAlignment="1">
      <alignment horizontal="center" vertical="center"/>
    </xf>
    <xf numFmtId="166" fontId="31" fillId="0" borderId="18" xfId="0" applyNumberFormat="1" applyFont="1" applyBorder="1" applyAlignment="1">
      <alignment horizontal="center" vertical="center"/>
    </xf>
    <xf numFmtId="0" fontId="27" fillId="0" borderId="30" xfId="0" applyFont="1" applyBorder="1"/>
    <xf numFmtId="0" fontId="27" fillId="0" borderId="186" xfId="0" applyFont="1" applyBorder="1"/>
    <xf numFmtId="0" fontId="31" fillId="0" borderId="18" xfId="0" applyFont="1" applyBorder="1" applyAlignment="1">
      <alignment horizontal="left" vertical="center" wrapText="1"/>
    </xf>
    <xf numFmtId="0" fontId="27" fillId="0" borderId="20" xfId="0" applyFont="1" applyBorder="1"/>
    <xf numFmtId="0" fontId="12" fillId="3" borderId="18" xfId="0" applyFont="1" applyFill="1" applyBorder="1" applyAlignment="1">
      <alignment horizontal="left" vertical="center"/>
    </xf>
    <xf numFmtId="0" fontId="3" fillId="0" borderId="18" xfId="0" applyFont="1" applyBorder="1" applyAlignment="1">
      <alignment horizontal="left" vertical="center" wrapText="1"/>
    </xf>
    <xf numFmtId="167" fontId="12" fillId="0" borderId="18" xfId="0" applyNumberFormat="1" applyFont="1" applyBorder="1" applyAlignment="1">
      <alignment horizontal="center"/>
    </xf>
    <xf numFmtId="0" fontId="124" fillId="0" borderId="186" xfId="0" applyFont="1" applyBorder="1"/>
    <xf numFmtId="0" fontId="4" fillId="2" borderId="18" xfId="0" applyFont="1" applyFill="1" applyBorder="1" applyAlignment="1">
      <alignment horizontal="left" vertical="center"/>
    </xf>
    <xf numFmtId="0" fontId="4" fillId="2" borderId="247" xfId="0" applyFont="1" applyFill="1" applyBorder="1" applyAlignment="1">
      <alignment horizontal="left" vertical="center" wrapText="1"/>
    </xf>
    <xf numFmtId="0" fontId="28" fillId="2" borderId="248" xfId="0" applyFont="1" applyFill="1" applyBorder="1" applyAlignment="1">
      <alignment horizontal="left" vertical="center" wrapText="1"/>
    </xf>
    <xf numFmtId="0" fontId="28" fillId="2" borderId="249" xfId="0" applyFont="1" applyFill="1" applyBorder="1" applyAlignment="1">
      <alignment horizontal="left" vertical="center" wrapText="1"/>
    </xf>
    <xf numFmtId="0" fontId="3" fillId="0" borderId="35" xfId="0" applyFont="1" applyBorder="1" applyAlignment="1">
      <alignment horizontal="center"/>
    </xf>
    <xf numFmtId="0" fontId="45" fillId="0" borderId="35" xfId="0" applyFont="1" applyBorder="1"/>
    <xf numFmtId="0" fontId="28" fillId="2" borderId="20" xfId="0" applyFont="1" applyFill="1" applyBorder="1" applyAlignment="1">
      <alignment horizontal="left" vertical="center"/>
    </xf>
    <xf numFmtId="0" fontId="28" fillId="2" borderId="30" xfId="0" applyFont="1" applyFill="1" applyBorder="1" applyAlignment="1">
      <alignment horizontal="left" vertical="center"/>
    </xf>
    <xf numFmtId="164" fontId="32" fillId="3" borderId="18" xfId="0" applyNumberFormat="1" applyFont="1" applyFill="1" applyBorder="1" applyAlignment="1">
      <alignment horizontal="center" vertical="center"/>
    </xf>
    <xf numFmtId="0" fontId="31" fillId="0" borderId="20" xfId="0" applyFont="1" applyBorder="1" applyAlignment="1">
      <alignment horizontal="left" vertical="center" wrapText="1"/>
    </xf>
    <xf numFmtId="0" fontId="31" fillId="0" borderId="30" xfId="0" applyFont="1" applyBorder="1" applyAlignment="1">
      <alignment horizontal="left" vertical="center" wrapText="1"/>
    </xf>
    <xf numFmtId="0" fontId="12" fillId="3" borderId="20" xfId="0" applyFont="1" applyFill="1" applyBorder="1" applyAlignment="1">
      <alignment horizontal="left" vertical="center"/>
    </xf>
    <xf numFmtId="0" fontId="32" fillId="3" borderId="18" xfId="0" applyFont="1" applyFill="1" applyBorder="1" applyAlignment="1">
      <alignment horizontal="left" vertical="center"/>
    </xf>
    <xf numFmtId="44" fontId="31" fillId="0" borderId="18" xfId="2" applyFont="1" applyBorder="1" applyAlignment="1">
      <alignment horizontal="center" vertical="center"/>
    </xf>
    <xf numFmtId="44" fontId="27" fillId="0" borderId="30" xfId="2" applyFont="1" applyBorder="1"/>
    <xf numFmtId="0" fontId="32" fillId="3" borderId="20" xfId="0" applyFont="1" applyFill="1" applyBorder="1" applyAlignment="1">
      <alignment horizontal="left" vertical="center"/>
    </xf>
    <xf numFmtId="0" fontId="8" fillId="0" borderId="35" xfId="0" applyFont="1" applyBorder="1" applyAlignment="1">
      <alignment horizontal="center"/>
    </xf>
    <xf numFmtId="0" fontId="0" fillId="0" borderId="35" xfId="0" applyBorder="1"/>
    <xf numFmtId="0" fontId="28" fillId="2" borderId="189" xfId="0" applyFont="1" applyFill="1" applyBorder="1" applyAlignment="1">
      <alignment horizontal="center" vertical="center"/>
    </xf>
    <xf numFmtId="166" fontId="28" fillId="2" borderId="18" xfId="0" applyNumberFormat="1" applyFont="1" applyFill="1" applyBorder="1" applyAlignment="1">
      <alignment horizontal="center" vertical="center"/>
    </xf>
    <xf numFmtId="0" fontId="5" fillId="0" borderId="19" xfId="0" applyFont="1" applyBorder="1"/>
    <xf numFmtId="0" fontId="28" fillId="2" borderId="170" xfId="0" applyFont="1" applyFill="1" applyBorder="1" applyAlignment="1">
      <alignment horizontal="center" vertical="center" wrapText="1"/>
    </xf>
    <xf numFmtId="0" fontId="27" fillId="0" borderId="171" xfId="0" applyFont="1" applyBorder="1"/>
    <xf numFmtId="0" fontId="27" fillId="0" borderId="181" xfId="0" applyFont="1" applyBorder="1"/>
    <xf numFmtId="0" fontId="27" fillId="0" borderId="48" xfId="0" applyFont="1" applyBorder="1"/>
    <xf numFmtId="0" fontId="29" fillId="0" borderId="35" xfId="0" applyFont="1" applyBorder="1"/>
    <xf numFmtId="0" fontId="27" fillId="0" borderId="29" xfId="0" applyFont="1" applyBorder="1"/>
    <xf numFmtId="0" fontId="28" fillId="2" borderId="182" xfId="0" applyFont="1" applyFill="1" applyBorder="1" applyAlignment="1">
      <alignment horizontal="center" vertical="center"/>
    </xf>
    <xf numFmtId="0" fontId="27" fillId="0" borderId="140" xfId="0" applyFont="1" applyBorder="1"/>
    <xf numFmtId="165" fontId="30" fillId="3" borderId="31" xfId="0" applyNumberFormat="1" applyFont="1" applyFill="1" applyBorder="1" applyAlignment="1">
      <alignment horizontal="center" vertical="center" wrapText="1"/>
    </xf>
    <xf numFmtId="0" fontId="27" fillId="0" borderId="188" xfId="0" applyFont="1" applyBorder="1"/>
    <xf numFmtId="0" fontId="27" fillId="0" borderId="26" xfId="0" applyFont="1" applyBorder="1"/>
    <xf numFmtId="0" fontId="27" fillId="0" borderId="185" xfId="0" applyFont="1" applyBorder="1"/>
    <xf numFmtId="0" fontId="28" fillId="2" borderId="18" xfId="0" applyFont="1" applyFill="1" applyBorder="1" applyAlignment="1">
      <alignment horizontal="center" vertical="center"/>
    </xf>
    <xf numFmtId="0" fontId="28" fillId="2" borderId="18" xfId="0" applyFont="1" applyFill="1" applyBorder="1" applyAlignment="1">
      <alignment horizontal="left" vertical="center"/>
    </xf>
    <xf numFmtId="0" fontId="28" fillId="2" borderId="18" xfId="0" applyFont="1" applyFill="1" applyBorder="1" applyAlignment="1">
      <alignment horizontal="left" vertical="center" wrapText="1"/>
    </xf>
    <xf numFmtId="0" fontId="28" fillId="2" borderId="20" xfId="0" applyFont="1" applyFill="1" applyBorder="1" applyAlignment="1">
      <alignment horizontal="left" vertical="center" wrapText="1"/>
    </xf>
    <xf numFmtId="0" fontId="28" fillId="2" borderId="30" xfId="0" applyFont="1" applyFill="1" applyBorder="1" applyAlignment="1">
      <alignment horizontal="left" vertical="center" wrapText="1"/>
    </xf>
    <xf numFmtId="164" fontId="32" fillId="0" borderId="18" xfId="0" applyNumberFormat="1" applyFont="1" applyBorder="1" applyAlignment="1">
      <alignment horizontal="right" wrapText="1"/>
    </xf>
    <xf numFmtId="167" fontId="3" fillId="0" borderId="18" xfId="0" applyNumberFormat="1" applyFont="1" applyBorder="1" applyAlignment="1">
      <alignment horizontal="center"/>
    </xf>
    <xf numFmtId="0" fontId="4" fillId="2" borderId="18" xfId="0" applyFont="1" applyFill="1" applyBorder="1" applyAlignment="1">
      <alignment horizontal="left" vertical="center" wrapText="1"/>
    </xf>
    <xf numFmtId="167" fontId="31" fillId="0" borderId="26" xfId="0" applyNumberFormat="1" applyFont="1" applyBorder="1" applyAlignment="1">
      <alignment horizontal="center"/>
    </xf>
    <xf numFmtId="167" fontId="31" fillId="0" borderId="18" xfId="0" applyNumberFormat="1" applyFont="1" applyBorder="1" applyAlignment="1">
      <alignment horizontal="center"/>
    </xf>
    <xf numFmtId="0" fontId="28" fillId="2" borderId="26" xfId="0" applyFont="1" applyFill="1" applyBorder="1" applyAlignment="1">
      <alignment horizontal="left" vertical="center" wrapText="1"/>
    </xf>
    <xf numFmtId="0" fontId="28" fillId="2" borderId="27" xfId="0" applyFont="1" applyFill="1" applyBorder="1" applyAlignment="1">
      <alignment horizontal="left" vertical="center" wrapText="1"/>
    </xf>
    <xf numFmtId="164" fontId="27" fillId="0" borderId="186" xfId="0" applyNumberFormat="1" applyFont="1" applyBorder="1"/>
    <xf numFmtId="44" fontId="8" fillId="0" borderId="35" xfId="2" applyFont="1" applyBorder="1" applyAlignment="1">
      <alignment horizontal="center"/>
    </xf>
    <xf numFmtId="44" fontId="8" fillId="0" borderId="173" xfId="2" applyFont="1" applyBorder="1" applyAlignment="1">
      <alignment horizontal="center"/>
    </xf>
    <xf numFmtId="166" fontId="27" fillId="0" borderId="186" xfId="0" applyNumberFormat="1" applyFont="1" applyBorder="1"/>
    <xf numFmtId="0" fontId="114" fillId="18" borderId="243" xfId="11" applyFont="1" applyFill="1" applyBorder="1" applyAlignment="1">
      <alignment horizontal="center"/>
    </xf>
    <xf numFmtId="0" fontId="114" fillId="18" borderId="38" xfId="11" applyFont="1" applyFill="1" applyBorder="1" applyAlignment="1">
      <alignment horizontal="center"/>
    </xf>
    <xf numFmtId="0" fontId="114" fillId="18" borderId="240" xfId="11" applyFont="1" applyFill="1" applyBorder="1" applyAlignment="1">
      <alignment horizontal="center"/>
    </xf>
    <xf numFmtId="0" fontId="116" fillId="18" borderId="243" xfId="12" applyFont="1" applyFill="1" applyBorder="1" applyAlignment="1">
      <alignment horizontal="center" vertical="top"/>
    </xf>
    <xf numFmtId="0" fontId="116" fillId="18" borderId="38" xfId="12" applyFont="1" applyFill="1" applyBorder="1" applyAlignment="1">
      <alignment horizontal="center" vertical="top"/>
    </xf>
    <xf numFmtId="0" fontId="116" fillId="18" borderId="240" xfId="12" applyFont="1" applyFill="1" applyBorder="1" applyAlignment="1">
      <alignment horizontal="center" vertical="top"/>
    </xf>
    <xf numFmtId="0" fontId="116" fillId="18" borderId="243" xfId="12" applyFont="1" applyFill="1" applyBorder="1" applyAlignment="1">
      <alignment horizontal="center"/>
    </xf>
    <xf numFmtId="0" fontId="116" fillId="18" borderId="38" xfId="12" applyFont="1" applyFill="1" applyBorder="1" applyAlignment="1">
      <alignment horizontal="center"/>
    </xf>
    <xf numFmtId="0" fontId="116" fillId="18" borderId="240" xfId="12" applyFont="1" applyFill="1" applyBorder="1" applyAlignment="1">
      <alignment horizontal="center"/>
    </xf>
    <xf numFmtId="0" fontId="117" fillId="18" borderId="243" xfId="11" applyFont="1" applyFill="1" applyBorder="1" applyAlignment="1">
      <alignment horizontal="center" vertical="center" wrapText="1"/>
    </xf>
    <xf numFmtId="0" fontId="117" fillId="18" borderId="38" xfId="11" applyFont="1" applyFill="1" applyBorder="1" applyAlignment="1">
      <alignment horizontal="center" vertical="center" wrapText="1"/>
    </xf>
    <xf numFmtId="0" fontId="117" fillId="18" borderId="240" xfId="11" applyFont="1" applyFill="1" applyBorder="1" applyAlignment="1">
      <alignment horizontal="center" vertical="center" wrapText="1"/>
    </xf>
    <xf numFmtId="0" fontId="115" fillId="18" borderId="243" xfId="0" applyFont="1" applyFill="1" applyBorder="1" applyAlignment="1">
      <alignment horizontal="center" vertical="center" wrapText="1"/>
    </xf>
    <xf numFmtId="0" fontId="115" fillId="18" borderId="38" xfId="0" applyFont="1" applyFill="1" applyBorder="1" applyAlignment="1">
      <alignment horizontal="center" vertical="center" wrapText="1"/>
    </xf>
    <xf numFmtId="0" fontId="115" fillId="18" borderId="240" xfId="0" applyFont="1" applyFill="1" applyBorder="1" applyAlignment="1">
      <alignment horizontal="center" vertical="center" wrapText="1"/>
    </xf>
    <xf numFmtId="0" fontId="4" fillId="2" borderId="20" xfId="0" applyFont="1" applyFill="1" applyBorder="1" applyAlignment="1">
      <alignment horizontal="left" vertical="center"/>
    </xf>
    <xf numFmtId="0" fontId="4" fillId="2" borderId="30" xfId="0" applyFont="1" applyFill="1" applyBorder="1" applyAlignment="1">
      <alignment horizontal="left" vertical="center"/>
    </xf>
    <xf numFmtId="0" fontId="119" fillId="18" borderId="38" xfId="12" applyFont="1" applyFill="1" applyBorder="1" applyAlignment="1">
      <alignment horizontal="justify" vertical="justify" wrapText="1"/>
    </xf>
    <xf numFmtId="3" fontId="120" fillId="18" borderId="38" xfId="12" applyNumberFormat="1" applyFont="1" applyFill="1" applyBorder="1" applyAlignment="1">
      <alignment horizontal="center" vertical="center" wrapText="1"/>
    </xf>
    <xf numFmtId="0" fontId="119" fillId="18" borderId="38" xfId="12" applyFont="1" applyFill="1" applyBorder="1" applyAlignment="1">
      <alignment horizontal="justify" vertical="justify"/>
    </xf>
    <xf numFmtId="0" fontId="121" fillId="0" borderId="38" xfId="0" applyFont="1" applyBorder="1" applyAlignment="1">
      <alignment horizontal="justify" vertical="justify"/>
    </xf>
    <xf numFmtId="0" fontId="121" fillId="0" borderId="38" xfId="0" applyFont="1" applyBorder="1" applyAlignment="1">
      <alignment horizontal="left" vertical="justify"/>
    </xf>
    <xf numFmtId="0" fontId="120" fillId="18" borderId="38" xfId="12" applyFont="1" applyFill="1" applyBorder="1" applyAlignment="1">
      <alignment horizontal="center" wrapText="1"/>
    </xf>
    <xf numFmtId="3" fontId="120" fillId="18" borderId="38" xfId="12" applyNumberFormat="1" applyFont="1" applyFill="1" applyBorder="1" applyAlignment="1">
      <alignment horizontal="center" wrapText="1"/>
    </xf>
    <xf numFmtId="44" fontId="0" fillId="0" borderId="35" xfId="0" applyNumberFormat="1" applyBorder="1" applyAlignment="1">
      <alignment horizontal="center"/>
    </xf>
    <xf numFmtId="44" fontId="0" fillId="0" borderId="173" xfId="0" applyNumberFormat="1" applyBorder="1" applyAlignment="1">
      <alignment horizontal="center"/>
    </xf>
    <xf numFmtId="0" fontId="14" fillId="2" borderId="38" xfId="0" applyFont="1" applyFill="1" applyBorder="1" applyAlignment="1">
      <alignment horizontal="center" vertical="center"/>
    </xf>
    <xf numFmtId="0" fontId="64" fillId="0" borderId="38" xfId="0" applyFont="1" applyBorder="1"/>
    <xf numFmtId="0" fontId="105" fillId="2" borderId="170" xfId="0" applyFont="1" applyFill="1" applyBorder="1" applyAlignment="1">
      <alignment horizontal="center" vertical="center" wrapText="1"/>
    </xf>
    <xf numFmtId="0" fontId="105" fillId="2" borderId="171" xfId="0" applyFont="1" applyFill="1" applyBorder="1" applyAlignment="1">
      <alignment horizontal="center" vertical="center" wrapText="1"/>
    </xf>
    <xf numFmtId="0" fontId="105" fillId="2" borderId="181" xfId="0" applyFont="1" applyFill="1" applyBorder="1" applyAlignment="1">
      <alignment horizontal="center" vertical="center" wrapText="1"/>
    </xf>
    <xf numFmtId="0" fontId="105" fillId="2" borderId="48" xfId="0" applyFont="1" applyFill="1" applyBorder="1" applyAlignment="1">
      <alignment horizontal="center" vertical="center" wrapText="1"/>
    </xf>
    <xf numFmtId="0" fontId="105" fillId="2" borderId="35" xfId="0" applyFont="1" applyFill="1" applyBorder="1" applyAlignment="1">
      <alignment horizontal="center" vertical="center" wrapText="1"/>
    </xf>
    <xf numFmtId="0" fontId="105" fillId="2" borderId="29" xfId="0" applyFont="1" applyFill="1" applyBorder="1" applyAlignment="1">
      <alignment horizontal="center" vertical="center" wrapText="1"/>
    </xf>
    <xf numFmtId="0" fontId="14" fillId="2" borderId="107" xfId="0" applyFont="1" applyFill="1" applyBorder="1" applyAlignment="1">
      <alignment horizontal="center" vertical="center"/>
    </xf>
    <xf numFmtId="1" fontId="63" fillId="0" borderId="18" xfId="0" applyNumberFormat="1" applyFont="1" applyBorder="1" applyAlignment="1">
      <alignment horizontal="center" vertical="center" wrapText="1"/>
    </xf>
    <xf numFmtId="0" fontId="64" fillId="0" borderId="30" xfId="0" applyFont="1" applyBorder="1"/>
    <xf numFmtId="0" fontId="14" fillId="2" borderId="18" xfId="0" applyFont="1" applyFill="1" applyBorder="1" applyAlignment="1">
      <alignment horizontal="left" vertical="center"/>
    </xf>
    <xf numFmtId="0" fontId="50" fillId="0" borderId="20" xfId="0" applyFont="1" applyBorder="1"/>
    <xf numFmtId="0" fontId="50" fillId="0" borderId="30" xfId="0" applyFont="1" applyBorder="1"/>
    <xf numFmtId="0" fontId="63" fillId="0" borderId="18" xfId="0" applyFont="1" applyBorder="1" applyAlignment="1">
      <alignment horizontal="left" vertical="center" wrapText="1"/>
    </xf>
    <xf numFmtId="0" fontId="64" fillId="0" borderId="20" xfId="0" applyFont="1" applyBorder="1" applyAlignment="1">
      <alignment vertical="center" wrapText="1"/>
    </xf>
    <xf numFmtId="0" fontId="64" fillId="0" borderId="186" xfId="0" applyFont="1" applyBorder="1" applyAlignment="1">
      <alignment vertical="center" wrapText="1"/>
    </xf>
    <xf numFmtId="0" fontId="14" fillId="2" borderId="18" xfId="0" applyFont="1" applyFill="1" applyBorder="1" applyAlignment="1">
      <alignment horizontal="center" vertical="center"/>
    </xf>
    <xf numFmtId="0" fontId="14" fillId="2" borderId="30" xfId="0" applyFont="1" applyFill="1" applyBorder="1" applyAlignment="1">
      <alignment horizontal="center" vertical="center"/>
    </xf>
    <xf numFmtId="44" fontId="51" fillId="0" borderId="38" xfId="2" applyFont="1" applyBorder="1" applyAlignment="1">
      <alignment horizontal="center"/>
    </xf>
    <xf numFmtId="44" fontId="51" fillId="0" borderId="106" xfId="2" applyFont="1" applyBorder="1" applyAlignment="1">
      <alignment horizontal="center"/>
    </xf>
    <xf numFmtId="0" fontId="4" fillId="2" borderId="182" xfId="0" applyFont="1" applyFill="1" applyBorder="1" applyAlignment="1">
      <alignment horizontal="center" vertical="center"/>
    </xf>
    <xf numFmtId="0" fontId="5" fillId="0" borderId="183" xfId="0" applyFont="1" applyBorder="1"/>
    <xf numFmtId="0" fontId="9" fillId="0" borderId="107" xfId="0" applyFont="1" applyBorder="1" applyAlignment="1">
      <alignment horizontal="center" vertical="center"/>
    </xf>
    <xf numFmtId="0" fontId="5" fillId="0" borderId="38" xfId="0" applyFont="1" applyBorder="1"/>
    <xf numFmtId="0" fontId="5" fillId="0" borderId="107" xfId="0" applyFont="1" applyBorder="1"/>
    <xf numFmtId="0" fontId="0" fillId="0" borderId="38" xfId="0" applyBorder="1"/>
    <xf numFmtId="0" fontId="9" fillId="0" borderId="38" xfId="0" applyFont="1" applyBorder="1" applyAlignment="1">
      <alignment horizontal="center" vertical="center"/>
    </xf>
    <xf numFmtId="0" fontId="65" fillId="0" borderId="30" xfId="0" applyFont="1" applyBorder="1" applyAlignment="1">
      <alignment vertical="center"/>
    </xf>
    <xf numFmtId="164" fontId="6" fillId="0" borderId="184" xfId="0" applyNumberFormat="1" applyFont="1" applyBorder="1" applyAlignment="1">
      <alignment horizontal="center" vertical="center" wrapText="1"/>
    </xf>
    <xf numFmtId="0" fontId="5" fillId="0" borderId="171" xfId="0" applyFont="1" applyBorder="1"/>
    <xf numFmtId="0" fontId="5" fillId="0" borderId="172" xfId="0" applyFont="1" applyBorder="1"/>
    <xf numFmtId="0" fontId="5" fillId="0" borderId="37" xfId="0" applyFont="1" applyBorder="1"/>
    <xf numFmtId="0" fontId="5" fillId="0" borderId="173" xfId="0" applyFont="1" applyBorder="1"/>
    <xf numFmtId="0" fontId="5" fillId="0" borderId="26" xfId="0" applyFont="1" applyBorder="1"/>
    <xf numFmtId="0" fontId="5" fillId="0" borderId="36" xfId="0" applyFont="1" applyBorder="1"/>
    <xf numFmtId="0" fontId="5" fillId="0" borderId="185" xfId="0" applyFont="1" applyBorder="1"/>
    <xf numFmtId="14" fontId="7" fillId="3" borderId="31" xfId="0" applyNumberFormat="1" applyFont="1" applyFill="1" applyBorder="1" applyAlignment="1">
      <alignment horizontal="center" vertical="center" wrapText="1"/>
    </xf>
    <xf numFmtId="14" fontId="5" fillId="0" borderId="33" xfId="0" applyNumberFormat="1" applyFont="1" applyBorder="1"/>
    <xf numFmtId="14" fontId="5" fillId="0" borderId="26" xfId="0" applyNumberFormat="1" applyFont="1" applyBorder="1"/>
    <xf numFmtId="14" fontId="5" fillId="0" borderId="27" xfId="0" applyNumberFormat="1" applyFont="1" applyBorder="1"/>
    <xf numFmtId="0" fontId="14" fillId="2" borderId="31" xfId="0" applyFont="1" applyFill="1" applyBorder="1" applyAlignment="1">
      <alignment horizontal="center" vertical="center" wrapText="1"/>
    </xf>
    <xf numFmtId="0" fontId="14" fillId="2" borderId="33" xfId="0" applyFont="1" applyFill="1" applyBorder="1" applyAlignment="1">
      <alignment horizontal="center" vertical="center" wrapText="1"/>
    </xf>
    <xf numFmtId="0" fontId="4" fillId="2" borderId="37"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4" fillId="2" borderId="173"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4" fillId="2" borderId="185" xfId="0" applyFont="1" applyFill="1" applyBorder="1" applyAlignment="1">
      <alignment horizontal="center" vertical="center" wrapText="1"/>
    </xf>
    <xf numFmtId="0" fontId="0" fillId="0" borderId="35" xfId="0" applyBorder="1" applyAlignment="1">
      <alignment horizontal="center"/>
    </xf>
    <xf numFmtId="0" fontId="0" fillId="0" borderId="178" xfId="0" applyBorder="1" applyAlignment="1">
      <alignment horizontal="center"/>
    </xf>
    <xf numFmtId="0" fontId="4" fillId="2" borderId="18" xfId="0" applyFont="1" applyFill="1" applyBorder="1" applyAlignment="1">
      <alignment horizontal="center" vertical="center"/>
    </xf>
    <xf numFmtId="0" fontId="5" fillId="0" borderId="20" xfId="0" applyFont="1" applyBorder="1"/>
    <xf numFmtId="0" fontId="5" fillId="0" borderId="30" xfId="0" applyFont="1" applyBorder="1"/>
    <xf numFmtId="0" fontId="9" fillId="0" borderId="31" xfId="0" applyFont="1" applyBorder="1" applyAlignment="1">
      <alignment horizontal="center" vertical="center"/>
    </xf>
    <xf numFmtId="0" fontId="5" fillId="0" borderId="32" xfId="0" applyFont="1" applyBorder="1"/>
    <xf numFmtId="0" fontId="5" fillId="0" borderId="33" xfId="0" applyFont="1" applyBorder="1"/>
    <xf numFmtId="0" fontId="5" fillId="0" borderId="29" xfId="0" applyFont="1" applyBorder="1"/>
    <xf numFmtId="0" fontId="5" fillId="0" borderId="27" xfId="0" applyFont="1" applyBorder="1"/>
    <xf numFmtId="0" fontId="13" fillId="0" borderId="4" xfId="0" applyFont="1" applyBorder="1" applyAlignment="1">
      <alignment horizontal="left" wrapText="1"/>
    </xf>
    <xf numFmtId="0" fontId="5" fillId="0" borderId="17" xfId="0" applyFont="1" applyBorder="1"/>
    <xf numFmtId="0" fontId="5" fillId="0" borderId="5" xfId="0" applyFont="1" applyBorder="1"/>
    <xf numFmtId="176" fontId="9" fillId="0" borderId="4" xfId="0" applyNumberFormat="1" applyFont="1" applyBorder="1" applyAlignment="1">
      <alignment horizontal="center" vertical="center"/>
    </xf>
    <xf numFmtId="2" fontId="9" fillId="0" borderId="4" xfId="0" applyNumberFormat="1" applyFont="1" applyBorder="1" applyAlignment="1">
      <alignment horizontal="center" vertical="center"/>
    </xf>
    <xf numFmtId="0" fontId="13" fillId="0" borderId="4" xfId="0" applyFont="1" applyBorder="1" applyAlignment="1">
      <alignment horizontal="left"/>
    </xf>
    <xf numFmtId="176" fontId="12" fillId="3" borderId="4" xfId="0" applyNumberFormat="1" applyFont="1" applyFill="1" applyBorder="1" applyAlignment="1">
      <alignment horizontal="center"/>
    </xf>
    <xf numFmtId="0" fontId="9" fillId="0" borderId="4" xfId="0" applyFont="1" applyBorder="1" applyAlignment="1">
      <alignment horizontal="center"/>
    </xf>
    <xf numFmtId="9" fontId="9" fillId="0" borderId="4" xfId="0" applyNumberFormat="1" applyFont="1" applyBorder="1" applyAlignment="1">
      <alignment horizontal="center" vertical="center"/>
    </xf>
    <xf numFmtId="0" fontId="12" fillId="3" borderId="4" xfId="0" applyFont="1" applyFill="1" applyBorder="1" applyAlignment="1">
      <alignment horizontal="left"/>
    </xf>
    <xf numFmtId="0" fontId="12" fillId="3" borderId="4" xfId="0" applyFont="1" applyFill="1" applyBorder="1" applyAlignment="1">
      <alignment horizontal="center"/>
    </xf>
    <xf numFmtId="178" fontId="9" fillId="0" borderId="4" xfId="0" applyNumberFormat="1" applyFont="1" applyBorder="1" applyAlignment="1">
      <alignment horizontal="center" vertical="center"/>
    </xf>
    <xf numFmtId="0" fontId="4" fillId="2" borderId="31" xfId="0" applyFont="1" applyFill="1" applyBorder="1" applyAlignment="1">
      <alignment horizontal="left" vertical="top" wrapText="1"/>
    </xf>
    <xf numFmtId="1" fontId="9" fillId="0" borderId="4" xfId="0" applyNumberFormat="1" applyFont="1" applyBorder="1" applyAlignment="1">
      <alignment horizontal="center" vertical="center"/>
    </xf>
    <xf numFmtId="179" fontId="9" fillId="0" borderId="4" xfId="0" applyNumberFormat="1" applyFont="1" applyBorder="1" applyAlignment="1">
      <alignment horizontal="center" vertical="center"/>
    </xf>
    <xf numFmtId="179" fontId="5" fillId="0" borderId="5" xfId="0" applyNumberFormat="1" applyFont="1" applyBorder="1"/>
    <xf numFmtId="0" fontId="4" fillId="2" borderId="31" xfId="0" applyFont="1" applyFill="1" applyBorder="1" applyAlignment="1">
      <alignment horizontal="left" vertical="top"/>
    </xf>
    <xf numFmtId="0" fontId="13" fillId="0" borderId="4" xfId="0" applyFont="1" applyBorder="1" applyAlignment="1">
      <alignment horizontal="left" vertical="center" wrapText="1"/>
    </xf>
    <xf numFmtId="0" fontId="13" fillId="0" borderId="17" xfId="0" applyFont="1" applyBorder="1" applyAlignment="1">
      <alignment vertical="center"/>
    </xf>
    <xf numFmtId="0" fontId="13" fillId="0" borderId="5" xfId="0" applyFont="1" applyBorder="1" applyAlignment="1">
      <alignment vertical="center"/>
    </xf>
    <xf numFmtId="0" fontId="5" fillId="0" borderId="17" xfId="0" applyFont="1" applyBorder="1" applyAlignment="1">
      <alignment vertical="center"/>
    </xf>
    <xf numFmtId="0" fontId="5" fillId="0" borderId="5" xfId="0" applyFont="1" applyBorder="1" applyAlignment="1">
      <alignment vertical="center"/>
    </xf>
    <xf numFmtId="2" fontId="3" fillId="0" borderId="4" xfId="0" applyNumberFormat="1" applyFont="1" applyBorder="1" applyAlignment="1">
      <alignment horizontal="center" vertical="center"/>
    </xf>
    <xf numFmtId="176" fontId="3" fillId="0" borderId="4" xfId="0" applyNumberFormat="1" applyFont="1" applyBorder="1" applyAlignment="1">
      <alignment horizontal="center" vertical="center"/>
    </xf>
    <xf numFmtId="0" fontId="13" fillId="0" borderId="5" xfId="0" applyFont="1" applyBorder="1"/>
    <xf numFmtId="170" fontId="9" fillId="0" borderId="4" xfId="0" applyNumberFormat="1" applyFont="1" applyBorder="1" applyAlignment="1">
      <alignment horizontal="center" vertical="center"/>
    </xf>
    <xf numFmtId="0" fontId="9" fillId="0" borderId="4" xfId="0" applyFont="1" applyBorder="1" applyAlignment="1">
      <alignment horizontal="center" vertical="center"/>
    </xf>
    <xf numFmtId="2" fontId="5" fillId="0" borderId="5" xfId="0" applyNumberFormat="1" applyFont="1" applyBorder="1"/>
    <xf numFmtId="0" fontId="13" fillId="0" borderId="18" xfId="0" applyFont="1" applyBorder="1" applyAlignment="1">
      <alignment horizontal="left" wrapText="1"/>
    </xf>
    <xf numFmtId="0" fontId="13" fillId="0" borderId="20" xfId="0" applyFont="1" applyBorder="1" applyAlignment="1">
      <alignment horizontal="left" wrapText="1"/>
    </xf>
    <xf numFmtId="0" fontId="13" fillId="0" borderId="30" xfId="0" applyFont="1" applyBorder="1" applyAlignment="1">
      <alignment horizontal="left" wrapText="1"/>
    </xf>
    <xf numFmtId="176" fontId="9" fillId="0" borderId="18" xfId="0" applyNumberFormat="1" applyFont="1" applyBorder="1" applyAlignment="1">
      <alignment horizontal="center" vertical="center"/>
    </xf>
    <xf numFmtId="176" fontId="9" fillId="0" borderId="30" xfId="0" applyNumberFormat="1" applyFont="1" applyBorder="1" applyAlignment="1">
      <alignment horizontal="center" vertical="center"/>
    </xf>
    <xf numFmtId="178" fontId="9" fillId="0" borderId="18" xfId="0" applyNumberFormat="1" applyFont="1" applyBorder="1" applyAlignment="1">
      <alignment horizontal="center" vertical="center"/>
    </xf>
    <xf numFmtId="178" fontId="9" fillId="0" borderId="30" xfId="0" applyNumberFormat="1" applyFont="1" applyBorder="1" applyAlignment="1">
      <alignment horizontal="center" vertical="center"/>
    </xf>
    <xf numFmtId="2" fontId="13" fillId="0" borderId="4" xfId="0" applyNumberFormat="1" applyFont="1" applyBorder="1" applyAlignment="1">
      <alignment horizontal="center" vertical="center"/>
    </xf>
    <xf numFmtId="0" fontId="12" fillId="3" borderId="18" xfId="0" applyFont="1" applyFill="1" applyBorder="1" applyAlignment="1">
      <alignment horizontal="center"/>
    </xf>
    <xf numFmtId="0" fontId="12" fillId="3" borderId="30" xfId="0" applyFont="1" applyFill="1" applyBorder="1" applyAlignment="1">
      <alignment horizontal="center"/>
    </xf>
    <xf numFmtId="10" fontId="9" fillId="0" borderId="4" xfId="0" applyNumberFormat="1" applyFont="1" applyBorder="1" applyAlignment="1">
      <alignment horizontal="center" vertical="center"/>
    </xf>
    <xf numFmtId="0" fontId="12" fillId="3" borderId="20" xfId="0" applyFont="1" applyFill="1" applyBorder="1" applyAlignment="1">
      <alignment horizontal="center"/>
    </xf>
    <xf numFmtId="176" fontId="12" fillId="3" borderId="18" xfId="0" applyNumberFormat="1" applyFont="1" applyFill="1" applyBorder="1" applyAlignment="1">
      <alignment horizontal="center"/>
    </xf>
    <xf numFmtId="176" fontId="12" fillId="3" borderId="30" xfId="0" applyNumberFormat="1" applyFont="1" applyFill="1" applyBorder="1" applyAlignment="1">
      <alignment horizontal="center"/>
    </xf>
    <xf numFmtId="0" fontId="13" fillId="0" borderId="18" xfId="0" applyFont="1" applyBorder="1" applyAlignment="1">
      <alignment horizontal="left"/>
    </xf>
    <xf numFmtId="0" fontId="13" fillId="0" borderId="20" xfId="0" applyFont="1" applyBorder="1" applyAlignment="1">
      <alignment horizontal="left"/>
    </xf>
    <xf numFmtId="0" fontId="13" fillId="0" borderId="30" xfId="0" applyFont="1" applyBorder="1" applyAlignment="1">
      <alignment horizontal="left"/>
    </xf>
    <xf numFmtId="0" fontId="5" fillId="0" borderId="17" xfId="0" applyFont="1" applyBorder="1" applyAlignment="1">
      <alignment wrapText="1"/>
    </xf>
    <xf numFmtId="0" fontId="5" fillId="0" borderId="5" xfId="0" applyFont="1" applyBorder="1" applyAlignment="1">
      <alignment wrapText="1"/>
    </xf>
    <xf numFmtId="2" fontId="9" fillId="0" borderId="18" xfId="0" applyNumberFormat="1" applyFont="1" applyBorder="1" applyAlignment="1">
      <alignment horizontal="center" vertical="center"/>
    </xf>
    <xf numFmtId="2" fontId="9" fillId="0" borderId="30" xfId="0" applyNumberFormat="1" applyFont="1" applyBorder="1" applyAlignment="1">
      <alignment horizontal="center" vertical="center"/>
    </xf>
    <xf numFmtId="170" fontId="5" fillId="0" borderId="5" xfId="0" applyNumberFormat="1" applyFont="1" applyBorder="1"/>
    <xf numFmtId="0" fontId="37" fillId="0" borderId="4" xfId="0" applyFont="1" applyBorder="1" applyAlignment="1">
      <alignment horizontal="left"/>
    </xf>
    <xf numFmtId="0" fontId="4" fillId="2" borderId="1" xfId="0" applyFont="1" applyFill="1" applyBorder="1" applyAlignment="1">
      <alignment horizontal="left" vertical="top"/>
    </xf>
    <xf numFmtId="0" fontId="5" fillId="0" borderId="2" xfId="0" applyFont="1" applyBorder="1"/>
    <xf numFmtId="0" fontId="5" fillId="0" borderId="3" xfId="0" applyFont="1" applyBorder="1"/>
    <xf numFmtId="0" fontId="5" fillId="0" borderId="8" xfId="0" applyFont="1" applyBorder="1"/>
    <xf numFmtId="0" fontId="5" fillId="0" borderId="9" xfId="0" applyFont="1" applyBorder="1"/>
    <xf numFmtId="0" fontId="5" fillId="0" borderId="10" xfId="0" applyFont="1" applyBorder="1"/>
    <xf numFmtId="0" fontId="4" fillId="2" borderId="1" xfId="0" applyFont="1" applyFill="1" applyBorder="1" applyAlignment="1">
      <alignment horizontal="left" vertical="top" wrapText="1"/>
    </xf>
    <xf numFmtId="0" fontId="28" fillId="2" borderId="1" xfId="0" applyFont="1" applyFill="1" applyBorder="1" applyAlignment="1">
      <alignment horizontal="left" vertical="top"/>
    </xf>
    <xf numFmtId="0" fontId="13" fillId="0" borderId="32" xfId="0" applyFont="1" applyBorder="1" applyAlignment="1">
      <alignment horizontal="left"/>
    </xf>
    <xf numFmtId="0" fontId="0" fillId="0" borderId="55" xfId="0" applyBorder="1" applyAlignment="1">
      <alignment horizontal="center"/>
    </xf>
    <xf numFmtId="169" fontId="9" fillId="0" borderId="18" xfId="0" applyNumberFormat="1" applyFont="1" applyBorder="1" applyAlignment="1">
      <alignment horizontal="center" vertical="center" wrapText="1"/>
    </xf>
    <xf numFmtId="0" fontId="5" fillId="0" borderId="66" xfId="0" applyFont="1" applyBorder="1"/>
    <xf numFmtId="169" fontId="4" fillId="2" borderId="18" xfId="0" applyNumberFormat="1" applyFont="1" applyFill="1" applyBorder="1" applyAlignment="1">
      <alignment horizontal="right" vertical="center"/>
    </xf>
    <xf numFmtId="2" fontId="9" fillId="0" borderId="18" xfId="0" applyNumberFormat="1" applyFont="1" applyBorder="1" applyAlignment="1">
      <alignment horizontal="center" vertical="center" wrapText="1"/>
    </xf>
    <xf numFmtId="169" fontId="3" fillId="0" borderId="18" xfId="0" applyNumberFormat="1" applyFont="1" applyBorder="1" applyAlignment="1">
      <alignment horizontal="right" vertical="center" wrapText="1"/>
    </xf>
    <xf numFmtId="169" fontId="4" fillId="2" borderId="16" xfId="0" applyNumberFormat="1" applyFont="1" applyFill="1" applyBorder="1" applyAlignment="1">
      <alignment horizontal="center" vertical="center" wrapText="1"/>
    </xf>
    <xf numFmtId="0" fontId="5" fillId="0" borderId="28" xfId="0" applyFont="1" applyBorder="1"/>
    <xf numFmtId="169" fontId="4" fillId="2" borderId="16" xfId="0" applyNumberFormat="1" applyFont="1" applyFill="1" applyBorder="1" applyAlignment="1">
      <alignment horizontal="center" vertical="center"/>
    </xf>
    <xf numFmtId="169" fontId="3" fillId="0" borderId="18" xfId="0" applyNumberFormat="1" applyFont="1" applyBorder="1" applyAlignment="1">
      <alignment horizontal="center" vertical="center" wrapText="1"/>
    </xf>
    <xf numFmtId="1" fontId="3" fillId="0" borderId="18" xfId="0" applyNumberFormat="1" applyFont="1" applyBorder="1" applyAlignment="1">
      <alignment horizontal="left" vertical="center" wrapText="1"/>
    </xf>
    <xf numFmtId="0" fontId="34" fillId="8" borderId="197" xfId="0" applyFont="1" applyFill="1" applyBorder="1" applyAlignment="1">
      <alignment horizontal="center" vertical="center"/>
    </xf>
    <xf numFmtId="0" fontId="34" fillId="8" borderId="32" xfId="0" applyFont="1" applyFill="1" applyBorder="1" applyAlignment="1">
      <alignment horizontal="center" vertical="center"/>
    </xf>
    <xf numFmtId="0" fontId="34" fillId="8" borderId="198" xfId="0" applyFont="1" applyFill="1" applyBorder="1" applyAlignment="1">
      <alignment horizontal="center" vertical="center"/>
    </xf>
    <xf numFmtId="0" fontId="34" fillId="8" borderId="195" xfId="0" applyFont="1" applyFill="1" applyBorder="1" applyAlignment="1">
      <alignment horizontal="center" vertical="center"/>
    </xf>
    <xf numFmtId="0" fontId="34" fillId="8" borderId="36" xfId="0" applyFont="1" applyFill="1" applyBorder="1" applyAlignment="1">
      <alignment horizontal="center" vertical="center"/>
    </xf>
    <xf numFmtId="0" fontId="34" fillId="8" borderId="196" xfId="0" applyFont="1" applyFill="1" applyBorder="1" applyAlignment="1">
      <alignment horizontal="center" vertical="center"/>
    </xf>
    <xf numFmtId="169" fontId="4" fillId="2" borderId="200" xfId="0" applyNumberFormat="1" applyFont="1" applyFill="1" applyBorder="1" applyAlignment="1">
      <alignment horizontal="center" vertical="center" wrapText="1"/>
    </xf>
    <xf numFmtId="0" fontId="5" fillId="0" borderId="201" xfId="0" applyFont="1" applyBorder="1"/>
    <xf numFmtId="0" fontId="4" fillId="2" borderId="18" xfId="0" applyFont="1" applyFill="1" applyBorder="1" applyAlignment="1">
      <alignment horizontal="center" vertical="center" wrapText="1"/>
    </xf>
    <xf numFmtId="169" fontId="4" fillId="2" borderId="31" xfId="0" applyNumberFormat="1" applyFont="1" applyFill="1" applyBorder="1" applyAlignment="1">
      <alignment horizontal="center" vertical="center" wrapText="1"/>
    </xf>
    <xf numFmtId="168" fontId="8" fillId="4" borderId="18" xfId="0" applyNumberFormat="1" applyFont="1" applyFill="1" applyBorder="1" applyAlignment="1">
      <alignment horizontal="center" vertical="center" wrapText="1"/>
    </xf>
    <xf numFmtId="1" fontId="4" fillId="2" borderId="37" xfId="0" applyNumberFormat="1" applyFont="1" applyFill="1" applyBorder="1" applyAlignment="1">
      <alignment horizontal="center" vertical="center" wrapText="1"/>
    </xf>
    <xf numFmtId="0" fontId="5" fillId="0" borderId="35" xfId="0" applyFont="1" applyBorder="1"/>
    <xf numFmtId="0" fontId="5" fillId="0" borderId="58" xfId="0" applyFont="1" applyBorder="1"/>
    <xf numFmtId="0" fontId="4" fillId="2" borderId="60" xfId="0" applyFont="1" applyFill="1" applyBorder="1" applyAlignment="1">
      <alignment horizontal="center" vertical="center" wrapText="1"/>
    </xf>
    <xf numFmtId="0" fontId="5" fillId="0" borderId="40" xfId="0" applyFont="1" applyBorder="1"/>
    <xf numFmtId="0" fontId="5" fillId="0" borderId="191" xfId="0" applyFont="1" applyBorder="1"/>
    <xf numFmtId="0" fontId="5" fillId="0" borderId="25" xfId="0" applyFont="1" applyBorder="1"/>
    <xf numFmtId="0" fontId="5" fillId="0" borderId="195" xfId="0" applyFont="1" applyBorder="1"/>
    <xf numFmtId="0" fontId="4" fillId="2" borderId="192" xfId="0" applyFont="1" applyFill="1" applyBorder="1" applyAlignment="1">
      <alignment horizontal="center" vertical="center"/>
    </xf>
    <xf numFmtId="0" fontId="5" fillId="0" borderId="193" xfId="0" applyFont="1" applyBorder="1"/>
    <xf numFmtId="164" fontId="6" fillId="0" borderId="194" xfId="0" applyNumberFormat="1" applyFont="1" applyBorder="1" applyAlignment="1">
      <alignment horizontal="center" vertical="center" wrapText="1"/>
    </xf>
    <xf numFmtId="0" fontId="5" fillId="0" borderId="59" xfId="0" applyFont="1" applyBorder="1"/>
    <xf numFmtId="0" fontId="5" fillId="0" borderId="196" xfId="0" applyFont="1" applyBorder="1"/>
    <xf numFmtId="165" fontId="7" fillId="3" borderId="31" xfId="0" applyNumberFormat="1" applyFont="1" applyFill="1" applyBorder="1" applyAlignment="1">
      <alignment horizontal="center" vertical="center" wrapText="1"/>
    </xf>
    <xf numFmtId="169" fontId="9" fillId="0" borderId="18" xfId="0" applyNumberFormat="1" applyFont="1" applyBorder="1" applyAlignment="1">
      <alignment horizontal="right" vertical="center" wrapText="1"/>
    </xf>
    <xf numFmtId="0" fontId="5" fillId="0" borderId="198" xfId="0" applyFont="1" applyBorder="1"/>
    <xf numFmtId="2" fontId="9" fillId="0" borderId="18" xfId="0" applyNumberFormat="1" applyFont="1" applyBorder="1" applyAlignment="1">
      <alignment horizontal="right" vertical="center" wrapText="1"/>
    </xf>
    <xf numFmtId="169" fontId="4" fillId="2" borderId="18" xfId="0" applyNumberFormat="1" applyFont="1" applyFill="1" applyBorder="1" applyAlignment="1">
      <alignment horizontal="center" vertical="center"/>
    </xf>
    <xf numFmtId="0" fontId="5" fillId="0" borderId="66" xfId="0" applyFont="1" applyBorder="1" applyAlignment="1">
      <alignment horizontal="right"/>
    </xf>
    <xf numFmtId="0" fontId="33" fillId="0" borderId="55" xfId="0" applyFont="1" applyBorder="1" applyAlignment="1">
      <alignment horizontal="center"/>
    </xf>
    <xf numFmtId="0" fontId="35" fillId="0" borderId="55" xfId="0" applyFont="1" applyBorder="1"/>
    <xf numFmtId="169" fontId="9" fillId="0" borderId="66" xfId="0" applyNumberFormat="1" applyFont="1" applyBorder="1" applyAlignment="1">
      <alignment horizontal="center" vertical="center" wrapText="1"/>
    </xf>
    <xf numFmtId="169" fontId="9" fillId="0" borderId="18" xfId="0" applyNumberFormat="1" applyFont="1" applyBorder="1" applyAlignment="1">
      <alignment horizontal="center" vertical="center"/>
    </xf>
    <xf numFmtId="169" fontId="9" fillId="0" borderId="30" xfId="0" applyNumberFormat="1" applyFont="1" applyBorder="1" applyAlignment="1">
      <alignment horizontal="center" vertical="center" wrapText="1"/>
    </xf>
    <xf numFmtId="1" fontId="3" fillId="0" borderId="20" xfId="0" applyNumberFormat="1" applyFont="1" applyBorder="1" applyAlignment="1">
      <alignment horizontal="left" vertical="center" wrapText="1"/>
    </xf>
    <xf numFmtId="1" fontId="3" fillId="0" borderId="30" xfId="0" applyNumberFormat="1" applyFont="1" applyBorder="1" applyAlignment="1">
      <alignment horizontal="left" vertical="center" wrapText="1"/>
    </xf>
    <xf numFmtId="0" fontId="14" fillId="2" borderId="60" xfId="0" applyFont="1" applyFill="1" applyBorder="1" applyAlignment="1">
      <alignment horizontal="center" vertical="center" wrapText="1"/>
    </xf>
    <xf numFmtId="0" fontId="64" fillId="0" borderId="40" xfId="0" applyFont="1" applyBorder="1"/>
    <xf numFmtId="0" fontId="64" fillId="0" borderId="191" xfId="0" applyFont="1" applyBorder="1"/>
    <xf numFmtId="0" fontId="64" fillId="0" borderId="25" xfId="0" applyFont="1" applyBorder="1"/>
    <xf numFmtId="0" fontId="51" fillId="0" borderId="35" xfId="0" applyFont="1" applyBorder="1"/>
    <xf numFmtId="0" fontId="64" fillId="0" borderId="29" xfId="0" applyFont="1" applyBorder="1"/>
    <xf numFmtId="0" fontId="64" fillId="0" borderId="195" xfId="0" applyFont="1" applyBorder="1"/>
    <xf numFmtId="0" fontId="64" fillId="0" borderId="36" xfId="0" applyFont="1" applyBorder="1"/>
    <xf numFmtId="0" fontId="64" fillId="0" borderId="27" xfId="0" applyFont="1" applyBorder="1"/>
    <xf numFmtId="1" fontId="14" fillId="2" borderId="37" xfId="0" applyNumberFormat="1" applyFont="1" applyFill="1" applyBorder="1" applyAlignment="1">
      <alignment horizontal="center" vertical="center" wrapText="1"/>
    </xf>
    <xf numFmtId="0" fontId="64" fillId="0" borderId="35" xfId="0" applyFont="1" applyBorder="1"/>
    <xf numFmtId="0" fontId="64" fillId="0" borderId="58" xfId="0" applyFont="1" applyBorder="1"/>
    <xf numFmtId="169" fontId="14" fillId="2" borderId="200" xfId="0" applyNumberFormat="1" applyFont="1" applyFill="1" applyBorder="1" applyAlignment="1">
      <alignment horizontal="center" vertical="center" wrapText="1"/>
    </xf>
    <xf numFmtId="0" fontId="64" fillId="0" borderId="201" xfId="0" applyFont="1" applyBorder="1"/>
    <xf numFmtId="169" fontId="14" fillId="2" borderId="31" xfId="0" applyNumberFormat="1" applyFont="1" applyFill="1" applyBorder="1" applyAlignment="1">
      <alignment horizontal="center" vertical="center" wrapText="1"/>
    </xf>
    <xf numFmtId="0" fontId="64" fillId="0" borderId="32" xfId="0" applyFont="1" applyBorder="1"/>
    <xf numFmtId="0" fontId="64" fillId="0" borderId="33" xfId="0" applyFont="1" applyBorder="1"/>
    <xf numFmtId="0" fontId="64" fillId="0" borderId="26" xfId="0" applyFont="1" applyBorder="1"/>
    <xf numFmtId="169" fontId="14" fillId="2" borderId="16" xfId="0" applyNumberFormat="1" applyFont="1" applyFill="1" applyBorder="1" applyAlignment="1">
      <alignment horizontal="center" vertical="center" wrapText="1"/>
    </xf>
    <xf numFmtId="0" fontId="64" fillId="0" borderId="28" xfId="0" applyFont="1" applyBorder="1"/>
    <xf numFmtId="0" fontId="64" fillId="0" borderId="198" xfId="0" applyFont="1" applyBorder="1"/>
    <xf numFmtId="0" fontId="64" fillId="0" borderId="196" xfId="0" applyFont="1" applyBorder="1"/>
    <xf numFmtId="169" fontId="14" fillId="2" borderId="18" xfId="0" applyNumberFormat="1" applyFont="1" applyFill="1" applyBorder="1" applyAlignment="1">
      <alignment horizontal="right" vertical="center"/>
    </xf>
    <xf numFmtId="0" fontId="64" fillId="0" borderId="20" xfId="0" applyFont="1" applyBorder="1"/>
    <xf numFmtId="2" fontId="63" fillId="0" borderId="18" xfId="0" applyNumberFormat="1" applyFont="1" applyBorder="1" applyAlignment="1">
      <alignment horizontal="right" vertical="center" wrapText="1"/>
    </xf>
    <xf numFmtId="0" fontId="64" fillId="0" borderId="66" xfId="0" applyFont="1" applyBorder="1"/>
    <xf numFmtId="1" fontId="63" fillId="0" borderId="18" xfId="0" applyNumberFormat="1" applyFont="1" applyBorder="1" applyAlignment="1">
      <alignment horizontal="left" vertical="center" wrapText="1"/>
    </xf>
    <xf numFmtId="169" fontId="63" fillId="0" borderId="18" xfId="0" applyNumberFormat="1" applyFont="1" applyBorder="1" applyAlignment="1">
      <alignment horizontal="center" vertical="center" wrapText="1"/>
    </xf>
    <xf numFmtId="169" fontId="14" fillId="2" borderId="18" xfId="0" applyNumberFormat="1" applyFont="1" applyFill="1" applyBorder="1" applyAlignment="1">
      <alignment horizontal="center" vertical="center"/>
    </xf>
    <xf numFmtId="1" fontId="63" fillId="0" borderId="18" xfId="0" applyNumberFormat="1" applyFont="1" applyBorder="1" applyAlignment="1">
      <alignment horizontal="right" vertical="center" wrapText="1"/>
    </xf>
    <xf numFmtId="1" fontId="63" fillId="0" borderId="20" xfId="0" applyNumberFormat="1" applyFont="1" applyBorder="1" applyAlignment="1">
      <alignment horizontal="right" vertical="center" wrapText="1"/>
    </xf>
    <xf numFmtId="1" fontId="63" fillId="0" borderId="30" xfId="0" applyNumberFormat="1" applyFont="1" applyBorder="1" applyAlignment="1">
      <alignment horizontal="right" vertical="center" wrapText="1"/>
    </xf>
    <xf numFmtId="169" fontId="63" fillId="0" borderId="18" xfId="0" applyNumberFormat="1" applyFont="1" applyBorder="1" applyAlignment="1">
      <alignment horizontal="center" vertical="center"/>
    </xf>
    <xf numFmtId="0" fontId="3" fillId="0" borderId="48" xfId="0" applyFont="1" applyBorder="1" applyAlignment="1">
      <alignment horizontal="center"/>
    </xf>
    <xf numFmtId="0" fontId="3" fillId="0" borderId="238" xfId="0" applyFont="1" applyBorder="1" applyAlignment="1">
      <alignment horizontal="center" vertical="center"/>
    </xf>
    <xf numFmtId="0" fontId="5" fillId="0" borderId="239" xfId="0" applyFont="1" applyBorder="1"/>
    <xf numFmtId="0" fontId="0" fillId="0" borderId="173" xfId="0" applyBorder="1"/>
    <xf numFmtId="0" fontId="0" fillId="0" borderId="173" xfId="0" applyBorder="1" applyAlignment="1">
      <alignment horizontal="center"/>
    </xf>
    <xf numFmtId="0" fontId="0" fillId="0" borderId="48" xfId="0" applyBorder="1" applyAlignment="1">
      <alignment horizontal="center"/>
    </xf>
    <xf numFmtId="4" fontId="63" fillId="0" borderId="18" xfId="0" applyNumberFormat="1" applyFont="1" applyBorder="1" applyAlignment="1">
      <alignment horizontal="left" vertical="top" wrapText="1"/>
    </xf>
    <xf numFmtId="4" fontId="14" fillId="2" borderId="18" xfId="0" applyNumberFormat="1" applyFont="1" applyFill="1" applyBorder="1" applyAlignment="1">
      <alignment horizontal="center" vertical="center" wrapText="1"/>
    </xf>
    <xf numFmtId="4" fontId="14" fillId="2" borderId="32" xfId="0" applyNumberFormat="1" applyFont="1" applyFill="1" applyBorder="1" applyAlignment="1">
      <alignment horizontal="center" vertical="center" wrapText="1"/>
    </xf>
    <xf numFmtId="0" fontId="14" fillId="2" borderId="170" xfId="0" applyFont="1" applyFill="1" applyBorder="1" applyAlignment="1">
      <alignment horizontal="center" vertical="center" wrapText="1"/>
    </xf>
    <xf numFmtId="0" fontId="64" fillId="0" borderId="171" xfId="0" applyFont="1" applyBorder="1"/>
    <xf numFmtId="0" fontId="64" fillId="0" borderId="181" xfId="0" applyFont="1" applyBorder="1"/>
    <xf numFmtId="0" fontId="64" fillId="0" borderId="48" xfId="0" applyFont="1" applyBorder="1"/>
    <xf numFmtId="0" fontId="64" fillId="0" borderId="204" xfId="0" applyFont="1" applyBorder="1"/>
    <xf numFmtId="2" fontId="6" fillId="0" borderId="16" xfId="0" applyNumberFormat="1" applyFont="1" applyBorder="1" applyAlignment="1">
      <alignment horizontal="center" vertical="center" wrapText="1"/>
    </xf>
    <xf numFmtId="4" fontId="63" fillId="0" borderId="18" xfId="0" applyNumberFormat="1" applyFont="1" applyBorder="1" applyAlignment="1">
      <alignment horizontal="left" vertical="center" wrapText="1"/>
    </xf>
    <xf numFmtId="172" fontId="63" fillId="0" borderId="189" xfId="0" applyNumberFormat="1" applyFont="1" applyBorder="1" applyAlignment="1">
      <alignment horizontal="center" wrapText="1"/>
    </xf>
    <xf numFmtId="172" fontId="63" fillId="0" borderId="18" xfId="0" applyNumberFormat="1" applyFont="1" applyBorder="1" applyAlignment="1">
      <alignment horizontal="center" wrapText="1"/>
    </xf>
    <xf numFmtId="0" fontId="64" fillId="0" borderId="186" xfId="0" applyFont="1" applyBorder="1"/>
    <xf numFmtId="2" fontId="6" fillId="0" borderId="143" xfId="0" applyNumberFormat="1" applyFont="1" applyBorder="1" applyAlignment="1">
      <alignment horizontal="center" vertical="center" wrapText="1"/>
    </xf>
    <xf numFmtId="0" fontId="5" fillId="0" borderId="147" xfId="0" applyFont="1" applyBorder="1"/>
    <xf numFmtId="0" fontId="14" fillId="2" borderId="189" xfId="0" applyFont="1" applyFill="1" applyBorder="1" applyAlignment="1">
      <alignment horizontal="center"/>
    </xf>
    <xf numFmtId="0" fontId="14" fillId="2" borderId="18" xfId="0" applyFont="1" applyFill="1" applyBorder="1" applyAlignment="1">
      <alignment horizontal="center"/>
    </xf>
    <xf numFmtId="0" fontId="34" fillId="8" borderId="203" xfId="0" applyFont="1" applyFill="1" applyBorder="1" applyAlignment="1">
      <alignment horizontal="center" vertical="center"/>
    </xf>
    <xf numFmtId="0" fontId="34" fillId="8" borderId="188" xfId="0" applyFont="1" applyFill="1" applyBorder="1" applyAlignment="1">
      <alignment horizontal="center" vertical="center"/>
    </xf>
    <xf numFmtId="0" fontId="34" fillId="8" borderId="204" xfId="0" applyFont="1" applyFill="1" applyBorder="1" applyAlignment="1">
      <alignment horizontal="center" vertical="center"/>
    </xf>
    <xf numFmtId="0" fontId="34" fillId="8" borderId="185" xfId="0" applyFont="1" applyFill="1" applyBorder="1" applyAlignment="1">
      <alignment horizontal="center" vertical="center"/>
    </xf>
    <xf numFmtId="4" fontId="14" fillId="2" borderId="26" xfId="0" applyNumberFormat="1" applyFont="1" applyFill="1" applyBorder="1" applyAlignment="1">
      <alignment horizontal="center" vertical="center" wrapText="1"/>
    </xf>
    <xf numFmtId="4" fontId="63" fillId="0" borderId="18" xfId="0" applyNumberFormat="1" applyFont="1" applyBorder="1" applyAlignment="1">
      <alignment vertical="center" wrapText="1"/>
    </xf>
    <xf numFmtId="10" fontId="34" fillId="0" borderId="18" xfId="0" applyNumberFormat="1" applyFont="1" applyBorder="1" applyAlignment="1">
      <alignment horizontal="center"/>
    </xf>
    <xf numFmtId="164" fontId="9" fillId="0" borderId="4" xfId="0" applyNumberFormat="1" applyFont="1" applyBorder="1" applyAlignment="1">
      <alignment horizontal="center" vertical="center"/>
    </xf>
    <xf numFmtId="0" fontId="4" fillId="2" borderId="1" xfId="0" applyFont="1" applyFill="1" applyBorder="1" applyAlignment="1">
      <alignment horizontal="center" vertical="center" wrapText="1"/>
    </xf>
    <xf numFmtId="0" fontId="5" fillId="0" borderId="6" xfId="0" applyFont="1" applyBorder="1"/>
    <xf numFmtId="0" fontId="0" fillId="0" borderId="0" xfId="0"/>
    <xf numFmtId="0" fontId="5" fillId="0" borderId="7" xfId="0" applyFont="1" applyBorder="1"/>
    <xf numFmtId="0" fontId="4" fillId="2" borderId="4" xfId="0" applyFont="1" applyFill="1" applyBorder="1" applyAlignment="1">
      <alignment horizontal="center" vertical="center"/>
    </xf>
    <xf numFmtId="165" fontId="7" fillId="3" borderId="1" xfId="0" applyNumberFormat="1" applyFont="1" applyFill="1" applyBorder="1" applyAlignment="1">
      <alignment horizontal="center" vertical="center" wrapText="1"/>
    </xf>
    <xf numFmtId="0" fontId="4" fillId="2" borderId="14" xfId="0" applyFont="1" applyFill="1" applyBorder="1" applyAlignment="1">
      <alignment horizontal="center" vertical="center"/>
    </xf>
    <xf numFmtId="0" fontId="5" fillId="0" borderId="15" xfId="0" applyFont="1" applyBorder="1"/>
    <xf numFmtId="0" fontId="4" fillId="2" borderId="4" xfId="0" applyFont="1" applyFill="1" applyBorder="1" applyAlignment="1">
      <alignment horizontal="center" vertical="center" wrapText="1"/>
    </xf>
    <xf numFmtId="172" fontId="9" fillId="0" borderId="4" xfId="0" applyNumberFormat="1" applyFont="1" applyBorder="1" applyAlignment="1">
      <alignment horizontal="center"/>
    </xf>
    <xf numFmtId="0" fontId="9" fillId="0" borderId="4" xfId="0" applyFont="1" applyBorder="1" applyAlignment="1">
      <alignment horizontal="left"/>
    </xf>
    <xf numFmtId="0" fontId="4" fillId="2" borderId="21" xfId="0" applyFont="1" applyFill="1" applyBorder="1" applyAlignment="1">
      <alignment horizontal="center" vertical="center" wrapText="1"/>
    </xf>
    <xf numFmtId="0" fontId="5" fillId="0" borderId="22" xfId="0" applyFont="1" applyBorder="1"/>
    <xf numFmtId="172" fontId="9" fillId="0" borderId="4" xfId="0" applyNumberFormat="1" applyFont="1" applyBorder="1" applyAlignment="1">
      <alignment horizontal="center" vertical="center"/>
    </xf>
    <xf numFmtId="0" fontId="3" fillId="0" borderId="4" xfId="0" applyFont="1" applyBorder="1" applyAlignment="1">
      <alignment horizontal="left"/>
    </xf>
    <xf numFmtId="44" fontId="0" fillId="0" borderId="0" xfId="2" applyFont="1" applyAlignment="1">
      <alignment horizontal="center"/>
    </xf>
    <xf numFmtId="0" fontId="3" fillId="0" borderId="18" xfId="0" applyFont="1" applyBorder="1" applyAlignment="1">
      <alignment horizontal="left" vertical="center"/>
    </xf>
    <xf numFmtId="0" fontId="3" fillId="0" borderId="20" xfId="0" applyFont="1" applyBorder="1" applyAlignment="1">
      <alignment horizontal="left" vertical="center"/>
    </xf>
    <xf numFmtId="0" fontId="3" fillId="0" borderId="30" xfId="0" applyFont="1" applyBorder="1" applyAlignment="1">
      <alignment horizontal="left" vertical="center"/>
    </xf>
    <xf numFmtId="164" fontId="3" fillId="0" borderId="18" xfId="0" applyNumberFormat="1" applyFont="1" applyBorder="1" applyAlignment="1">
      <alignment horizontal="center" vertical="center"/>
    </xf>
    <xf numFmtId="164" fontId="3" fillId="0" borderId="30" xfId="0" applyNumberFormat="1" applyFont="1" applyBorder="1" applyAlignment="1">
      <alignment horizontal="center" vertical="center"/>
    </xf>
    <xf numFmtId="164" fontId="9" fillId="9" borderId="18" xfId="0" applyNumberFormat="1" applyFont="1" applyFill="1" applyBorder="1" applyAlignment="1">
      <alignment horizontal="center" vertical="center"/>
    </xf>
    <xf numFmtId="164" fontId="9" fillId="9" borderId="30" xfId="0" applyNumberFormat="1" applyFont="1" applyFill="1" applyBorder="1" applyAlignment="1">
      <alignment horizontal="center" vertical="center"/>
    </xf>
    <xf numFmtId="164" fontId="3" fillId="9" borderId="18" xfId="0" applyNumberFormat="1" applyFont="1" applyFill="1" applyBorder="1" applyAlignment="1">
      <alignment horizontal="center" vertical="center"/>
    </xf>
    <xf numFmtId="164" fontId="3" fillId="9" borderId="18" xfId="0" applyNumberFormat="1" applyFont="1" applyFill="1" applyBorder="1" applyAlignment="1">
      <alignment horizontal="center" vertical="center" wrapText="1"/>
    </xf>
    <xf numFmtId="164" fontId="9" fillId="9" borderId="30" xfId="0" applyNumberFormat="1" applyFont="1" applyFill="1" applyBorder="1" applyAlignment="1">
      <alignment horizontal="center" vertical="center" wrapText="1"/>
    </xf>
    <xf numFmtId="164" fontId="9" fillId="0" borderId="4" xfId="0" applyNumberFormat="1" applyFont="1" applyBorder="1" applyAlignment="1">
      <alignment horizontal="center" vertical="center" wrapText="1"/>
    </xf>
    <xf numFmtId="164" fontId="9" fillId="0" borderId="18" xfId="0" applyNumberFormat="1" applyFont="1" applyBorder="1" applyAlignment="1">
      <alignment horizontal="center" vertical="center" wrapText="1"/>
    </xf>
    <xf numFmtId="164" fontId="9" fillId="0" borderId="30" xfId="0" applyNumberFormat="1" applyFont="1" applyBorder="1" applyAlignment="1">
      <alignment horizontal="center" vertical="center" wrapText="1"/>
    </xf>
    <xf numFmtId="164" fontId="31" fillId="0" borderId="4" xfId="0" applyNumberFormat="1" applyFont="1" applyBorder="1" applyAlignment="1">
      <alignment horizontal="center" vertical="center"/>
    </xf>
    <xf numFmtId="164" fontId="3" fillId="0" borderId="18" xfId="0" applyNumberFormat="1" applyFont="1" applyBorder="1" applyAlignment="1">
      <alignment horizontal="center" vertical="center" wrapText="1"/>
    </xf>
    <xf numFmtId="164" fontId="3" fillId="0" borderId="30" xfId="0" applyNumberFormat="1" applyFont="1" applyBorder="1" applyAlignment="1">
      <alignment horizontal="center" vertical="center" wrapText="1"/>
    </xf>
    <xf numFmtId="164" fontId="3" fillId="7" borderId="18" xfId="0" applyNumberFormat="1" applyFont="1" applyFill="1" applyBorder="1" applyAlignment="1">
      <alignment horizontal="center" vertical="center" wrapText="1"/>
    </xf>
    <xf numFmtId="0" fontId="5" fillId="7" borderId="30" xfId="0" applyFont="1" applyFill="1" applyBorder="1"/>
    <xf numFmtId="164" fontId="3" fillId="16" borderId="18" xfId="0" applyNumberFormat="1" applyFont="1" applyFill="1" applyBorder="1" applyAlignment="1">
      <alignment horizontal="center" vertical="center" wrapText="1"/>
    </xf>
    <xf numFmtId="0" fontId="5" fillId="16" borderId="30" xfId="0" applyFont="1" applyFill="1" applyBorder="1"/>
    <xf numFmtId="164" fontId="3" fillId="7" borderId="18" xfId="0" applyNumberFormat="1" applyFont="1" applyFill="1" applyBorder="1" applyAlignment="1">
      <alignment horizontal="center" vertical="center"/>
    </xf>
    <xf numFmtId="164" fontId="31" fillId="9" borderId="30" xfId="0" applyNumberFormat="1" applyFont="1" applyFill="1" applyBorder="1" applyAlignment="1">
      <alignment horizontal="center" vertical="center"/>
    </xf>
    <xf numFmtId="164" fontId="3" fillId="9" borderId="30" xfId="0" applyNumberFormat="1" applyFont="1" applyFill="1" applyBorder="1" applyAlignment="1">
      <alignment horizontal="center" vertical="center"/>
    </xf>
    <xf numFmtId="0" fontId="4" fillId="2" borderId="26" xfId="0" applyFont="1" applyFill="1" applyBorder="1" applyAlignment="1">
      <alignment horizontal="center"/>
    </xf>
    <xf numFmtId="0" fontId="4" fillId="2" borderId="27" xfId="0" applyFont="1" applyFill="1" applyBorder="1" applyAlignment="1">
      <alignment horizontal="center"/>
    </xf>
    <xf numFmtId="0" fontId="28" fillId="2" borderId="26" xfId="0" applyFont="1" applyFill="1" applyBorder="1" applyAlignment="1">
      <alignment horizontal="center"/>
    </xf>
    <xf numFmtId="0" fontId="28" fillId="2" borderId="27" xfId="0" applyFont="1" applyFill="1" applyBorder="1" applyAlignment="1">
      <alignment horizontal="center"/>
    </xf>
    <xf numFmtId="0" fontId="4" fillId="2" borderId="18" xfId="0" applyFont="1" applyFill="1" applyBorder="1" applyAlignment="1">
      <alignment horizontal="center"/>
    </xf>
    <xf numFmtId="0" fontId="4" fillId="2" borderId="20" xfId="0" applyFont="1" applyFill="1" applyBorder="1" applyAlignment="1">
      <alignment horizontal="center"/>
    </xf>
    <xf numFmtId="0" fontId="4" fillId="2" borderId="30" xfId="0" applyFont="1" applyFill="1" applyBorder="1" applyAlignment="1">
      <alignment horizontal="center"/>
    </xf>
    <xf numFmtId="0" fontId="3" fillId="0" borderId="20" xfId="0" applyFont="1" applyBorder="1" applyAlignment="1">
      <alignment horizontal="left" vertical="center" wrapText="1"/>
    </xf>
    <xf numFmtId="0" fontId="3" fillId="0" borderId="30" xfId="0" applyFont="1" applyBorder="1" applyAlignment="1">
      <alignment horizontal="left" vertical="center" wrapText="1"/>
    </xf>
    <xf numFmtId="164" fontId="3" fillId="9" borderId="163" xfId="0" applyNumberFormat="1" applyFont="1" applyFill="1" applyBorder="1" applyAlignment="1">
      <alignment horizontal="center" vertical="center"/>
    </xf>
    <xf numFmtId="164" fontId="9" fillId="9" borderId="234" xfId="0" applyNumberFormat="1" applyFont="1" applyFill="1" applyBorder="1" applyAlignment="1">
      <alignment horizontal="center" vertical="center"/>
    </xf>
    <xf numFmtId="164" fontId="9" fillId="9" borderId="163" xfId="0" applyNumberFormat="1" applyFont="1" applyFill="1" applyBorder="1" applyAlignment="1">
      <alignment horizontal="center" vertical="center"/>
    </xf>
    <xf numFmtId="0" fontId="0" fillId="0" borderId="174" xfId="0" applyBorder="1" applyAlignment="1">
      <alignment horizontal="center"/>
    </xf>
    <xf numFmtId="0" fontId="0" fillId="0" borderId="175" xfId="0" applyBorder="1" applyAlignment="1">
      <alignment horizontal="center"/>
    </xf>
    <xf numFmtId="0" fontId="0" fillId="0" borderId="49" xfId="0" applyBorder="1" applyAlignment="1">
      <alignment horizontal="center"/>
    </xf>
    <xf numFmtId="0" fontId="4" fillId="2" borderId="140" xfId="0" applyFont="1" applyFill="1" applyBorder="1" applyAlignment="1">
      <alignment horizontal="center" vertical="center"/>
    </xf>
    <xf numFmtId="0" fontId="14" fillId="2" borderId="184" xfId="0" applyFont="1" applyFill="1" applyBorder="1" applyAlignment="1">
      <alignment horizontal="center" vertical="center" wrapText="1"/>
    </xf>
    <xf numFmtId="0" fontId="14" fillId="2" borderId="181" xfId="0" applyFont="1" applyFill="1" applyBorder="1" applyAlignment="1">
      <alignment horizontal="center" vertical="center" wrapText="1"/>
    </xf>
    <xf numFmtId="0" fontId="14" fillId="2" borderId="37" xfId="0" applyFont="1" applyFill="1" applyBorder="1" applyAlignment="1">
      <alignment horizontal="center" vertical="center" wrapText="1"/>
    </xf>
    <xf numFmtId="0" fontId="14" fillId="2" borderId="29"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14" fillId="2" borderId="27" xfId="0" applyFont="1" applyFill="1" applyBorder="1" applyAlignment="1">
      <alignment horizontal="center" vertical="center" wrapText="1"/>
    </xf>
    <xf numFmtId="0" fontId="14" fillId="2" borderId="171" xfId="0" applyFont="1" applyFill="1" applyBorder="1" applyAlignment="1">
      <alignment horizontal="center" vertical="center" wrapText="1"/>
    </xf>
    <xf numFmtId="0" fontId="14" fillId="2" borderId="48" xfId="0" applyFont="1" applyFill="1" applyBorder="1" applyAlignment="1">
      <alignment horizontal="center" vertical="center" wrapText="1"/>
    </xf>
    <xf numFmtId="0" fontId="14" fillId="2" borderId="35" xfId="0" applyFont="1" applyFill="1" applyBorder="1" applyAlignment="1">
      <alignment horizontal="center" vertical="center" wrapText="1"/>
    </xf>
    <xf numFmtId="0" fontId="14" fillId="2" borderId="204" xfId="0" applyFont="1" applyFill="1" applyBorder="1" applyAlignment="1">
      <alignment horizontal="center" vertical="center" wrapText="1"/>
    </xf>
    <xf numFmtId="0" fontId="14" fillId="2" borderId="36" xfId="0" applyFont="1" applyFill="1" applyBorder="1" applyAlignment="1">
      <alignment horizontal="center" vertical="center" wrapText="1"/>
    </xf>
    <xf numFmtId="0" fontId="14" fillId="2" borderId="37" xfId="0" applyFont="1" applyFill="1" applyBorder="1" applyAlignment="1">
      <alignment horizontal="center"/>
    </xf>
    <xf numFmtId="0" fontId="64" fillId="0" borderId="173" xfId="0" applyFont="1" applyBorder="1"/>
    <xf numFmtId="0" fontId="14" fillId="2" borderId="31" xfId="0" applyFont="1" applyFill="1" applyBorder="1" applyAlignment="1">
      <alignment horizontal="center"/>
    </xf>
    <xf numFmtId="0" fontId="63" fillId="0" borderId="18" xfId="0" applyFont="1" applyBorder="1" applyAlignment="1">
      <alignment horizontal="left" vertical="center"/>
    </xf>
    <xf numFmtId="164" fontId="63" fillId="0" borderId="18" xfId="0" applyNumberFormat="1" applyFont="1" applyBorder="1" applyAlignment="1">
      <alignment horizontal="center" vertical="center"/>
    </xf>
    <xf numFmtId="0" fontId="63" fillId="0" borderId="20" xfId="0" applyFont="1" applyBorder="1" applyAlignment="1">
      <alignment horizontal="left" vertical="center" wrapText="1"/>
    </xf>
    <xf numFmtId="0" fontId="63" fillId="0" borderId="30" xfId="0" applyFont="1" applyBorder="1" applyAlignment="1">
      <alignment horizontal="left" vertical="center" wrapText="1"/>
    </xf>
    <xf numFmtId="165" fontId="7" fillId="3" borderId="188" xfId="0" applyNumberFormat="1" applyFont="1" applyFill="1" applyBorder="1" applyAlignment="1">
      <alignment horizontal="center" vertical="center" wrapText="1"/>
    </xf>
    <xf numFmtId="165" fontId="7" fillId="3" borderId="26" xfId="0" applyNumberFormat="1" applyFont="1" applyFill="1" applyBorder="1" applyAlignment="1">
      <alignment horizontal="center" vertical="center" wrapText="1"/>
    </xf>
    <xf numFmtId="165" fontId="7" fillId="3" borderId="185" xfId="0" applyNumberFormat="1" applyFont="1" applyFill="1" applyBorder="1" applyAlignment="1">
      <alignment horizontal="center" vertical="center" wrapText="1"/>
    </xf>
    <xf numFmtId="0" fontId="8" fillId="0" borderId="55" xfId="0" applyFont="1" applyBorder="1" applyAlignment="1">
      <alignment horizontal="center"/>
    </xf>
    <xf numFmtId="0" fontId="0" fillId="0" borderId="55" xfId="0" applyBorder="1"/>
    <xf numFmtId="10" fontId="63" fillId="0" borderId="18" xfId="0" applyNumberFormat="1" applyFont="1" applyBorder="1" applyAlignment="1">
      <alignment horizontal="center" vertical="center"/>
    </xf>
    <xf numFmtId="1" fontId="63" fillId="0" borderId="18" xfId="0" applyNumberFormat="1" applyFont="1" applyBorder="1" applyAlignment="1">
      <alignment horizontal="center" vertical="center"/>
    </xf>
    <xf numFmtId="0" fontId="63" fillId="4" borderId="31" xfId="0" applyFont="1" applyFill="1" applyBorder="1" applyAlignment="1">
      <alignment horizontal="center" vertical="center" wrapText="1"/>
    </xf>
    <xf numFmtId="0" fontId="14" fillId="2" borderId="197" xfId="0" applyFont="1" applyFill="1" applyBorder="1" applyAlignment="1">
      <alignment horizontal="center" vertical="center" wrapText="1"/>
    </xf>
    <xf numFmtId="0" fontId="14" fillId="2" borderId="39" xfId="0" applyFont="1" applyFill="1" applyBorder="1" applyAlignment="1">
      <alignment horizontal="center" vertical="center" wrapText="1"/>
    </xf>
    <xf numFmtId="169" fontId="14" fillId="2" borderId="197" xfId="0" applyNumberFormat="1" applyFont="1" applyFill="1" applyBorder="1" applyAlignment="1">
      <alignment horizontal="center" vertical="center" wrapText="1"/>
    </xf>
    <xf numFmtId="1" fontId="14" fillId="2" borderId="18" xfId="0" applyNumberFormat="1" applyFont="1" applyFill="1" applyBorder="1" applyAlignment="1">
      <alignment horizontal="center" vertical="center" wrapText="1"/>
    </xf>
    <xf numFmtId="173" fontId="34" fillId="4" borderId="18" xfId="0" applyNumberFormat="1" applyFont="1" applyFill="1" applyBorder="1" applyAlignment="1">
      <alignment horizontal="center" vertical="center" wrapText="1"/>
    </xf>
    <xf numFmtId="0" fontId="63" fillId="4" borderId="18" xfId="0" applyFont="1" applyFill="1" applyBorder="1" applyAlignment="1">
      <alignment horizontal="center" vertical="center" wrapText="1"/>
    </xf>
    <xf numFmtId="0" fontId="14" fillId="2" borderId="18" xfId="0" applyFont="1" applyFill="1" applyBorder="1" applyAlignment="1">
      <alignment horizontal="right" vertical="center" wrapText="1"/>
    </xf>
    <xf numFmtId="174" fontId="63" fillId="4" borderId="18" xfId="0" applyNumberFormat="1" applyFont="1" applyFill="1" applyBorder="1" applyAlignment="1">
      <alignment horizontal="right" vertical="center" wrapText="1"/>
    </xf>
    <xf numFmtId="0" fontId="9" fillId="0" borderId="4" xfId="0" applyFont="1" applyBorder="1" applyAlignment="1">
      <alignment horizontal="left" vertical="center" wrapText="1"/>
    </xf>
    <xf numFmtId="0" fontId="9" fillId="0" borderId="18" xfId="0" applyFont="1" applyBorder="1" applyAlignment="1">
      <alignment horizontal="left" vertical="center" wrapText="1"/>
    </xf>
    <xf numFmtId="0" fontId="9" fillId="0" borderId="20" xfId="0" applyFont="1" applyBorder="1" applyAlignment="1">
      <alignment horizontal="left" vertical="center" wrapText="1"/>
    </xf>
    <xf numFmtId="0" fontId="9" fillId="0" borderId="30" xfId="0" applyFont="1" applyBorder="1" applyAlignment="1">
      <alignment horizontal="left" vertical="center" wrapText="1"/>
    </xf>
    <xf numFmtId="0" fontId="14" fillId="2" borderId="1" xfId="0" applyFont="1" applyFill="1" applyBorder="1" applyAlignment="1">
      <alignment horizontal="center" vertical="center"/>
    </xf>
    <xf numFmtId="0" fontId="4" fillId="2" borderId="4" xfId="0" applyFont="1" applyFill="1" applyBorder="1" applyAlignment="1">
      <alignment horizontal="center"/>
    </xf>
    <xf numFmtId="169" fontId="14" fillId="2" borderId="18" xfId="0" applyNumberFormat="1" applyFont="1" applyFill="1" applyBorder="1" applyAlignment="1">
      <alignment vertical="center"/>
    </xf>
    <xf numFmtId="169" fontId="14" fillId="2" borderId="30" xfId="0" applyNumberFormat="1" applyFont="1" applyFill="1" applyBorder="1" applyAlignment="1">
      <alignment vertical="center"/>
    </xf>
    <xf numFmtId="2" fontId="63" fillId="0" borderId="18" xfId="0" applyNumberFormat="1" applyFont="1" applyBorder="1" applyAlignment="1">
      <alignment horizontal="center" vertical="center" wrapText="1"/>
    </xf>
    <xf numFmtId="2" fontId="64" fillId="0" borderId="66" xfId="0" applyNumberFormat="1" applyFont="1" applyBorder="1"/>
    <xf numFmtId="169" fontId="63" fillId="0" borderId="18" xfId="0" applyNumberFormat="1" applyFont="1" applyBorder="1" applyAlignment="1">
      <alignment horizontal="right" vertical="center" wrapText="1"/>
    </xf>
    <xf numFmtId="169" fontId="14" fillId="2" borderId="16" xfId="0" applyNumberFormat="1" applyFont="1" applyFill="1" applyBorder="1" applyAlignment="1">
      <alignment horizontal="center" vertical="center"/>
    </xf>
    <xf numFmtId="0" fontId="3" fillId="0" borderId="18" xfId="0" applyFont="1" applyBorder="1" applyAlignment="1">
      <alignment horizontal="center"/>
    </xf>
    <xf numFmtId="0" fontId="5" fillId="0" borderId="186" xfId="0" applyFont="1" applyBorder="1"/>
    <xf numFmtId="2" fontId="3" fillId="0" borderId="31" xfId="0" applyNumberFormat="1" applyFont="1" applyBorder="1" applyAlignment="1">
      <alignment horizontal="center" vertical="center"/>
    </xf>
    <xf numFmtId="0" fontId="5" fillId="0" borderId="188" xfId="0" applyFont="1" applyBorder="1"/>
    <xf numFmtId="0" fontId="12" fillId="0" borderId="35" xfId="0" applyFont="1" applyBorder="1" applyAlignment="1">
      <alignment horizontal="center" vertical="center"/>
    </xf>
    <xf numFmtId="0" fontId="34" fillId="0" borderId="171" xfId="0" applyFont="1" applyBorder="1" applyAlignment="1">
      <alignment horizontal="center" vertical="center"/>
    </xf>
    <xf numFmtId="0" fontId="34" fillId="0" borderId="35" xfId="0" applyFont="1" applyBorder="1" applyAlignment="1">
      <alignment horizontal="center" vertical="center"/>
    </xf>
    <xf numFmtId="0" fontId="4" fillId="2" borderId="20" xfId="0" applyFont="1" applyFill="1" applyBorder="1" applyAlignment="1">
      <alignment horizontal="center" vertical="center"/>
    </xf>
    <xf numFmtId="0" fontId="27" fillId="0" borderId="38" xfId="0" applyFont="1" applyBorder="1" applyAlignment="1">
      <alignment horizontal="center"/>
    </xf>
    <xf numFmtId="0" fontId="27" fillId="0" borderId="32" xfId="0" applyFont="1" applyBorder="1"/>
    <xf numFmtId="0" fontId="27" fillId="0" borderId="33" xfId="0" applyFont="1" applyBorder="1"/>
    <xf numFmtId="0" fontId="27" fillId="0" borderId="37" xfId="0" applyFont="1" applyBorder="1"/>
    <xf numFmtId="0" fontId="8" fillId="0" borderId="35" xfId="0" applyFont="1" applyBorder="1"/>
    <xf numFmtId="0" fontId="27" fillId="0" borderId="36" xfId="0" applyFont="1" applyBorder="1"/>
    <xf numFmtId="0" fontId="27" fillId="0" borderId="27" xfId="0" applyFont="1" applyBorder="1"/>
    <xf numFmtId="0" fontId="20" fillId="2" borderId="170" xfId="0" applyFont="1" applyFill="1" applyBorder="1" applyAlignment="1">
      <alignment horizontal="center" vertical="center"/>
    </xf>
    <xf numFmtId="0" fontId="20" fillId="2" borderId="171" xfId="0" applyFont="1" applyFill="1" applyBorder="1" applyAlignment="1">
      <alignment horizontal="center" vertical="center"/>
    </xf>
    <xf numFmtId="0" fontId="20" fillId="2" borderId="172" xfId="0" applyFont="1" applyFill="1" applyBorder="1" applyAlignment="1">
      <alignment horizontal="center" vertical="center"/>
    </xf>
    <xf numFmtId="0" fontId="20" fillId="2" borderId="48" xfId="0" applyFont="1" applyFill="1" applyBorder="1" applyAlignment="1">
      <alignment horizontal="center" vertical="center"/>
    </xf>
    <xf numFmtId="0" fontId="20" fillId="2" borderId="35" xfId="0" applyFont="1" applyFill="1" applyBorder="1" applyAlignment="1">
      <alignment horizontal="center" vertical="center"/>
    </xf>
    <xf numFmtId="0" fontId="20" fillId="2" borderId="173" xfId="0" applyFont="1" applyFill="1" applyBorder="1" applyAlignment="1">
      <alignment horizontal="center" vertical="center"/>
    </xf>
    <xf numFmtId="0" fontId="3" fillId="0" borderId="203" xfId="0" applyFont="1" applyBorder="1" applyAlignment="1">
      <alignment horizontal="center" vertical="center" wrapText="1"/>
    </xf>
    <xf numFmtId="0" fontId="5" fillId="0" borderId="48" xfId="0" applyFont="1" applyBorder="1"/>
    <xf numFmtId="0" fontId="5" fillId="0" borderId="204" xfId="0" applyFont="1" applyBorder="1"/>
    <xf numFmtId="0" fontId="4" fillId="2" borderId="189" xfId="0" applyFont="1" applyFill="1" applyBorder="1" applyAlignment="1">
      <alignment horizontal="center" vertical="center"/>
    </xf>
    <xf numFmtId="0" fontId="4" fillId="2" borderId="26" xfId="0" applyFont="1" applyFill="1" applyBorder="1" applyAlignment="1">
      <alignment horizontal="center" vertical="center"/>
    </xf>
    <xf numFmtId="0" fontId="3" fillId="0" borderId="20" xfId="0" applyFont="1" applyBorder="1" applyAlignment="1">
      <alignment horizontal="center"/>
    </xf>
    <xf numFmtId="2" fontId="3" fillId="0" borderId="32" xfId="0" applyNumberFormat="1" applyFont="1" applyBorder="1" applyAlignment="1">
      <alignment horizontal="center" vertical="center"/>
    </xf>
    <xf numFmtId="2" fontId="3" fillId="0" borderId="33" xfId="0" applyNumberFormat="1" applyFont="1" applyBorder="1" applyAlignment="1">
      <alignment horizontal="center" vertical="center"/>
    </xf>
    <xf numFmtId="2" fontId="3" fillId="0" borderId="37" xfId="0" applyNumberFormat="1" applyFont="1" applyBorder="1" applyAlignment="1">
      <alignment horizontal="center" vertical="center"/>
    </xf>
    <xf numFmtId="2" fontId="3" fillId="0" borderId="35" xfId="0" applyNumberFormat="1" applyFont="1" applyBorder="1" applyAlignment="1">
      <alignment horizontal="center" vertical="center"/>
    </xf>
    <xf numFmtId="2" fontId="3" fillId="0" borderId="29" xfId="0" applyNumberFormat="1" applyFont="1" applyBorder="1" applyAlignment="1">
      <alignment horizontal="center" vertical="center"/>
    </xf>
    <xf numFmtId="2" fontId="3" fillId="0" borderId="26" xfId="0" applyNumberFormat="1" applyFont="1" applyBorder="1" applyAlignment="1">
      <alignment horizontal="center" vertical="center"/>
    </xf>
    <xf numFmtId="2" fontId="3" fillId="0" borderId="36" xfId="0" applyNumberFormat="1" applyFont="1" applyBorder="1" applyAlignment="1">
      <alignment horizontal="center" vertical="center"/>
    </xf>
    <xf numFmtId="2" fontId="3" fillId="0" borderId="27" xfId="0" applyNumberFormat="1" applyFont="1" applyBorder="1" applyAlignment="1">
      <alignment horizontal="center" vertical="center"/>
    </xf>
    <xf numFmtId="0" fontId="4" fillId="2" borderId="30" xfId="0" applyFont="1" applyFill="1" applyBorder="1" applyAlignment="1">
      <alignment horizontal="center" vertical="center" wrapText="1"/>
    </xf>
    <xf numFmtId="0" fontId="49" fillId="2" borderId="133" xfId="0" applyFont="1" applyFill="1" applyBorder="1" applyAlignment="1">
      <alignment horizontal="center" vertical="center"/>
    </xf>
    <xf numFmtId="0" fontId="48" fillId="0" borderId="30" xfId="0" applyFont="1" applyBorder="1"/>
    <xf numFmtId="0" fontId="47" fillId="0" borderId="18" xfId="0" applyFont="1" applyBorder="1" applyAlignment="1">
      <alignment horizontal="center"/>
    </xf>
    <xf numFmtId="0" fontId="49" fillId="2" borderId="18" xfId="0" applyFont="1" applyFill="1" applyBorder="1" applyAlignment="1">
      <alignment horizontal="center" vertical="center"/>
    </xf>
    <xf numFmtId="0" fontId="48" fillId="0" borderId="20" xfId="0" applyFont="1" applyBorder="1"/>
    <xf numFmtId="2" fontId="47" fillId="0" borderId="31" xfId="0" applyNumberFormat="1" applyFont="1" applyBorder="1" applyAlignment="1">
      <alignment horizontal="center" vertical="center"/>
    </xf>
    <xf numFmtId="0" fontId="48" fillId="0" borderId="32" xfId="0" applyFont="1" applyBorder="1"/>
    <xf numFmtId="0" fontId="48" fillId="0" borderId="33" xfId="0" applyFont="1" applyBorder="1"/>
    <xf numFmtId="0" fontId="48" fillId="0" borderId="37" xfId="0" applyFont="1" applyBorder="1"/>
    <xf numFmtId="0" fontId="48" fillId="0" borderId="29" xfId="0" applyFont="1" applyBorder="1"/>
    <xf numFmtId="0" fontId="48" fillId="0" borderId="26" xfId="0" applyFont="1" applyBorder="1"/>
    <xf numFmtId="0" fontId="48" fillId="0" borderId="36" xfId="0" applyFont="1" applyBorder="1"/>
    <xf numFmtId="0" fontId="48" fillId="0" borderId="27" xfId="0" applyFont="1" applyBorder="1"/>
    <xf numFmtId="0" fontId="4" fillId="2" borderId="27" xfId="0" applyFont="1" applyFill="1" applyBorder="1" applyAlignment="1">
      <alignment horizontal="center" vertical="center"/>
    </xf>
    <xf numFmtId="0" fontId="3" fillId="0" borderId="107" xfId="0" applyFont="1" applyBorder="1" applyAlignment="1">
      <alignment horizontal="center" vertical="center" wrapText="1"/>
    </xf>
    <xf numFmtId="0" fontId="3" fillId="0" borderId="38" xfId="0" applyFont="1" applyBorder="1" applyAlignment="1">
      <alignment horizontal="center" vertical="center" wrapText="1"/>
    </xf>
    <xf numFmtId="0" fontId="4" fillId="2" borderId="136" xfId="0" applyFont="1" applyFill="1" applyBorder="1" applyAlignment="1">
      <alignment horizontal="center" vertical="center" wrapText="1"/>
    </xf>
    <xf numFmtId="2" fontId="21" fillId="0" borderId="31" xfId="0" applyNumberFormat="1" applyFont="1" applyBorder="1" applyAlignment="1">
      <alignment horizontal="center" vertical="center"/>
    </xf>
    <xf numFmtId="2" fontId="21" fillId="0" borderId="32" xfId="0" applyNumberFormat="1" applyFont="1" applyBorder="1" applyAlignment="1">
      <alignment horizontal="center" vertical="center"/>
    </xf>
    <xf numFmtId="2" fontId="21" fillId="0" borderId="33" xfId="0" applyNumberFormat="1" applyFont="1" applyBorder="1" applyAlignment="1">
      <alignment horizontal="center" vertical="center"/>
    </xf>
    <xf numFmtId="2" fontId="21" fillId="0" borderId="37" xfId="0" applyNumberFormat="1" applyFont="1" applyBorder="1" applyAlignment="1">
      <alignment horizontal="center" vertical="center"/>
    </xf>
    <xf numFmtId="2" fontId="21" fillId="0" borderId="35" xfId="0" applyNumberFormat="1" applyFont="1" applyBorder="1" applyAlignment="1">
      <alignment horizontal="center" vertical="center"/>
    </xf>
    <xf numFmtId="2" fontId="21" fillId="0" borderId="29" xfId="0" applyNumberFormat="1" applyFont="1" applyBorder="1" applyAlignment="1">
      <alignment horizontal="center" vertical="center"/>
    </xf>
    <xf numFmtId="2" fontId="21" fillId="0" borderId="26" xfId="0" applyNumberFormat="1" applyFont="1" applyBorder="1" applyAlignment="1">
      <alignment horizontal="center" vertical="center"/>
    </xf>
    <xf numFmtId="2" fontId="21" fillId="0" borderId="36" xfId="0" applyNumberFormat="1" applyFont="1" applyBorder="1" applyAlignment="1">
      <alignment horizontal="center" vertical="center"/>
    </xf>
    <xf numFmtId="2" fontId="21" fillId="0" borderId="27" xfId="0" applyNumberFormat="1" applyFont="1" applyBorder="1" applyAlignment="1">
      <alignment horizontal="center" vertical="center"/>
    </xf>
    <xf numFmtId="0" fontId="4" fillId="2" borderId="30" xfId="0" applyFont="1" applyFill="1" applyBorder="1" applyAlignment="1">
      <alignment horizontal="center" vertical="center"/>
    </xf>
    <xf numFmtId="0" fontId="4" fillId="2" borderId="38" xfId="0" applyFont="1" applyFill="1" applyBorder="1" applyAlignment="1">
      <alignment horizontal="center" vertical="center"/>
    </xf>
    <xf numFmtId="0" fontId="4" fillId="2" borderId="133" xfId="0" applyFont="1" applyFill="1" applyBorder="1" applyAlignment="1">
      <alignment horizontal="center" vertical="center"/>
    </xf>
    <xf numFmtId="0" fontId="27" fillId="0" borderId="42" xfId="0" applyFont="1" applyBorder="1" applyAlignment="1">
      <alignment horizontal="center"/>
    </xf>
    <xf numFmtId="0" fontId="27" fillId="0" borderId="43" xfId="0" applyFont="1" applyBorder="1" applyAlignment="1">
      <alignment horizontal="center"/>
    </xf>
    <xf numFmtId="2" fontId="3" fillId="0" borderId="31" xfId="0" applyNumberFormat="1" applyFont="1" applyBorder="1" applyAlignment="1">
      <alignment horizontal="center" vertical="center" wrapText="1"/>
    </xf>
    <xf numFmtId="0" fontId="27" fillId="0" borderId="32" xfId="0" applyFont="1" applyBorder="1" applyAlignment="1">
      <alignment wrapText="1"/>
    </xf>
    <xf numFmtId="0" fontId="27" fillId="0" borderId="33" xfId="0" applyFont="1" applyBorder="1" applyAlignment="1">
      <alignment wrapText="1"/>
    </xf>
    <xf numFmtId="0" fontId="27" fillId="0" borderId="37" xfId="0" applyFont="1" applyBorder="1" applyAlignment="1">
      <alignment wrapText="1"/>
    </xf>
    <xf numFmtId="0" fontId="8" fillId="0" borderId="35" xfId="0" applyFont="1" applyBorder="1" applyAlignment="1">
      <alignment wrapText="1"/>
    </xf>
    <xf numFmtId="0" fontId="27" fillId="0" borderId="29" xfId="0" applyFont="1" applyBorder="1" applyAlignment="1">
      <alignment wrapText="1"/>
    </xf>
    <xf numFmtId="0" fontId="27" fillId="0" borderId="26" xfId="0" applyFont="1" applyBorder="1" applyAlignment="1">
      <alignment wrapText="1"/>
    </xf>
    <xf numFmtId="0" fontId="27" fillId="0" borderId="36" xfId="0" applyFont="1" applyBorder="1" applyAlignment="1">
      <alignment wrapText="1"/>
    </xf>
    <xf numFmtId="0" fontId="27" fillId="0" borderId="27" xfId="0" applyFont="1" applyBorder="1" applyAlignment="1">
      <alignment wrapText="1"/>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204"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27" xfId="0" applyFont="1" applyBorder="1" applyAlignment="1">
      <alignment horizontal="center" vertical="center" wrapText="1"/>
    </xf>
    <xf numFmtId="2" fontId="3" fillId="0" borderId="38" xfId="0" applyNumberFormat="1" applyFont="1" applyBorder="1" applyAlignment="1">
      <alignment horizontal="center" vertical="center"/>
    </xf>
    <xf numFmtId="0" fontId="27" fillId="0" borderId="38" xfId="0" applyFont="1" applyBorder="1"/>
    <xf numFmtId="0" fontId="8" fillId="0" borderId="38" xfId="0" applyFont="1" applyBorder="1"/>
    <xf numFmtId="0" fontId="4" fillId="2" borderId="107" xfId="0" applyFont="1" applyFill="1" applyBorder="1" applyAlignment="1">
      <alignment horizontal="center" vertical="center"/>
    </xf>
    <xf numFmtId="0" fontId="4" fillId="2" borderId="38" xfId="0" applyFont="1" applyFill="1" applyBorder="1" applyAlignment="1">
      <alignment horizontal="center" vertical="center" wrapText="1"/>
    </xf>
    <xf numFmtId="0" fontId="4" fillId="2" borderId="31" xfId="0" applyFont="1" applyFill="1" applyBorder="1" applyAlignment="1">
      <alignment horizontal="center" vertical="center"/>
    </xf>
    <xf numFmtId="0" fontId="4" fillId="2" borderId="135" xfId="0" applyFont="1" applyFill="1" applyBorder="1" applyAlignment="1">
      <alignment horizontal="center" vertical="center"/>
    </xf>
    <xf numFmtId="0" fontId="4" fillId="2" borderId="134" xfId="0" applyFont="1" applyFill="1" applyBorder="1" applyAlignment="1">
      <alignment horizontal="center" vertical="center"/>
    </xf>
    <xf numFmtId="0" fontId="27" fillId="0" borderId="20" xfId="0" applyFont="1" applyBorder="1" applyAlignment="1">
      <alignment horizontal="center"/>
    </xf>
    <xf numFmtId="0" fontId="27" fillId="0" borderId="30" xfId="0" applyFont="1" applyBorder="1" applyAlignment="1">
      <alignment horizontal="center"/>
    </xf>
    <xf numFmtId="0" fontId="82" fillId="2" borderId="18" xfId="0" applyFont="1" applyFill="1" applyBorder="1" applyAlignment="1">
      <alignment horizontal="right"/>
    </xf>
    <xf numFmtId="0" fontId="82" fillId="2" borderId="20" xfId="0" applyFont="1" applyFill="1" applyBorder="1" applyAlignment="1">
      <alignment horizontal="right"/>
    </xf>
    <xf numFmtId="0" fontId="71" fillId="0" borderId="30" xfId="0" applyFont="1" applyBorder="1"/>
    <xf numFmtId="2" fontId="70" fillId="2" borderId="204" xfId="0" applyNumberFormat="1" applyFont="1" applyFill="1" applyBorder="1" applyAlignment="1">
      <alignment horizontal="center"/>
    </xf>
    <xf numFmtId="2" fontId="70" fillId="2" borderId="27" xfId="0" applyNumberFormat="1" applyFont="1" applyFill="1" applyBorder="1" applyAlignment="1">
      <alignment horizontal="center"/>
    </xf>
    <xf numFmtId="0" fontId="77" fillId="2" borderId="170" xfId="0" applyFont="1" applyFill="1" applyBorder="1" applyAlignment="1">
      <alignment horizontal="center" vertical="center"/>
    </xf>
    <xf numFmtId="0" fontId="77" fillId="2" borderId="171" xfId="0" applyFont="1" applyFill="1" applyBorder="1" applyAlignment="1">
      <alignment horizontal="center" vertical="center"/>
    </xf>
    <xf numFmtId="0" fontId="77" fillId="2" borderId="172" xfId="0" applyFont="1" applyFill="1" applyBorder="1" applyAlignment="1">
      <alignment horizontal="center" vertical="center"/>
    </xf>
    <xf numFmtId="0" fontId="77" fillId="2" borderId="48" xfId="0" applyFont="1" applyFill="1" applyBorder="1" applyAlignment="1">
      <alignment horizontal="center" vertical="center"/>
    </xf>
    <xf numFmtId="0" fontId="77" fillId="2" borderId="35" xfId="0" applyFont="1" applyFill="1" applyBorder="1" applyAlignment="1">
      <alignment horizontal="center" vertical="center"/>
    </xf>
    <xf numFmtId="0" fontId="77" fillId="2" borderId="173" xfId="0" applyFont="1" applyFill="1" applyBorder="1" applyAlignment="1">
      <alignment horizontal="center" vertical="center"/>
    </xf>
    <xf numFmtId="0" fontId="69" fillId="0" borderId="13" xfId="0" applyFont="1" applyBorder="1" applyAlignment="1">
      <alignment horizontal="left" vertical="center"/>
    </xf>
    <xf numFmtId="0" fontId="71" fillId="0" borderId="13" xfId="0" applyFont="1" applyBorder="1"/>
    <xf numFmtId="0" fontId="70" fillId="2" borderId="31" xfId="0" applyFont="1" applyFill="1" applyBorder="1" applyAlignment="1">
      <alignment horizontal="center" vertical="center"/>
    </xf>
    <xf numFmtId="0" fontId="70" fillId="2" borderId="32" xfId="0" applyFont="1" applyFill="1" applyBorder="1" applyAlignment="1">
      <alignment horizontal="center" vertical="center"/>
    </xf>
    <xf numFmtId="0" fontId="70" fillId="2" borderId="26" xfId="0" applyFont="1" applyFill="1" applyBorder="1" applyAlignment="1">
      <alignment horizontal="center" vertical="center"/>
    </xf>
    <xf numFmtId="0" fontId="70" fillId="2" borderId="36" xfId="0" applyFont="1" applyFill="1" applyBorder="1" applyAlignment="1">
      <alignment horizontal="center" vertical="center"/>
    </xf>
    <xf numFmtId="0" fontId="70" fillId="2" borderId="38" xfId="0" applyFont="1" applyFill="1" applyBorder="1" applyAlignment="1">
      <alignment horizontal="center" vertical="center" wrapText="1"/>
    </xf>
    <xf numFmtId="0" fontId="71" fillId="0" borderId="38" xfId="0" applyFont="1" applyBorder="1"/>
    <xf numFmtId="0" fontId="69" fillId="0" borderId="205" xfId="0" applyFont="1" applyBorder="1" applyAlignment="1">
      <alignment horizontal="left" vertical="center"/>
    </xf>
    <xf numFmtId="0" fontId="69" fillId="0" borderId="45" xfId="0" applyFont="1" applyBorder="1" applyAlignment="1">
      <alignment horizontal="left" vertical="center"/>
    </xf>
    <xf numFmtId="0" fontId="69" fillId="0" borderId="132" xfId="0" applyFont="1" applyBorder="1" applyAlignment="1">
      <alignment horizontal="left" vertical="center"/>
    </xf>
    <xf numFmtId="0" fontId="69" fillId="0" borderId="43" xfId="0" applyFont="1" applyBorder="1" applyAlignment="1">
      <alignment horizontal="left" vertical="center"/>
    </xf>
    <xf numFmtId="0" fontId="70" fillId="2" borderId="46" xfId="0" applyFont="1" applyFill="1" applyBorder="1" applyAlignment="1">
      <alignment horizontal="center" vertical="center" wrapText="1"/>
    </xf>
    <xf numFmtId="0" fontId="70" fillId="2" borderId="47" xfId="0" applyFont="1" applyFill="1" applyBorder="1" applyAlignment="1">
      <alignment horizontal="center" vertical="center" wrapText="1"/>
    </xf>
    <xf numFmtId="0" fontId="70" fillId="2" borderId="50" xfId="0" applyFont="1" applyFill="1" applyBorder="1" applyAlignment="1">
      <alignment horizontal="center" vertical="center" wrapText="1"/>
    </xf>
    <xf numFmtId="0" fontId="70" fillId="2" borderId="51" xfId="0" applyFont="1" applyFill="1" applyBorder="1" applyAlignment="1">
      <alignment horizontal="center" vertical="center" wrapText="1"/>
    </xf>
    <xf numFmtId="0" fontId="70" fillId="2" borderId="53" xfId="0" applyFont="1" applyFill="1" applyBorder="1" applyAlignment="1">
      <alignment horizontal="center" vertical="center" wrapText="1"/>
    </xf>
    <xf numFmtId="0" fontId="70" fillId="2" borderId="54" xfId="0" applyFont="1" applyFill="1" applyBorder="1" applyAlignment="1">
      <alignment horizontal="center" vertical="center" wrapText="1"/>
    </xf>
    <xf numFmtId="0" fontId="70" fillId="2" borderId="36" xfId="0" applyFont="1" applyFill="1" applyBorder="1" applyAlignment="1">
      <alignment horizontal="center"/>
    </xf>
    <xf numFmtId="0" fontId="71" fillId="0" borderId="36" xfId="0" applyFont="1" applyBorder="1"/>
    <xf numFmtId="0" fontId="70" fillId="2" borderId="107" xfId="0" applyFont="1" applyFill="1" applyBorder="1" applyAlignment="1">
      <alignment horizontal="center" vertical="center"/>
    </xf>
    <xf numFmtId="0" fontId="71" fillId="0" borderId="107" xfId="0" applyFont="1" applyBorder="1"/>
    <xf numFmtId="0" fontId="69" fillId="0" borderId="206" xfId="0" applyFont="1" applyBorder="1" applyAlignment="1">
      <alignment horizontal="left" vertical="center"/>
    </xf>
    <xf numFmtId="0" fontId="69" fillId="0" borderId="41" xfId="0" applyFont="1" applyBorder="1" applyAlignment="1">
      <alignment horizontal="left" vertical="center"/>
    </xf>
    <xf numFmtId="0" fontId="69" fillId="0" borderId="13" xfId="0" applyFont="1" applyBorder="1" applyAlignment="1">
      <alignment horizontal="left"/>
    </xf>
    <xf numFmtId="0" fontId="69" fillId="0" borderId="18" xfId="0" applyFont="1" applyBorder="1" applyAlignment="1">
      <alignment horizontal="left" vertical="center"/>
    </xf>
    <xf numFmtId="0" fontId="82" fillId="2" borderId="31" xfId="0" applyFont="1" applyFill="1" applyBorder="1" applyAlignment="1">
      <alignment horizontal="right"/>
    </xf>
    <xf numFmtId="0" fontId="82" fillId="2" borderId="32" xfId="0" applyFont="1" applyFill="1" applyBorder="1" applyAlignment="1">
      <alignment horizontal="right"/>
    </xf>
    <xf numFmtId="0" fontId="71" fillId="0" borderId="33" xfId="0" applyFont="1" applyBorder="1"/>
    <xf numFmtId="0" fontId="23" fillId="2" borderId="203" xfId="0" applyFont="1" applyFill="1" applyBorder="1" applyAlignment="1">
      <alignment horizontal="center" vertical="center"/>
    </xf>
    <xf numFmtId="0" fontId="23" fillId="2" borderId="32" xfId="0" applyFont="1" applyFill="1" applyBorder="1" applyAlignment="1">
      <alignment horizontal="center" vertical="center"/>
    </xf>
    <xf numFmtId="0" fontId="23" fillId="2" borderId="33" xfId="0" applyFont="1" applyFill="1" applyBorder="1" applyAlignment="1">
      <alignment horizontal="center" vertical="center"/>
    </xf>
    <xf numFmtId="0" fontId="23" fillId="2" borderId="204" xfId="0" applyFont="1" applyFill="1" applyBorder="1" applyAlignment="1">
      <alignment horizontal="center" vertical="center"/>
    </xf>
    <xf numFmtId="0" fontId="23" fillId="2" borderId="36" xfId="0" applyFont="1" applyFill="1" applyBorder="1" applyAlignment="1">
      <alignment horizontal="center" vertical="center"/>
    </xf>
    <xf numFmtId="0" fontId="23" fillId="2" borderId="27" xfId="0" applyFont="1" applyFill="1" applyBorder="1" applyAlignment="1">
      <alignment horizontal="center" vertical="center"/>
    </xf>
    <xf numFmtId="0" fontId="73" fillId="2" borderId="16" xfId="0" applyFont="1" applyFill="1" applyBorder="1" applyAlignment="1">
      <alignment horizontal="center" vertical="center" wrapText="1"/>
    </xf>
    <xf numFmtId="0" fontId="74" fillId="0" borderId="34" xfId="0" applyFont="1" applyBorder="1"/>
    <xf numFmtId="0" fontId="74" fillId="0" borderId="28" xfId="0" applyFont="1" applyBorder="1"/>
    <xf numFmtId="0" fontId="73" fillId="2" borderId="143" xfId="0" applyFont="1" applyFill="1" applyBorder="1" applyAlignment="1">
      <alignment horizontal="center" vertical="center" wrapText="1"/>
    </xf>
    <xf numFmtId="0" fontId="74" fillId="0" borderId="147" xfId="0" applyFont="1" applyBorder="1"/>
    <xf numFmtId="0" fontId="73" fillId="2" borderId="203" xfId="0" applyFont="1" applyFill="1" applyBorder="1" applyAlignment="1">
      <alignment horizontal="center" vertical="center"/>
    </xf>
    <xf numFmtId="0" fontId="73" fillId="2" borderId="32" xfId="0" applyFont="1" applyFill="1" applyBorder="1" applyAlignment="1">
      <alignment horizontal="center" vertical="center"/>
    </xf>
    <xf numFmtId="0" fontId="73" fillId="2" borderId="204" xfId="0" applyFont="1" applyFill="1" applyBorder="1" applyAlignment="1">
      <alignment horizontal="center" vertical="center"/>
    </xf>
    <xf numFmtId="0" fontId="73" fillId="2" borderId="36" xfId="0" applyFont="1" applyFill="1" applyBorder="1" applyAlignment="1">
      <alignment horizontal="center" vertical="center"/>
    </xf>
    <xf numFmtId="0" fontId="111" fillId="0" borderId="171" xfId="0" applyFont="1" applyBorder="1" applyAlignment="1">
      <alignment horizontal="center" vertical="center"/>
    </xf>
    <xf numFmtId="0" fontId="111" fillId="0" borderId="35" xfId="0" applyFont="1" applyBorder="1" applyAlignment="1">
      <alignment horizontal="center" vertical="center"/>
    </xf>
    <xf numFmtId="0" fontId="94" fillId="0" borderId="171" xfId="0" applyFont="1" applyBorder="1" applyAlignment="1">
      <alignment horizontal="center" vertical="center"/>
    </xf>
    <xf numFmtId="0" fontId="94" fillId="0" borderId="35" xfId="0" applyFont="1" applyBorder="1" applyAlignment="1">
      <alignment horizontal="center" vertical="center"/>
    </xf>
    <xf numFmtId="0" fontId="100" fillId="0" borderId="35" xfId="0" applyFont="1" applyBorder="1" applyAlignment="1">
      <alignment horizontal="center" vertical="center"/>
    </xf>
    <xf numFmtId="0" fontId="101" fillId="0" borderId="35" xfId="0" applyFont="1" applyBorder="1" applyAlignment="1">
      <alignment horizontal="center" vertical="center"/>
    </xf>
    <xf numFmtId="0" fontId="102" fillId="0" borderId="35" xfId="0" applyFont="1" applyBorder="1" applyAlignment="1">
      <alignment horizontal="center" vertical="center"/>
    </xf>
    <xf numFmtId="0" fontId="91" fillId="0" borderId="20" xfId="0" applyFont="1" applyBorder="1" applyAlignment="1">
      <alignment horizontal="center"/>
    </xf>
    <xf numFmtId="0" fontId="91" fillId="0" borderId="30" xfId="0" applyFont="1" applyBorder="1" applyAlignment="1">
      <alignment horizontal="center"/>
    </xf>
    <xf numFmtId="0" fontId="87" fillId="2" borderId="18" xfId="0" applyFont="1" applyFill="1" applyBorder="1" applyAlignment="1">
      <alignment horizontal="center" vertical="center"/>
    </xf>
    <xf numFmtId="0" fontId="87" fillId="2" borderId="20" xfId="0" applyFont="1" applyFill="1" applyBorder="1" applyAlignment="1">
      <alignment horizontal="center" vertical="center"/>
    </xf>
    <xf numFmtId="0" fontId="97" fillId="0" borderId="20" xfId="0" applyFont="1" applyBorder="1" applyAlignment="1">
      <alignment horizontal="center"/>
    </xf>
    <xf numFmtId="0" fontId="91" fillId="0" borderId="30" xfId="0" applyFont="1" applyBorder="1"/>
    <xf numFmtId="0" fontId="91" fillId="0" borderId="20" xfId="0" applyFont="1" applyBorder="1"/>
    <xf numFmtId="0" fontId="91" fillId="0" borderId="186" xfId="0" applyFont="1" applyBorder="1"/>
    <xf numFmtId="0" fontId="92" fillId="0" borderId="203" xfId="0" applyFont="1" applyBorder="1" applyAlignment="1">
      <alignment horizontal="center" vertical="center" wrapText="1"/>
    </xf>
    <xf numFmtId="0" fontId="91" fillId="0" borderId="32" xfId="0" applyFont="1" applyBorder="1"/>
    <xf numFmtId="0" fontId="91" fillId="0" borderId="33" xfId="0" applyFont="1" applyBorder="1"/>
    <xf numFmtId="0" fontId="91" fillId="0" borderId="48" xfId="0" applyFont="1" applyBorder="1"/>
    <xf numFmtId="0" fontId="89" fillId="0" borderId="35" xfId="0" applyFont="1" applyBorder="1"/>
    <xf numFmtId="0" fontId="91" fillId="0" borderId="29" xfId="0" applyFont="1" applyBorder="1"/>
    <xf numFmtId="0" fontId="91" fillId="0" borderId="204" xfId="0" applyFont="1" applyBorder="1"/>
    <xf numFmtId="0" fontId="91" fillId="0" borderId="36" xfId="0" applyFont="1" applyBorder="1"/>
    <xf numFmtId="0" fontId="91" fillId="0" borderId="27" xfId="0" applyFont="1" applyBorder="1"/>
    <xf numFmtId="0" fontId="87" fillId="2" borderId="18" xfId="0" applyFont="1" applyFill="1" applyBorder="1" applyAlignment="1">
      <alignment horizontal="center" vertical="center" wrapText="1"/>
    </xf>
    <xf numFmtId="2" fontId="92" fillId="0" borderId="31" xfId="0" applyNumberFormat="1" applyFont="1" applyBorder="1" applyAlignment="1">
      <alignment horizontal="center" vertical="center"/>
    </xf>
    <xf numFmtId="0" fontId="91" fillId="0" borderId="37" xfId="0" applyFont="1" applyBorder="1"/>
    <xf numFmtId="0" fontId="91" fillId="0" borderId="26" xfId="0" applyFont="1" applyBorder="1"/>
    <xf numFmtId="2" fontId="94" fillId="0" borderId="31" xfId="0" applyNumberFormat="1" applyFont="1" applyBorder="1" applyAlignment="1">
      <alignment horizontal="center" vertical="center"/>
    </xf>
    <xf numFmtId="0" fontId="91" fillId="0" borderId="188" xfId="0" applyFont="1" applyBorder="1"/>
    <xf numFmtId="0" fontId="91" fillId="0" borderId="173" xfId="0" applyFont="1" applyBorder="1"/>
    <xf numFmtId="0" fontId="91" fillId="0" borderId="185" xfId="0" applyFont="1" applyBorder="1"/>
    <xf numFmtId="0" fontId="87" fillId="2" borderId="132" xfId="0" applyFont="1" applyFill="1" applyBorder="1" applyAlignment="1">
      <alignment horizontal="center" vertical="center"/>
    </xf>
    <xf numFmtId="0" fontId="87" fillId="2" borderId="43" xfId="0" applyFont="1" applyFill="1" applyBorder="1" applyAlignment="1">
      <alignment horizontal="center" vertical="center"/>
    </xf>
    <xf numFmtId="0" fontId="87" fillId="2" borderId="36" xfId="0" applyFont="1" applyFill="1" applyBorder="1" applyAlignment="1">
      <alignment horizontal="center" vertical="center"/>
    </xf>
    <xf numFmtId="0" fontId="91" fillId="0" borderId="186" xfId="0" applyFont="1" applyBorder="1" applyAlignment="1">
      <alignment horizontal="center"/>
    </xf>
    <xf numFmtId="0" fontId="87" fillId="2" borderId="189" xfId="0" applyFont="1" applyFill="1" applyBorder="1" applyAlignment="1">
      <alignment horizontal="center" vertical="center"/>
    </xf>
    <xf numFmtId="0" fontId="87" fillId="2" borderId="20" xfId="0" applyFont="1" applyFill="1" applyBorder="1" applyAlignment="1">
      <alignment horizontal="center" vertical="center" wrapText="1"/>
    </xf>
    <xf numFmtId="0" fontId="92" fillId="0" borderId="176" xfId="0" applyFont="1" applyBorder="1" applyAlignment="1">
      <alignment horizontal="center" vertical="center" wrapText="1"/>
    </xf>
    <xf numFmtId="0" fontId="92" fillId="0" borderId="51" xfId="0" applyFont="1" applyBorder="1" applyAlignment="1">
      <alignment horizontal="center" vertical="center" wrapText="1"/>
    </xf>
    <xf numFmtId="0" fontId="92" fillId="0" borderId="48" xfId="0" applyFont="1" applyBorder="1" applyAlignment="1">
      <alignment horizontal="center" vertical="center" wrapText="1"/>
    </xf>
    <xf numFmtId="0" fontId="92" fillId="0" borderId="35" xfId="0" applyFont="1" applyBorder="1" applyAlignment="1">
      <alignment horizontal="center" vertical="center" wrapText="1"/>
    </xf>
    <xf numFmtId="0" fontId="92" fillId="0" borderId="177" xfId="0" applyFont="1" applyBorder="1" applyAlignment="1">
      <alignment horizontal="center" vertical="center" wrapText="1"/>
    </xf>
    <xf numFmtId="0" fontId="92" fillId="0" borderId="54" xfId="0" applyFont="1" applyBorder="1" applyAlignment="1">
      <alignment horizontal="center" vertical="center" wrapText="1"/>
    </xf>
    <xf numFmtId="2" fontId="92" fillId="0" borderId="32" xfId="0" applyNumberFormat="1" applyFont="1" applyBorder="1" applyAlignment="1">
      <alignment horizontal="center" vertical="center"/>
    </xf>
    <xf numFmtId="2" fontId="92" fillId="0" borderId="33" xfId="0" applyNumberFormat="1" applyFont="1" applyBorder="1" applyAlignment="1">
      <alignment horizontal="center" vertical="center"/>
    </xf>
    <xf numFmtId="2" fontId="92" fillId="0" borderId="37" xfId="0" applyNumberFormat="1" applyFont="1" applyBorder="1" applyAlignment="1">
      <alignment horizontal="center" vertical="center"/>
    </xf>
    <xf numFmtId="2" fontId="92" fillId="0" borderId="35" xfId="0" applyNumberFormat="1" applyFont="1" applyBorder="1" applyAlignment="1">
      <alignment horizontal="center" vertical="center"/>
    </xf>
    <xf numFmtId="2" fontId="92" fillId="0" borderId="29" xfId="0" applyNumberFormat="1" applyFont="1" applyBorder="1" applyAlignment="1">
      <alignment horizontal="center" vertical="center"/>
    </xf>
    <xf numFmtId="2" fontId="92" fillId="0" borderId="26" xfId="0" applyNumberFormat="1" applyFont="1" applyBorder="1" applyAlignment="1">
      <alignment horizontal="center" vertical="center"/>
    </xf>
    <xf numFmtId="2" fontId="92" fillId="0" borderId="36" xfId="0" applyNumberFormat="1" applyFont="1" applyBorder="1" applyAlignment="1">
      <alignment horizontal="center" vertical="center"/>
    </xf>
    <xf numFmtId="2" fontId="92" fillId="0" borderId="27" xfId="0" applyNumberFormat="1" applyFont="1" applyBorder="1" applyAlignment="1">
      <alignment horizontal="center" vertical="center"/>
    </xf>
    <xf numFmtId="0" fontId="87" fillId="2" borderId="176" xfId="0" applyFont="1" applyFill="1" applyBorder="1" applyAlignment="1">
      <alignment horizontal="center" vertical="center"/>
    </xf>
    <xf numFmtId="0" fontId="87" fillId="2" borderId="51" xfId="0" applyFont="1" applyFill="1" applyBorder="1" applyAlignment="1">
      <alignment horizontal="center" vertical="center"/>
    </xf>
    <xf numFmtId="0" fontId="87" fillId="2" borderId="208" xfId="0" applyFont="1" applyFill="1" applyBorder="1" applyAlignment="1">
      <alignment horizontal="center" vertical="center"/>
    </xf>
    <xf numFmtId="0" fontId="87" fillId="2" borderId="48" xfId="0" applyFont="1" applyFill="1" applyBorder="1" applyAlignment="1">
      <alignment horizontal="center" vertical="center"/>
    </xf>
    <xf numFmtId="0" fontId="87" fillId="2" borderId="35" xfId="0" applyFont="1" applyFill="1" applyBorder="1" applyAlignment="1">
      <alignment horizontal="center" vertical="center"/>
    </xf>
    <xf numFmtId="0" fontId="87" fillId="2" borderId="173" xfId="0" applyFont="1" applyFill="1" applyBorder="1" applyAlignment="1">
      <alignment horizontal="center" vertical="center"/>
    </xf>
    <xf numFmtId="0" fontId="87" fillId="2" borderId="177" xfId="0" applyFont="1" applyFill="1" applyBorder="1" applyAlignment="1">
      <alignment horizontal="center" vertical="center"/>
    </xf>
    <xf numFmtId="0" fontId="87" fillId="2" borderId="54" xfId="0" applyFont="1" applyFill="1" applyBorder="1" applyAlignment="1">
      <alignment horizontal="center" vertical="center"/>
    </xf>
    <xf numFmtId="0" fontId="87" fillId="2" borderId="207" xfId="0" applyFont="1" applyFill="1" applyBorder="1" applyAlignment="1">
      <alignment horizontal="center" vertical="center"/>
    </xf>
    <xf numFmtId="0" fontId="87" fillId="2" borderId="170" xfId="0" applyFont="1" applyFill="1" applyBorder="1" applyAlignment="1">
      <alignment horizontal="center" vertical="center"/>
    </xf>
    <xf numFmtId="0" fontId="87" fillId="2" borderId="171" xfId="0" applyFont="1" applyFill="1" applyBorder="1" applyAlignment="1">
      <alignment horizontal="center" vertical="center"/>
    </xf>
    <xf numFmtId="0" fontId="87" fillId="2" borderId="172" xfId="0" applyFont="1" applyFill="1" applyBorder="1" applyAlignment="1">
      <alignment horizontal="center" vertical="center"/>
    </xf>
    <xf numFmtId="0" fontId="108" fillId="0" borderId="32" xfId="0" applyFont="1" applyBorder="1"/>
    <xf numFmtId="0" fontId="108" fillId="0" borderId="204" xfId="0" applyFont="1" applyBorder="1"/>
    <xf numFmtId="0" fontId="108" fillId="0" borderId="36" xfId="0" applyFont="1" applyBorder="1"/>
    <xf numFmtId="0" fontId="23" fillId="2" borderId="18" xfId="0" applyFont="1" applyFill="1" applyBorder="1" applyAlignment="1">
      <alignment horizontal="center" vertical="center" wrapText="1"/>
    </xf>
    <xf numFmtId="0" fontId="108" fillId="0" borderId="20" xfId="0" applyFont="1" applyBorder="1"/>
    <xf numFmtId="0" fontId="108" fillId="0" borderId="30" xfId="0" applyFont="1" applyBorder="1"/>
    <xf numFmtId="0" fontId="7" fillId="0" borderId="31" xfId="0" applyFont="1" applyBorder="1" applyAlignment="1">
      <alignment horizontal="center"/>
    </xf>
    <xf numFmtId="0" fontId="7" fillId="0" borderId="32" xfId="0" applyFont="1" applyBorder="1" applyAlignment="1">
      <alignment horizontal="center"/>
    </xf>
    <xf numFmtId="0" fontId="7" fillId="0" borderId="37" xfId="0" applyFont="1" applyBorder="1" applyAlignment="1">
      <alignment horizontal="center"/>
    </xf>
    <xf numFmtId="0" fontId="7" fillId="0" borderId="35" xfId="0" applyFont="1" applyBorder="1" applyAlignment="1">
      <alignment horizontal="center"/>
    </xf>
    <xf numFmtId="0" fontId="107" fillId="0" borderId="38" xfId="0" applyFont="1" applyBorder="1" applyAlignment="1">
      <alignment horizontal="center"/>
    </xf>
    <xf numFmtId="0" fontId="107" fillId="6" borderId="203" xfId="0" applyFont="1" applyFill="1" applyBorder="1" applyAlignment="1">
      <alignment horizontal="center"/>
    </xf>
    <xf numFmtId="0" fontId="108" fillId="0" borderId="33" xfId="0" applyFont="1" applyBorder="1"/>
    <xf numFmtId="0" fontId="108" fillId="0" borderId="27" xfId="0" applyFont="1" applyBorder="1"/>
    <xf numFmtId="2" fontId="23" fillId="2" borderId="16" xfId="0" applyNumberFormat="1" applyFont="1" applyFill="1" applyBorder="1" applyAlignment="1">
      <alignment horizontal="center" vertical="center" wrapText="1"/>
    </xf>
    <xf numFmtId="0" fontId="108" fillId="0" borderId="28" xfId="0" applyFont="1" applyBorder="1"/>
    <xf numFmtId="0" fontId="23" fillId="2" borderId="170" xfId="0" applyFont="1" applyFill="1" applyBorder="1" applyAlignment="1">
      <alignment horizontal="center" vertical="center"/>
    </xf>
    <xf numFmtId="0" fontId="23" fillId="2" borderId="171" xfId="0" applyFont="1" applyFill="1" applyBorder="1" applyAlignment="1">
      <alignment horizontal="center" vertical="center"/>
    </xf>
    <xf numFmtId="0" fontId="23" fillId="2" borderId="172" xfId="0" applyFont="1" applyFill="1" applyBorder="1" applyAlignment="1">
      <alignment horizontal="center" vertical="center"/>
    </xf>
    <xf numFmtId="0" fontId="23" fillId="2" borderId="48" xfId="0" applyFont="1" applyFill="1" applyBorder="1" applyAlignment="1">
      <alignment horizontal="center" vertical="center"/>
    </xf>
    <xf numFmtId="0" fontId="23" fillId="2" borderId="35" xfId="0" applyFont="1" applyFill="1" applyBorder="1" applyAlignment="1">
      <alignment horizontal="center" vertical="center"/>
    </xf>
    <xf numFmtId="0" fontId="23" fillId="2" borderId="173" xfId="0" applyFont="1" applyFill="1" applyBorder="1" applyAlignment="1">
      <alignment horizontal="center" vertical="center"/>
    </xf>
    <xf numFmtId="2" fontId="23" fillId="2" borderId="189" xfId="0" applyNumberFormat="1" applyFont="1" applyFill="1" applyBorder="1" applyAlignment="1">
      <alignment horizontal="center" vertical="center" wrapText="1"/>
    </xf>
    <xf numFmtId="2" fontId="23" fillId="2" borderId="18" xfId="0" applyNumberFormat="1" applyFont="1" applyFill="1" applyBorder="1" applyAlignment="1">
      <alignment horizontal="center" vertical="center" wrapText="1"/>
    </xf>
    <xf numFmtId="2" fontId="23" fillId="2" borderId="20" xfId="0" applyNumberFormat="1" applyFont="1" applyFill="1" applyBorder="1" applyAlignment="1">
      <alignment horizontal="center" vertical="center" wrapText="1"/>
    </xf>
    <xf numFmtId="2" fontId="23" fillId="2" borderId="30" xfId="0" applyNumberFormat="1" applyFont="1" applyFill="1" applyBorder="1" applyAlignment="1">
      <alignment horizontal="center" vertical="center" wrapText="1"/>
    </xf>
    <xf numFmtId="2" fontId="23" fillId="2" borderId="26" xfId="0" applyNumberFormat="1" applyFont="1" applyFill="1" applyBorder="1" applyAlignment="1">
      <alignment horizontal="center" vertical="center" wrapText="1"/>
    </xf>
    <xf numFmtId="2" fontId="23" fillId="2" borderId="36" xfId="0" applyNumberFormat="1" applyFont="1" applyFill="1" applyBorder="1" applyAlignment="1">
      <alignment horizontal="center" vertical="center" wrapText="1"/>
    </xf>
    <xf numFmtId="2" fontId="23" fillId="2" borderId="27" xfId="0" applyNumberFormat="1" applyFont="1" applyFill="1" applyBorder="1" applyAlignment="1">
      <alignment horizontal="center" vertical="center" wrapText="1"/>
    </xf>
    <xf numFmtId="0" fontId="23" fillId="2" borderId="48" xfId="0" applyFont="1" applyFill="1" applyBorder="1" applyAlignment="1">
      <alignment horizontal="center" vertical="center" wrapText="1"/>
    </xf>
    <xf numFmtId="0" fontId="108" fillId="0" borderId="35" xfId="0" applyFont="1" applyBorder="1"/>
    <xf numFmtId="0" fontId="108" fillId="0" borderId="48" xfId="0" applyFont="1" applyBorder="1"/>
    <xf numFmtId="0" fontId="106" fillId="0" borderId="35" xfId="0" applyFont="1" applyBorder="1"/>
    <xf numFmtId="0" fontId="107" fillId="0" borderId="48" xfId="0" applyFont="1" applyBorder="1" applyAlignment="1">
      <alignment horizontal="center"/>
    </xf>
    <xf numFmtId="0" fontId="106" fillId="0" borderId="48" xfId="0" applyFont="1" applyBorder="1"/>
    <xf numFmtId="0" fontId="23" fillId="2" borderId="31" xfId="0" applyFont="1" applyFill="1" applyBorder="1" applyAlignment="1">
      <alignment horizontal="center" vertical="center" wrapText="1"/>
    </xf>
    <xf numFmtId="0" fontId="108" fillId="0" borderId="38" xfId="0" applyFont="1" applyBorder="1"/>
    <xf numFmtId="0" fontId="106" fillId="0" borderId="38" xfId="0" applyFont="1" applyBorder="1"/>
    <xf numFmtId="0" fontId="5" fillId="0" borderId="20" xfId="0" applyFont="1" applyBorder="1" applyAlignment="1">
      <alignment horizontal="center"/>
    </xf>
    <xf numFmtId="0" fontId="5" fillId="0" borderId="30" xfId="0" applyFont="1" applyBorder="1" applyAlignment="1">
      <alignment horizontal="center"/>
    </xf>
    <xf numFmtId="0" fontId="4" fillId="2" borderId="20" xfId="0" applyFont="1" applyFill="1" applyBorder="1" applyAlignment="1">
      <alignment horizontal="center" vertical="center" wrapText="1"/>
    </xf>
    <xf numFmtId="2" fontId="9" fillId="0" borderId="31" xfId="0" applyNumberFormat="1" applyFont="1" applyBorder="1" applyAlignment="1">
      <alignment horizontal="center" vertical="center"/>
    </xf>
    <xf numFmtId="0" fontId="5" fillId="0" borderId="186" xfId="0" applyFont="1" applyBorder="1" applyAlignment="1">
      <alignment horizontal="center"/>
    </xf>
    <xf numFmtId="0" fontId="9" fillId="0" borderId="203" xfId="0" applyFont="1" applyBorder="1" applyAlignment="1">
      <alignment horizontal="center" vertical="center" wrapText="1"/>
    </xf>
    <xf numFmtId="0" fontId="9" fillId="0" borderId="176" xfId="0" applyFont="1" applyBorder="1" applyAlignment="1">
      <alignment horizontal="center" vertical="center" wrapText="1"/>
    </xf>
    <xf numFmtId="0" fontId="9" fillId="0" borderId="51"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177" xfId="0" applyFont="1" applyBorder="1" applyAlignment="1">
      <alignment horizontal="center" vertical="center" wrapText="1"/>
    </xf>
    <xf numFmtId="0" fontId="9" fillId="0" borderId="54" xfId="0" applyFont="1" applyBorder="1" applyAlignment="1">
      <alignment horizontal="center" vertical="center" wrapText="1"/>
    </xf>
    <xf numFmtId="0" fontId="4" fillId="2" borderId="36" xfId="0" applyFont="1" applyFill="1" applyBorder="1" applyAlignment="1">
      <alignment horizontal="center" vertical="center"/>
    </xf>
    <xf numFmtId="0" fontId="4" fillId="2" borderId="132" xfId="0" applyFont="1" applyFill="1" applyBorder="1" applyAlignment="1">
      <alignment horizontal="center" vertical="center"/>
    </xf>
    <xf numFmtId="0" fontId="4" fillId="2" borderId="43" xfId="0" applyFont="1" applyFill="1" applyBorder="1" applyAlignment="1">
      <alignment horizontal="center" vertical="center"/>
    </xf>
    <xf numFmtId="0" fontId="20" fillId="2" borderId="177" xfId="0" applyFont="1" applyFill="1" applyBorder="1" applyAlignment="1">
      <alignment horizontal="center" vertical="center"/>
    </xf>
    <xf numFmtId="0" fontId="20" fillId="2" borderId="54" xfId="0" applyFont="1" applyFill="1" applyBorder="1" applyAlignment="1">
      <alignment horizontal="center" vertical="center"/>
    </xf>
    <xf numFmtId="0" fontId="20" fillId="2" borderId="207" xfId="0" applyFont="1" applyFill="1" applyBorder="1" applyAlignment="1">
      <alignment horizontal="center" vertical="center"/>
    </xf>
    <xf numFmtId="0" fontId="105" fillId="2" borderId="138" xfId="0" applyFont="1" applyFill="1" applyBorder="1" applyAlignment="1">
      <alignment horizontal="center"/>
    </xf>
    <xf numFmtId="0" fontId="105" fillId="2" borderId="139" xfId="0" applyFont="1" applyFill="1" applyBorder="1" applyAlignment="1">
      <alignment horizontal="center"/>
    </xf>
    <xf numFmtId="0" fontId="105" fillId="2" borderId="140" xfId="0" applyFont="1" applyFill="1" applyBorder="1" applyAlignment="1">
      <alignment horizontal="center"/>
    </xf>
    <xf numFmtId="0" fontId="23" fillId="2" borderId="31" xfId="0" applyFont="1" applyFill="1" applyBorder="1" applyAlignment="1">
      <alignment horizontal="right" vertical="center" wrapText="1"/>
    </xf>
    <xf numFmtId="0" fontId="23" fillId="2" borderId="32" xfId="0" applyFont="1" applyFill="1" applyBorder="1" applyAlignment="1">
      <alignment horizontal="right" vertical="center" wrapText="1"/>
    </xf>
    <xf numFmtId="0" fontId="23" fillId="2" borderId="33" xfId="0" applyFont="1" applyFill="1" applyBorder="1" applyAlignment="1">
      <alignment horizontal="right" vertical="center" wrapText="1"/>
    </xf>
    <xf numFmtId="0" fontId="23" fillId="2" borderId="26" xfId="0" applyFont="1" applyFill="1" applyBorder="1" applyAlignment="1">
      <alignment horizontal="right" vertical="center" wrapText="1"/>
    </xf>
    <xf numFmtId="0" fontId="23" fillId="2" borderId="36" xfId="0" applyFont="1" applyFill="1" applyBorder="1" applyAlignment="1">
      <alignment horizontal="right" vertical="center" wrapText="1"/>
    </xf>
    <xf numFmtId="0" fontId="23" fillId="2" borderId="27" xfId="0" applyFont="1" applyFill="1" applyBorder="1" applyAlignment="1">
      <alignment horizontal="right" vertical="center" wrapText="1"/>
    </xf>
    <xf numFmtId="0" fontId="23" fillId="2" borderId="16" xfId="0" applyFont="1" applyFill="1" applyBorder="1" applyAlignment="1">
      <alignment horizontal="center" vertical="center" wrapText="1"/>
    </xf>
    <xf numFmtId="0" fontId="23" fillId="2" borderId="28" xfId="0" applyFont="1" applyFill="1" applyBorder="1" applyAlignment="1">
      <alignment horizontal="center" vertical="center" wrapText="1"/>
    </xf>
    <xf numFmtId="2" fontId="23" fillId="2" borderId="143" xfId="0" applyNumberFormat="1" applyFont="1" applyFill="1" applyBorder="1" applyAlignment="1">
      <alignment horizontal="center" vertical="center" wrapText="1"/>
    </xf>
    <xf numFmtId="2" fontId="23" fillId="2" borderId="147" xfId="0" applyNumberFormat="1" applyFont="1" applyFill="1" applyBorder="1" applyAlignment="1">
      <alignment horizontal="center" vertical="center" wrapText="1"/>
    </xf>
    <xf numFmtId="0" fontId="23" fillId="2" borderId="37" xfId="0" applyFont="1" applyFill="1" applyBorder="1" applyAlignment="1">
      <alignment horizontal="right" vertical="center" wrapText="1"/>
    </xf>
    <xf numFmtId="0" fontId="23" fillId="2" borderId="35" xfId="0" applyFont="1" applyFill="1" applyBorder="1" applyAlignment="1">
      <alignment horizontal="right" vertical="center" wrapText="1"/>
    </xf>
    <xf numFmtId="0" fontId="23" fillId="2" borderId="29" xfId="0" applyFont="1" applyFill="1" applyBorder="1" applyAlignment="1">
      <alignment horizontal="right" vertical="center" wrapText="1"/>
    </xf>
    <xf numFmtId="0" fontId="23" fillId="2" borderId="34" xfId="0" applyFont="1" applyFill="1" applyBorder="1" applyAlignment="1">
      <alignment horizontal="center" vertical="center" wrapText="1"/>
    </xf>
    <xf numFmtId="2" fontId="23" fillId="2" borderId="145" xfId="0" applyNumberFormat="1" applyFont="1" applyFill="1" applyBorder="1" applyAlignment="1">
      <alignment horizontal="center" vertical="center" wrapText="1"/>
    </xf>
    <xf numFmtId="0" fontId="4" fillId="2" borderId="1" xfId="0" applyFont="1" applyFill="1" applyBorder="1" applyAlignment="1">
      <alignment horizontal="right" vertical="center" wrapText="1"/>
    </xf>
    <xf numFmtId="0" fontId="4" fillId="2" borderId="11" xfId="0" applyFont="1" applyFill="1" applyBorder="1" applyAlignment="1">
      <alignment horizontal="center" vertical="center" wrapText="1"/>
    </xf>
    <xf numFmtId="0" fontId="5" fillId="0" borderId="12" xfId="0" applyFont="1" applyBorder="1"/>
    <xf numFmtId="2" fontId="4" fillId="2" borderId="11" xfId="0" applyNumberFormat="1" applyFont="1" applyFill="1" applyBorder="1" applyAlignment="1">
      <alignment horizontal="center" vertical="center" wrapText="1"/>
    </xf>
    <xf numFmtId="0" fontId="4" fillId="2" borderId="4" xfId="0" applyFont="1" applyFill="1" applyBorder="1" applyAlignment="1">
      <alignment horizontal="right" vertical="center" wrapText="1"/>
    </xf>
    <xf numFmtId="0" fontId="4" fillId="2" borderId="11" xfId="0" applyFont="1" applyFill="1" applyBorder="1" applyAlignment="1">
      <alignment horizontal="center" textRotation="90"/>
    </xf>
    <xf numFmtId="0" fontId="5" fillId="0" borderId="34" xfId="0" applyFont="1" applyBorder="1"/>
    <xf numFmtId="0" fontId="4" fillId="2" borderId="1" xfId="0" applyFont="1" applyFill="1" applyBorder="1" applyAlignment="1">
      <alignment horizontal="center" vertical="center"/>
    </xf>
    <xf numFmtId="2" fontId="4" fillId="2" borderId="11" xfId="0" applyNumberFormat="1" applyFont="1" applyFill="1" applyBorder="1" applyAlignment="1">
      <alignment horizontal="center" vertical="center"/>
    </xf>
    <xf numFmtId="0" fontId="4" fillId="2" borderId="14" xfId="0" applyFont="1" applyFill="1" applyBorder="1" applyAlignment="1">
      <alignment horizontal="right" vertical="center" wrapText="1"/>
    </xf>
    <xf numFmtId="0" fontId="4" fillId="2" borderId="23" xfId="0" applyFont="1" applyFill="1" applyBorder="1" applyAlignment="1">
      <alignment horizontal="center" textRotation="90"/>
    </xf>
    <xf numFmtId="0" fontId="5" fillId="0" borderId="24" xfId="0" applyFont="1" applyBorder="1"/>
    <xf numFmtId="0" fontId="14" fillId="2" borderId="32" xfId="0" applyFont="1" applyFill="1" applyBorder="1" applyAlignment="1">
      <alignment horizontal="center" vertical="center" wrapText="1"/>
    </xf>
    <xf numFmtId="0" fontId="105" fillId="2" borderId="16" xfId="0" applyFont="1" applyFill="1" applyBorder="1" applyAlignment="1">
      <alignment horizontal="center" textRotation="90"/>
    </xf>
    <xf numFmtId="0" fontId="105" fillId="2" borderId="34" xfId="0" applyFont="1" applyFill="1" applyBorder="1" applyAlignment="1">
      <alignment horizontal="center" textRotation="90"/>
    </xf>
    <xf numFmtId="0" fontId="105" fillId="2" borderId="28" xfId="0" applyFont="1" applyFill="1" applyBorder="1" applyAlignment="1">
      <alignment horizontal="center" textRotation="90"/>
    </xf>
    <xf numFmtId="0" fontId="105" fillId="2" borderId="143" xfId="0" applyFont="1" applyFill="1" applyBorder="1" applyAlignment="1">
      <alignment horizontal="center" textRotation="90"/>
    </xf>
    <xf numFmtId="0" fontId="105" fillId="2" borderId="145" xfId="0" applyFont="1" applyFill="1" applyBorder="1" applyAlignment="1">
      <alignment horizontal="center" textRotation="90"/>
    </xf>
    <xf numFmtId="0" fontId="105" fillId="2" borderId="147" xfId="0" applyFont="1" applyFill="1" applyBorder="1" applyAlignment="1">
      <alignment horizontal="center" textRotation="90"/>
    </xf>
    <xf numFmtId="0" fontId="105" fillId="2" borderId="214" xfId="0" applyFont="1" applyFill="1" applyBorder="1" applyAlignment="1">
      <alignment horizontal="center" textRotation="90"/>
    </xf>
    <xf numFmtId="0" fontId="105" fillId="2" borderId="124" xfId="0" applyFont="1" applyFill="1" applyBorder="1" applyAlignment="1">
      <alignment horizontal="center" textRotation="90"/>
    </xf>
    <xf numFmtId="0" fontId="105" fillId="2" borderId="219" xfId="0" applyFont="1" applyFill="1" applyBorder="1" applyAlignment="1">
      <alignment horizontal="center" textRotation="90"/>
    </xf>
    <xf numFmtId="0" fontId="105" fillId="2" borderId="215" xfId="0" applyFont="1" applyFill="1" applyBorder="1" applyAlignment="1">
      <alignment horizontal="center" textRotation="90"/>
    </xf>
    <xf numFmtId="0" fontId="105" fillId="2" borderId="217" xfId="0" applyFont="1" applyFill="1" applyBorder="1" applyAlignment="1">
      <alignment horizontal="center" textRotation="90"/>
    </xf>
    <xf numFmtId="0" fontId="105" fillId="2" borderId="220" xfId="0" applyFont="1" applyFill="1" applyBorder="1" applyAlignment="1">
      <alignment horizontal="center" textRotation="90"/>
    </xf>
    <xf numFmtId="0" fontId="105" fillId="2" borderId="142" xfId="0" applyFont="1" applyFill="1" applyBorder="1" applyAlignment="1">
      <alignment horizontal="center" textRotation="90"/>
    </xf>
    <xf numFmtId="0" fontId="105" fillId="2" borderId="144" xfId="0" applyFont="1" applyFill="1" applyBorder="1" applyAlignment="1">
      <alignment horizontal="center" textRotation="90"/>
    </xf>
    <xf numFmtId="0" fontId="105" fillId="2" borderId="146" xfId="0" applyFont="1" applyFill="1" applyBorder="1" applyAlignment="1">
      <alignment horizontal="center" textRotation="90"/>
    </xf>
    <xf numFmtId="0" fontId="105" fillId="14" borderId="160" xfId="0" applyFont="1" applyFill="1" applyBorder="1" applyAlignment="1">
      <alignment horizontal="center" vertical="center" textRotation="90"/>
    </xf>
    <xf numFmtId="0" fontId="105" fillId="14" borderId="161" xfId="0" applyFont="1" applyFill="1" applyBorder="1" applyAlignment="1">
      <alignment horizontal="center" vertical="center" textRotation="90"/>
    </xf>
    <xf numFmtId="0" fontId="105" fillId="14" borderId="159" xfId="0" applyFont="1" applyFill="1" applyBorder="1" applyAlignment="1">
      <alignment horizontal="center" vertical="center" textRotation="90"/>
    </xf>
    <xf numFmtId="0" fontId="14" fillId="2" borderId="20" xfId="0" applyFont="1" applyFill="1" applyBorder="1" applyAlignment="1">
      <alignment horizontal="right" vertical="center" wrapText="1"/>
    </xf>
    <xf numFmtId="0" fontId="14" fillId="2" borderId="30" xfId="0" applyFont="1" applyFill="1" applyBorder="1" applyAlignment="1">
      <alignment horizontal="right" vertical="center" wrapText="1"/>
    </xf>
    <xf numFmtId="0" fontId="105" fillId="2" borderId="216" xfId="0" applyFont="1" applyFill="1" applyBorder="1" applyAlignment="1">
      <alignment horizontal="center" textRotation="90"/>
    </xf>
    <xf numFmtId="0" fontId="105" fillId="2" borderId="218" xfId="0" applyFont="1" applyFill="1" applyBorder="1" applyAlignment="1">
      <alignment horizontal="center" textRotation="90"/>
    </xf>
    <xf numFmtId="0" fontId="105" fillId="2" borderId="221" xfId="0" applyFont="1" applyFill="1" applyBorder="1" applyAlignment="1">
      <alignment horizontal="center" textRotation="90"/>
    </xf>
    <xf numFmtId="0" fontId="105" fillId="2" borderId="31" xfId="0" applyFont="1" applyFill="1" applyBorder="1" applyAlignment="1">
      <alignment horizontal="center" vertical="center"/>
    </xf>
    <xf numFmtId="0" fontId="105" fillId="2" borderId="32" xfId="0" applyFont="1" applyFill="1" applyBorder="1" applyAlignment="1">
      <alignment horizontal="center" vertical="center"/>
    </xf>
    <xf numFmtId="0" fontId="105" fillId="2" borderId="33" xfId="0" applyFont="1" applyFill="1" applyBorder="1" applyAlignment="1">
      <alignment horizontal="center" vertical="center"/>
    </xf>
    <xf numFmtId="0" fontId="105" fillId="2" borderId="37" xfId="0" applyFont="1" applyFill="1" applyBorder="1" applyAlignment="1">
      <alignment horizontal="center" vertical="center"/>
    </xf>
    <xf numFmtId="0" fontId="105" fillId="2" borderId="35" xfId="0" applyFont="1" applyFill="1" applyBorder="1" applyAlignment="1">
      <alignment horizontal="center" vertical="center"/>
    </xf>
    <xf numFmtId="0" fontId="105" fillId="2" borderId="29" xfId="0" applyFont="1" applyFill="1" applyBorder="1" applyAlignment="1">
      <alignment horizontal="center" vertical="center"/>
    </xf>
    <xf numFmtId="0" fontId="105" fillId="2" borderId="26" xfId="0" applyFont="1" applyFill="1" applyBorder="1" applyAlignment="1">
      <alignment horizontal="center" vertical="center"/>
    </xf>
    <xf numFmtId="0" fontId="105" fillId="2" borderId="36" xfId="0" applyFont="1" applyFill="1" applyBorder="1" applyAlignment="1">
      <alignment horizontal="center" vertical="center"/>
    </xf>
    <xf numFmtId="0" fontId="105" fillId="2" borderId="27" xfId="0" applyFont="1" applyFill="1" applyBorder="1" applyAlignment="1">
      <alignment horizontal="center" vertical="center"/>
    </xf>
    <xf numFmtId="0" fontId="105" fillId="2" borderId="16" xfId="0" applyFont="1" applyFill="1" applyBorder="1" applyAlignment="1">
      <alignment horizontal="center" vertical="center" wrapText="1"/>
    </xf>
    <xf numFmtId="0" fontId="105" fillId="2" borderId="34" xfId="0" applyFont="1" applyFill="1" applyBorder="1" applyAlignment="1">
      <alignment horizontal="center" vertical="center" wrapText="1"/>
    </xf>
    <xf numFmtId="0" fontId="105" fillId="2" borderId="28" xfId="0" applyFont="1" applyFill="1" applyBorder="1" applyAlignment="1">
      <alignment horizontal="center" vertical="center" wrapText="1"/>
    </xf>
    <xf numFmtId="2" fontId="105" fillId="2" borderId="143" xfId="0" applyNumberFormat="1" applyFont="1" applyFill="1" applyBorder="1" applyAlignment="1">
      <alignment horizontal="center" vertical="center"/>
    </xf>
    <xf numFmtId="2" fontId="105" fillId="2" borderId="145" xfId="0" applyNumberFormat="1" applyFont="1" applyFill="1" applyBorder="1" applyAlignment="1">
      <alignment horizontal="center" vertical="center"/>
    </xf>
    <xf numFmtId="2" fontId="105" fillId="2" borderId="147" xfId="0" applyNumberFormat="1" applyFont="1" applyFill="1" applyBorder="1" applyAlignment="1">
      <alignment horizontal="center" vertical="center"/>
    </xf>
    <xf numFmtId="0" fontId="23" fillId="2" borderId="18" xfId="0" applyFont="1" applyFill="1" applyBorder="1" applyAlignment="1">
      <alignment horizontal="right" vertical="center" wrapText="1"/>
    </xf>
    <xf numFmtId="0" fontId="23" fillId="2" borderId="20" xfId="0" applyFont="1" applyFill="1" applyBorder="1" applyAlignment="1">
      <alignment horizontal="right" vertical="center" wrapText="1"/>
    </xf>
    <xf numFmtId="0" fontId="23" fillId="2" borderId="30" xfId="0" applyFont="1" applyFill="1" applyBorder="1" applyAlignment="1">
      <alignment horizontal="right" vertical="center" wrapText="1"/>
    </xf>
    <xf numFmtId="2" fontId="23" fillId="2" borderId="28" xfId="0" applyNumberFormat="1" applyFont="1" applyFill="1" applyBorder="1" applyAlignment="1">
      <alignment horizontal="center" vertical="center" wrapText="1"/>
    </xf>
    <xf numFmtId="0" fontId="103" fillId="0" borderId="171" xfId="0" applyFont="1" applyBorder="1" applyAlignment="1">
      <alignment horizontal="center" vertical="center"/>
    </xf>
    <xf numFmtId="0" fontId="104" fillId="0" borderId="35" xfId="0" applyFont="1" applyBorder="1" applyAlignment="1">
      <alignment horizontal="center" vertical="center"/>
    </xf>
    <xf numFmtId="0" fontId="103" fillId="0" borderId="35" xfId="0" applyFont="1" applyBorder="1" applyAlignment="1">
      <alignment horizontal="center" vertical="center"/>
    </xf>
    <xf numFmtId="0" fontId="44" fillId="0" borderId="62" xfId="6" applyFont="1" applyBorder="1" applyAlignment="1">
      <alignment horizontal="center" vertical="center"/>
    </xf>
    <xf numFmtId="0" fontId="44" fillId="0" borderId="113" xfId="6" applyFont="1" applyBorder="1" applyAlignment="1">
      <alignment horizontal="center" vertical="center"/>
    </xf>
    <xf numFmtId="0" fontId="44" fillId="0" borderId="61" xfId="6" applyFont="1" applyBorder="1" applyAlignment="1">
      <alignment horizontal="center" vertical="center"/>
    </xf>
    <xf numFmtId="0" fontId="44" fillId="0" borderId="115" xfId="6" applyFont="1" applyBorder="1" applyAlignment="1">
      <alignment horizontal="center" vertical="center"/>
    </xf>
    <xf numFmtId="0" fontId="44" fillId="0" borderId="128" xfId="6" applyFont="1" applyBorder="1" applyAlignment="1">
      <alignment horizontal="left" vertical="center"/>
    </xf>
    <xf numFmtId="0" fontId="44" fillId="0" borderId="113" xfId="6" applyFont="1" applyBorder="1" applyAlignment="1">
      <alignment horizontal="left" vertical="center"/>
    </xf>
    <xf numFmtId="0" fontId="44" fillId="0" borderId="115" xfId="6" applyFont="1" applyBorder="1" applyAlignment="1">
      <alignment horizontal="left" vertical="center"/>
    </xf>
    <xf numFmtId="0" fontId="42" fillId="0" borderId="127" xfId="6" applyFont="1" applyBorder="1" applyAlignment="1">
      <alignment horizontal="center" vertical="center"/>
    </xf>
    <xf numFmtId="0" fontId="42" fillId="0" borderId="124" xfId="6" applyFont="1" applyBorder="1" applyAlignment="1">
      <alignment horizontal="center" vertical="center"/>
    </xf>
    <xf numFmtId="0" fontId="42" fillId="0" borderId="48" xfId="6" applyFont="1" applyBorder="1" applyAlignment="1">
      <alignment horizontal="center" vertical="center"/>
    </xf>
    <xf numFmtId="0" fontId="42" fillId="0" borderId="49" xfId="6" applyFont="1" applyBorder="1" applyAlignment="1">
      <alignment horizontal="center" vertical="center"/>
    </xf>
    <xf numFmtId="0" fontId="42" fillId="0" borderId="126" xfId="6" applyFont="1" applyBorder="1" applyAlignment="1">
      <alignment horizontal="left" vertical="center"/>
    </xf>
    <xf numFmtId="0" fontId="42" fillId="0" borderId="120" xfId="6" applyFont="1" applyBorder="1" applyAlignment="1">
      <alignment horizontal="left" vertical="center"/>
    </xf>
    <xf numFmtId="0" fontId="42" fillId="0" borderId="119" xfId="6" applyFont="1" applyBorder="1" applyAlignment="1">
      <alignment horizontal="left" vertical="center"/>
    </xf>
    <xf numFmtId="0" fontId="42" fillId="0" borderId="130" xfId="6" applyFont="1" applyBorder="1" applyAlignment="1">
      <alignment horizontal="center" vertical="center"/>
    </xf>
    <xf numFmtId="0" fontId="42" fillId="0" borderId="42" xfId="6" applyFont="1" applyBorder="1" applyAlignment="1">
      <alignment horizontal="left" vertical="center"/>
    </xf>
    <xf numFmtId="0" fontId="42" fillId="0" borderId="131" xfId="6" applyFont="1" applyBorder="1" applyAlignment="1">
      <alignment horizontal="left" vertical="center"/>
    </xf>
    <xf numFmtId="0" fontId="42" fillId="0" borderId="43" xfId="6" applyFont="1" applyBorder="1" applyAlignment="1">
      <alignment horizontal="left" vertical="center"/>
    </xf>
    <xf numFmtId="0" fontId="42" fillId="0" borderId="129" xfId="6" applyFont="1" applyBorder="1" applyAlignment="1">
      <alignment horizontal="left" vertical="center"/>
    </xf>
    <xf numFmtId="0" fontId="42" fillId="0" borderId="117" xfId="6" applyFont="1" applyBorder="1" applyAlignment="1">
      <alignment horizontal="left" vertical="center"/>
    </xf>
    <xf numFmtId="0" fontId="42" fillId="0" borderId="116" xfId="6" applyFont="1" applyBorder="1" applyAlignment="1">
      <alignment horizontal="left" vertical="center"/>
    </xf>
    <xf numFmtId="9" fontId="44" fillId="0" borderId="62" xfId="6" quotePrefix="1" applyNumberFormat="1" applyFont="1" applyBorder="1" applyAlignment="1">
      <alignment horizontal="right" vertical="center"/>
    </xf>
    <xf numFmtId="9" fontId="44" fillId="0" borderId="113" xfId="6" quotePrefix="1" applyNumberFormat="1" applyFont="1" applyBorder="1" applyAlignment="1">
      <alignment horizontal="right" vertical="center"/>
    </xf>
    <xf numFmtId="9" fontId="44" fillId="0" borderId="115" xfId="6" quotePrefix="1" applyNumberFormat="1" applyFont="1" applyBorder="1" applyAlignment="1">
      <alignment horizontal="right" vertical="center"/>
    </xf>
    <xf numFmtId="0" fontId="42" fillId="0" borderId="50" xfId="6" applyFont="1" applyBorder="1" applyAlignment="1">
      <alignment horizontal="left" vertical="center"/>
    </xf>
    <xf numFmtId="0" fontId="42" fillId="0" borderId="51" xfId="6" applyFont="1" applyBorder="1" applyAlignment="1">
      <alignment horizontal="left" vertical="center"/>
    </xf>
    <xf numFmtId="0" fontId="42" fillId="0" borderId="123" xfId="6" applyFont="1" applyBorder="1" applyAlignment="1">
      <alignment horizontal="left" vertical="center"/>
    </xf>
    <xf numFmtId="0" fontId="42" fillId="0" borderId="121" xfId="6" applyFont="1" applyBorder="1" applyAlignment="1">
      <alignment horizontal="left" vertical="center"/>
    </xf>
    <xf numFmtId="0" fontId="42" fillId="0" borderId="118" xfId="6" applyFont="1" applyBorder="1" applyAlignment="1">
      <alignment horizontal="left" vertical="center"/>
    </xf>
    <xf numFmtId="0" fontId="44" fillId="0" borderId="121" xfId="6" applyFont="1" applyBorder="1" applyAlignment="1">
      <alignment horizontal="left" vertical="center"/>
    </xf>
    <xf numFmtId="0" fontId="44" fillId="0" borderId="120" xfId="6" applyFont="1" applyBorder="1" applyAlignment="1">
      <alignment horizontal="left" vertical="center"/>
    </xf>
    <xf numFmtId="0" fontId="44" fillId="0" borderId="119" xfId="6" applyFont="1" applyBorder="1" applyAlignment="1">
      <alignment horizontal="left" vertical="center"/>
    </xf>
    <xf numFmtId="0" fontId="44" fillId="0" borderId="118" xfId="6" applyFont="1" applyBorder="1" applyAlignment="1">
      <alignment horizontal="left" vertical="center"/>
    </xf>
    <xf numFmtId="0" fontId="44" fillId="0" borderId="117" xfId="6" applyFont="1" applyBorder="1" applyAlignment="1">
      <alignment horizontal="left" vertical="center"/>
    </xf>
    <xf numFmtId="0" fontId="44" fillId="0" borderId="116" xfId="6" applyFont="1" applyBorder="1" applyAlignment="1">
      <alignment horizontal="left" vertical="center"/>
    </xf>
    <xf numFmtId="0" fontId="42" fillId="0" borderId="118" xfId="6" applyFont="1" applyBorder="1" applyAlignment="1">
      <alignment horizontal="center" vertical="center"/>
    </xf>
    <xf numFmtId="0" fontId="42" fillId="0" borderId="117" xfId="6" applyFont="1" applyBorder="1" applyAlignment="1">
      <alignment horizontal="center" vertical="center"/>
    </xf>
    <xf numFmtId="0" fontId="42" fillId="0" borderId="116" xfId="6" applyFont="1" applyBorder="1" applyAlignment="1">
      <alignment horizontal="center" vertical="center"/>
    </xf>
    <xf numFmtId="0" fontId="42" fillId="0" borderId="121" xfId="6" applyFont="1" applyBorder="1" applyAlignment="1">
      <alignment horizontal="center" vertical="center"/>
    </xf>
    <xf numFmtId="0" fontId="42" fillId="0" borderId="120" xfId="6" applyFont="1" applyBorder="1" applyAlignment="1">
      <alignment horizontal="center" vertical="center"/>
    </xf>
    <xf numFmtId="0" fontId="42" fillId="0" borderId="119" xfId="6" applyFont="1" applyBorder="1" applyAlignment="1">
      <alignment horizontal="center" vertical="center"/>
    </xf>
    <xf numFmtId="0" fontId="42" fillId="0" borderId="132" xfId="6" applyFont="1" applyBorder="1" applyAlignment="1">
      <alignment horizontal="center" vertical="center"/>
    </xf>
    <xf numFmtId="0" fontId="42" fillId="0" borderId="131" xfId="6" applyFont="1" applyBorder="1" applyAlignment="1">
      <alignment horizontal="center" vertical="center"/>
    </xf>
    <xf numFmtId="0" fontId="42" fillId="0" borderId="43" xfId="6" applyFont="1" applyBorder="1" applyAlignment="1">
      <alignment horizontal="center" vertical="center"/>
    </xf>
    <xf numFmtId="0" fontId="44" fillId="12" borderId="62" xfId="6" applyFont="1" applyFill="1" applyBorder="1" applyAlignment="1">
      <alignment horizontal="left" vertical="center"/>
    </xf>
    <xf numFmtId="0" fontId="44" fillId="12" borderId="113" xfId="6" applyFont="1" applyFill="1" applyBorder="1" applyAlignment="1">
      <alignment horizontal="left" vertical="center"/>
    </xf>
    <xf numFmtId="0" fontId="44" fillId="12" borderId="61" xfId="6" applyFont="1" applyFill="1" applyBorder="1" applyAlignment="1">
      <alignment horizontal="left" vertical="center"/>
    </xf>
    <xf numFmtId="183" fontId="56" fillId="0" borderId="86" xfId="4" applyNumberFormat="1" applyFont="1" applyBorder="1" applyAlignment="1">
      <alignment horizontal="center"/>
    </xf>
    <xf numFmtId="0" fontId="24" fillId="0" borderId="85" xfId="4" applyFont="1" applyBorder="1"/>
    <xf numFmtId="164" fontId="56" fillId="4" borderId="82" xfId="5" applyFont="1" applyFill="1" applyBorder="1" applyAlignment="1">
      <alignment horizontal="right"/>
    </xf>
    <xf numFmtId="164" fontId="24" fillId="0" borderId="81" xfId="5" applyFont="1" applyBorder="1"/>
    <xf numFmtId="181" fontId="56" fillId="4" borderId="77" xfId="4" applyNumberFormat="1" applyFont="1" applyFill="1" applyBorder="1" applyAlignment="1">
      <alignment horizontal="right"/>
    </xf>
    <xf numFmtId="0" fontId="24" fillId="0" borderId="76" xfId="4" applyFont="1" applyBorder="1"/>
    <xf numFmtId="181" fontId="56" fillId="4" borderId="72" xfId="4" applyNumberFormat="1" applyFont="1" applyFill="1" applyBorder="1" applyAlignment="1">
      <alignment horizontal="right"/>
    </xf>
    <xf numFmtId="0" fontId="24" fillId="0" borderId="71" xfId="4" applyFont="1" applyBorder="1"/>
    <xf numFmtId="183" fontId="13" fillId="0" borderId="86" xfId="4" applyNumberFormat="1" applyFont="1" applyBorder="1" applyAlignment="1">
      <alignment horizontal="center"/>
    </xf>
    <xf numFmtId="164" fontId="61" fillId="0" borderId="78" xfId="5" applyFont="1" applyBorder="1" applyAlignment="1">
      <alignment horizontal="center"/>
    </xf>
    <xf numFmtId="164" fontId="61" fillId="0" borderId="81" xfId="5" applyFont="1" applyBorder="1" applyAlignment="1">
      <alignment horizontal="center"/>
    </xf>
    <xf numFmtId="181" fontId="56" fillId="4" borderId="82" xfId="4" applyNumberFormat="1" applyFont="1" applyFill="1" applyBorder="1" applyAlignment="1">
      <alignment horizontal="right"/>
    </xf>
    <xf numFmtId="0" fontId="24" fillId="0" borderId="81" xfId="4" applyFont="1" applyBorder="1"/>
    <xf numFmtId="0" fontId="44" fillId="0" borderId="132" xfId="6" applyFont="1" applyBorder="1" applyAlignment="1">
      <alignment horizontal="center" vertical="center"/>
    </xf>
    <xf numFmtId="0" fontId="44" fillId="0" borderId="131" xfId="6" applyFont="1" applyBorder="1" applyAlignment="1">
      <alignment horizontal="center" vertical="center"/>
    </xf>
    <xf numFmtId="0" fontId="44" fillId="0" borderId="43" xfId="6" applyFont="1" applyBorder="1" applyAlignment="1">
      <alignment horizontal="center" vertical="center"/>
    </xf>
    <xf numFmtId="0" fontId="57" fillId="0" borderId="60" xfId="4" applyFont="1" applyBorder="1" applyAlignment="1">
      <alignment horizontal="center" vertical="center"/>
    </xf>
    <xf numFmtId="0" fontId="24" fillId="0" borderId="40" xfId="4" applyFont="1" applyBorder="1"/>
    <xf numFmtId="0" fontId="24" fillId="0" borderId="59" xfId="4" applyFont="1" applyBorder="1"/>
    <xf numFmtId="186" fontId="56" fillId="4" borderId="98" xfId="4" applyNumberFormat="1" applyFont="1" applyFill="1" applyBorder="1" applyAlignment="1">
      <alignment horizontal="left" vertical="top" wrapText="1"/>
    </xf>
    <xf numFmtId="0" fontId="24" fillId="0" borderId="97" xfId="4" applyFont="1" applyBorder="1" applyAlignment="1">
      <alignment wrapText="1"/>
    </xf>
    <xf numFmtId="0" fontId="24" fillId="0" borderId="96" xfId="4" applyFont="1" applyBorder="1" applyAlignment="1">
      <alignment wrapText="1"/>
    </xf>
    <xf numFmtId="3" fontId="57" fillId="4" borderId="40" xfId="4" applyNumberFormat="1" applyFont="1" applyFill="1" applyBorder="1" applyAlignment="1">
      <alignment horizontal="center"/>
    </xf>
    <xf numFmtId="3" fontId="57" fillId="4" borderId="59" xfId="4" applyNumberFormat="1" applyFont="1" applyFill="1" applyBorder="1" applyAlignment="1">
      <alignment horizontal="center"/>
    </xf>
    <xf numFmtId="3" fontId="57" fillId="4" borderId="35" xfId="4" applyNumberFormat="1" applyFont="1" applyFill="1" applyAlignment="1">
      <alignment horizontal="center"/>
    </xf>
    <xf numFmtId="3" fontId="57" fillId="4" borderId="58" xfId="4" applyNumberFormat="1" applyFont="1" applyFill="1" applyBorder="1" applyAlignment="1">
      <alignment horizontal="center"/>
    </xf>
    <xf numFmtId="186" fontId="56" fillId="4" borderId="222" xfId="4" applyNumberFormat="1" applyFont="1" applyFill="1" applyBorder="1" applyAlignment="1">
      <alignment horizontal="left" vertical="top" wrapText="1"/>
    </xf>
    <xf numFmtId="0" fontId="24" fillId="0" borderId="223" xfId="4" applyFont="1" applyBorder="1" applyAlignment="1">
      <alignment wrapText="1"/>
    </xf>
    <xf numFmtId="0" fontId="24" fillId="0" borderId="224" xfId="4" applyFont="1" applyBorder="1" applyAlignment="1">
      <alignment wrapText="1"/>
    </xf>
    <xf numFmtId="0" fontId="57" fillId="0" borderId="40" xfId="4" applyFont="1" applyBorder="1" applyAlignment="1">
      <alignment horizontal="center" vertical="center"/>
    </xf>
    <xf numFmtId="186" fontId="13" fillId="4" borderId="98" xfId="4" applyNumberFormat="1" applyFont="1" applyFill="1" applyBorder="1" applyAlignment="1">
      <alignment horizontal="left" vertical="top" wrapText="1"/>
    </xf>
    <xf numFmtId="0" fontId="24" fillId="0" borderId="97" xfId="4" applyFont="1" applyBorder="1"/>
    <xf numFmtId="0" fontId="24" fillId="0" borderId="96" xfId="4" applyFont="1" applyBorder="1"/>
    <xf numFmtId="181" fontId="56" fillId="4" borderId="82" xfId="4" quotePrefix="1" applyNumberFormat="1" applyFont="1" applyFill="1" applyBorder="1" applyAlignment="1">
      <alignment horizontal="right"/>
    </xf>
    <xf numFmtId="3" fontId="57" fillId="0" borderId="35" xfId="4" applyNumberFormat="1" applyFont="1" applyAlignment="1">
      <alignment horizontal="center"/>
    </xf>
    <xf numFmtId="3" fontId="57" fillId="0" borderId="173" xfId="4" applyNumberFormat="1" applyFont="1" applyBorder="1" applyAlignment="1">
      <alignment horizontal="center"/>
    </xf>
    <xf numFmtId="3" fontId="57" fillId="0" borderId="171" xfId="4" applyNumberFormat="1" applyFont="1" applyBorder="1" applyAlignment="1">
      <alignment horizontal="center"/>
    </xf>
    <xf numFmtId="3" fontId="57" fillId="0" borderId="172" xfId="4" applyNumberFormat="1" applyFont="1" applyBorder="1" applyAlignment="1">
      <alignment horizontal="center"/>
    </xf>
    <xf numFmtId="0" fontId="3" fillId="0" borderId="176" xfId="0" applyFont="1" applyBorder="1" applyAlignment="1">
      <alignment horizontal="center" vertical="center" wrapText="1"/>
    </xf>
    <xf numFmtId="0" fontId="112" fillId="0" borderId="171" xfId="0" applyFont="1" applyBorder="1" applyAlignment="1">
      <alignment horizontal="center" vertical="center"/>
    </xf>
    <xf numFmtId="0" fontId="112" fillId="0" borderId="35" xfId="0" applyFont="1" applyBorder="1" applyAlignment="1">
      <alignment horizontal="center" vertical="center"/>
    </xf>
  </cellXfs>
  <cellStyles count="22">
    <cellStyle name="Millares 2" xfId="15" xr:uid="{A0DA32DF-8200-4985-B657-17FF64187B10}"/>
    <cellStyle name="Millares 4 2" xfId="14" xr:uid="{FCD5C08C-285F-469B-8389-E5141BBDB7CA}"/>
    <cellStyle name="Millares_FORMULARIO 4 - M-OFERENTE PPTA ECONOMICA" xfId="21" xr:uid="{41108539-B960-4863-AB2A-75DCA119A869}"/>
    <cellStyle name="Moneda" xfId="2" builtinId="4"/>
    <cellStyle name="Moneda [0] 2" xfId="7" xr:uid="{00000000-0005-0000-0000-000001000000}"/>
    <cellStyle name="Moneda 2" xfId="5" xr:uid="{00000000-0005-0000-0000-000002000000}"/>
    <cellStyle name="Moneda 2 2 2 2 2" xfId="18" xr:uid="{4E58EAB9-E3C2-4C30-9A0A-B61E654611B2}"/>
    <cellStyle name="Moneda 5" xfId="10" xr:uid="{26541C3D-2716-49AB-8145-ABF3B68665BC}"/>
    <cellStyle name="Normal" xfId="0" builtinId="0"/>
    <cellStyle name="Normal 2" xfId="4" xr:uid="{00000000-0005-0000-0000-000004000000}"/>
    <cellStyle name="Normal 2 10 2 2" xfId="16" xr:uid="{C63E1810-788D-4B1C-BF1D-B7BB23C9D5BA}"/>
    <cellStyle name="Normal 2 10 3" xfId="13" xr:uid="{FB41ADC4-FEB5-4B9C-89DB-0BD3CAFC5364}"/>
    <cellStyle name="Normal 2 2" xfId="17" xr:uid="{D958669A-0ABC-49FD-A271-E669287A828F}"/>
    <cellStyle name="Normal 20" xfId="9" xr:uid="{712EAAA3-6717-4B8C-B0E4-3EAEF845B221}"/>
    <cellStyle name="Normal 3" xfId="3" xr:uid="{00000000-0005-0000-0000-000005000000}"/>
    <cellStyle name="Normal 3 11" xfId="12" xr:uid="{2E2752C0-7B9C-48AC-81B2-F80955D0C40F}"/>
    <cellStyle name="Normal 3 2" xfId="6" xr:uid="{00000000-0005-0000-0000-000006000000}"/>
    <cellStyle name="Normal 3 2 2" xfId="19" xr:uid="{A526FF02-DA71-4A99-86B8-E9AB591BC724}"/>
    <cellStyle name="Normal 3 3" xfId="11" xr:uid="{DAD584C5-751F-4AA8-882C-4DB623846727}"/>
    <cellStyle name="Porcentaje" xfId="1" builtinId="5"/>
    <cellStyle name="Porcentaje 2" xfId="8" xr:uid="{00000000-0005-0000-0000-000008000000}"/>
    <cellStyle name="Porcentaje 2 2 2" xfId="20" xr:uid="{9FD0A830-83A5-4A0A-A7E7-A13A570647EF}"/>
  </cellStyles>
  <dxfs count="1417">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bgColor rgb="FF00B050"/>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F2F2F2"/>
          <bgColor rgb="FFF2F2F2"/>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FFC000"/>
          <bgColor rgb="FFFFC000"/>
        </patternFill>
      </fill>
    </dxf>
    <dxf>
      <fill>
        <patternFill patternType="solid">
          <fgColor rgb="FFD8D8D8"/>
          <bgColor rgb="FFD8D8D8"/>
        </patternFill>
      </fill>
    </dxf>
    <dxf>
      <fill>
        <patternFill patternType="solid">
          <fgColor rgb="FFD8D8D8"/>
          <bgColor rgb="FFD8D8D8"/>
        </patternFill>
      </fill>
    </dxf>
    <dxf>
      <fill>
        <patternFill patternType="solid">
          <fgColor rgb="FFFFC000"/>
          <bgColor rgb="FFFFC000"/>
        </patternFill>
      </fill>
    </dxf>
    <dxf>
      <fill>
        <patternFill patternType="solid">
          <fgColor rgb="FFFFC000"/>
          <bgColor rgb="FFFFC000"/>
        </patternFill>
      </fill>
    </dxf>
    <dxf>
      <fill>
        <patternFill patternType="solid">
          <fgColor rgb="FFFFC000"/>
          <bgColor rgb="FFFFC000"/>
        </patternFill>
      </fill>
    </dxf>
    <dxf>
      <fill>
        <patternFill patternType="solid">
          <fgColor rgb="FFFFC000"/>
          <bgColor rgb="FFFFC000"/>
        </patternFill>
      </fill>
    </dxf>
    <dxf>
      <fill>
        <patternFill patternType="solid">
          <fgColor rgb="FFD8D8D8"/>
          <bgColor rgb="FFD8D8D8"/>
        </patternFill>
      </fill>
    </dxf>
    <dxf>
      <font>
        <color rgb="FF006100"/>
      </font>
      <fill>
        <patternFill>
          <bgColor rgb="FFC6EFCE"/>
        </patternFill>
      </fill>
    </dxf>
    <dxf>
      <font>
        <color rgb="FF006100"/>
      </font>
      <fill>
        <patternFill>
          <bgColor rgb="FFC6EFCE"/>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7.jpeg"/></Relationships>
</file>

<file path=xl/drawings/_rels/drawing4.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8.jpeg"/></Relationships>
</file>

<file path=xl/drawings/_rels/drawing5.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9.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8" Type="http://schemas.openxmlformats.org/officeDocument/2006/relationships/image" Target="../media/image17.png"/><Relationship Id="rId13" Type="http://schemas.openxmlformats.org/officeDocument/2006/relationships/image" Target="../media/image22.png"/><Relationship Id="rId18" Type="http://schemas.openxmlformats.org/officeDocument/2006/relationships/image" Target="../media/image27.png"/><Relationship Id="rId26" Type="http://schemas.openxmlformats.org/officeDocument/2006/relationships/image" Target="../media/image35.png"/><Relationship Id="rId3" Type="http://schemas.openxmlformats.org/officeDocument/2006/relationships/image" Target="../media/image12.png"/><Relationship Id="rId21" Type="http://schemas.openxmlformats.org/officeDocument/2006/relationships/image" Target="../media/image30.png"/><Relationship Id="rId7" Type="http://schemas.openxmlformats.org/officeDocument/2006/relationships/image" Target="../media/image16.png"/><Relationship Id="rId12" Type="http://schemas.openxmlformats.org/officeDocument/2006/relationships/image" Target="../media/image21.png"/><Relationship Id="rId17" Type="http://schemas.openxmlformats.org/officeDocument/2006/relationships/image" Target="../media/image26.png"/><Relationship Id="rId25" Type="http://schemas.openxmlformats.org/officeDocument/2006/relationships/image" Target="../media/image34.png"/><Relationship Id="rId2" Type="http://schemas.openxmlformats.org/officeDocument/2006/relationships/image" Target="../media/image11.png"/><Relationship Id="rId16" Type="http://schemas.openxmlformats.org/officeDocument/2006/relationships/image" Target="../media/image25.png"/><Relationship Id="rId20" Type="http://schemas.openxmlformats.org/officeDocument/2006/relationships/image" Target="../media/image29.png"/><Relationship Id="rId29" Type="http://schemas.openxmlformats.org/officeDocument/2006/relationships/image" Target="../media/image6.jpeg"/><Relationship Id="rId1" Type="http://schemas.openxmlformats.org/officeDocument/2006/relationships/image" Target="../media/image10.png"/><Relationship Id="rId6" Type="http://schemas.openxmlformats.org/officeDocument/2006/relationships/image" Target="../media/image15.png"/><Relationship Id="rId11" Type="http://schemas.openxmlformats.org/officeDocument/2006/relationships/image" Target="../media/image20.png"/><Relationship Id="rId24" Type="http://schemas.openxmlformats.org/officeDocument/2006/relationships/image" Target="../media/image33.emf"/><Relationship Id="rId5" Type="http://schemas.openxmlformats.org/officeDocument/2006/relationships/image" Target="../media/image14.png"/><Relationship Id="rId15" Type="http://schemas.openxmlformats.org/officeDocument/2006/relationships/image" Target="../media/image24.png"/><Relationship Id="rId23" Type="http://schemas.openxmlformats.org/officeDocument/2006/relationships/image" Target="../media/image32.emf"/><Relationship Id="rId28" Type="http://schemas.openxmlformats.org/officeDocument/2006/relationships/image" Target="../media/image5.jpeg"/><Relationship Id="rId10" Type="http://schemas.openxmlformats.org/officeDocument/2006/relationships/image" Target="../media/image19.png"/><Relationship Id="rId19" Type="http://schemas.openxmlformats.org/officeDocument/2006/relationships/image" Target="../media/image28.png"/><Relationship Id="rId4" Type="http://schemas.openxmlformats.org/officeDocument/2006/relationships/image" Target="../media/image13.png"/><Relationship Id="rId9" Type="http://schemas.openxmlformats.org/officeDocument/2006/relationships/image" Target="../media/image18.png"/><Relationship Id="rId14" Type="http://schemas.openxmlformats.org/officeDocument/2006/relationships/image" Target="../media/image23.png"/><Relationship Id="rId22" Type="http://schemas.openxmlformats.org/officeDocument/2006/relationships/image" Target="../media/image31.png"/><Relationship Id="rId27" Type="http://schemas.openxmlformats.org/officeDocument/2006/relationships/image" Target="../media/image36.png"/></Relationships>
</file>

<file path=xl/drawings/_rels/drawing1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38.png"/><Relationship Id="rId1" Type="http://schemas.openxmlformats.org/officeDocument/2006/relationships/image" Target="../media/image37.jpeg"/><Relationship Id="rId4" Type="http://schemas.openxmlformats.org/officeDocument/2006/relationships/image" Target="../media/image6.jpeg"/></Relationships>
</file>

<file path=xl/drawings/_rels/drawing16.xml.rels><?xml version="1.0" encoding="UTF-8" standalone="yes"?>
<Relationships xmlns="http://schemas.openxmlformats.org/package/2006/relationships"><Relationship Id="rId13" Type="http://schemas.openxmlformats.org/officeDocument/2006/relationships/image" Target="../media/image51.png"/><Relationship Id="rId18" Type="http://schemas.openxmlformats.org/officeDocument/2006/relationships/image" Target="../media/image56.png"/><Relationship Id="rId26" Type="http://schemas.openxmlformats.org/officeDocument/2006/relationships/image" Target="../media/image64.png"/><Relationship Id="rId39" Type="http://schemas.openxmlformats.org/officeDocument/2006/relationships/image" Target="../media/image77.png"/><Relationship Id="rId21" Type="http://schemas.openxmlformats.org/officeDocument/2006/relationships/image" Target="../media/image59.png"/><Relationship Id="rId34" Type="http://schemas.openxmlformats.org/officeDocument/2006/relationships/image" Target="../media/image72.png"/><Relationship Id="rId42" Type="http://schemas.openxmlformats.org/officeDocument/2006/relationships/image" Target="../media/image80.png"/><Relationship Id="rId47" Type="http://schemas.openxmlformats.org/officeDocument/2006/relationships/image" Target="../media/image85.png"/><Relationship Id="rId50" Type="http://schemas.openxmlformats.org/officeDocument/2006/relationships/image" Target="../media/image88.png"/><Relationship Id="rId7" Type="http://schemas.openxmlformats.org/officeDocument/2006/relationships/image" Target="../media/image45.png"/><Relationship Id="rId2" Type="http://schemas.openxmlformats.org/officeDocument/2006/relationships/image" Target="../media/image40.png"/><Relationship Id="rId16" Type="http://schemas.openxmlformats.org/officeDocument/2006/relationships/image" Target="../media/image54.png"/><Relationship Id="rId29" Type="http://schemas.openxmlformats.org/officeDocument/2006/relationships/image" Target="../media/image67.png"/><Relationship Id="rId11" Type="http://schemas.openxmlformats.org/officeDocument/2006/relationships/image" Target="../media/image49.png"/><Relationship Id="rId24" Type="http://schemas.openxmlformats.org/officeDocument/2006/relationships/image" Target="../media/image62.png"/><Relationship Id="rId32" Type="http://schemas.openxmlformats.org/officeDocument/2006/relationships/image" Target="../media/image70.png"/><Relationship Id="rId37" Type="http://schemas.openxmlformats.org/officeDocument/2006/relationships/image" Target="../media/image75.png"/><Relationship Id="rId40" Type="http://schemas.openxmlformats.org/officeDocument/2006/relationships/image" Target="../media/image78.png"/><Relationship Id="rId45" Type="http://schemas.openxmlformats.org/officeDocument/2006/relationships/image" Target="../media/image83.png"/><Relationship Id="rId5" Type="http://schemas.openxmlformats.org/officeDocument/2006/relationships/image" Target="../media/image43.png"/><Relationship Id="rId15" Type="http://schemas.openxmlformats.org/officeDocument/2006/relationships/image" Target="../media/image53.png"/><Relationship Id="rId23" Type="http://schemas.openxmlformats.org/officeDocument/2006/relationships/image" Target="../media/image61.png"/><Relationship Id="rId28" Type="http://schemas.openxmlformats.org/officeDocument/2006/relationships/image" Target="../media/image66.png"/><Relationship Id="rId36" Type="http://schemas.openxmlformats.org/officeDocument/2006/relationships/image" Target="../media/image74.png"/><Relationship Id="rId49" Type="http://schemas.openxmlformats.org/officeDocument/2006/relationships/image" Target="../media/image87.png"/><Relationship Id="rId10" Type="http://schemas.openxmlformats.org/officeDocument/2006/relationships/image" Target="../media/image48.png"/><Relationship Id="rId19" Type="http://schemas.openxmlformats.org/officeDocument/2006/relationships/image" Target="../media/image57.png"/><Relationship Id="rId31" Type="http://schemas.openxmlformats.org/officeDocument/2006/relationships/image" Target="../media/image69.png"/><Relationship Id="rId44" Type="http://schemas.openxmlformats.org/officeDocument/2006/relationships/image" Target="../media/image82.png"/><Relationship Id="rId52" Type="http://schemas.openxmlformats.org/officeDocument/2006/relationships/image" Target="../media/image38.png"/><Relationship Id="rId4" Type="http://schemas.openxmlformats.org/officeDocument/2006/relationships/image" Target="../media/image42.png"/><Relationship Id="rId9" Type="http://schemas.openxmlformats.org/officeDocument/2006/relationships/image" Target="../media/image47.png"/><Relationship Id="rId14" Type="http://schemas.openxmlformats.org/officeDocument/2006/relationships/image" Target="../media/image52.png"/><Relationship Id="rId22" Type="http://schemas.openxmlformats.org/officeDocument/2006/relationships/image" Target="../media/image60.png"/><Relationship Id="rId27" Type="http://schemas.openxmlformats.org/officeDocument/2006/relationships/image" Target="../media/image65.png"/><Relationship Id="rId30" Type="http://schemas.openxmlformats.org/officeDocument/2006/relationships/image" Target="../media/image68.png"/><Relationship Id="rId35" Type="http://schemas.openxmlformats.org/officeDocument/2006/relationships/image" Target="../media/image73.png"/><Relationship Id="rId43" Type="http://schemas.openxmlformats.org/officeDocument/2006/relationships/image" Target="../media/image81.png"/><Relationship Id="rId48" Type="http://schemas.openxmlformats.org/officeDocument/2006/relationships/image" Target="../media/image86.png"/><Relationship Id="rId8" Type="http://schemas.openxmlformats.org/officeDocument/2006/relationships/image" Target="../media/image46.png"/><Relationship Id="rId51" Type="http://schemas.openxmlformats.org/officeDocument/2006/relationships/image" Target="../media/image37.jpeg"/><Relationship Id="rId3" Type="http://schemas.openxmlformats.org/officeDocument/2006/relationships/image" Target="../media/image41.png"/><Relationship Id="rId12" Type="http://schemas.openxmlformats.org/officeDocument/2006/relationships/image" Target="../media/image50.png"/><Relationship Id="rId17" Type="http://schemas.openxmlformats.org/officeDocument/2006/relationships/image" Target="../media/image55.png"/><Relationship Id="rId25" Type="http://schemas.openxmlformats.org/officeDocument/2006/relationships/image" Target="../media/image63.png"/><Relationship Id="rId33" Type="http://schemas.openxmlformats.org/officeDocument/2006/relationships/image" Target="../media/image71.png"/><Relationship Id="rId38" Type="http://schemas.openxmlformats.org/officeDocument/2006/relationships/image" Target="../media/image76.png"/><Relationship Id="rId46" Type="http://schemas.openxmlformats.org/officeDocument/2006/relationships/image" Target="../media/image84.png"/><Relationship Id="rId20" Type="http://schemas.openxmlformats.org/officeDocument/2006/relationships/image" Target="../media/image58.png"/><Relationship Id="rId41" Type="http://schemas.openxmlformats.org/officeDocument/2006/relationships/image" Target="../media/image79.png"/><Relationship Id="rId1" Type="http://schemas.openxmlformats.org/officeDocument/2006/relationships/image" Target="../media/image39.png"/><Relationship Id="rId6" Type="http://schemas.openxmlformats.org/officeDocument/2006/relationships/image" Target="../media/image44.png"/></Relationships>
</file>

<file path=xl/drawings/_rels/drawing1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37.jpeg"/><Relationship Id="rId1" Type="http://schemas.openxmlformats.org/officeDocument/2006/relationships/image" Target="../media/image89.png"/><Relationship Id="rId4" Type="http://schemas.openxmlformats.org/officeDocument/2006/relationships/image" Target="../media/image6.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19.xml.rels><?xml version="1.0" encoding="UTF-8" standalone="yes"?>
<Relationships xmlns="http://schemas.openxmlformats.org/package/2006/relationships"><Relationship Id="rId2" Type="http://schemas.openxmlformats.org/officeDocument/2006/relationships/image" Target="../media/image37.jpeg"/><Relationship Id="rId1" Type="http://schemas.openxmlformats.org/officeDocument/2006/relationships/image" Target="../media/image38.png"/></Relationships>
</file>

<file path=xl/drawings/_rels/drawing20.xml.rels><?xml version="1.0" encoding="UTF-8" standalone="yes"?>
<Relationships xmlns="http://schemas.openxmlformats.org/package/2006/relationships"><Relationship Id="rId2" Type="http://schemas.openxmlformats.org/officeDocument/2006/relationships/image" Target="../media/image37.jpeg"/><Relationship Id="rId1" Type="http://schemas.openxmlformats.org/officeDocument/2006/relationships/image" Target="../media/image38.png"/></Relationships>
</file>

<file path=xl/drawings/_rels/drawing21.xml.rels><?xml version="1.0" encoding="UTF-8" standalone="yes"?>
<Relationships xmlns="http://schemas.openxmlformats.org/package/2006/relationships"><Relationship Id="rId2" Type="http://schemas.openxmlformats.org/officeDocument/2006/relationships/image" Target="../media/image37.jpeg"/><Relationship Id="rId1" Type="http://schemas.openxmlformats.org/officeDocument/2006/relationships/image" Target="../media/image38.png"/></Relationships>
</file>

<file path=xl/drawings/_rels/drawing22.xml.rels><?xml version="1.0" encoding="UTF-8" standalone="yes"?>
<Relationships xmlns="http://schemas.openxmlformats.org/package/2006/relationships"><Relationship Id="rId1" Type="http://schemas.openxmlformats.org/officeDocument/2006/relationships/image" Target="../media/image90.png"/></Relationships>
</file>

<file path=xl/drawings/_rels/drawing2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91.jpeg"/></Relationships>
</file>

<file path=xl/drawings/drawing1.xml><?xml version="1.0" encoding="utf-8"?>
<xdr:wsDr xmlns:xdr="http://schemas.openxmlformats.org/drawingml/2006/spreadsheetDrawing" xmlns:a="http://schemas.openxmlformats.org/drawingml/2006/main">
  <xdr:twoCellAnchor editAs="oneCell">
    <xdr:from>
      <xdr:col>8</xdr:col>
      <xdr:colOff>112059</xdr:colOff>
      <xdr:row>9</xdr:row>
      <xdr:rowOff>100854</xdr:rowOff>
    </xdr:from>
    <xdr:to>
      <xdr:col>13</xdr:col>
      <xdr:colOff>467509</xdr:colOff>
      <xdr:row>24</xdr:row>
      <xdr:rowOff>32239</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112059" y="11183472"/>
          <a:ext cx="4325470" cy="2879910"/>
        </a:xfrm>
        <a:prstGeom prst="rect">
          <a:avLst/>
        </a:prstGeom>
      </xdr:spPr>
    </xdr:pic>
    <xdr:clientData/>
  </xdr:twoCellAnchor>
  <xdr:twoCellAnchor editAs="oneCell">
    <xdr:from>
      <xdr:col>1</xdr:col>
      <xdr:colOff>122464</xdr:colOff>
      <xdr:row>12</xdr:row>
      <xdr:rowOff>95250</xdr:rowOff>
    </xdr:from>
    <xdr:to>
      <xdr:col>6</xdr:col>
      <xdr:colOff>598714</xdr:colOff>
      <xdr:row>26</xdr:row>
      <xdr:rowOff>118800</xdr:rowOff>
    </xdr:to>
    <xdr:pic>
      <xdr:nvPicPr>
        <xdr:cNvPr id="8" name="Imagen 7">
          <a:extLst>
            <a:ext uri="{FF2B5EF4-FFF2-40B4-BE49-F238E27FC236}">
              <a16:creationId xmlns:a16="http://schemas.microsoft.com/office/drawing/2014/main" id="{99C4F1CC-664A-4649-BC12-AF8FEFE5A489}"/>
            </a:ext>
          </a:extLst>
        </xdr:cNvPr>
        <xdr:cNvPicPr>
          <a:picLocks noChangeAspect="1"/>
        </xdr:cNvPicPr>
      </xdr:nvPicPr>
      <xdr:blipFill>
        <a:blip xmlns:r="http://schemas.openxmlformats.org/officeDocument/2006/relationships" r:embed="rId2"/>
        <a:stretch>
          <a:fillRect/>
        </a:stretch>
      </xdr:blipFill>
      <xdr:spPr>
        <a:xfrm>
          <a:off x="258535" y="2367643"/>
          <a:ext cx="4286250" cy="3082683"/>
        </a:xfrm>
        <a:prstGeom prst="rect">
          <a:avLst/>
        </a:prstGeom>
        <a:ln>
          <a:solidFill>
            <a:sysClr val="windowText" lastClr="000000"/>
          </a:solidFill>
        </a:ln>
      </xdr:spPr>
    </xdr:pic>
    <xdr:clientData/>
  </xdr:twoCellAnchor>
  <xdr:twoCellAnchor editAs="oneCell">
    <xdr:from>
      <xdr:col>1</xdr:col>
      <xdr:colOff>81642</xdr:colOff>
      <xdr:row>30</xdr:row>
      <xdr:rowOff>258536</xdr:rowOff>
    </xdr:from>
    <xdr:to>
      <xdr:col>6</xdr:col>
      <xdr:colOff>653142</xdr:colOff>
      <xdr:row>49</xdr:row>
      <xdr:rowOff>68513</xdr:rowOff>
    </xdr:to>
    <xdr:pic>
      <xdr:nvPicPr>
        <xdr:cNvPr id="9" name="Imagen 8">
          <a:extLst>
            <a:ext uri="{FF2B5EF4-FFF2-40B4-BE49-F238E27FC236}">
              <a16:creationId xmlns:a16="http://schemas.microsoft.com/office/drawing/2014/main" id="{64669215-A236-491A-8EC2-CFECBC6A7D29}"/>
            </a:ext>
          </a:extLst>
        </xdr:cNvPr>
        <xdr:cNvPicPr>
          <a:picLocks noChangeAspect="1"/>
        </xdr:cNvPicPr>
      </xdr:nvPicPr>
      <xdr:blipFill>
        <a:blip xmlns:r="http://schemas.openxmlformats.org/officeDocument/2006/relationships" r:embed="rId3"/>
        <a:stretch>
          <a:fillRect/>
        </a:stretch>
      </xdr:blipFill>
      <xdr:spPr>
        <a:xfrm>
          <a:off x="217713" y="6585857"/>
          <a:ext cx="4381500" cy="3623378"/>
        </a:xfrm>
        <a:prstGeom prst="rect">
          <a:avLst/>
        </a:prstGeom>
      </xdr:spPr>
    </xdr:pic>
    <xdr:clientData/>
  </xdr:twoCellAnchor>
  <xdr:twoCellAnchor editAs="oneCell">
    <xdr:from>
      <xdr:col>8</xdr:col>
      <xdr:colOff>340179</xdr:colOff>
      <xdr:row>30</xdr:row>
      <xdr:rowOff>95250</xdr:rowOff>
    </xdr:from>
    <xdr:to>
      <xdr:col>13</xdr:col>
      <xdr:colOff>462644</xdr:colOff>
      <xdr:row>51</xdr:row>
      <xdr:rowOff>141378</xdr:rowOff>
    </xdr:to>
    <xdr:pic>
      <xdr:nvPicPr>
        <xdr:cNvPr id="10" name="Imagen 9">
          <a:extLst>
            <a:ext uri="{FF2B5EF4-FFF2-40B4-BE49-F238E27FC236}">
              <a16:creationId xmlns:a16="http://schemas.microsoft.com/office/drawing/2014/main" id="{8E7CF194-D0C4-48D8-A1BF-2E17EFA4746C}"/>
            </a:ext>
          </a:extLst>
        </xdr:cNvPr>
        <xdr:cNvPicPr>
          <a:picLocks noChangeAspect="1"/>
        </xdr:cNvPicPr>
      </xdr:nvPicPr>
      <xdr:blipFill>
        <a:blip xmlns:r="http://schemas.openxmlformats.org/officeDocument/2006/relationships" r:embed="rId4"/>
        <a:stretch>
          <a:fillRect/>
        </a:stretch>
      </xdr:blipFill>
      <xdr:spPr>
        <a:xfrm>
          <a:off x="5810250" y="6422571"/>
          <a:ext cx="4095751" cy="4186099"/>
        </a:xfrm>
        <a:prstGeom prst="rect">
          <a:avLst/>
        </a:prstGeom>
      </xdr:spPr>
    </xdr:pic>
    <xdr:clientData/>
  </xdr:twoCellAnchor>
  <xdr:twoCellAnchor editAs="oneCell">
    <xdr:from>
      <xdr:col>16</xdr:col>
      <xdr:colOff>571501</xdr:colOff>
      <xdr:row>41</xdr:row>
      <xdr:rowOff>121227</xdr:rowOff>
    </xdr:from>
    <xdr:to>
      <xdr:col>19</xdr:col>
      <xdr:colOff>277092</xdr:colOff>
      <xdr:row>47</xdr:row>
      <xdr:rowOff>94051</xdr:rowOff>
    </xdr:to>
    <xdr:pic>
      <xdr:nvPicPr>
        <xdr:cNvPr id="6" name="Imagen 5">
          <a:extLst>
            <a:ext uri="{FF2B5EF4-FFF2-40B4-BE49-F238E27FC236}">
              <a16:creationId xmlns:a16="http://schemas.microsoft.com/office/drawing/2014/main" id="{FF592E58-25BE-4A04-9D54-5C5CBD03E6F9}"/>
            </a:ext>
          </a:extLst>
        </xdr:cNvPr>
        <xdr:cNvPicPr>
          <a:picLocks noChangeAspect="1"/>
        </xdr:cNvPicPr>
      </xdr:nvPicPr>
      <xdr:blipFill>
        <a:blip xmlns:r="http://schemas.openxmlformats.org/officeDocument/2006/relationships" r:embed="rId5"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12676910" y="9161318"/>
          <a:ext cx="1991591" cy="1011915"/>
        </a:xfrm>
        <a:prstGeom prst="rect">
          <a:avLst/>
        </a:prstGeom>
      </xdr:spPr>
    </xdr:pic>
    <xdr:clientData/>
  </xdr:twoCellAnchor>
  <xdr:twoCellAnchor editAs="oneCell">
    <xdr:from>
      <xdr:col>16</xdr:col>
      <xdr:colOff>536864</xdr:colOff>
      <xdr:row>48</xdr:row>
      <xdr:rowOff>121227</xdr:rowOff>
    </xdr:from>
    <xdr:to>
      <xdr:col>19</xdr:col>
      <xdr:colOff>77423</xdr:colOff>
      <xdr:row>56</xdr:row>
      <xdr:rowOff>45356</xdr:rowOff>
    </xdr:to>
    <xdr:pic>
      <xdr:nvPicPr>
        <xdr:cNvPr id="7" name="Imagen 6">
          <a:extLst>
            <a:ext uri="{FF2B5EF4-FFF2-40B4-BE49-F238E27FC236}">
              <a16:creationId xmlns:a16="http://schemas.microsoft.com/office/drawing/2014/main" id="{505D201D-DE5B-416E-839D-B2C8FCA7A826}"/>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2642273" y="10373591"/>
          <a:ext cx="1826559" cy="12056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406112</xdr:colOff>
      <xdr:row>212</xdr:row>
      <xdr:rowOff>47625</xdr:rowOff>
    </xdr:from>
    <xdr:to>
      <xdr:col>4</xdr:col>
      <xdr:colOff>111703</xdr:colOff>
      <xdr:row>218</xdr:row>
      <xdr:rowOff>49890</xdr:rowOff>
    </xdr:to>
    <xdr:pic>
      <xdr:nvPicPr>
        <xdr:cNvPr id="2" name="Imagen 1">
          <a:extLst>
            <a:ext uri="{FF2B5EF4-FFF2-40B4-BE49-F238E27FC236}">
              <a16:creationId xmlns:a16="http://schemas.microsoft.com/office/drawing/2014/main" id="{2E8C5DA6-4735-4B64-819E-481F04039AE0}"/>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1168112" y="43338750"/>
          <a:ext cx="1991591" cy="1011915"/>
        </a:xfrm>
        <a:prstGeom prst="rect">
          <a:avLst/>
        </a:prstGeom>
      </xdr:spPr>
    </xdr:pic>
    <xdr:clientData/>
  </xdr:twoCellAnchor>
  <xdr:twoCellAnchor editAs="oneCell">
    <xdr:from>
      <xdr:col>7</xdr:col>
      <xdr:colOff>333375</xdr:colOff>
      <xdr:row>211</xdr:row>
      <xdr:rowOff>69273</xdr:rowOff>
    </xdr:from>
    <xdr:to>
      <xdr:col>9</xdr:col>
      <xdr:colOff>635934</xdr:colOff>
      <xdr:row>218</xdr:row>
      <xdr:rowOff>93848</xdr:rowOff>
    </xdr:to>
    <xdr:pic>
      <xdr:nvPicPr>
        <xdr:cNvPr id="3" name="Imagen 2">
          <a:extLst>
            <a:ext uri="{FF2B5EF4-FFF2-40B4-BE49-F238E27FC236}">
              <a16:creationId xmlns:a16="http://schemas.microsoft.com/office/drawing/2014/main" id="{4DF03C42-0FE1-47E4-ACDE-6F531F88EE2E}"/>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667375" y="43188948"/>
          <a:ext cx="1826559" cy="12056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406112</xdr:colOff>
      <xdr:row>207</xdr:row>
      <xdr:rowOff>47625</xdr:rowOff>
    </xdr:from>
    <xdr:to>
      <xdr:col>4</xdr:col>
      <xdr:colOff>111703</xdr:colOff>
      <xdr:row>213</xdr:row>
      <xdr:rowOff>87990</xdr:rowOff>
    </xdr:to>
    <xdr:pic>
      <xdr:nvPicPr>
        <xdr:cNvPr id="2" name="Imagen 1">
          <a:extLst>
            <a:ext uri="{FF2B5EF4-FFF2-40B4-BE49-F238E27FC236}">
              <a16:creationId xmlns:a16="http://schemas.microsoft.com/office/drawing/2014/main" id="{32BCEAC9-25FA-491D-9F02-349B9F304F2B}"/>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1168112" y="45043725"/>
          <a:ext cx="1991591" cy="1011915"/>
        </a:xfrm>
        <a:prstGeom prst="rect">
          <a:avLst/>
        </a:prstGeom>
      </xdr:spPr>
    </xdr:pic>
    <xdr:clientData/>
  </xdr:twoCellAnchor>
  <xdr:twoCellAnchor editAs="oneCell">
    <xdr:from>
      <xdr:col>7</xdr:col>
      <xdr:colOff>333375</xdr:colOff>
      <xdr:row>206</xdr:row>
      <xdr:rowOff>69273</xdr:rowOff>
    </xdr:from>
    <xdr:to>
      <xdr:col>9</xdr:col>
      <xdr:colOff>635934</xdr:colOff>
      <xdr:row>213</xdr:row>
      <xdr:rowOff>141473</xdr:rowOff>
    </xdr:to>
    <xdr:pic>
      <xdr:nvPicPr>
        <xdr:cNvPr id="3" name="Imagen 2">
          <a:extLst>
            <a:ext uri="{FF2B5EF4-FFF2-40B4-BE49-F238E27FC236}">
              <a16:creationId xmlns:a16="http://schemas.microsoft.com/office/drawing/2014/main" id="{FF41F4F0-FD2B-4A30-80A2-1E77B066F9D5}"/>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667375" y="44893923"/>
          <a:ext cx="1826559" cy="12056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285750</xdr:colOff>
      <xdr:row>58</xdr:row>
      <xdr:rowOff>108858</xdr:rowOff>
    </xdr:from>
    <xdr:to>
      <xdr:col>6</xdr:col>
      <xdr:colOff>753341</xdr:colOff>
      <xdr:row>64</xdr:row>
      <xdr:rowOff>113844</xdr:rowOff>
    </xdr:to>
    <xdr:pic>
      <xdr:nvPicPr>
        <xdr:cNvPr id="2" name="Imagen 1">
          <a:extLst>
            <a:ext uri="{FF2B5EF4-FFF2-40B4-BE49-F238E27FC236}">
              <a16:creationId xmlns:a16="http://schemas.microsoft.com/office/drawing/2014/main" id="{CBF780F0-A3F2-49E0-836C-A7077559CE8E}"/>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2993571" y="10817679"/>
          <a:ext cx="1991591" cy="1011915"/>
        </a:xfrm>
        <a:prstGeom prst="rect">
          <a:avLst/>
        </a:prstGeom>
      </xdr:spPr>
    </xdr:pic>
    <xdr:clientData/>
  </xdr:twoCellAnchor>
  <xdr:twoCellAnchor editAs="oneCell">
    <xdr:from>
      <xdr:col>9</xdr:col>
      <xdr:colOff>176893</xdr:colOff>
      <xdr:row>57</xdr:row>
      <xdr:rowOff>95250</xdr:rowOff>
    </xdr:from>
    <xdr:to>
      <xdr:col>11</xdr:col>
      <xdr:colOff>479452</xdr:colOff>
      <xdr:row>64</xdr:row>
      <xdr:rowOff>130711</xdr:rowOff>
    </xdr:to>
    <xdr:pic>
      <xdr:nvPicPr>
        <xdr:cNvPr id="3" name="Imagen 2">
          <a:extLst>
            <a:ext uri="{FF2B5EF4-FFF2-40B4-BE49-F238E27FC236}">
              <a16:creationId xmlns:a16="http://schemas.microsoft.com/office/drawing/2014/main" id="{0604EBA9-6B8F-4615-9838-A1D5E11632FF}"/>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94714" y="10640786"/>
          <a:ext cx="1826559" cy="12056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285750</xdr:colOff>
      <xdr:row>40</xdr:row>
      <xdr:rowOff>40822</xdr:rowOff>
    </xdr:from>
    <xdr:to>
      <xdr:col>6</xdr:col>
      <xdr:colOff>753341</xdr:colOff>
      <xdr:row>46</xdr:row>
      <xdr:rowOff>45808</xdr:rowOff>
    </xdr:to>
    <xdr:pic>
      <xdr:nvPicPr>
        <xdr:cNvPr id="4" name="Imagen 3">
          <a:extLst>
            <a:ext uri="{FF2B5EF4-FFF2-40B4-BE49-F238E27FC236}">
              <a16:creationId xmlns:a16="http://schemas.microsoft.com/office/drawing/2014/main" id="{6AFE6CC9-85DD-471C-BC53-BE8EA8D108B7}"/>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2707821" y="5279572"/>
          <a:ext cx="1991591" cy="1011915"/>
        </a:xfrm>
        <a:prstGeom prst="rect">
          <a:avLst/>
        </a:prstGeom>
      </xdr:spPr>
    </xdr:pic>
    <xdr:clientData/>
  </xdr:twoCellAnchor>
  <xdr:twoCellAnchor editAs="oneCell">
    <xdr:from>
      <xdr:col>9</xdr:col>
      <xdr:colOff>176893</xdr:colOff>
      <xdr:row>39</xdr:row>
      <xdr:rowOff>27215</xdr:rowOff>
    </xdr:from>
    <xdr:to>
      <xdr:col>11</xdr:col>
      <xdr:colOff>479452</xdr:colOff>
      <xdr:row>46</xdr:row>
      <xdr:rowOff>62676</xdr:rowOff>
    </xdr:to>
    <xdr:pic>
      <xdr:nvPicPr>
        <xdr:cNvPr id="5" name="Imagen 4">
          <a:extLst>
            <a:ext uri="{FF2B5EF4-FFF2-40B4-BE49-F238E27FC236}">
              <a16:creationId xmlns:a16="http://schemas.microsoft.com/office/drawing/2014/main" id="{8C6255EF-419F-445B-8053-79F4F64FD782}"/>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408964" y="5102679"/>
          <a:ext cx="1826559" cy="12056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8</xdr:col>
      <xdr:colOff>600075</xdr:colOff>
      <xdr:row>8</xdr:row>
      <xdr:rowOff>0</xdr:rowOff>
    </xdr:from>
    <xdr:ext cx="219075" cy="304800"/>
    <xdr:sp macro="" textlink="">
      <xdr:nvSpPr>
        <xdr:cNvPr id="2" name="Shape 4">
          <a:extLst>
            <a:ext uri="{FF2B5EF4-FFF2-40B4-BE49-F238E27FC236}">
              <a16:creationId xmlns:a16="http://schemas.microsoft.com/office/drawing/2014/main" id="{00000000-0008-0000-0400-000002000000}"/>
            </a:ext>
          </a:extLst>
        </xdr:cNvPr>
        <xdr:cNvSpPr txBox="1"/>
      </xdr:nvSpPr>
      <xdr:spPr>
        <a:xfrm>
          <a:off x="5467350" y="1133475"/>
          <a:ext cx="219075" cy="3048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twoCellAnchor editAs="oneCell">
    <xdr:from>
      <xdr:col>4</xdr:col>
      <xdr:colOff>403412</xdr:colOff>
      <xdr:row>38</xdr:row>
      <xdr:rowOff>31216</xdr:rowOff>
    </xdr:from>
    <xdr:to>
      <xdr:col>7</xdr:col>
      <xdr:colOff>109003</xdr:colOff>
      <xdr:row>44</xdr:row>
      <xdr:rowOff>68219</xdr:rowOff>
    </xdr:to>
    <xdr:pic>
      <xdr:nvPicPr>
        <xdr:cNvPr id="3" name="Imagen 2">
          <a:extLst>
            <a:ext uri="{FF2B5EF4-FFF2-40B4-BE49-F238E27FC236}">
              <a16:creationId xmlns:a16="http://schemas.microsoft.com/office/drawing/2014/main" id="{28EB341D-2FE0-4EF0-A45F-C5EB56B3828D}"/>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2980765" y="6788363"/>
          <a:ext cx="1991591" cy="1011915"/>
        </a:xfrm>
        <a:prstGeom prst="rect">
          <a:avLst/>
        </a:prstGeom>
      </xdr:spPr>
    </xdr:pic>
    <xdr:clientData/>
  </xdr:twoCellAnchor>
  <xdr:twoCellAnchor editAs="oneCell">
    <xdr:from>
      <xdr:col>9</xdr:col>
      <xdr:colOff>294555</xdr:colOff>
      <xdr:row>37</xdr:row>
      <xdr:rowOff>11205</xdr:rowOff>
    </xdr:from>
    <xdr:to>
      <xdr:col>11</xdr:col>
      <xdr:colOff>597114</xdr:colOff>
      <xdr:row>44</xdr:row>
      <xdr:rowOff>85086</xdr:rowOff>
    </xdr:to>
    <xdr:pic>
      <xdr:nvPicPr>
        <xdr:cNvPr id="4" name="Imagen 3">
          <a:extLst>
            <a:ext uri="{FF2B5EF4-FFF2-40B4-BE49-F238E27FC236}">
              <a16:creationId xmlns:a16="http://schemas.microsoft.com/office/drawing/2014/main" id="{27B0F4ED-3FC9-4843-B2E2-A2EE3107AADC}"/>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81908" y="6611470"/>
          <a:ext cx="1826559" cy="12056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8</xdr:col>
      <xdr:colOff>600075</xdr:colOff>
      <xdr:row>8</xdr:row>
      <xdr:rowOff>0</xdr:rowOff>
    </xdr:from>
    <xdr:ext cx="219075" cy="304800"/>
    <xdr:sp macro="" textlink="">
      <xdr:nvSpPr>
        <xdr:cNvPr id="2" name="Shape 4">
          <a:extLst>
            <a:ext uri="{FF2B5EF4-FFF2-40B4-BE49-F238E27FC236}">
              <a16:creationId xmlns:a16="http://schemas.microsoft.com/office/drawing/2014/main" id="{00000000-0008-0000-0500-000002000000}"/>
            </a:ext>
          </a:extLst>
        </xdr:cNvPr>
        <xdr:cNvSpPr txBox="1"/>
      </xdr:nvSpPr>
      <xdr:spPr>
        <a:xfrm>
          <a:off x="5467350" y="1133475"/>
          <a:ext cx="219075" cy="3048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twoCellAnchor editAs="oneCell">
    <xdr:from>
      <xdr:col>4</xdr:col>
      <xdr:colOff>593912</xdr:colOff>
      <xdr:row>27</xdr:row>
      <xdr:rowOff>42423</xdr:rowOff>
    </xdr:from>
    <xdr:to>
      <xdr:col>7</xdr:col>
      <xdr:colOff>299503</xdr:colOff>
      <xdr:row>33</xdr:row>
      <xdr:rowOff>79426</xdr:rowOff>
    </xdr:to>
    <xdr:pic>
      <xdr:nvPicPr>
        <xdr:cNvPr id="5" name="Imagen 4">
          <a:extLst>
            <a:ext uri="{FF2B5EF4-FFF2-40B4-BE49-F238E27FC236}">
              <a16:creationId xmlns:a16="http://schemas.microsoft.com/office/drawing/2014/main" id="{295BDCD8-17D8-438D-B2F6-8C4B7B2B03D8}"/>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3059206" y="5141099"/>
          <a:ext cx="1991591" cy="1011915"/>
        </a:xfrm>
        <a:prstGeom prst="rect">
          <a:avLst/>
        </a:prstGeom>
      </xdr:spPr>
    </xdr:pic>
    <xdr:clientData/>
  </xdr:twoCellAnchor>
  <xdr:twoCellAnchor editAs="oneCell">
    <xdr:from>
      <xdr:col>9</xdr:col>
      <xdr:colOff>529878</xdr:colOff>
      <xdr:row>26</xdr:row>
      <xdr:rowOff>11206</xdr:rowOff>
    </xdr:from>
    <xdr:to>
      <xdr:col>11</xdr:col>
      <xdr:colOff>832437</xdr:colOff>
      <xdr:row>33</xdr:row>
      <xdr:rowOff>73881</xdr:rowOff>
    </xdr:to>
    <xdr:pic>
      <xdr:nvPicPr>
        <xdr:cNvPr id="6" name="Imagen 5">
          <a:extLst>
            <a:ext uri="{FF2B5EF4-FFF2-40B4-BE49-F238E27FC236}">
              <a16:creationId xmlns:a16="http://schemas.microsoft.com/office/drawing/2014/main" id="{9CF39289-FE74-4C89-AEB1-A9C13EA490FB}"/>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197378" y="4941794"/>
          <a:ext cx="1826559" cy="12056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1120589</xdr:colOff>
      <xdr:row>76</xdr:row>
      <xdr:rowOff>42422</xdr:rowOff>
    </xdr:from>
    <xdr:to>
      <xdr:col>3</xdr:col>
      <xdr:colOff>377945</xdr:colOff>
      <xdr:row>82</xdr:row>
      <xdr:rowOff>68220</xdr:rowOff>
    </xdr:to>
    <xdr:pic>
      <xdr:nvPicPr>
        <xdr:cNvPr id="4" name="Imagen 3">
          <a:extLst>
            <a:ext uri="{FF2B5EF4-FFF2-40B4-BE49-F238E27FC236}">
              <a16:creationId xmlns:a16="http://schemas.microsoft.com/office/drawing/2014/main" id="{91ED7A7A-90CD-4F0C-A08D-1E87322F068C}"/>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1411942" y="16660746"/>
          <a:ext cx="1991591" cy="1011915"/>
        </a:xfrm>
        <a:prstGeom prst="rect">
          <a:avLst/>
        </a:prstGeom>
      </xdr:spPr>
    </xdr:pic>
    <xdr:clientData/>
  </xdr:twoCellAnchor>
  <xdr:twoCellAnchor editAs="oneCell">
    <xdr:from>
      <xdr:col>6</xdr:col>
      <xdr:colOff>305760</xdr:colOff>
      <xdr:row>75</xdr:row>
      <xdr:rowOff>22412</xdr:rowOff>
    </xdr:from>
    <xdr:to>
      <xdr:col>8</xdr:col>
      <xdr:colOff>608319</xdr:colOff>
      <xdr:row>82</xdr:row>
      <xdr:rowOff>85087</xdr:rowOff>
    </xdr:to>
    <xdr:pic>
      <xdr:nvPicPr>
        <xdr:cNvPr id="5" name="Imagen 4">
          <a:extLst>
            <a:ext uri="{FF2B5EF4-FFF2-40B4-BE49-F238E27FC236}">
              <a16:creationId xmlns:a16="http://schemas.microsoft.com/office/drawing/2014/main" id="{5B3BBD3C-12AB-4577-8AB3-705311DB987D}"/>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155231" y="16483853"/>
          <a:ext cx="1826559" cy="12056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381000</xdr:colOff>
      <xdr:row>55</xdr:row>
      <xdr:rowOff>154482</xdr:rowOff>
    </xdr:from>
    <xdr:to>
      <xdr:col>4</xdr:col>
      <xdr:colOff>86591</xdr:colOff>
      <xdr:row>61</xdr:row>
      <xdr:rowOff>90632</xdr:rowOff>
    </xdr:to>
    <xdr:pic>
      <xdr:nvPicPr>
        <xdr:cNvPr id="4" name="Imagen 3">
          <a:extLst>
            <a:ext uri="{FF2B5EF4-FFF2-40B4-BE49-F238E27FC236}">
              <a16:creationId xmlns:a16="http://schemas.microsoft.com/office/drawing/2014/main" id="{00578630-785C-4538-99AE-CFFF5114F7A3}"/>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1143000" y="8805423"/>
          <a:ext cx="1991591" cy="1011915"/>
        </a:xfrm>
        <a:prstGeom prst="rect">
          <a:avLst/>
        </a:prstGeom>
      </xdr:spPr>
    </xdr:pic>
    <xdr:clientData/>
  </xdr:twoCellAnchor>
  <xdr:twoCellAnchor editAs="oneCell">
    <xdr:from>
      <xdr:col>8</xdr:col>
      <xdr:colOff>238524</xdr:colOff>
      <xdr:row>54</xdr:row>
      <xdr:rowOff>134471</xdr:rowOff>
    </xdr:from>
    <xdr:to>
      <xdr:col>10</xdr:col>
      <xdr:colOff>541083</xdr:colOff>
      <xdr:row>61</xdr:row>
      <xdr:rowOff>107499</xdr:rowOff>
    </xdr:to>
    <xdr:pic>
      <xdr:nvPicPr>
        <xdr:cNvPr id="5" name="Imagen 4">
          <a:extLst>
            <a:ext uri="{FF2B5EF4-FFF2-40B4-BE49-F238E27FC236}">
              <a16:creationId xmlns:a16="http://schemas.microsoft.com/office/drawing/2014/main" id="{1AC2AEC2-629F-44AD-9CC4-6F98ED45DAC7}"/>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334524" y="8628530"/>
          <a:ext cx="1826559" cy="12056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212912</xdr:colOff>
      <xdr:row>123</xdr:row>
      <xdr:rowOff>87246</xdr:rowOff>
    </xdr:from>
    <xdr:to>
      <xdr:col>5</xdr:col>
      <xdr:colOff>120209</xdr:colOff>
      <xdr:row>128</xdr:row>
      <xdr:rowOff>90632</xdr:rowOff>
    </xdr:to>
    <xdr:pic>
      <xdr:nvPicPr>
        <xdr:cNvPr id="2" name="Imagen 1">
          <a:extLst>
            <a:ext uri="{FF2B5EF4-FFF2-40B4-BE49-F238E27FC236}">
              <a16:creationId xmlns:a16="http://schemas.microsoft.com/office/drawing/2014/main" id="{1D733549-FCED-453F-978A-0997954AE61F}"/>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1680883" y="22499011"/>
          <a:ext cx="1991591" cy="1011915"/>
        </a:xfrm>
        <a:prstGeom prst="rect">
          <a:avLst/>
        </a:prstGeom>
      </xdr:spPr>
    </xdr:pic>
    <xdr:clientData/>
  </xdr:twoCellAnchor>
  <xdr:twoCellAnchor editAs="oneCell">
    <xdr:from>
      <xdr:col>9</xdr:col>
      <xdr:colOff>272142</xdr:colOff>
      <xdr:row>122</xdr:row>
      <xdr:rowOff>112059</xdr:rowOff>
    </xdr:from>
    <xdr:to>
      <xdr:col>11</xdr:col>
      <xdr:colOff>518672</xdr:colOff>
      <xdr:row>128</xdr:row>
      <xdr:rowOff>107499</xdr:rowOff>
    </xdr:to>
    <xdr:pic>
      <xdr:nvPicPr>
        <xdr:cNvPr id="3" name="Imagen 2">
          <a:extLst>
            <a:ext uri="{FF2B5EF4-FFF2-40B4-BE49-F238E27FC236}">
              <a16:creationId xmlns:a16="http://schemas.microsoft.com/office/drawing/2014/main" id="{79804421-EFB4-46B8-A563-045991C79522}"/>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872407" y="22322118"/>
          <a:ext cx="1826559" cy="12056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10583</xdr:colOff>
      <xdr:row>25</xdr:row>
      <xdr:rowOff>81643</xdr:rowOff>
    </xdr:from>
    <xdr:to>
      <xdr:col>3</xdr:col>
      <xdr:colOff>573424</xdr:colOff>
      <xdr:row>31</xdr:row>
      <xdr:rowOff>109308</xdr:rowOff>
    </xdr:to>
    <xdr:pic>
      <xdr:nvPicPr>
        <xdr:cNvPr id="2" name="Imagen 1">
          <a:extLst>
            <a:ext uri="{FF2B5EF4-FFF2-40B4-BE49-F238E27FC236}">
              <a16:creationId xmlns:a16="http://schemas.microsoft.com/office/drawing/2014/main" id="{9A50F7A2-EF9F-43B9-AFB2-7A09297EFA12}"/>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1047750" y="5775476"/>
          <a:ext cx="1991591" cy="1011915"/>
        </a:xfrm>
        <a:prstGeom prst="rect">
          <a:avLst/>
        </a:prstGeom>
      </xdr:spPr>
    </xdr:pic>
    <xdr:clientData/>
  </xdr:twoCellAnchor>
  <xdr:twoCellAnchor editAs="oneCell">
    <xdr:from>
      <xdr:col>8</xdr:col>
      <xdr:colOff>619523</xdr:colOff>
      <xdr:row>24</xdr:row>
      <xdr:rowOff>42334</xdr:rowOff>
    </xdr:from>
    <xdr:to>
      <xdr:col>11</xdr:col>
      <xdr:colOff>160082</xdr:colOff>
      <xdr:row>31</xdr:row>
      <xdr:rowOff>105009</xdr:rowOff>
    </xdr:to>
    <xdr:pic>
      <xdr:nvPicPr>
        <xdr:cNvPr id="3" name="Imagen 2">
          <a:extLst>
            <a:ext uri="{FF2B5EF4-FFF2-40B4-BE49-F238E27FC236}">
              <a16:creationId xmlns:a16="http://schemas.microsoft.com/office/drawing/2014/main" id="{6165B043-32DC-4A29-9587-4640956907BE}"/>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8260690" y="5577417"/>
          <a:ext cx="1826559" cy="12056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oneCellAnchor>
    <xdr:from>
      <xdr:col>11</xdr:col>
      <xdr:colOff>590550</xdr:colOff>
      <xdr:row>6</xdr:row>
      <xdr:rowOff>0</xdr:rowOff>
    </xdr:from>
    <xdr:ext cx="228600" cy="314325"/>
    <xdr:sp macro="" textlink="">
      <xdr:nvSpPr>
        <xdr:cNvPr id="2" name="Shape 7">
          <a:extLst>
            <a:ext uri="{FF2B5EF4-FFF2-40B4-BE49-F238E27FC236}">
              <a16:creationId xmlns:a16="http://schemas.microsoft.com/office/drawing/2014/main" id="{00000000-0008-0000-0A00-000002000000}"/>
            </a:ext>
          </a:extLst>
        </xdr:cNvPr>
        <xdr:cNvSpPr txBox="1"/>
      </xdr:nvSpPr>
      <xdr:spPr>
        <a:xfrm>
          <a:off x="7543800" y="809625"/>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3</xdr:col>
      <xdr:colOff>590550</xdr:colOff>
      <xdr:row>6</xdr:row>
      <xdr:rowOff>0</xdr:rowOff>
    </xdr:from>
    <xdr:ext cx="228600" cy="314325"/>
    <xdr:sp macro="" textlink="">
      <xdr:nvSpPr>
        <xdr:cNvPr id="3" name="Shape 7">
          <a:extLst>
            <a:ext uri="{FF2B5EF4-FFF2-40B4-BE49-F238E27FC236}">
              <a16:creationId xmlns:a16="http://schemas.microsoft.com/office/drawing/2014/main" id="{00000000-0008-0000-0A00-000003000000}"/>
            </a:ext>
          </a:extLst>
        </xdr:cNvPr>
        <xdr:cNvSpPr txBox="1"/>
      </xdr:nvSpPr>
      <xdr:spPr>
        <a:xfrm>
          <a:off x="1981200" y="809625"/>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3</xdr:col>
      <xdr:colOff>590550</xdr:colOff>
      <xdr:row>6</xdr:row>
      <xdr:rowOff>0</xdr:rowOff>
    </xdr:from>
    <xdr:ext cx="228600" cy="314325"/>
    <xdr:sp macro="" textlink="">
      <xdr:nvSpPr>
        <xdr:cNvPr id="4" name="Shape 7">
          <a:extLst>
            <a:ext uri="{FF2B5EF4-FFF2-40B4-BE49-F238E27FC236}">
              <a16:creationId xmlns:a16="http://schemas.microsoft.com/office/drawing/2014/main" id="{00000000-0008-0000-0A00-000004000000}"/>
            </a:ext>
          </a:extLst>
        </xdr:cNvPr>
        <xdr:cNvSpPr txBox="1"/>
      </xdr:nvSpPr>
      <xdr:spPr>
        <a:xfrm>
          <a:off x="1981200" y="809625"/>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10</xdr:col>
      <xdr:colOff>590550</xdr:colOff>
      <xdr:row>6</xdr:row>
      <xdr:rowOff>0</xdr:rowOff>
    </xdr:from>
    <xdr:ext cx="228600" cy="314325"/>
    <xdr:sp macro="" textlink="">
      <xdr:nvSpPr>
        <xdr:cNvPr id="5" name="Shape 7">
          <a:extLst>
            <a:ext uri="{FF2B5EF4-FFF2-40B4-BE49-F238E27FC236}">
              <a16:creationId xmlns:a16="http://schemas.microsoft.com/office/drawing/2014/main" id="{00000000-0008-0000-0A00-000005000000}"/>
            </a:ext>
          </a:extLst>
        </xdr:cNvPr>
        <xdr:cNvSpPr txBox="1"/>
      </xdr:nvSpPr>
      <xdr:spPr>
        <a:xfrm>
          <a:off x="6848475" y="809625"/>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twoCellAnchor editAs="oneCell">
    <xdr:from>
      <xdr:col>4</xdr:col>
      <xdr:colOff>326571</xdr:colOff>
      <xdr:row>25</xdr:row>
      <xdr:rowOff>108857</xdr:rowOff>
    </xdr:from>
    <xdr:to>
      <xdr:col>7</xdr:col>
      <xdr:colOff>32162</xdr:colOff>
      <xdr:row>31</xdr:row>
      <xdr:rowOff>113844</xdr:rowOff>
    </xdr:to>
    <xdr:pic>
      <xdr:nvPicPr>
        <xdr:cNvPr id="8" name="Imagen 7">
          <a:extLst>
            <a:ext uri="{FF2B5EF4-FFF2-40B4-BE49-F238E27FC236}">
              <a16:creationId xmlns:a16="http://schemas.microsoft.com/office/drawing/2014/main" id="{B0F6F860-70B4-4406-8A4B-2B8DFAC0A4B8}"/>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2966357" y="5891893"/>
          <a:ext cx="1991591" cy="1011915"/>
        </a:xfrm>
        <a:prstGeom prst="rect">
          <a:avLst/>
        </a:prstGeom>
      </xdr:spPr>
    </xdr:pic>
    <xdr:clientData/>
  </xdr:twoCellAnchor>
  <xdr:twoCellAnchor editAs="oneCell">
    <xdr:from>
      <xdr:col>10</xdr:col>
      <xdr:colOff>211309</xdr:colOff>
      <xdr:row>24</xdr:row>
      <xdr:rowOff>176892</xdr:rowOff>
    </xdr:from>
    <xdr:to>
      <xdr:col>12</xdr:col>
      <xdr:colOff>513868</xdr:colOff>
      <xdr:row>31</xdr:row>
      <xdr:rowOff>76282</xdr:rowOff>
    </xdr:to>
    <xdr:pic>
      <xdr:nvPicPr>
        <xdr:cNvPr id="9" name="Imagen 8">
          <a:extLst>
            <a:ext uri="{FF2B5EF4-FFF2-40B4-BE49-F238E27FC236}">
              <a16:creationId xmlns:a16="http://schemas.microsoft.com/office/drawing/2014/main" id="{EA128EE9-6976-4AA9-90B2-774240C9C67A}"/>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423095" y="5660571"/>
          <a:ext cx="1826559" cy="1205675"/>
        </a:xfrm>
        <a:prstGeom prst="rect">
          <a:avLst/>
        </a:prstGeom>
      </xdr:spPr>
    </xdr:pic>
    <xdr:clientData/>
  </xdr:twoCellAnchor>
  <xdr:oneCellAnchor>
    <xdr:from>
      <xdr:col>11</xdr:col>
      <xdr:colOff>590550</xdr:colOff>
      <xdr:row>37</xdr:row>
      <xdr:rowOff>0</xdr:rowOff>
    </xdr:from>
    <xdr:ext cx="228600" cy="314325"/>
    <xdr:sp macro="" textlink="">
      <xdr:nvSpPr>
        <xdr:cNvPr id="10" name="Shape 7">
          <a:extLst>
            <a:ext uri="{FF2B5EF4-FFF2-40B4-BE49-F238E27FC236}">
              <a16:creationId xmlns:a16="http://schemas.microsoft.com/office/drawing/2014/main" id="{B08C2DC9-DBFF-4367-908C-3D81E8F9E577}"/>
            </a:ext>
          </a:extLst>
        </xdr:cNvPr>
        <xdr:cNvSpPr txBox="1"/>
      </xdr:nvSpPr>
      <xdr:spPr>
        <a:xfrm>
          <a:off x="8564336" y="1006929"/>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3</xdr:col>
      <xdr:colOff>590550</xdr:colOff>
      <xdr:row>37</xdr:row>
      <xdr:rowOff>0</xdr:rowOff>
    </xdr:from>
    <xdr:ext cx="228600" cy="314325"/>
    <xdr:sp macro="" textlink="">
      <xdr:nvSpPr>
        <xdr:cNvPr id="11" name="Shape 7">
          <a:extLst>
            <a:ext uri="{FF2B5EF4-FFF2-40B4-BE49-F238E27FC236}">
              <a16:creationId xmlns:a16="http://schemas.microsoft.com/office/drawing/2014/main" id="{15ECC3B8-CA4C-4243-A6ED-F4C737A6B268}"/>
            </a:ext>
          </a:extLst>
        </xdr:cNvPr>
        <xdr:cNvSpPr txBox="1"/>
      </xdr:nvSpPr>
      <xdr:spPr>
        <a:xfrm>
          <a:off x="2468336" y="1006929"/>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3</xdr:col>
      <xdr:colOff>590550</xdr:colOff>
      <xdr:row>37</xdr:row>
      <xdr:rowOff>0</xdr:rowOff>
    </xdr:from>
    <xdr:ext cx="228600" cy="314325"/>
    <xdr:sp macro="" textlink="">
      <xdr:nvSpPr>
        <xdr:cNvPr id="12" name="Shape 7">
          <a:extLst>
            <a:ext uri="{FF2B5EF4-FFF2-40B4-BE49-F238E27FC236}">
              <a16:creationId xmlns:a16="http://schemas.microsoft.com/office/drawing/2014/main" id="{5ECDFA25-82C6-4E69-8032-96C9C5A4CFD2}"/>
            </a:ext>
          </a:extLst>
        </xdr:cNvPr>
        <xdr:cNvSpPr txBox="1"/>
      </xdr:nvSpPr>
      <xdr:spPr>
        <a:xfrm>
          <a:off x="2468336" y="1006929"/>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10</xdr:col>
      <xdr:colOff>590550</xdr:colOff>
      <xdr:row>37</xdr:row>
      <xdr:rowOff>0</xdr:rowOff>
    </xdr:from>
    <xdr:ext cx="228600" cy="314325"/>
    <xdr:sp macro="" textlink="">
      <xdr:nvSpPr>
        <xdr:cNvPr id="13" name="Shape 7">
          <a:extLst>
            <a:ext uri="{FF2B5EF4-FFF2-40B4-BE49-F238E27FC236}">
              <a16:creationId xmlns:a16="http://schemas.microsoft.com/office/drawing/2014/main" id="{57EC2201-6317-40B7-B4EF-7CFA49969354}"/>
            </a:ext>
          </a:extLst>
        </xdr:cNvPr>
        <xdr:cNvSpPr txBox="1"/>
      </xdr:nvSpPr>
      <xdr:spPr>
        <a:xfrm>
          <a:off x="7802336" y="1006929"/>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4</xdr:col>
      <xdr:colOff>326571</xdr:colOff>
      <xdr:row>56</xdr:row>
      <xdr:rowOff>108857</xdr:rowOff>
    </xdr:from>
    <xdr:ext cx="1991591" cy="1011915"/>
    <xdr:pic>
      <xdr:nvPicPr>
        <xdr:cNvPr id="14" name="Imagen 13">
          <a:extLst>
            <a:ext uri="{FF2B5EF4-FFF2-40B4-BE49-F238E27FC236}">
              <a16:creationId xmlns:a16="http://schemas.microsoft.com/office/drawing/2014/main" id="{446457D4-7CC9-44F8-94B4-BBB5A0CDF7C3}"/>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2966357" y="5891893"/>
          <a:ext cx="1991591" cy="1011915"/>
        </a:xfrm>
        <a:prstGeom prst="rect">
          <a:avLst/>
        </a:prstGeom>
      </xdr:spPr>
    </xdr:pic>
    <xdr:clientData/>
  </xdr:oneCellAnchor>
  <xdr:oneCellAnchor>
    <xdr:from>
      <xdr:col>10</xdr:col>
      <xdr:colOff>211309</xdr:colOff>
      <xdr:row>55</xdr:row>
      <xdr:rowOff>176892</xdr:rowOff>
    </xdr:from>
    <xdr:ext cx="1826559" cy="1205675"/>
    <xdr:pic>
      <xdr:nvPicPr>
        <xdr:cNvPr id="15" name="Imagen 14">
          <a:extLst>
            <a:ext uri="{FF2B5EF4-FFF2-40B4-BE49-F238E27FC236}">
              <a16:creationId xmlns:a16="http://schemas.microsoft.com/office/drawing/2014/main" id="{00E2AF0A-0FD1-4DAE-89E3-B0FAC8206156}"/>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423095" y="5660571"/>
          <a:ext cx="1826559" cy="1205675"/>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editAs="oneCell">
    <xdr:from>
      <xdr:col>2</xdr:col>
      <xdr:colOff>367393</xdr:colOff>
      <xdr:row>104</xdr:row>
      <xdr:rowOff>136072</xdr:rowOff>
    </xdr:from>
    <xdr:to>
      <xdr:col>5</xdr:col>
      <xdr:colOff>277092</xdr:colOff>
      <xdr:row>109</xdr:row>
      <xdr:rowOff>127452</xdr:rowOff>
    </xdr:to>
    <xdr:pic>
      <xdr:nvPicPr>
        <xdr:cNvPr id="4" name="Imagen 3">
          <a:extLst>
            <a:ext uri="{FF2B5EF4-FFF2-40B4-BE49-F238E27FC236}">
              <a16:creationId xmlns:a16="http://schemas.microsoft.com/office/drawing/2014/main" id="{435305DB-70EA-45E9-94CD-1AEFE8439986}"/>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1755322" y="28969608"/>
          <a:ext cx="1991591" cy="1011915"/>
        </a:xfrm>
        <a:prstGeom prst="rect">
          <a:avLst/>
        </a:prstGeom>
      </xdr:spPr>
    </xdr:pic>
    <xdr:clientData/>
  </xdr:twoCellAnchor>
  <xdr:twoCellAnchor editAs="oneCell">
    <xdr:from>
      <xdr:col>8</xdr:col>
      <xdr:colOff>646739</xdr:colOff>
      <xdr:row>103</xdr:row>
      <xdr:rowOff>40821</xdr:rowOff>
    </xdr:from>
    <xdr:to>
      <xdr:col>10</xdr:col>
      <xdr:colOff>405012</xdr:colOff>
      <xdr:row>109</xdr:row>
      <xdr:rowOff>21854</xdr:rowOff>
    </xdr:to>
    <xdr:pic>
      <xdr:nvPicPr>
        <xdr:cNvPr id="5" name="Imagen 4">
          <a:extLst>
            <a:ext uri="{FF2B5EF4-FFF2-40B4-BE49-F238E27FC236}">
              <a16:creationId xmlns:a16="http://schemas.microsoft.com/office/drawing/2014/main" id="{35A5303B-05B5-41E1-8799-2F8630A92645}"/>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327846" y="28670250"/>
          <a:ext cx="1826559" cy="120567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16</xdr:col>
      <xdr:colOff>82550</xdr:colOff>
      <xdr:row>258</xdr:row>
      <xdr:rowOff>25400</xdr:rowOff>
    </xdr:from>
    <xdr:to>
      <xdr:col>18</xdr:col>
      <xdr:colOff>667750</xdr:colOff>
      <xdr:row>264</xdr:row>
      <xdr:rowOff>94204</xdr:rowOff>
    </xdr:to>
    <xdr:pic>
      <xdr:nvPicPr>
        <xdr:cNvPr id="244" name="Imagen 243">
          <a:extLst>
            <a:ext uri="{FF2B5EF4-FFF2-40B4-BE49-F238E27FC236}">
              <a16:creationId xmlns:a16="http://schemas.microsoft.com/office/drawing/2014/main" id="{00000000-0008-0000-0F00-0000F4000000}"/>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11893550" y="40982900"/>
          <a:ext cx="2160000" cy="1021304"/>
        </a:xfrm>
        <a:prstGeom prst="rect">
          <a:avLst/>
        </a:prstGeom>
      </xdr:spPr>
    </xdr:pic>
    <xdr:clientData/>
  </xdr:twoCellAnchor>
  <xdr:oneCellAnchor>
    <xdr:from>
      <xdr:col>20</xdr:col>
      <xdr:colOff>234950</xdr:colOff>
      <xdr:row>81</xdr:row>
      <xdr:rowOff>88901</xdr:rowOff>
    </xdr:from>
    <xdr:ext cx="1800000" cy="1279355"/>
    <xdr:pic>
      <xdr:nvPicPr>
        <xdr:cNvPr id="174" name="Imagen 173">
          <a:extLst>
            <a:ext uri="{FF2B5EF4-FFF2-40B4-BE49-F238E27FC236}">
              <a16:creationId xmlns:a16="http://schemas.microsoft.com/office/drawing/2014/main" id="{00000000-0008-0000-0F00-0000AE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5195550" y="9455151"/>
          <a:ext cx="1800000" cy="1279355"/>
        </a:xfrm>
        <a:prstGeom prst="rect">
          <a:avLst/>
        </a:prstGeom>
      </xdr:spPr>
    </xdr:pic>
    <xdr:clientData/>
  </xdr:oneCellAnchor>
  <xdr:oneCellAnchor>
    <xdr:from>
      <xdr:col>20</xdr:col>
      <xdr:colOff>330200</xdr:colOff>
      <xdr:row>246</xdr:row>
      <xdr:rowOff>38100</xdr:rowOff>
    </xdr:from>
    <xdr:ext cx="1800000" cy="1279355"/>
    <xdr:pic>
      <xdr:nvPicPr>
        <xdr:cNvPr id="203" name="Imagen 202">
          <a:extLst>
            <a:ext uri="{FF2B5EF4-FFF2-40B4-BE49-F238E27FC236}">
              <a16:creationId xmlns:a16="http://schemas.microsoft.com/office/drawing/2014/main" id="{00000000-0008-0000-0F00-0000CB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5290800" y="39090600"/>
          <a:ext cx="1800000" cy="1279355"/>
        </a:xfrm>
        <a:prstGeom prst="rect">
          <a:avLst/>
        </a:prstGeom>
      </xdr:spPr>
    </xdr:pic>
    <xdr:clientData/>
  </xdr:oneCellAnchor>
  <xdr:twoCellAnchor editAs="oneCell">
    <xdr:from>
      <xdr:col>20</xdr:col>
      <xdr:colOff>95250</xdr:colOff>
      <xdr:row>252</xdr:row>
      <xdr:rowOff>127001</xdr:rowOff>
    </xdr:from>
    <xdr:to>
      <xdr:col>22</xdr:col>
      <xdr:colOff>680450</xdr:colOff>
      <xdr:row>254</xdr:row>
      <xdr:rowOff>135162</xdr:rowOff>
    </xdr:to>
    <xdr:pic>
      <xdr:nvPicPr>
        <xdr:cNvPr id="19" name="Imagen 18">
          <a:extLst>
            <a:ext uri="{FF2B5EF4-FFF2-40B4-BE49-F238E27FC236}">
              <a16:creationId xmlns:a16="http://schemas.microsoft.com/office/drawing/2014/main" id="{00000000-0008-0000-0F00-000013000000}"/>
            </a:ext>
          </a:extLst>
        </xdr:cNvPr>
        <xdr:cNvPicPr>
          <a:picLocks noChangeAspect="1"/>
        </xdr:cNvPicPr>
      </xdr:nvPicPr>
      <xdr:blipFill>
        <a:blip xmlns:r="http://schemas.openxmlformats.org/officeDocument/2006/relationships" r:embed="rId3"/>
        <a:stretch>
          <a:fillRect/>
        </a:stretch>
      </xdr:blipFill>
      <xdr:spPr>
        <a:xfrm>
          <a:off x="15055850" y="40132001"/>
          <a:ext cx="2160000" cy="325661"/>
        </a:xfrm>
        <a:prstGeom prst="rect">
          <a:avLst/>
        </a:prstGeom>
      </xdr:spPr>
    </xdr:pic>
    <xdr:clientData/>
  </xdr:twoCellAnchor>
  <xdr:twoCellAnchor editAs="oneCell">
    <xdr:from>
      <xdr:col>20</xdr:col>
      <xdr:colOff>63500</xdr:colOff>
      <xdr:row>258</xdr:row>
      <xdr:rowOff>114301</xdr:rowOff>
    </xdr:from>
    <xdr:to>
      <xdr:col>22</xdr:col>
      <xdr:colOff>648700</xdr:colOff>
      <xdr:row>263</xdr:row>
      <xdr:rowOff>127648</xdr:rowOff>
    </xdr:to>
    <xdr:pic>
      <xdr:nvPicPr>
        <xdr:cNvPr id="23" name="Imagen 22">
          <a:extLst>
            <a:ext uri="{FF2B5EF4-FFF2-40B4-BE49-F238E27FC236}">
              <a16:creationId xmlns:a16="http://schemas.microsoft.com/office/drawing/2014/main" id="{00000000-0008-0000-0F00-000017000000}"/>
            </a:ext>
          </a:extLst>
        </xdr:cNvPr>
        <xdr:cNvPicPr>
          <a:picLocks noChangeAspect="1"/>
        </xdr:cNvPicPr>
      </xdr:nvPicPr>
      <xdr:blipFill>
        <a:blip xmlns:r="http://schemas.openxmlformats.org/officeDocument/2006/relationships" r:embed="rId4" cstate="screen">
          <a:extLst>
            <a:ext uri="{28A0092B-C50C-407E-A947-70E740481C1C}">
              <a14:useLocalDpi xmlns:a14="http://schemas.microsoft.com/office/drawing/2010/main"/>
            </a:ext>
          </a:extLst>
        </a:blip>
        <a:stretch>
          <a:fillRect/>
        </a:stretch>
      </xdr:blipFill>
      <xdr:spPr>
        <a:xfrm>
          <a:off x="15024100" y="41071801"/>
          <a:ext cx="2160000" cy="807097"/>
        </a:xfrm>
        <a:prstGeom prst="rect">
          <a:avLst/>
        </a:prstGeom>
      </xdr:spPr>
    </xdr:pic>
    <xdr:clientData/>
  </xdr:twoCellAnchor>
  <xdr:oneCellAnchor>
    <xdr:from>
      <xdr:col>20</xdr:col>
      <xdr:colOff>91440</xdr:colOff>
      <xdr:row>348</xdr:row>
      <xdr:rowOff>15240</xdr:rowOff>
    </xdr:from>
    <xdr:ext cx="2160000" cy="771525"/>
    <xdr:pic>
      <xdr:nvPicPr>
        <xdr:cNvPr id="106" name="image82.png">
          <a:extLst>
            <a:ext uri="{FF2B5EF4-FFF2-40B4-BE49-F238E27FC236}">
              <a16:creationId xmlns:a16="http://schemas.microsoft.com/office/drawing/2014/main" id="{729DB0E6-9500-48A4-8953-003DE1D66B97}"/>
            </a:ext>
          </a:extLst>
        </xdr:cNvPr>
        <xdr:cNvPicPr preferRelativeResize="0"/>
      </xdr:nvPicPr>
      <xdr:blipFill>
        <a:blip xmlns:r="http://schemas.openxmlformats.org/officeDocument/2006/relationships" r:embed="rId5" cstate="print"/>
        <a:stretch>
          <a:fillRect/>
        </a:stretch>
      </xdr:blipFill>
      <xdr:spPr>
        <a:xfrm>
          <a:off x="15003780" y="52021740"/>
          <a:ext cx="2160000" cy="771525"/>
        </a:xfrm>
        <a:prstGeom prst="rect">
          <a:avLst/>
        </a:prstGeom>
        <a:noFill/>
      </xdr:spPr>
    </xdr:pic>
    <xdr:clientData fLocksWithSheet="0"/>
  </xdr:oneCellAnchor>
  <xdr:oneCellAnchor>
    <xdr:from>
      <xdr:col>20</xdr:col>
      <xdr:colOff>76200</xdr:colOff>
      <xdr:row>347</xdr:row>
      <xdr:rowOff>142875</xdr:rowOff>
    </xdr:from>
    <xdr:ext cx="2160000" cy="771525"/>
    <xdr:pic>
      <xdr:nvPicPr>
        <xdr:cNvPr id="113" name="image82.png">
          <a:extLst>
            <a:ext uri="{FF2B5EF4-FFF2-40B4-BE49-F238E27FC236}">
              <a16:creationId xmlns:a16="http://schemas.microsoft.com/office/drawing/2014/main" id="{2EABBF51-5222-4006-ABFD-A66EF041A4AE}"/>
            </a:ext>
          </a:extLst>
        </xdr:cNvPr>
        <xdr:cNvPicPr preferRelativeResize="0"/>
      </xdr:nvPicPr>
      <xdr:blipFill>
        <a:blip xmlns:r="http://schemas.openxmlformats.org/officeDocument/2006/relationships" r:embed="rId5" cstate="print"/>
        <a:stretch>
          <a:fillRect/>
        </a:stretch>
      </xdr:blipFill>
      <xdr:spPr>
        <a:xfrm>
          <a:off x="14988540" y="51989355"/>
          <a:ext cx="2160000" cy="771525"/>
        </a:xfrm>
        <a:prstGeom prst="rect">
          <a:avLst/>
        </a:prstGeom>
        <a:noFill/>
      </xdr:spPr>
    </xdr:pic>
    <xdr:clientData fLocksWithSheet="0"/>
  </xdr:oneCellAnchor>
  <xdr:oneCellAnchor>
    <xdr:from>
      <xdr:col>20</xdr:col>
      <xdr:colOff>118110</xdr:colOff>
      <xdr:row>368</xdr:row>
      <xdr:rowOff>28575</xdr:rowOff>
    </xdr:from>
    <xdr:ext cx="2152650" cy="1362075"/>
    <xdr:pic>
      <xdr:nvPicPr>
        <xdr:cNvPr id="116" name="image91.png">
          <a:extLst>
            <a:ext uri="{FF2B5EF4-FFF2-40B4-BE49-F238E27FC236}">
              <a16:creationId xmlns:a16="http://schemas.microsoft.com/office/drawing/2014/main" id="{5B27D3A8-D261-452C-B054-3EFE01DE2D4C}"/>
            </a:ext>
          </a:extLst>
        </xdr:cNvPr>
        <xdr:cNvPicPr preferRelativeResize="0"/>
      </xdr:nvPicPr>
      <xdr:blipFill>
        <a:blip xmlns:r="http://schemas.openxmlformats.org/officeDocument/2006/relationships" r:embed="rId6" cstate="print"/>
        <a:stretch>
          <a:fillRect/>
        </a:stretch>
      </xdr:blipFill>
      <xdr:spPr>
        <a:xfrm>
          <a:off x="15030450" y="55235475"/>
          <a:ext cx="2152650" cy="1362075"/>
        </a:xfrm>
        <a:prstGeom prst="rect">
          <a:avLst/>
        </a:prstGeom>
        <a:noFill/>
      </xdr:spPr>
    </xdr:pic>
    <xdr:clientData fLocksWithSheet="0"/>
  </xdr:oneCellAnchor>
  <xdr:twoCellAnchor editAs="oneCell">
    <xdr:from>
      <xdr:col>8</xdr:col>
      <xdr:colOff>78442</xdr:colOff>
      <xdr:row>5</xdr:row>
      <xdr:rowOff>134471</xdr:rowOff>
    </xdr:from>
    <xdr:to>
      <xdr:col>10</xdr:col>
      <xdr:colOff>603342</xdr:colOff>
      <xdr:row>10</xdr:row>
      <xdr:rowOff>56029</xdr:rowOff>
    </xdr:to>
    <xdr:pic>
      <xdr:nvPicPr>
        <xdr:cNvPr id="133" name="Imagen 132">
          <a:extLst>
            <a:ext uri="{FF2B5EF4-FFF2-40B4-BE49-F238E27FC236}">
              <a16:creationId xmlns:a16="http://schemas.microsoft.com/office/drawing/2014/main" id="{7E629EC9-36CA-4C85-B832-2AAF19C19DA3}"/>
            </a:ext>
          </a:extLst>
        </xdr:cNvPr>
        <xdr:cNvPicPr>
          <a:picLocks noChangeAspect="1"/>
        </xdr:cNvPicPr>
      </xdr:nvPicPr>
      <xdr:blipFill>
        <a:blip xmlns:r="http://schemas.openxmlformats.org/officeDocument/2006/relationships" r:embed="rId7"/>
        <a:stretch>
          <a:fillRect/>
        </a:stretch>
      </xdr:blipFill>
      <xdr:spPr>
        <a:xfrm>
          <a:off x="4303060" y="918883"/>
          <a:ext cx="1835988" cy="705970"/>
        </a:xfrm>
        <a:prstGeom prst="rect">
          <a:avLst/>
        </a:prstGeom>
      </xdr:spPr>
    </xdr:pic>
    <xdr:clientData/>
  </xdr:twoCellAnchor>
  <xdr:twoCellAnchor editAs="oneCell">
    <xdr:from>
      <xdr:col>12</xdr:col>
      <xdr:colOff>56030</xdr:colOff>
      <xdr:row>6</xdr:row>
      <xdr:rowOff>100853</xdr:rowOff>
    </xdr:from>
    <xdr:to>
      <xdr:col>14</xdr:col>
      <xdr:colOff>672353</xdr:colOff>
      <xdr:row>10</xdr:row>
      <xdr:rowOff>149400</xdr:rowOff>
    </xdr:to>
    <xdr:pic>
      <xdr:nvPicPr>
        <xdr:cNvPr id="134" name="Imagen 133">
          <a:extLst>
            <a:ext uri="{FF2B5EF4-FFF2-40B4-BE49-F238E27FC236}">
              <a16:creationId xmlns:a16="http://schemas.microsoft.com/office/drawing/2014/main" id="{89556E04-89F6-452B-920A-0EFE070139B5}"/>
            </a:ext>
          </a:extLst>
        </xdr:cNvPr>
        <xdr:cNvPicPr>
          <a:picLocks noChangeAspect="1"/>
        </xdr:cNvPicPr>
      </xdr:nvPicPr>
      <xdr:blipFill>
        <a:blip xmlns:r="http://schemas.openxmlformats.org/officeDocument/2006/relationships" r:embed="rId8"/>
        <a:stretch>
          <a:fillRect/>
        </a:stretch>
      </xdr:blipFill>
      <xdr:spPr>
        <a:xfrm>
          <a:off x="7115736" y="1042147"/>
          <a:ext cx="2140323" cy="676077"/>
        </a:xfrm>
        <a:prstGeom prst="rect">
          <a:avLst/>
        </a:prstGeom>
      </xdr:spPr>
    </xdr:pic>
    <xdr:clientData/>
  </xdr:twoCellAnchor>
  <xdr:twoCellAnchor editAs="oneCell">
    <xdr:from>
      <xdr:col>16</xdr:col>
      <xdr:colOff>100853</xdr:colOff>
      <xdr:row>5</xdr:row>
      <xdr:rowOff>56029</xdr:rowOff>
    </xdr:from>
    <xdr:to>
      <xdr:col>18</xdr:col>
      <xdr:colOff>661147</xdr:colOff>
      <xdr:row>11</xdr:row>
      <xdr:rowOff>13952</xdr:rowOff>
    </xdr:to>
    <xdr:pic>
      <xdr:nvPicPr>
        <xdr:cNvPr id="135" name="Imagen 134">
          <a:extLst>
            <a:ext uri="{FF2B5EF4-FFF2-40B4-BE49-F238E27FC236}">
              <a16:creationId xmlns:a16="http://schemas.microsoft.com/office/drawing/2014/main" id="{1C83C335-B486-4A57-A60C-06A057567388}"/>
            </a:ext>
          </a:extLst>
        </xdr:cNvPr>
        <xdr:cNvPicPr>
          <a:picLocks noChangeAspect="1"/>
        </xdr:cNvPicPr>
      </xdr:nvPicPr>
      <xdr:blipFill>
        <a:blip xmlns:r="http://schemas.openxmlformats.org/officeDocument/2006/relationships" r:embed="rId9"/>
        <a:stretch>
          <a:fillRect/>
        </a:stretch>
      </xdr:blipFill>
      <xdr:spPr>
        <a:xfrm>
          <a:off x="10208559" y="840441"/>
          <a:ext cx="2084294" cy="899217"/>
        </a:xfrm>
        <a:prstGeom prst="rect">
          <a:avLst/>
        </a:prstGeom>
      </xdr:spPr>
    </xdr:pic>
    <xdr:clientData/>
  </xdr:twoCellAnchor>
  <xdr:twoCellAnchor editAs="oneCell">
    <xdr:from>
      <xdr:col>20</xdr:col>
      <xdr:colOff>44823</xdr:colOff>
      <xdr:row>5</xdr:row>
      <xdr:rowOff>22411</xdr:rowOff>
    </xdr:from>
    <xdr:to>
      <xdr:col>22</xdr:col>
      <xdr:colOff>707090</xdr:colOff>
      <xdr:row>11</xdr:row>
      <xdr:rowOff>17070</xdr:rowOff>
    </xdr:to>
    <xdr:pic>
      <xdr:nvPicPr>
        <xdr:cNvPr id="146" name="Imagen 145">
          <a:extLst>
            <a:ext uri="{FF2B5EF4-FFF2-40B4-BE49-F238E27FC236}">
              <a16:creationId xmlns:a16="http://schemas.microsoft.com/office/drawing/2014/main" id="{8F16BE5E-C09F-4707-8B10-8A325E0A8246}"/>
            </a:ext>
          </a:extLst>
        </xdr:cNvPr>
        <xdr:cNvPicPr>
          <a:picLocks noChangeAspect="1"/>
        </xdr:cNvPicPr>
      </xdr:nvPicPr>
      <xdr:blipFill>
        <a:blip xmlns:r="http://schemas.openxmlformats.org/officeDocument/2006/relationships" r:embed="rId10"/>
        <a:stretch>
          <a:fillRect/>
        </a:stretch>
      </xdr:blipFill>
      <xdr:spPr>
        <a:xfrm>
          <a:off x="13200529" y="806823"/>
          <a:ext cx="2186267" cy="935953"/>
        </a:xfrm>
        <a:prstGeom prst="rect">
          <a:avLst/>
        </a:prstGeom>
      </xdr:spPr>
    </xdr:pic>
    <xdr:clientData/>
  </xdr:twoCellAnchor>
  <xdr:twoCellAnchor editAs="oneCell">
    <xdr:from>
      <xdr:col>8</xdr:col>
      <xdr:colOff>89648</xdr:colOff>
      <xdr:row>16</xdr:row>
      <xdr:rowOff>78441</xdr:rowOff>
    </xdr:from>
    <xdr:to>
      <xdr:col>10</xdr:col>
      <xdr:colOff>683560</xdr:colOff>
      <xdr:row>21</xdr:row>
      <xdr:rowOff>113750</xdr:rowOff>
    </xdr:to>
    <xdr:pic>
      <xdr:nvPicPr>
        <xdr:cNvPr id="137" name="Imagen 136">
          <a:extLst>
            <a:ext uri="{FF2B5EF4-FFF2-40B4-BE49-F238E27FC236}">
              <a16:creationId xmlns:a16="http://schemas.microsoft.com/office/drawing/2014/main" id="{B6F9A8F2-FF29-431C-8B58-B37C2419F66B}"/>
            </a:ext>
          </a:extLst>
        </xdr:cNvPr>
        <xdr:cNvPicPr>
          <a:picLocks noChangeAspect="1"/>
        </xdr:cNvPicPr>
      </xdr:nvPicPr>
      <xdr:blipFill>
        <a:blip xmlns:r="http://schemas.openxmlformats.org/officeDocument/2006/relationships" r:embed="rId11"/>
        <a:stretch>
          <a:fillRect/>
        </a:stretch>
      </xdr:blipFill>
      <xdr:spPr>
        <a:xfrm>
          <a:off x="4314266" y="2588559"/>
          <a:ext cx="1905000" cy="819720"/>
        </a:xfrm>
        <a:prstGeom prst="rect">
          <a:avLst/>
        </a:prstGeom>
        <a:ln>
          <a:solidFill>
            <a:schemeClr val="tx1"/>
          </a:solidFill>
        </a:ln>
      </xdr:spPr>
    </xdr:pic>
    <xdr:clientData/>
  </xdr:twoCellAnchor>
  <xdr:twoCellAnchor editAs="oneCell">
    <xdr:from>
      <xdr:col>12</xdr:col>
      <xdr:colOff>100853</xdr:colOff>
      <xdr:row>15</xdr:row>
      <xdr:rowOff>123265</xdr:rowOff>
    </xdr:from>
    <xdr:to>
      <xdr:col>14</xdr:col>
      <xdr:colOff>683559</xdr:colOff>
      <xdr:row>22</xdr:row>
      <xdr:rowOff>143988</xdr:rowOff>
    </xdr:to>
    <xdr:pic>
      <xdr:nvPicPr>
        <xdr:cNvPr id="147" name="Imagen 146">
          <a:extLst>
            <a:ext uri="{FF2B5EF4-FFF2-40B4-BE49-F238E27FC236}">
              <a16:creationId xmlns:a16="http://schemas.microsoft.com/office/drawing/2014/main" id="{A40B117A-DE62-4B93-9A17-82E5AC5BF8BB}"/>
            </a:ext>
          </a:extLst>
        </xdr:cNvPr>
        <xdr:cNvPicPr>
          <a:picLocks noChangeAspect="1"/>
        </xdr:cNvPicPr>
      </xdr:nvPicPr>
      <xdr:blipFill>
        <a:blip xmlns:r="http://schemas.openxmlformats.org/officeDocument/2006/relationships" r:embed="rId12"/>
        <a:stretch>
          <a:fillRect/>
        </a:stretch>
      </xdr:blipFill>
      <xdr:spPr>
        <a:xfrm>
          <a:off x="7160559" y="2476500"/>
          <a:ext cx="2106706" cy="1118900"/>
        </a:xfrm>
        <a:prstGeom prst="rect">
          <a:avLst/>
        </a:prstGeom>
        <a:ln>
          <a:solidFill>
            <a:schemeClr val="tx1"/>
          </a:solidFill>
        </a:ln>
      </xdr:spPr>
    </xdr:pic>
    <xdr:clientData/>
  </xdr:twoCellAnchor>
  <xdr:twoCellAnchor editAs="oneCell">
    <xdr:from>
      <xdr:col>20</xdr:col>
      <xdr:colOff>392207</xdr:colOff>
      <xdr:row>15</xdr:row>
      <xdr:rowOff>56030</xdr:rowOff>
    </xdr:from>
    <xdr:to>
      <xdr:col>22</xdr:col>
      <xdr:colOff>235325</xdr:colOff>
      <xdr:row>23</xdr:row>
      <xdr:rowOff>54900</xdr:rowOff>
    </xdr:to>
    <xdr:pic>
      <xdr:nvPicPr>
        <xdr:cNvPr id="148" name="Imagen 147">
          <a:extLst>
            <a:ext uri="{FF2B5EF4-FFF2-40B4-BE49-F238E27FC236}">
              <a16:creationId xmlns:a16="http://schemas.microsoft.com/office/drawing/2014/main" id="{6BA0BAF1-31D4-4F5E-8F81-50C7D8FD249A}"/>
            </a:ext>
          </a:extLst>
        </xdr:cNvPr>
        <xdr:cNvPicPr>
          <a:picLocks noChangeAspect="1"/>
        </xdr:cNvPicPr>
      </xdr:nvPicPr>
      <xdr:blipFill>
        <a:blip xmlns:r="http://schemas.openxmlformats.org/officeDocument/2006/relationships" r:embed="rId13"/>
        <a:stretch>
          <a:fillRect/>
        </a:stretch>
      </xdr:blipFill>
      <xdr:spPr>
        <a:xfrm>
          <a:off x="13547913" y="2409265"/>
          <a:ext cx="1367118" cy="1253929"/>
        </a:xfrm>
        <a:prstGeom prst="rect">
          <a:avLst/>
        </a:prstGeom>
        <a:ln>
          <a:solidFill>
            <a:schemeClr val="tx1"/>
          </a:solidFill>
        </a:ln>
      </xdr:spPr>
    </xdr:pic>
    <xdr:clientData/>
  </xdr:twoCellAnchor>
  <xdr:twoCellAnchor editAs="oneCell">
    <xdr:from>
      <xdr:col>8</xdr:col>
      <xdr:colOff>201705</xdr:colOff>
      <xdr:row>26</xdr:row>
      <xdr:rowOff>56029</xdr:rowOff>
    </xdr:from>
    <xdr:to>
      <xdr:col>10</xdr:col>
      <xdr:colOff>647018</xdr:colOff>
      <xdr:row>29</xdr:row>
      <xdr:rowOff>78441</xdr:rowOff>
    </xdr:to>
    <xdr:pic>
      <xdr:nvPicPr>
        <xdr:cNvPr id="136" name="Imagen 135">
          <a:extLst>
            <a:ext uri="{FF2B5EF4-FFF2-40B4-BE49-F238E27FC236}">
              <a16:creationId xmlns:a16="http://schemas.microsoft.com/office/drawing/2014/main" id="{105EE188-F6CA-4D1B-844B-E1016B67F965}"/>
            </a:ext>
          </a:extLst>
        </xdr:cNvPr>
        <xdr:cNvPicPr>
          <a:picLocks noChangeAspect="1"/>
        </xdr:cNvPicPr>
      </xdr:nvPicPr>
      <xdr:blipFill>
        <a:blip xmlns:r="http://schemas.openxmlformats.org/officeDocument/2006/relationships" r:embed="rId14"/>
        <a:stretch>
          <a:fillRect/>
        </a:stretch>
      </xdr:blipFill>
      <xdr:spPr>
        <a:xfrm>
          <a:off x="4426323" y="4134970"/>
          <a:ext cx="1756401" cy="493059"/>
        </a:xfrm>
        <a:prstGeom prst="rect">
          <a:avLst/>
        </a:prstGeom>
      </xdr:spPr>
    </xdr:pic>
    <xdr:clientData/>
  </xdr:twoCellAnchor>
  <xdr:twoCellAnchor editAs="oneCell">
    <xdr:from>
      <xdr:col>8</xdr:col>
      <xdr:colOff>44823</xdr:colOff>
      <xdr:row>30</xdr:row>
      <xdr:rowOff>67236</xdr:rowOff>
    </xdr:from>
    <xdr:to>
      <xdr:col>10</xdr:col>
      <xdr:colOff>739588</xdr:colOff>
      <xdr:row>33</xdr:row>
      <xdr:rowOff>152197</xdr:rowOff>
    </xdr:to>
    <xdr:pic>
      <xdr:nvPicPr>
        <xdr:cNvPr id="149" name="Imagen 148">
          <a:extLst>
            <a:ext uri="{FF2B5EF4-FFF2-40B4-BE49-F238E27FC236}">
              <a16:creationId xmlns:a16="http://schemas.microsoft.com/office/drawing/2014/main" id="{72D8A9FA-77F8-4B78-9E4A-DB17E7A8D0A7}"/>
            </a:ext>
          </a:extLst>
        </xdr:cNvPr>
        <xdr:cNvPicPr>
          <a:picLocks noChangeAspect="1"/>
        </xdr:cNvPicPr>
      </xdr:nvPicPr>
      <xdr:blipFill>
        <a:blip xmlns:r="http://schemas.openxmlformats.org/officeDocument/2006/relationships" r:embed="rId15"/>
        <a:stretch>
          <a:fillRect/>
        </a:stretch>
      </xdr:blipFill>
      <xdr:spPr>
        <a:xfrm>
          <a:off x="4269441" y="4773707"/>
          <a:ext cx="2005853" cy="555608"/>
        </a:xfrm>
        <a:prstGeom prst="rect">
          <a:avLst/>
        </a:prstGeom>
      </xdr:spPr>
    </xdr:pic>
    <xdr:clientData/>
  </xdr:twoCellAnchor>
  <xdr:twoCellAnchor editAs="oneCell">
    <xdr:from>
      <xdr:col>8</xdr:col>
      <xdr:colOff>44824</xdr:colOff>
      <xdr:row>37</xdr:row>
      <xdr:rowOff>44823</xdr:rowOff>
    </xdr:from>
    <xdr:to>
      <xdr:col>10</xdr:col>
      <xdr:colOff>207727</xdr:colOff>
      <xdr:row>39</xdr:row>
      <xdr:rowOff>56030</xdr:rowOff>
    </xdr:to>
    <xdr:pic>
      <xdr:nvPicPr>
        <xdr:cNvPr id="151" name="Imagen 150">
          <a:extLst>
            <a:ext uri="{FF2B5EF4-FFF2-40B4-BE49-F238E27FC236}">
              <a16:creationId xmlns:a16="http://schemas.microsoft.com/office/drawing/2014/main" id="{D987E274-1D2E-48BE-8A64-CFE5D5FA05C6}"/>
            </a:ext>
          </a:extLst>
        </xdr:cNvPr>
        <xdr:cNvPicPr>
          <a:picLocks noChangeAspect="1"/>
        </xdr:cNvPicPr>
      </xdr:nvPicPr>
      <xdr:blipFill>
        <a:blip xmlns:r="http://schemas.openxmlformats.org/officeDocument/2006/relationships" r:embed="rId16"/>
        <a:stretch>
          <a:fillRect/>
        </a:stretch>
      </xdr:blipFill>
      <xdr:spPr>
        <a:xfrm>
          <a:off x="4269442" y="5849470"/>
          <a:ext cx="1473991" cy="324972"/>
        </a:xfrm>
        <a:prstGeom prst="rect">
          <a:avLst/>
        </a:prstGeom>
      </xdr:spPr>
    </xdr:pic>
    <xdr:clientData/>
  </xdr:twoCellAnchor>
  <xdr:twoCellAnchor editAs="oneCell">
    <xdr:from>
      <xdr:col>9</xdr:col>
      <xdr:colOff>33618</xdr:colOff>
      <xdr:row>39</xdr:row>
      <xdr:rowOff>44822</xdr:rowOff>
    </xdr:from>
    <xdr:to>
      <xdr:col>10</xdr:col>
      <xdr:colOff>739588</xdr:colOff>
      <xdr:row>41</xdr:row>
      <xdr:rowOff>85313</xdr:rowOff>
    </xdr:to>
    <xdr:pic>
      <xdr:nvPicPr>
        <xdr:cNvPr id="155" name="Imagen 154">
          <a:extLst>
            <a:ext uri="{FF2B5EF4-FFF2-40B4-BE49-F238E27FC236}">
              <a16:creationId xmlns:a16="http://schemas.microsoft.com/office/drawing/2014/main" id="{ABD3CEEF-EF96-447F-81DE-E7C623857E5C}"/>
            </a:ext>
          </a:extLst>
        </xdr:cNvPr>
        <xdr:cNvPicPr>
          <a:picLocks noChangeAspect="1"/>
        </xdr:cNvPicPr>
      </xdr:nvPicPr>
      <xdr:blipFill>
        <a:blip xmlns:r="http://schemas.openxmlformats.org/officeDocument/2006/relationships" r:embed="rId17"/>
        <a:stretch>
          <a:fillRect/>
        </a:stretch>
      </xdr:blipFill>
      <xdr:spPr>
        <a:xfrm>
          <a:off x="5020236" y="6163234"/>
          <a:ext cx="1255058" cy="354255"/>
        </a:xfrm>
        <a:prstGeom prst="rect">
          <a:avLst/>
        </a:prstGeom>
      </xdr:spPr>
    </xdr:pic>
    <xdr:clientData/>
  </xdr:twoCellAnchor>
  <xdr:twoCellAnchor editAs="oneCell">
    <xdr:from>
      <xdr:col>8</xdr:col>
      <xdr:colOff>56031</xdr:colOff>
      <xdr:row>41</xdr:row>
      <xdr:rowOff>67237</xdr:rowOff>
    </xdr:from>
    <xdr:to>
      <xdr:col>9</xdr:col>
      <xdr:colOff>336177</xdr:colOff>
      <xdr:row>43</xdr:row>
      <xdr:rowOff>41582</xdr:rowOff>
    </xdr:to>
    <xdr:pic>
      <xdr:nvPicPr>
        <xdr:cNvPr id="157" name="Imagen 156">
          <a:extLst>
            <a:ext uri="{FF2B5EF4-FFF2-40B4-BE49-F238E27FC236}">
              <a16:creationId xmlns:a16="http://schemas.microsoft.com/office/drawing/2014/main" id="{C7F75294-E64B-4C29-86AC-829D9830BDD1}"/>
            </a:ext>
          </a:extLst>
        </xdr:cNvPr>
        <xdr:cNvPicPr>
          <a:picLocks noChangeAspect="1"/>
        </xdr:cNvPicPr>
      </xdr:nvPicPr>
      <xdr:blipFill>
        <a:blip xmlns:r="http://schemas.openxmlformats.org/officeDocument/2006/relationships" r:embed="rId18"/>
        <a:stretch>
          <a:fillRect/>
        </a:stretch>
      </xdr:blipFill>
      <xdr:spPr>
        <a:xfrm>
          <a:off x="4280649" y="6499413"/>
          <a:ext cx="1042146" cy="288110"/>
        </a:xfrm>
        <a:prstGeom prst="rect">
          <a:avLst/>
        </a:prstGeom>
      </xdr:spPr>
    </xdr:pic>
    <xdr:clientData/>
  </xdr:twoCellAnchor>
  <xdr:twoCellAnchor editAs="oneCell">
    <xdr:from>
      <xdr:col>8</xdr:col>
      <xdr:colOff>661147</xdr:colOff>
      <xdr:row>43</xdr:row>
      <xdr:rowOff>78443</xdr:rowOff>
    </xdr:from>
    <xdr:to>
      <xdr:col>10</xdr:col>
      <xdr:colOff>728382</xdr:colOff>
      <xdr:row>45</xdr:row>
      <xdr:rowOff>149374</xdr:rowOff>
    </xdr:to>
    <xdr:pic>
      <xdr:nvPicPr>
        <xdr:cNvPr id="158" name="Imagen 157">
          <a:extLst>
            <a:ext uri="{FF2B5EF4-FFF2-40B4-BE49-F238E27FC236}">
              <a16:creationId xmlns:a16="http://schemas.microsoft.com/office/drawing/2014/main" id="{8655E9AD-1E37-4F3E-8FEC-1A6B103EF1BF}"/>
            </a:ext>
          </a:extLst>
        </xdr:cNvPr>
        <xdr:cNvPicPr>
          <a:picLocks noChangeAspect="1"/>
        </xdr:cNvPicPr>
      </xdr:nvPicPr>
      <xdr:blipFill>
        <a:blip xmlns:r="http://schemas.openxmlformats.org/officeDocument/2006/relationships" r:embed="rId19"/>
        <a:stretch>
          <a:fillRect/>
        </a:stretch>
      </xdr:blipFill>
      <xdr:spPr>
        <a:xfrm>
          <a:off x="4885765" y="6824384"/>
          <a:ext cx="1378323" cy="384696"/>
        </a:xfrm>
        <a:prstGeom prst="rect">
          <a:avLst/>
        </a:prstGeom>
      </xdr:spPr>
    </xdr:pic>
    <xdr:clientData/>
  </xdr:twoCellAnchor>
  <xdr:twoCellAnchor editAs="oneCell">
    <xdr:from>
      <xdr:col>12</xdr:col>
      <xdr:colOff>78441</xdr:colOff>
      <xdr:row>38</xdr:row>
      <xdr:rowOff>78444</xdr:rowOff>
    </xdr:from>
    <xdr:to>
      <xdr:col>14</xdr:col>
      <xdr:colOff>672353</xdr:colOff>
      <xdr:row>43</xdr:row>
      <xdr:rowOff>64125</xdr:rowOff>
    </xdr:to>
    <xdr:pic>
      <xdr:nvPicPr>
        <xdr:cNvPr id="160" name="Imagen 159">
          <a:extLst>
            <a:ext uri="{FF2B5EF4-FFF2-40B4-BE49-F238E27FC236}">
              <a16:creationId xmlns:a16="http://schemas.microsoft.com/office/drawing/2014/main" id="{2B98DC67-8CF0-4482-9B3C-2A75DD03D1CE}"/>
            </a:ext>
          </a:extLst>
        </xdr:cNvPr>
        <xdr:cNvPicPr>
          <a:picLocks noChangeAspect="1"/>
        </xdr:cNvPicPr>
      </xdr:nvPicPr>
      <xdr:blipFill>
        <a:blip xmlns:r="http://schemas.openxmlformats.org/officeDocument/2006/relationships" r:embed="rId20"/>
        <a:stretch>
          <a:fillRect/>
        </a:stretch>
      </xdr:blipFill>
      <xdr:spPr>
        <a:xfrm>
          <a:off x="7138147" y="6039973"/>
          <a:ext cx="2117912" cy="770093"/>
        </a:xfrm>
        <a:prstGeom prst="rect">
          <a:avLst/>
        </a:prstGeom>
      </xdr:spPr>
    </xdr:pic>
    <xdr:clientData/>
  </xdr:twoCellAnchor>
  <xdr:twoCellAnchor editAs="oneCell">
    <xdr:from>
      <xdr:col>20</xdr:col>
      <xdr:colOff>56030</xdr:colOff>
      <xdr:row>38</xdr:row>
      <xdr:rowOff>67236</xdr:rowOff>
    </xdr:from>
    <xdr:to>
      <xdr:col>22</xdr:col>
      <xdr:colOff>712637</xdr:colOff>
      <xdr:row>43</xdr:row>
      <xdr:rowOff>0</xdr:rowOff>
    </xdr:to>
    <xdr:pic>
      <xdr:nvPicPr>
        <xdr:cNvPr id="162" name="Imagen 161">
          <a:extLst>
            <a:ext uri="{FF2B5EF4-FFF2-40B4-BE49-F238E27FC236}">
              <a16:creationId xmlns:a16="http://schemas.microsoft.com/office/drawing/2014/main" id="{71364D05-8C24-410F-83CA-C58D5D16A9CD}"/>
            </a:ext>
          </a:extLst>
        </xdr:cNvPr>
        <xdr:cNvPicPr>
          <a:picLocks noChangeAspect="1"/>
        </xdr:cNvPicPr>
      </xdr:nvPicPr>
      <xdr:blipFill>
        <a:blip xmlns:r="http://schemas.openxmlformats.org/officeDocument/2006/relationships" r:embed="rId21"/>
        <a:stretch>
          <a:fillRect/>
        </a:stretch>
      </xdr:blipFill>
      <xdr:spPr>
        <a:xfrm>
          <a:off x="13211736" y="6028765"/>
          <a:ext cx="2180607" cy="717176"/>
        </a:xfrm>
        <a:prstGeom prst="rect">
          <a:avLst/>
        </a:prstGeom>
      </xdr:spPr>
    </xdr:pic>
    <xdr:clientData/>
  </xdr:twoCellAnchor>
  <xdr:twoCellAnchor editAs="oneCell">
    <xdr:from>
      <xdr:col>8</xdr:col>
      <xdr:colOff>156882</xdr:colOff>
      <xdr:row>49</xdr:row>
      <xdr:rowOff>37348</xdr:rowOff>
    </xdr:from>
    <xdr:to>
      <xdr:col>10</xdr:col>
      <xdr:colOff>717177</xdr:colOff>
      <xdr:row>54</xdr:row>
      <xdr:rowOff>57895</xdr:rowOff>
    </xdr:to>
    <xdr:pic>
      <xdr:nvPicPr>
        <xdr:cNvPr id="3" name="Imagen 2">
          <a:extLst>
            <a:ext uri="{FF2B5EF4-FFF2-40B4-BE49-F238E27FC236}">
              <a16:creationId xmlns:a16="http://schemas.microsoft.com/office/drawing/2014/main" id="{CC79291F-2B13-4E3E-AC5A-901745BCCFC0}"/>
            </a:ext>
          </a:extLst>
        </xdr:cNvPr>
        <xdr:cNvPicPr>
          <a:picLocks noChangeAspect="1"/>
        </xdr:cNvPicPr>
      </xdr:nvPicPr>
      <xdr:blipFill>
        <a:blip xmlns:r="http://schemas.openxmlformats.org/officeDocument/2006/relationships" r:embed="rId22"/>
        <a:stretch>
          <a:fillRect/>
        </a:stretch>
      </xdr:blipFill>
      <xdr:spPr>
        <a:xfrm>
          <a:off x="4381500" y="7724583"/>
          <a:ext cx="1871383" cy="804959"/>
        </a:xfrm>
        <a:prstGeom prst="rect">
          <a:avLst/>
        </a:prstGeom>
      </xdr:spPr>
    </xdr:pic>
    <xdr:clientData/>
  </xdr:twoCellAnchor>
  <xdr:twoCellAnchor editAs="oneCell">
    <xdr:from>
      <xdr:col>12</xdr:col>
      <xdr:colOff>627531</xdr:colOff>
      <xdr:row>48</xdr:row>
      <xdr:rowOff>78441</xdr:rowOff>
    </xdr:from>
    <xdr:to>
      <xdr:col>13</xdr:col>
      <xdr:colOff>638737</xdr:colOff>
      <xdr:row>56</xdr:row>
      <xdr:rowOff>120216</xdr:rowOff>
    </xdr:to>
    <xdr:pic>
      <xdr:nvPicPr>
        <xdr:cNvPr id="164" name="Imagen 163">
          <a:extLst>
            <a:ext uri="{FF2B5EF4-FFF2-40B4-BE49-F238E27FC236}">
              <a16:creationId xmlns:a16="http://schemas.microsoft.com/office/drawing/2014/main" id="{6C1E4092-2B3B-4D71-84EC-22F9D940D296}"/>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7687237" y="7608794"/>
          <a:ext cx="773206" cy="12968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459443</xdr:colOff>
      <xdr:row>48</xdr:row>
      <xdr:rowOff>44824</xdr:rowOff>
    </xdr:from>
    <xdr:to>
      <xdr:col>22</xdr:col>
      <xdr:colOff>112059</xdr:colOff>
      <xdr:row>56</xdr:row>
      <xdr:rowOff>137007</xdr:rowOff>
    </xdr:to>
    <xdr:pic>
      <xdr:nvPicPr>
        <xdr:cNvPr id="166" name="Imagen 165">
          <a:extLst>
            <a:ext uri="{FF2B5EF4-FFF2-40B4-BE49-F238E27FC236}">
              <a16:creationId xmlns:a16="http://schemas.microsoft.com/office/drawing/2014/main" id="{6A2E0D86-C8D4-47D7-82BF-55E6B03A7100}"/>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13615149" y="7575177"/>
          <a:ext cx="1176616" cy="13472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123265</xdr:colOff>
      <xdr:row>59</xdr:row>
      <xdr:rowOff>134471</xdr:rowOff>
    </xdr:from>
    <xdr:to>
      <xdr:col>10</xdr:col>
      <xdr:colOff>595775</xdr:colOff>
      <xdr:row>67</xdr:row>
      <xdr:rowOff>33618</xdr:rowOff>
    </xdr:to>
    <xdr:pic>
      <xdr:nvPicPr>
        <xdr:cNvPr id="167" name="Imagen 166">
          <a:extLst>
            <a:ext uri="{FF2B5EF4-FFF2-40B4-BE49-F238E27FC236}">
              <a16:creationId xmlns:a16="http://schemas.microsoft.com/office/drawing/2014/main" id="{75248B5D-83C3-44C9-9273-86F27B464298}"/>
            </a:ext>
          </a:extLst>
        </xdr:cNvPr>
        <xdr:cNvPicPr>
          <a:picLocks noChangeAspect="1"/>
        </xdr:cNvPicPr>
      </xdr:nvPicPr>
      <xdr:blipFill>
        <a:blip xmlns:r="http://schemas.openxmlformats.org/officeDocument/2006/relationships" r:embed="rId25"/>
        <a:stretch>
          <a:fillRect/>
        </a:stretch>
      </xdr:blipFill>
      <xdr:spPr>
        <a:xfrm>
          <a:off x="4347883" y="9390530"/>
          <a:ext cx="1783598" cy="1154206"/>
        </a:xfrm>
        <a:prstGeom prst="rect">
          <a:avLst/>
        </a:prstGeom>
        <a:ln>
          <a:solidFill>
            <a:sysClr val="windowText" lastClr="000000"/>
          </a:solidFill>
        </a:ln>
      </xdr:spPr>
    </xdr:pic>
    <xdr:clientData/>
  </xdr:twoCellAnchor>
  <xdr:twoCellAnchor editAs="oneCell">
    <xdr:from>
      <xdr:col>8</xdr:col>
      <xdr:colOff>179294</xdr:colOff>
      <xdr:row>81</xdr:row>
      <xdr:rowOff>134471</xdr:rowOff>
    </xdr:from>
    <xdr:to>
      <xdr:col>10</xdr:col>
      <xdr:colOff>651804</xdr:colOff>
      <xdr:row>89</xdr:row>
      <xdr:rowOff>33619</xdr:rowOff>
    </xdr:to>
    <xdr:pic>
      <xdr:nvPicPr>
        <xdr:cNvPr id="168" name="Imagen 167">
          <a:extLst>
            <a:ext uri="{FF2B5EF4-FFF2-40B4-BE49-F238E27FC236}">
              <a16:creationId xmlns:a16="http://schemas.microsoft.com/office/drawing/2014/main" id="{683EC3CB-E9E8-4BB8-BC7F-9E673C8267DC}"/>
            </a:ext>
          </a:extLst>
        </xdr:cNvPr>
        <xdr:cNvPicPr>
          <a:picLocks noChangeAspect="1"/>
        </xdr:cNvPicPr>
      </xdr:nvPicPr>
      <xdr:blipFill>
        <a:blip xmlns:r="http://schemas.openxmlformats.org/officeDocument/2006/relationships" r:embed="rId25"/>
        <a:stretch>
          <a:fillRect/>
        </a:stretch>
      </xdr:blipFill>
      <xdr:spPr>
        <a:xfrm>
          <a:off x="4403912" y="12841942"/>
          <a:ext cx="1783598" cy="1154206"/>
        </a:xfrm>
        <a:prstGeom prst="rect">
          <a:avLst/>
        </a:prstGeom>
        <a:ln>
          <a:solidFill>
            <a:sysClr val="windowText" lastClr="000000"/>
          </a:solidFill>
        </a:ln>
      </xdr:spPr>
    </xdr:pic>
    <xdr:clientData/>
  </xdr:twoCellAnchor>
  <xdr:twoCellAnchor editAs="oneCell">
    <xdr:from>
      <xdr:col>12</xdr:col>
      <xdr:colOff>22412</xdr:colOff>
      <xdr:row>137</xdr:row>
      <xdr:rowOff>11207</xdr:rowOff>
    </xdr:from>
    <xdr:to>
      <xdr:col>14</xdr:col>
      <xdr:colOff>694765</xdr:colOff>
      <xdr:row>141</xdr:row>
      <xdr:rowOff>104827</xdr:rowOff>
    </xdr:to>
    <xdr:pic>
      <xdr:nvPicPr>
        <xdr:cNvPr id="182" name="Imagen 181">
          <a:extLst>
            <a:ext uri="{FF2B5EF4-FFF2-40B4-BE49-F238E27FC236}">
              <a16:creationId xmlns:a16="http://schemas.microsoft.com/office/drawing/2014/main" id="{063948E8-965D-44E7-8F1E-06D5F85C34EB}"/>
            </a:ext>
          </a:extLst>
        </xdr:cNvPr>
        <xdr:cNvPicPr>
          <a:picLocks noChangeAspect="1"/>
        </xdr:cNvPicPr>
      </xdr:nvPicPr>
      <xdr:blipFill>
        <a:blip xmlns:r="http://schemas.openxmlformats.org/officeDocument/2006/relationships" r:embed="rId26"/>
        <a:stretch>
          <a:fillRect/>
        </a:stretch>
      </xdr:blipFill>
      <xdr:spPr>
        <a:xfrm>
          <a:off x="7082118" y="21504089"/>
          <a:ext cx="2196353" cy="721150"/>
        </a:xfrm>
        <a:prstGeom prst="rect">
          <a:avLst/>
        </a:prstGeom>
      </xdr:spPr>
    </xdr:pic>
    <xdr:clientData/>
  </xdr:twoCellAnchor>
  <xdr:twoCellAnchor editAs="oneCell">
    <xdr:from>
      <xdr:col>12</xdr:col>
      <xdr:colOff>123265</xdr:colOff>
      <xdr:row>236</xdr:row>
      <xdr:rowOff>22413</xdr:rowOff>
    </xdr:from>
    <xdr:to>
      <xdr:col>14</xdr:col>
      <xdr:colOff>717176</xdr:colOff>
      <xdr:row>240</xdr:row>
      <xdr:rowOff>97081</xdr:rowOff>
    </xdr:to>
    <xdr:pic>
      <xdr:nvPicPr>
        <xdr:cNvPr id="183" name="Imagen 182">
          <a:extLst>
            <a:ext uri="{FF2B5EF4-FFF2-40B4-BE49-F238E27FC236}">
              <a16:creationId xmlns:a16="http://schemas.microsoft.com/office/drawing/2014/main" id="{B5860D2D-CFC3-4734-9B99-1B9D0D557DA1}"/>
            </a:ext>
          </a:extLst>
        </xdr:cNvPr>
        <xdr:cNvPicPr>
          <a:picLocks noChangeAspect="1"/>
        </xdr:cNvPicPr>
      </xdr:nvPicPr>
      <xdr:blipFill>
        <a:blip xmlns:r="http://schemas.openxmlformats.org/officeDocument/2006/relationships" r:embed="rId8"/>
        <a:stretch>
          <a:fillRect/>
        </a:stretch>
      </xdr:blipFill>
      <xdr:spPr>
        <a:xfrm>
          <a:off x="7182971" y="37046648"/>
          <a:ext cx="2117911" cy="702198"/>
        </a:xfrm>
        <a:prstGeom prst="rect">
          <a:avLst/>
        </a:prstGeom>
      </xdr:spPr>
    </xdr:pic>
    <xdr:clientData/>
  </xdr:twoCellAnchor>
  <xdr:twoCellAnchor editAs="oneCell">
    <xdr:from>
      <xdr:col>20</xdr:col>
      <xdr:colOff>44821</xdr:colOff>
      <xdr:row>236</xdr:row>
      <xdr:rowOff>67233</xdr:rowOff>
    </xdr:from>
    <xdr:to>
      <xdr:col>22</xdr:col>
      <xdr:colOff>683559</xdr:colOff>
      <xdr:row>242</xdr:row>
      <xdr:rowOff>81895</xdr:rowOff>
    </xdr:to>
    <xdr:pic>
      <xdr:nvPicPr>
        <xdr:cNvPr id="184" name="Imagen 183">
          <a:extLst>
            <a:ext uri="{FF2B5EF4-FFF2-40B4-BE49-F238E27FC236}">
              <a16:creationId xmlns:a16="http://schemas.microsoft.com/office/drawing/2014/main" id="{C3844288-C12B-4438-A6C1-916BD1AAD096}"/>
            </a:ext>
          </a:extLst>
        </xdr:cNvPr>
        <xdr:cNvPicPr>
          <a:picLocks noChangeAspect="1"/>
        </xdr:cNvPicPr>
      </xdr:nvPicPr>
      <xdr:blipFill>
        <a:blip xmlns:r="http://schemas.openxmlformats.org/officeDocument/2006/relationships" r:embed="rId9"/>
        <a:stretch>
          <a:fillRect/>
        </a:stretch>
      </xdr:blipFill>
      <xdr:spPr>
        <a:xfrm>
          <a:off x="13200527" y="37091468"/>
          <a:ext cx="2162738" cy="955956"/>
        </a:xfrm>
        <a:prstGeom prst="rect">
          <a:avLst/>
        </a:prstGeom>
      </xdr:spPr>
    </xdr:pic>
    <xdr:clientData/>
  </xdr:twoCellAnchor>
  <xdr:twoCellAnchor editAs="oneCell">
    <xdr:from>
      <xdr:col>16</xdr:col>
      <xdr:colOff>123266</xdr:colOff>
      <xdr:row>38</xdr:row>
      <xdr:rowOff>100855</xdr:rowOff>
    </xdr:from>
    <xdr:to>
      <xdr:col>19</xdr:col>
      <xdr:colOff>5472</xdr:colOff>
      <xdr:row>42</xdr:row>
      <xdr:rowOff>67235</xdr:rowOff>
    </xdr:to>
    <xdr:pic>
      <xdr:nvPicPr>
        <xdr:cNvPr id="186" name="Imagen 185">
          <a:extLst>
            <a:ext uri="{FF2B5EF4-FFF2-40B4-BE49-F238E27FC236}">
              <a16:creationId xmlns:a16="http://schemas.microsoft.com/office/drawing/2014/main" id="{50D8C092-043D-443C-AC5D-0293C236252B}"/>
            </a:ext>
          </a:extLst>
        </xdr:cNvPr>
        <xdr:cNvPicPr>
          <a:picLocks noChangeAspect="1"/>
        </xdr:cNvPicPr>
      </xdr:nvPicPr>
      <xdr:blipFill>
        <a:blip xmlns:r="http://schemas.openxmlformats.org/officeDocument/2006/relationships" r:embed="rId27"/>
        <a:stretch>
          <a:fillRect/>
        </a:stretch>
      </xdr:blipFill>
      <xdr:spPr>
        <a:xfrm>
          <a:off x="10230972" y="6062384"/>
          <a:ext cx="2168206" cy="593910"/>
        </a:xfrm>
        <a:prstGeom prst="rect">
          <a:avLst/>
        </a:prstGeom>
      </xdr:spPr>
    </xdr:pic>
    <xdr:clientData/>
  </xdr:twoCellAnchor>
  <xdr:twoCellAnchor editAs="oneCell">
    <xdr:from>
      <xdr:col>9</xdr:col>
      <xdr:colOff>408213</xdr:colOff>
      <xdr:row>503</xdr:row>
      <xdr:rowOff>68037</xdr:rowOff>
    </xdr:from>
    <xdr:to>
      <xdr:col>12</xdr:col>
      <xdr:colOff>317912</xdr:colOff>
      <xdr:row>505</xdr:row>
      <xdr:rowOff>141059</xdr:rowOff>
    </xdr:to>
    <xdr:pic>
      <xdr:nvPicPr>
        <xdr:cNvPr id="37" name="Imagen 36">
          <a:extLst>
            <a:ext uri="{FF2B5EF4-FFF2-40B4-BE49-F238E27FC236}">
              <a16:creationId xmlns:a16="http://schemas.microsoft.com/office/drawing/2014/main" id="{B18D14D8-F0A7-423D-A9C1-827F672ED202}"/>
            </a:ext>
          </a:extLst>
        </xdr:cNvPr>
        <xdr:cNvPicPr>
          <a:picLocks noChangeAspect="1"/>
        </xdr:cNvPicPr>
      </xdr:nvPicPr>
      <xdr:blipFill>
        <a:blip xmlns:r="http://schemas.openxmlformats.org/officeDocument/2006/relationships" r:embed="rId28"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5415642" y="82690608"/>
          <a:ext cx="1991591" cy="1011915"/>
        </a:xfrm>
        <a:prstGeom prst="rect">
          <a:avLst/>
        </a:prstGeom>
      </xdr:spPr>
    </xdr:pic>
    <xdr:clientData/>
  </xdr:twoCellAnchor>
  <xdr:twoCellAnchor editAs="oneCell">
    <xdr:from>
      <xdr:col>20</xdr:col>
      <xdr:colOff>524273</xdr:colOff>
      <xdr:row>502</xdr:row>
      <xdr:rowOff>258535</xdr:rowOff>
    </xdr:from>
    <xdr:to>
      <xdr:col>23</xdr:col>
      <xdr:colOff>64832</xdr:colOff>
      <xdr:row>505</xdr:row>
      <xdr:rowOff>62675</xdr:rowOff>
    </xdr:to>
    <xdr:pic>
      <xdr:nvPicPr>
        <xdr:cNvPr id="38" name="Imagen 37">
          <a:extLst>
            <a:ext uri="{FF2B5EF4-FFF2-40B4-BE49-F238E27FC236}">
              <a16:creationId xmlns:a16="http://schemas.microsoft.com/office/drawing/2014/main" id="{85FDA6DF-200A-4D56-BA28-B9DA4994120A}"/>
            </a:ext>
          </a:extLst>
        </xdr:cNvPr>
        <xdr:cNvPicPr>
          <a:picLocks noChangeAspect="1"/>
        </xdr:cNvPicPr>
      </xdr:nvPicPr>
      <xdr:blipFill>
        <a:blip xmlns:r="http://schemas.openxmlformats.org/officeDocument/2006/relationships" r:embed="rId2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3709594" y="82418464"/>
          <a:ext cx="1826559" cy="120567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18</xdr:col>
      <xdr:colOff>96165</xdr:colOff>
      <xdr:row>2119</xdr:row>
      <xdr:rowOff>67968</xdr:rowOff>
    </xdr:from>
    <xdr:to>
      <xdr:col>21</xdr:col>
      <xdr:colOff>1268881</xdr:colOff>
      <xdr:row>2133</xdr:row>
      <xdr:rowOff>182880</xdr:rowOff>
    </xdr:to>
    <xdr:pic>
      <xdr:nvPicPr>
        <xdr:cNvPr id="4" name="Picture 9">
          <a:extLst>
            <a:ext uri="{FF2B5EF4-FFF2-40B4-BE49-F238E27FC236}">
              <a16:creationId xmlns:a16="http://schemas.microsoft.com/office/drawing/2014/main" id="{698380CE-C196-48F7-AAF6-24AED27F04F3}"/>
            </a:ext>
          </a:extLst>
        </xdr:cNvPr>
        <xdr:cNvPicPr>
          <a:picLocks noChangeAspect="1"/>
        </xdr:cNvPicPr>
      </xdr:nvPicPr>
      <xdr:blipFill>
        <a:blip xmlns:r="http://schemas.openxmlformats.org/officeDocument/2006/relationships" r:embed="rId1">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31785840" y="717948168"/>
          <a:ext cx="5239891" cy="2781912"/>
        </a:xfrm>
        <a:prstGeom prst="rect">
          <a:avLst/>
        </a:prstGeom>
        <a:noFill/>
        <a:ln>
          <a:noFill/>
        </a:ln>
      </xdr:spPr>
    </xdr:pic>
    <xdr:clientData/>
  </xdr:twoCellAnchor>
  <xdr:twoCellAnchor editAs="oneCell">
    <xdr:from>
      <xdr:col>7</xdr:col>
      <xdr:colOff>634537</xdr:colOff>
      <xdr:row>2120</xdr:row>
      <xdr:rowOff>160712</xdr:rowOff>
    </xdr:from>
    <xdr:to>
      <xdr:col>10</xdr:col>
      <xdr:colOff>526850</xdr:colOff>
      <xdr:row>2134</xdr:row>
      <xdr:rowOff>114300</xdr:rowOff>
    </xdr:to>
    <xdr:pic>
      <xdr:nvPicPr>
        <xdr:cNvPr id="5" name="Imagen 4">
          <a:extLst>
            <a:ext uri="{FF2B5EF4-FFF2-40B4-BE49-F238E27FC236}">
              <a16:creationId xmlns:a16="http://schemas.microsoft.com/office/drawing/2014/main" id="{4A6620CC-D157-4EE3-AA6B-FF29A16EEA42}"/>
            </a:ext>
          </a:extLst>
        </xdr:cNvPr>
        <xdr:cNvPicPr>
          <a:picLocks noChangeAspect="1"/>
        </xdr:cNvPicPr>
      </xdr:nvPicPr>
      <xdr:blipFill rotWithShape="1">
        <a:blip xmlns:r="http://schemas.openxmlformats.org/officeDocument/2006/relationships" r:embed="rId2"/>
        <a:srcRect l="11896" t="7262" r="6320" b="12031"/>
        <a:stretch/>
      </xdr:blipFill>
      <xdr:spPr>
        <a:xfrm>
          <a:off x="14636287" y="718231412"/>
          <a:ext cx="4464313" cy="2620588"/>
        </a:xfrm>
        <a:prstGeom prst="rect">
          <a:avLst/>
        </a:prstGeom>
      </xdr:spPr>
    </xdr:pic>
    <xdr:clientData/>
  </xdr:twoCellAnchor>
  <xdr:twoCellAnchor editAs="oneCell">
    <xdr:from>
      <xdr:col>7</xdr:col>
      <xdr:colOff>809625</xdr:colOff>
      <xdr:row>131</xdr:row>
      <xdr:rowOff>10206</xdr:rowOff>
    </xdr:from>
    <xdr:to>
      <xdr:col>9</xdr:col>
      <xdr:colOff>929965</xdr:colOff>
      <xdr:row>138</xdr:row>
      <xdr:rowOff>95249</xdr:rowOff>
    </xdr:to>
    <xdr:pic>
      <xdr:nvPicPr>
        <xdr:cNvPr id="6" name="Imagen 5">
          <a:extLst>
            <a:ext uri="{FF2B5EF4-FFF2-40B4-BE49-F238E27FC236}">
              <a16:creationId xmlns:a16="http://schemas.microsoft.com/office/drawing/2014/main" id="{9DD91C01-EDB6-4833-A2A1-47A1DAA62464}"/>
            </a:ext>
          </a:extLst>
        </xdr:cNvPr>
        <xdr:cNvPicPr>
          <a:picLocks noChangeAspect="1"/>
        </xdr:cNvPicPr>
      </xdr:nvPicPr>
      <xdr:blipFill>
        <a:blip xmlns:r="http://schemas.openxmlformats.org/officeDocument/2006/relationships" r:embed="rId3"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14811375" y="41658269"/>
          <a:ext cx="3073090" cy="1561418"/>
        </a:xfrm>
        <a:prstGeom prst="rect">
          <a:avLst/>
        </a:prstGeom>
      </xdr:spPr>
    </xdr:pic>
    <xdr:clientData/>
  </xdr:twoCellAnchor>
  <xdr:twoCellAnchor editAs="oneCell">
    <xdr:from>
      <xdr:col>17</xdr:col>
      <xdr:colOff>745389</xdr:colOff>
      <xdr:row>128</xdr:row>
      <xdr:rowOff>166687</xdr:rowOff>
    </xdr:from>
    <xdr:to>
      <xdr:col>19</xdr:col>
      <xdr:colOff>1142999</xdr:colOff>
      <xdr:row>138</xdr:row>
      <xdr:rowOff>78827</xdr:rowOff>
    </xdr:to>
    <xdr:pic>
      <xdr:nvPicPr>
        <xdr:cNvPr id="7" name="Imagen 6">
          <a:extLst>
            <a:ext uri="{FF2B5EF4-FFF2-40B4-BE49-F238E27FC236}">
              <a16:creationId xmlns:a16="http://schemas.microsoft.com/office/drawing/2014/main" id="{37784678-11C9-4264-8003-7D3DDC2B281F}"/>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31320639" y="41243250"/>
          <a:ext cx="2969360" cy="196001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oneCellAnchor>
    <xdr:from>
      <xdr:col>19</xdr:col>
      <xdr:colOff>670831</xdr:colOff>
      <xdr:row>71</xdr:row>
      <xdr:rowOff>175532</xdr:rowOff>
    </xdr:from>
    <xdr:ext cx="6187169" cy="4244068"/>
    <xdr:pic>
      <xdr:nvPicPr>
        <xdr:cNvPr id="70" name="image139.png" descr="Recorte de pantalla">
          <a:extLst>
            <a:ext uri="{FF2B5EF4-FFF2-40B4-BE49-F238E27FC236}">
              <a16:creationId xmlns:a16="http://schemas.microsoft.com/office/drawing/2014/main" id="{83E6A380-B05D-4D00-A651-57882BBAA5BF}"/>
            </a:ext>
          </a:extLst>
        </xdr:cNvPr>
        <xdr:cNvPicPr preferRelativeResize="0"/>
      </xdr:nvPicPr>
      <xdr:blipFill>
        <a:blip xmlns:r="http://schemas.openxmlformats.org/officeDocument/2006/relationships" r:embed="rId1" cstate="print"/>
        <a:stretch>
          <a:fillRect/>
        </a:stretch>
      </xdr:blipFill>
      <xdr:spPr>
        <a:xfrm>
          <a:off x="54925231" y="46505132"/>
          <a:ext cx="6187169" cy="4244068"/>
        </a:xfrm>
        <a:prstGeom prst="rect">
          <a:avLst/>
        </a:prstGeom>
        <a:noFill/>
      </xdr:spPr>
    </xdr:pic>
    <xdr:clientData fLocksWithSheet="0"/>
  </xdr:oneCellAnchor>
  <xdr:oneCellAnchor>
    <xdr:from>
      <xdr:col>19</xdr:col>
      <xdr:colOff>571500</xdr:colOff>
      <xdr:row>104</xdr:row>
      <xdr:rowOff>285750</xdr:rowOff>
    </xdr:from>
    <xdr:ext cx="6400800" cy="4438650"/>
    <xdr:pic>
      <xdr:nvPicPr>
        <xdr:cNvPr id="71" name="image132.png" descr="Recorte de pantalla">
          <a:extLst>
            <a:ext uri="{FF2B5EF4-FFF2-40B4-BE49-F238E27FC236}">
              <a16:creationId xmlns:a16="http://schemas.microsoft.com/office/drawing/2014/main" id="{91795153-0BB2-4541-84A6-EAD0FB41EACC}"/>
            </a:ext>
          </a:extLst>
        </xdr:cNvPr>
        <xdr:cNvPicPr preferRelativeResize="0"/>
      </xdr:nvPicPr>
      <xdr:blipFill>
        <a:blip xmlns:r="http://schemas.openxmlformats.org/officeDocument/2006/relationships" r:embed="rId2" cstate="print"/>
        <a:stretch>
          <a:fillRect/>
        </a:stretch>
      </xdr:blipFill>
      <xdr:spPr>
        <a:xfrm>
          <a:off x="55473600" y="68065650"/>
          <a:ext cx="6400800" cy="4438650"/>
        </a:xfrm>
        <a:prstGeom prst="rect">
          <a:avLst/>
        </a:prstGeom>
        <a:noFill/>
      </xdr:spPr>
    </xdr:pic>
    <xdr:clientData fLocksWithSheet="0"/>
  </xdr:oneCellAnchor>
  <xdr:oneCellAnchor>
    <xdr:from>
      <xdr:col>19</xdr:col>
      <xdr:colOff>371475</xdr:colOff>
      <xdr:row>137</xdr:row>
      <xdr:rowOff>238124</xdr:rowOff>
    </xdr:from>
    <xdr:ext cx="6486525" cy="4638676"/>
    <xdr:pic>
      <xdr:nvPicPr>
        <xdr:cNvPr id="72" name="image138.png" descr="Recorte de pantalla">
          <a:extLst>
            <a:ext uri="{FF2B5EF4-FFF2-40B4-BE49-F238E27FC236}">
              <a16:creationId xmlns:a16="http://schemas.microsoft.com/office/drawing/2014/main" id="{770C65A7-F7B8-48E1-9F1B-01E211717D6E}"/>
            </a:ext>
          </a:extLst>
        </xdr:cNvPr>
        <xdr:cNvPicPr preferRelativeResize="0"/>
      </xdr:nvPicPr>
      <xdr:blipFill>
        <a:blip xmlns:r="http://schemas.openxmlformats.org/officeDocument/2006/relationships" r:embed="rId3" cstate="print"/>
        <a:stretch>
          <a:fillRect/>
        </a:stretch>
      </xdr:blipFill>
      <xdr:spPr>
        <a:xfrm>
          <a:off x="55273575" y="101546024"/>
          <a:ext cx="6486525" cy="4638676"/>
        </a:xfrm>
        <a:prstGeom prst="rect">
          <a:avLst/>
        </a:prstGeom>
        <a:noFill/>
      </xdr:spPr>
    </xdr:pic>
    <xdr:clientData fLocksWithSheet="0"/>
  </xdr:oneCellAnchor>
  <xdr:oneCellAnchor>
    <xdr:from>
      <xdr:col>19</xdr:col>
      <xdr:colOff>428625</xdr:colOff>
      <xdr:row>159</xdr:row>
      <xdr:rowOff>200025</xdr:rowOff>
    </xdr:from>
    <xdr:ext cx="6772275" cy="4371975"/>
    <xdr:pic>
      <xdr:nvPicPr>
        <xdr:cNvPr id="73" name="image125.png" descr="Recorte de pantalla">
          <a:extLst>
            <a:ext uri="{FF2B5EF4-FFF2-40B4-BE49-F238E27FC236}">
              <a16:creationId xmlns:a16="http://schemas.microsoft.com/office/drawing/2014/main" id="{472574B6-3C92-4C74-A22E-4DEED3A50D01}"/>
            </a:ext>
          </a:extLst>
        </xdr:cNvPr>
        <xdr:cNvPicPr preferRelativeResize="0"/>
      </xdr:nvPicPr>
      <xdr:blipFill>
        <a:blip xmlns:r="http://schemas.openxmlformats.org/officeDocument/2006/relationships" r:embed="rId4" cstate="print"/>
        <a:stretch>
          <a:fillRect/>
        </a:stretch>
      </xdr:blipFill>
      <xdr:spPr>
        <a:xfrm>
          <a:off x="55330725" y="118271925"/>
          <a:ext cx="6772275" cy="4371975"/>
        </a:xfrm>
        <a:prstGeom prst="rect">
          <a:avLst/>
        </a:prstGeom>
        <a:noFill/>
      </xdr:spPr>
    </xdr:pic>
    <xdr:clientData fLocksWithSheet="0"/>
  </xdr:oneCellAnchor>
  <xdr:oneCellAnchor>
    <xdr:from>
      <xdr:col>19</xdr:col>
      <xdr:colOff>628650</xdr:colOff>
      <xdr:row>182</xdr:row>
      <xdr:rowOff>104775</xdr:rowOff>
    </xdr:from>
    <xdr:ext cx="6267450" cy="4505325"/>
    <xdr:pic>
      <xdr:nvPicPr>
        <xdr:cNvPr id="74" name="image124.png" descr="Recorte de pantalla">
          <a:extLst>
            <a:ext uri="{FF2B5EF4-FFF2-40B4-BE49-F238E27FC236}">
              <a16:creationId xmlns:a16="http://schemas.microsoft.com/office/drawing/2014/main" id="{9F442F39-C13C-4149-810D-9BD0EB56440B}"/>
            </a:ext>
          </a:extLst>
        </xdr:cNvPr>
        <xdr:cNvPicPr preferRelativeResize="0"/>
      </xdr:nvPicPr>
      <xdr:blipFill>
        <a:blip xmlns:r="http://schemas.openxmlformats.org/officeDocument/2006/relationships" r:embed="rId5" cstate="print"/>
        <a:stretch>
          <a:fillRect/>
        </a:stretch>
      </xdr:blipFill>
      <xdr:spPr>
        <a:xfrm>
          <a:off x="55530750" y="135702675"/>
          <a:ext cx="6267450" cy="4505325"/>
        </a:xfrm>
        <a:prstGeom prst="rect">
          <a:avLst/>
        </a:prstGeom>
        <a:noFill/>
      </xdr:spPr>
    </xdr:pic>
    <xdr:clientData fLocksWithSheet="0"/>
  </xdr:oneCellAnchor>
  <xdr:oneCellAnchor>
    <xdr:from>
      <xdr:col>19</xdr:col>
      <xdr:colOff>333375</xdr:colOff>
      <xdr:row>258</xdr:row>
      <xdr:rowOff>295275</xdr:rowOff>
    </xdr:from>
    <xdr:ext cx="6600825" cy="4962525"/>
    <xdr:pic>
      <xdr:nvPicPr>
        <xdr:cNvPr id="76" name="image144.png" descr="Recorte de pantalla">
          <a:extLst>
            <a:ext uri="{FF2B5EF4-FFF2-40B4-BE49-F238E27FC236}">
              <a16:creationId xmlns:a16="http://schemas.microsoft.com/office/drawing/2014/main" id="{031A13D3-544E-407C-B068-FE45D9BDA516}"/>
            </a:ext>
          </a:extLst>
        </xdr:cNvPr>
        <xdr:cNvPicPr preferRelativeResize="0"/>
      </xdr:nvPicPr>
      <xdr:blipFill>
        <a:blip xmlns:r="http://schemas.openxmlformats.org/officeDocument/2006/relationships" r:embed="rId6" cstate="print"/>
        <a:stretch>
          <a:fillRect/>
        </a:stretch>
      </xdr:blipFill>
      <xdr:spPr>
        <a:xfrm>
          <a:off x="55235475" y="193805175"/>
          <a:ext cx="6600825" cy="4962525"/>
        </a:xfrm>
        <a:prstGeom prst="rect">
          <a:avLst/>
        </a:prstGeom>
        <a:noFill/>
      </xdr:spPr>
    </xdr:pic>
    <xdr:clientData fLocksWithSheet="0"/>
  </xdr:oneCellAnchor>
  <xdr:oneCellAnchor>
    <xdr:from>
      <xdr:col>19</xdr:col>
      <xdr:colOff>352425</xdr:colOff>
      <xdr:row>302</xdr:row>
      <xdr:rowOff>247650</xdr:rowOff>
    </xdr:from>
    <xdr:ext cx="6886575" cy="5391150"/>
    <xdr:pic>
      <xdr:nvPicPr>
        <xdr:cNvPr id="78" name="image133.png" descr="Recorte de pantalla">
          <a:extLst>
            <a:ext uri="{FF2B5EF4-FFF2-40B4-BE49-F238E27FC236}">
              <a16:creationId xmlns:a16="http://schemas.microsoft.com/office/drawing/2014/main" id="{C38CFC62-6359-4887-9B73-59C15EA27B89}"/>
            </a:ext>
          </a:extLst>
        </xdr:cNvPr>
        <xdr:cNvPicPr preferRelativeResize="0"/>
      </xdr:nvPicPr>
      <xdr:blipFill>
        <a:blip xmlns:r="http://schemas.openxmlformats.org/officeDocument/2006/relationships" r:embed="rId7" cstate="screen">
          <a:extLst>
            <a:ext uri="{28A0092B-C50C-407E-A947-70E740481C1C}">
              <a14:useLocalDpi xmlns:a14="http://schemas.microsoft.com/office/drawing/2010/main"/>
            </a:ext>
          </a:extLst>
        </a:blip>
        <a:stretch>
          <a:fillRect/>
        </a:stretch>
      </xdr:blipFill>
      <xdr:spPr>
        <a:xfrm>
          <a:off x="55254525" y="227285550"/>
          <a:ext cx="6886575" cy="5391150"/>
        </a:xfrm>
        <a:prstGeom prst="rect">
          <a:avLst/>
        </a:prstGeom>
        <a:noFill/>
      </xdr:spPr>
    </xdr:pic>
    <xdr:clientData fLocksWithSheet="0"/>
  </xdr:oneCellAnchor>
  <xdr:oneCellAnchor>
    <xdr:from>
      <xdr:col>19</xdr:col>
      <xdr:colOff>295274</xdr:colOff>
      <xdr:row>313</xdr:row>
      <xdr:rowOff>219075</xdr:rowOff>
    </xdr:from>
    <xdr:ext cx="7172326" cy="5534025"/>
    <xdr:pic>
      <xdr:nvPicPr>
        <xdr:cNvPr id="79" name="image128.png" descr="Recorte de pantalla">
          <a:extLst>
            <a:ext uri="{FF2B5EF4-FFF2-40B4-BE49-F238E27FC236}">
              <a16:creationId xmlns:a16="http://schemas.microsoft.com/office/drawing/2014/main" id="{E1345BB3-4C81-4509-81F9-02AECD066C27}"/>
            </a:ext>
          </a:extLst>
        </xdr:cNvPr>
        <xdr:cNvPicPr preferRelativeResize="0"/>
      </xdr:nvPicPr>
      <xdr:blipFill>
        <a:blip xmlns:r="http://schemas.openxmlformats.org/officeDocument/2006/relationships" r:embed="rId8" cstate="screen">
          <a:extLst>
            <a:ext uri="{28A0092B-C50C-407E-A947-70E740481C1C}">
              <a14:useLocalDpi xmlns:a14="http://schemas.microsoft.com/office/drawing/2010/main"/>
            </a:ext>
          </a:extLst>
        </a:blip>
        <a:stretch>
          <a:fillRect/>
        </a:stretch>
      </xdr:blipFill>
      <xdr:spPr>
        <a:xfrm>
          <a:off x="55197374" y="235638975"/>
          <a:ext cx="7172326" cy="5534025"/>
        </a:xfrm>
        <a:prstGeom prst="rect">
          <a:avLst/>
        </a:prstGeom>
        <a:noFill/>
      </xdr:spPr>
    </xdr:pic>
    <xdr:clientData fLocksWithSheet="0"/>
  </xdr:oneCellAnchor>
  <xdr:oneCellAnchor>
    <xdr:from>
      <xdr:col>19</xdr:col>
      <xdr:colOff>447675</xdr:colOff>
      <xdr:row>225</xdr:row>
      <xdr:rowOff>266700</xdr:rowOff>
    </xdr:from>
    <xdr:ext cx="7058025" cy="5219700"/>
    <xdr:pic>
      <xdr:nvPicPr>
        <xdr:cNvPr id="131" name="image175.png" descr="Recorte de pantalla">
          <a:extLst>
            <a:ext uri="{FF2B5EF4-FFF2-40B4-BE49-F238E27FC236}">
              <a16:creationId xmlns:a16="http://schemas.microsoft.com/office/drawing/2014/main" id="{13C47C03-4F4C-40B8-87C0-DD94E0F5BE7D}"/>
            </a:ext>
          </a:extLst>
        </xdr:cNvPr>
        <xdr:cNvPicPr preferRelativeResize="0"/>
      </xdr:nvPicPr>
      <xdr:blipFill>
        <a:blip xmlns:r="http://schemas.openxmlformats.org/officeDocument/2006/relationships" r:embed="rId9" cstate="print"/>
        <a:stretch>
          <a:fillRect/>
        </a:stretch>
      </xdr:blipFill>
      <xdr:spPr>
        <a:xfrm>
          <a:off x="55349775" y="168630600"/>
          <a:ext cx="7058025" cy="5219700"/>
        </a:xfrm>
        <a:prstGeom prst="rect">
          <a:avLst/>
        </a:prstGeom>
        <a:noFill/>
      </xdr:spPr>
    </xdr:pic>
    <xdr:clientData fLocksWithSheet="0"/>
  </xdr:oneCellAnchor>
  <xdr:oneCellAnchor>
    <xdr:from>
      <xdr:col>19</xdr:col>
      <xdr:colOff>685800</xdr:colOff>
      <xdr:row>248</xdr:row>
      <xdr:rowOff>38100</xdr:rowOff>
    </xdr:from>
    <xdr:ext cx="6286500" cy="4762500"/>
    <xdr:pic>
      <xdr:nvPicPr>
        <xdr:cNvPr id="132" name="image186.png" descr="Recorte de pantalla">
          <a:extLst>
            <a:ext uri="{FF2B5EF4-FFF2-40B4-BE49-F238E27FC236}">
              <a16:creationId xmlns:a16="http://schemas.microsoft.com/office/drawing/2014/main" id="{90191255-457A-42AA-88AA-4A98CE4ABB90}"/>
            </a:ext>
          </a:extLst>
        </xdr:cNvPr>
        <xdr:cNvPicPr preferRelativeResize="0"/>
      </xdr:nvPicPr>
      <xdr:blipFill>
        <a:blip xmlns:r="http://schemas.openxmlformats.org/officeDocument/2006/relationships" r:embed="rId10" cstate="screen">
          <a:extLst>
            <a:ext uri="{28A0092B-C50C-407E-A947-70E740481C1C}">
              <a14:useLocalDpi xmlns:a14="http://schemas.microsoft.com/office/drawing/2010/main"/>
            </a:ext>
          </a:extLst>
        </a:blip>
        <a:stretch>
          <a:fillRect/>
        </a:stretch>
      </xdr:blipFill>
      <xdr:spPr>
        <a:xfrm>
          <a:off x="55587900" y="185928000"/>
          <a:ext cx="6286500" cy="4762500"/>
        </a:xfrm>
        <a:prstGeom prst="rect">
          <a:avLst/>
        </a:prstGeom>
        <a:noFill/>
      </xdr:spPr>
    </xdr:pic>
    <xdr:clientData fLocksWithSheet="0"/>
  </xdr:oneCellAnchor>
  <xdr:oneCellAnchor>
    <xdr:from>
      <xdr:col>19</xdr:col>
      <xdr:colOff>495300</xdr:colOff>
      <xdr:row>236</xdr:row>
      <xdr:rowOff>209550</xdr:rowOff>
    </xdr:from>
    <xdr:ext cx="6515100" cy="5276850"/>
    <xdr:pic>
      <xdr:nvPicPr>
        <xdr:cNvPr id="133" name="image182.png" descr="Recorte de pantalla">
          <a:extLst>
            <a:ext uri="{FF2B5EF4-FFF2-40B4-BE49-F238E27FC236}">
              <a16:creationId xmlns:a16="http://schemas.microsoft.com/office/drawing/2014/main" id="{738D1CCA-4A58-4280-8BA9-B2854E594224}"/>
            </a:ext>
          </a:extLst>
        </xdr:cNvPr>
        <xdr:cNvPicPr preferRelativeResize="0"/>
      </xdr:nvPicPr>
      <xdr:blipFill>
        <a:blip xmlns:r="http://schemas.openxmlformats.org/officeDocument/2006/relationships" r:embed="rId11" cstate="print"/>
        <a:stretch>
          <a:fillRect/>
        </a:stretch>
      </xdr:blipFill>
      <xdr:spPr>
        <a:xfrm>
          <a:off x="55397400" y="176955450"/>
          <a:ext cx="6515100" cy="5276850"/>
        </a:xfrm>
        <a:prstGeom prst="rect">
          <a:avLst/>
        </a:prstGeom>
        <a:noFill/>
      </xdr:spPr>
    </xdr:pic>
    <xdr:clientData fLocksWithSheet="0"/>
  </xdr:oneCellAnchor>
  <xdr:oneCellAnchor>
    <xdr:from>
      <xdr:col>19</xdr:col>
      <xdr:colOff>371475</xdr:colOff>
      <xdr:row>269</xdr:row>
      <xdr:rowOff>180975</xdr:rowOff>
    </xdr:from>
    <xdr:ext cx="6943725" cy="5305425"/>
    <xdr:pic>
      <xdr:nvPicPr>
        <xdr:cNvPr id="134" name="image183.png" descr="Recorte de pantalla">
          <a:extLst>
            <a:ext uri="{FF2B5EF4-FFF2-40B4-BE49-F238E27FC236}">
              <a16:creationId xmlns:a16="http://schemas.microsoft.com/office/drawing/2014/main" id="{44F1284F-2CEF-42D3-A53D-9F6D5CA41B48}"/>
            </a:ext>
          </a:extLst>
        </xdr:cNvPr>
        <xdr:cNvPicPr preferRelativeResize="0"/>
      </xdr:nvPicPr>
      <xdr:blipFill>
        <a:blip xmlns:r="http://schemas.openxmlformats.org/officeDocument/2006/relationships" r:embed="rId12" cstate="screen">
          <a:extLst>
            <a:ext uri="{28A0092B-C50C-407E-A947-70E740481C1C}">
              <a14:useLocalDpi xmlns:a14="http://schemas.microsoft.com/office/drawing/2010/main"/>
            </a:ext>
          </a:extLst>
        </a:blip>
        <a:stretch>
          <a:fillRect/>
        </a:stretch>
      </xdr:blipFill>
      <xdr:spPr>
        <a:xfrm>
          <a:off x="55273575" y="202072875"/>
          <a:ext cx="6943725" cy="5305425"/>
        </a:xfrm>
        <a:prstGeom prst="rect">
          <a:avLst/>
        </a:prstGeom>
        <a:noFill/>
      </xdr:spPr>
    </xdr:pic>
    <xdr:clientData fLocksWithSheet="0"/>
  </xdr:oneCellAnchor>
  <xdr:oneCellAnchor>
    <xdr:from>
      <xdr:col>19</xdr:col>
      <xdr:colOff>171450</xdr:colOff>
      <xdr:row>291</xdr:row>
      <xdr:rowOff>228600</xdr:rowOff>
    </xdr:from>
    <xdr:ext cx="7486650" cy="6286500"/>
    <xdr:pic>
      <xdr:nvPicPr>
        <xdr:cNvPr id="135" name="image187.png" descr="Recorte de pantalla">
          <a:extLst>
            <a:ext uri="{FF2B5EF4-FFF2-40B4-BE49-F238E27FC236}">
              <a16:creationId xmlns:a16="http://schemas.microsoft.com/office/drawing/2014/main" id="{E385136C-ABBF-493F-A74C-411A554D79FE}"/>
            </a:ext>
          </a:extLst>
        </xdr:cNvPr>
        <xdr:cNvPicPr preferRelativeResize="0"/>
      </xdr:nvPicPr>
      <xdr:blipFill>
        <a:blip xmlns:r="http://schemas.openxmlformats.org/officeDocument/2006/relationships" r:embed="rId13" cstate="screen">
          <a:extLst>
            <a:ext uri="{28A0092B-C50C-407E-A947-70E740481C1C}">
              <a14:useLocalDpi xmlns:a14="http://schemas.microsoft.com/office/drawing/2010/main"/>
            </a:ext>
          </a:extLst>
        </a:blip>
        <a:stretch>
          <a:fillRect/>
        </a:stretch>
      </xdr:blipFill>
      <xdr:spPr>
        <a:xfrm>
          <a:off x="55073550" y="218884500"/>
          <a:ext cx="7486650" cy="6286500"/>
        </a:xfrm>
        <a:prstGeom prst="rect">
          <a:avLst/>
        </a:prstGeom>
        <a:noFill/>
      </xdr:spPr>
    </xdr:pic>
    <xdr:clientData fLocksWithSheet="0"/>
  </xdr:oneCellAnchor>
  <xdr:oneCellAnchor>
    <xdr:from>
      <xdr:col>19</xdr:col>
      <xdr:colOff>597959</xdr:colOff>
      <xdr:row>281</xdr:row>
      <xdr:rowOff>69850</xdr:rowOff>
    </xdr:from>
    <xdr:ext cx="6107641" cy="4845050"/>
    <xdr:pic>
      <xdr:nvPicPr>
        <xdr:cNvPr id="136" name="image190.png" descr="Recorte de pantalla">
          <a:extLst>
            <a:ext uri="{FF2B5EF4-FFF2-40B4-BE49-F238E27FC236}">
              <a16:creationId xmlns:a16="http://schemas.microsoft.com/office/drawing/2014/main" id="{C18D7D57-493D-4B24-9D99-A51B54158837}"/>
            </a:ext>
          </a:extLst>
        </xdr:cNvPr>
        <xdr:cNvPicPr preferRelativeResize="0"/>
      </xdr:nvPicPr>
      <xdr:blipFill>
        <a:blip xmlns:r="http://schemas.openxmlformats.org/officeDocument/2006/relationships" r:embed="rId14" cstate="screen">
          <a:extLst>
            <a:ext uri="{28A0092B-C50C-407E-A947-70E740481C1C}">
              <a14:useLocalDpi xmlns:a14="http://schemas.microsoft.com/office/drawing/2010/main"/>
            </a:ext>
          </a:extLst>
        </a:blip>
        <a:stretch>
          <a:fillRect/>
        </a:stretch>
      </xdr:blipFill>
      <xdr:spPr>
        <a:xfrm>
          <a:off x="55500059" y="211105750"/>
          <a:ext cx="6107641" cy="4845050"/>
        </a:xfrm>
        <a:prstGeom prst="rect">
          <a:avLst/>
        </a:prstGeom>
        <a:noFill/>
      </xdr:spPr>
    </xdr:pic>
    <xdr:clientData fLocksWithSheet="0"/>
  </xdr:oneCellAnchor>
  <xdr:oneCellAnchor>
    <xdr:from>
      <xdr:col>7</xdr:col>
      <xdr:colOff>1112520</xdr:colOff>
      <xdr:row>82</xdr:row>
      <xdr:rowOff>240031</xdr:rowOff>
    </xdr:from>
    <xdr:ext cx="6964680" cy="4409484"/>
    <xdr:pic>
      <xdr:nvPicPr>
        <xdr:cNvPr id="153" name="Imagen 152">
          <a:extLst>
            <a:ext uri="{FF2B5EF4-FFF2-40B4-BE49-F238E27FC236}">
              <a16:creationId xmlns:a16="http://schemas.microsoft.com/office/drawing/2014/main" id="{00000000-0008-0000-1000-000099000000}"/>
            </a:ext>
          </a:extLst>
        </xdr:cNvPr>
        <xdr:cNvPicPr>
          <a:picLocks noChangeAspect="1"/>
        </xdr:cNvPicPr>
      </xdr:nvPicPr>
      <xdr:blipFill>
        <a:blip xmlns:r="http://schemas.openxmlformats.org/officeDocument/2006/relationships" r:embed="rId15"/>
        <a:stretch>
          <a:fillRect/>
        </a:stretch>
      </xdr:blipFill>
      <xdr:spPr>
        <a:xfrm>
          <a:off x="19781520" y="53275231"/>
          <a:ext cx="6964680" cy="4409484"/>
        </a:xfrm>
        <a:prstGeom prst="rect">
          <a:avLst/>
        </a:prstGeom>
      </xdr:spPr>
    </xdr:pic>
    <xdr:clientData/>
  </xdr:oneCellAnchor>
  <xdr:twoCellAnchor editAs="oneCell">
    <xdr:from>
      <xdr:col>7</xdr:col>
      <xdr:colOff>1352550</xdr:colOff>
      <xdr:row>71</xdr:row>
      <xdr:rowOff>251459</xdr:rowOff>
    </xdr:from>
    <xdr:to>
      <xdr:col>9</xdr:col>
      <xdr:colOff>1447800</xdr:colOff>
      <xdr:row>77</xdr:row>
      <xdr:rowOff>699518</xdr:rowOff>
    </xdr:to>
    <xdr:pic>
      <xdr:nvPicPr>
        <xdr:cNvPr id="3" name="Imagen 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16"/>
        <a:stretch>
          <a:fillRect/>
        </a:stretch>
      </xdr:blipFill>
      <xdr:spPr>
        <a:xfrm>
          <a:off x="20021550" y="46581059"/>
          <a:ext cx="6800850" cy="4715259"/>
        </a:xfrm>
        <a:prstGeom prst="rect">
          <a:avLst/>
        </a:prstGeom>
      </xdr:spPr>
    </xdr:pic>
    <xdr:clientData/>
  </xdr:twoCellAnchor>
  <xdr:twoCellAnchor editAs="oneCell">
    <xdr:from>
      <xdr:col>7</xdr:col>
      <xdr:colOff>525779</xdr:colOff>
      <xdr:row>95</xdr:row>
      <xdr:rowOff>41910</xdr:rowOff>
    </xdr:from>
    <xdr:to>
      <xdr:col>9</xdr:col>
      <xdr:colOff>2369152</xdr:colOff>
      <xdr:row>98</xdr:row>
      <xdr:rowOff>609600</xdr:rowOff>
    </xdr:to>
    <xdr:pic>
      <xdr:nvPicPr>
        <xdr:cNvPr id="4" name="Imagen 3">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17"/>
        <a:stretch>
          <a:fillRect/>
        </a:stretch>
      </xdr:blipFill>
      <xdr:spPr>
        <a:xfrm>
          <a:off x="19194779" y="61001910"/>
          <a:ext cx="8548973" cy="2701290"/>
        </a:xfrm>
        <a:prstGeom prst="rect">
          <a:avLst/>
        </a:prstGeom>
      </xdr:spPr>
    </xdr:pic>
    <xdr:clientData/>
  </xdr:twoCellAnchor>
  <xdr:twoCellAnchor editAs="oneCell">
    <xdr:from>
      <xdr:col>7</xdr:col>
      <xdr:colOff>803910</xdr:colOff>
      <xdr:row>127</xdr:row>
      <xdr:rowOff>247651</xdr:rowOff>
    </xdr:from>
    <xdr:to>
      <xdr:col>9</xdr:col>
      <xdr:colOff>3494832</xdr:colOff>
      <xdr:row>132</xdr:row>
      <xdr:rowOff>0</xdr:rowOff>
    </xdr:to>
    <xdr:pic>
      <xdr:nvPicPr>
        <xdr:cNvPr id="5" name="Imagen 4">
          <a:extLst>
            <a:ext uri="{FF2B5EF4-FFF2-40B4-BE49-F238E27FC236}">
              <a16:creationId xmlns:a16="http://schemas.microsoft.com/office/drawing/2014/main" id="{00000000-0008-0000-1000-000005000000}"/>
            </a:ext>
          </a:extLst>
        </xdr:cNvPr>
        <xdr:cNvPicPr>
          <a:picLocks noChangeAspect="1"/>
        </xdr:cNvPicPr>
      </xdr:nvPicPr>
      <xdr:blipFill>
        <a:blip xmlns:r="http://schemas.openxmlformats.org/officeDocument/2006/relationships" r:embed="rId18"/>
        <a:stretch>
          <a:fillRect/>
        </a:stretch>
      </xdr:blipFill>
      <xdr:spPr>
        <a:xfrm>
          <a:off x="19739610" y="82924651"/>
          <a:ext cx="9472722" cy="3562349"/>
        </a:xfrm>
        <a:prstGeom prst="rect">
          <a:avLst/>
        </a:prstGeom>
      </xdr:spPr>
    </xdr:pic>
    <xdr:clientData/>
  </xdr:twoCellAnchor>
  <xdr:twoCellAnchor editAs="oneCell">
    <xdr:from>
      <xdr:col>7</xdr:col>
      <xdr:colOff>762000</xdr:colOff>
      <xdr:row>105</xdr:row>
      <xdr:rowOff>102870</xdr:rowOff>
    </xdr:from>
    <xdr:to>
      <xdr:col>9</xdr:col>
      <xdr:colOff>1447800</xdr:colOff>
      <xdr:row>110</xdr:row>
      <xdr:rowOff>291068</xdr:rowOff>
    </xdr:to>
    <xdr:pic>
      <xdr:nvPicPr>
        <xdr:cNvPr id="6" name="Imagen 5">
          <a:extLst>
            <a:ext uri="{FF2B5EF4-FFF2-40B4-BE49-F238E27FC236}">
              <a16:creationId xmlns:a16="http://schemas.microsoft.com/office/drawing/2014/main" id="{00000000-0008-0000-1000-000006000000}"/>
            </a:ext>
          </a:extLst>
        </xdr:cNvPr>
        <xdr:cNvPicPr>
          <a:picLocks noChangeAspect="1"/>
        </xdr:cNvPicPr>
      </xdr:nvPicPr>
      <xdr:blipFill>
        <a:blip xmlns:r="http://schemas.openxmlformats.org/officeDocument/2006/relationships" r:embed="rId19"/>
        <a:stretch>
          <a:fillRect/>
        </a:stretch>
      </xdr:blipFill>
      <xdr:spPr>
        <a:xfrm>
          <a:off x="19697700" y="68530470"/>
          <a:ext cx="7467600" cy="3998198"/>
        </a:xfrm>
        <a:prstGeom prst="rect">
          <a:avLst/>
        </a:prstGeom>
      </xdr:spPr>
    </xdr:pic>
    <xdr:clientData/>
  </xdr:twoCellAnchor>
  <xdr:twoCellAnchor editAs="oneCell">
    <xdr:from>
      <xdr:col>7</xdr:col>
      <xdr:colOff>1009650</xdr:colOff>
      <xdr:row>116</xdr:row>
      <xdr:rowOff>83820</xdr:rowOff>
    </xdr:from>
    <xdr:to>
      <xdr:col>9</xdr:col>
      <xdr:colOff>1333500</xdr:colOff>
      <xdr:row>121</xdr:row>
      <xdr:rowOff>506987</xdr:rowOff>
    </xdr:to>
    <xdr:pic>
      <xdr:nvPicPr>
        <xdr:cNvPr id="7" name="Imagen 6">
          <a:extLst>
            <a:ext uri="{FF2B5EF4-FFF2-40B4-BE49-F238E27FC236}">
              <a16:creationId xmlns:a16="http://schemas.microsoft.com/office/drawing/2014/main" id="{00000000-0008-0000-1000-000007000000}"/>
            </a:ext>
          </a:extLst>
        </xdr:cNvPr>
        <xdr:cNvPicPr>
          <a:picLocks noChangeAspect="1"/>
        </xdr:cNvPicPr>
      </xdr:nvPicPr>
      <xdr:blipFill>
        <a:blip xmlns:r="http://schemas.openxmlformats.org/officeDocument/2006/relationships" r:embed="rId20"/>
        <a:stretch>
          <a:fillRect/>
        </a:stretch>
      </xdr:blipFill>
      <xdr:spPr>
        <a:xfrm>
          <a:off x="19945350" y="75636120"/>
          <a:ext cx="7105650" cy="4233167"/>
        </a:xfrm>
        <a:prstGeom prst="rect">
          <a:avLst/>
        </a:prstGeom>
      </xdr:spPr>
    </xdr:pic>
    <xdr:clientData/>
  </xdr:twoCellAnchor>
  <xdr:twoCellAnchor editAs="oneCell">
    <xdr:from>
      <xdr:col>7</xdr:col>
      <xdr:colOff>891540</xdr:colOff>
      <xdr:row>137</xdr:row>
      <xdr:rowOff>240029</xdr:rowOff>
    </xdr:from>
    <xdr:to>
      <xdr:col>9</xdr:col>
      <xdr:colOff>1981200</xdr:colOff>
      <xdr:row>144</xdr:row>
      <xdr:rowOff>276952</xdr:rowOff>
    </xdr:to>
    <xdr:pic>
      <xdr:nvPicPr>
        <xdr:cNvPr id="8" name="Imagen 7">
          <a:extLst>
            <a:ext uri="{FF2B5EF4-FFF2-40B4-BE49-F238E27FC236}">
              <a16:creationId xmlns:a16="http://schemas.microsoft.com/office/drawing/2014/main" id="{00000000-0008-0000-1000-000008000000}"/>
            </a:ext>
          </a:extLst>
        </xdr:cNvPr>
        <xdr:cNvPicPr>
          <a:picLocks noChangeAspect="1"/>
        </xdr:cNvPicPr>
      </xdr:nvPicPr>
      <xdr:blipFill>
        <a:blip xmlns:r="http://schemas.openxmlformats.org/officeDocument/2006/relationships" r:embed="rId21"/>
        <a:stretch>
          <a:fillRect/>
        </a:stretch>
      </xdr:blipFill>
      <xdr:spPr>
        <a:xfrm>
          <a:off x="19827240" y="101547929"/>
          <a:ext cx="7871460" cy="5370923"/>
        </a:xfrm>
        <a:prstGeom prst="rect">
          <a:avLst/>
        </a:prstGeom>
      </xdr:spPr>
    </xdr:pic>
    <xdr:clientData/>
  </xdr:twoCellAnchor>
  <xdr:oneCellAnchor>
    <xdr:from>
      <xdr:col>7</xdr:col>
      <xdr:colOff>815339</xdr:colOff>
      <xdr:row>159</xdr:row>
      <xdr:rowOff>201930</xdr:rowOff>
    </xdr:from>
    <xdr:ext cx="8747761" cy="5634522"/>
    <xdr:pic>
      <xdr:nvPicPr>
        <xdr:cNvPr id="160" name="Imagen 159">
          <a:extLst>
            <a:ext uri="{FF2B5EF4-FFF2-40B4-BE49-F238E27FC236}">
              <a16:creationId xmlns:a16="http://schemas.microsoft.com/office/drawing/2014/main" id="{00000000-0008-0000-1000-0000A0000000}"/>
            </a:ext>
          </a:extLst>
        </xdr:cNvPr>
        <xdr:cNvPicPr>
          <a:picLocks noChangeAspect="1"/>
        </xdr:cNvPicPr>
      </xdr:nvPicPr>
      <xdr:blipFill>
        <a:blip xmlns:r="http://schemas.openxmlformats.org/officeDocument/2006/relationships" r:embed="rId21"/>
        <a:stretch>
          <a:fillRect/>
        </a:stretch>
      </xdr:blipFill>
      <xdr:spPr>
        <a:xfrm>
          <a:off x="19751039" y="118273830"/>
          <a:ext cx="8747761" cy="5634522"/>
        </a:xfrm>
        <a:prstGeom prst="rect">
          <a:avLst/>
        </a:prstGeom>
      </xdr:spPr>
    </xdr:pic>
    <xdr:clientData/>
  </xdr:oneCellAnchor>
  <xdr:oneCellAnchor>
    <xdr:from>
      <xdr:col>7</xdr:col>
      <xdr:colOff>621030</xdr:colOff>
      <xdr:row>181</xdr:row>
      <xdr:rowOff>99059</xdr:rowOff>
    </xdr:from>
    <xdr:ext cx="9132570" cy="5882381"/>
    <xdr:pic>
      <xdr:nvPicPr>
        <xdr:cNvPr id="162" name="Imagen 161">
          <a:extLst>
            <a:ext uri="{FF2B5EF4-FFF2-40B4-BE49-F238E27FC236}">
              <a16:creationId xmlns:a16="http://schemas.microsoft.com/office/drawing/2014/main" id="{00000000-0008-0000-1000-0000A2000000}"/>
            </a:ext>
          </a:extLst>
        </xdr:cNvPr>
        <xdr:cNvPicPr>
          <a:picLocks noChangeAspect="1"/>
        </xdr:cNvPicPr>
      </xdr:nvPicPr>
      <xdr:blipFill>
        <a:blip xmlns:r="http://schemas.openxmlformats.org/officeDocument/2006/relationships" r:embed="rId21"/>
        <a:stretch>
          <a:fillRect/>
        </a:stretch>
      </xdr:blipFill>
      <xdr:spPr>
        <a:xfrm>
          <a:off x="19556730" y="134934959"/>
          <a:ext cx="9132570" cy="5882381"/>
        </a:xfrm>
        <a:prstGeom prst="rect">
          <a:avLst/>
        </a:prstGeom>
      </xdr:spPr>
    </xdr:pic>
    <xdr:clientData/>
  </xdr:oneCellAnchor>
  <xdr:twoCellAnchor editAs="oneCell">
    <xdr:from>
      <xdr:col>7</xdr:col>
      <xdr:colOff>1200150</xdr:colOff>
      <xdr:row>192</xdr:row>
      <xdr:rowOff>209551</xdr:rowOff>
    </xdr:from>
    <xdr:to>
      <xdr:col>9</xdr:col>
      <xdr:colOff>2324100</xdr:colOff>
      <xdr:row>200</xdr:row>
      <xdr:rowOff>189295</xdr:rowOff>
    </xdr:to>
    <xdr:pic>
      <xdr:nvPicPr>
        <xdr:cNvPr id="10" name="Imagen 9">
          <a:extLst>
            <a:ext uri="{FF2B5EF4-FFF2-40B4-BE49-F238E27FC236}">
              <a16:creationId xmlns:a16="http://schemas.microsoft.com/office/drawing/2014/main" id="{00000000-0008-0000-1000-00000A000000}"/>
            </a:ext>
          </a:extLst>
        </xdr:cNvPr>
        <xdr:cNvPicPr>
          <a:picLocks noChangeAspect="1"/>
        </xdr:cNvPicPr>
      </xdr:nvPicPr>
      <xdr:blipFill>
        <a:blip xmlns:r="http://schemas.openxmlformats.org/officeDocument/2006/relationships" r:embed="rId22"/>
        <a:stretch>
          <a:fillRect/>
        </a:stretch>
      </xdr:blipFill>
      <xdr:spPr>
        <a:xfrm>
          <a:off x="20135850" y="143427451"/>
          <a:ext cx="7905750" cy="6075744"/>
        </a:xfrm>
        <a:prstGeom prst="rect">
          <a:avLst/>
        </a:prstGeom>
      </xdr:spPr>
    </xdr:pic>
    <xdr:clientData/>
  </xdr:twoCellAnchor>
  <xdr:twoCellAnchor editAs="oneCell">
    <xdr:from>
      <xdr:col>7</xdr:col>
      <xdr:colOff>1498962</xdr:colOff>
      <xdr:row>203</xdr:row>
      <xdr:rowOff>276497</xdr:rowOff>
    </xdr:from>
    <xdr:to>
      <xdr:col>9</xdr:col>
      <xdr:colOff>2095500</xdr:colOff>
      <xdr:row>210</xdr:row>
      <xdr:rowOff>456006</xdr:rowOff>
    </xdr:to>
    <xdr:pic>
      <xdr:nvPicPr>
        <xdr:cNvPr id="11" name="Imagen 10">
          <a:extLst>
            <a:ext uri="{FF2B5EF4-FFF2-40B4-BE49-F238E27FC236}">
              <a16:creationId xmlns:a16="http://schemas.microsoft.com/office/drawing/2014/main" id="{00000000-0008-0000-1000-00000B000000}"/>
            </a:ext>
          </a:extLst>
        </xdr:cNvPr>
        <xdr:cNvPicPr>
          <a:picLocks noChangeAspect="1"/>
        </xdr:cNvPicPr>
      </xdr:nvPicPr>
      <xdr:blipFill>
        <a:blip xmlns:r="http://schemas.openxmlformats.org/officeDocument/2006/relationships" r:embed="rId23"/>
        <a:stretch>
          <a:fillRect/>
        </a:stretch>
      </xdr:blipFill>
      <xdr:spPr>
        <a:xfrm>
          <a:off x="20434662" y="151876397"/>
          <a:ext cx="7378338" cy="5513509"/>
        </a:xfrm>
        <a:prstGeom prst="rect">
          <a:avLst/>
        </a:prstGeom>
      </xdr:spPr>
    </xdr:pic>
    <xdr:clientData/>
  </xdr:twoCellAnchor>
  <xdr:twoCellAnchor editAs="oneCell">
    <xdr:from>
      <xdr:col>7</xdr:col>
      <xdr:colOff>922020</xdr:colOff>
      <xdr:row>258</xdr:row>
      <xdr:rowOff>228600</xdr:rowOff>
    </xdr:from>
    <xdr:to>
      <xdr:col>9</xdr:col>
      <xdr:colOff>2324100</xdr:colOff>
      <xdr:row>265</xdr:row>
      <xdr:rowOff>264828</xdr:rowOff>
    </xdr:to>
    <xdr:pic>
      <xdr:nvPicPr>
        <xdr:cNvPr id="12" name="Imagen 11">
          <a:extLst>
            <a:ext uri="{FF2B5EF4-FFF2-40B4-BE49-F238E27FC236}">
              <a16:creationId xmlns:a16="http://schemas.microsoft.com/office/drawing/2014/main" id="{00000000-0008-0000-1000-00000C000000}"/>
            </a:ext>
          </a:extLst>
        </xdr:cNvPr>
        <xdr:cNvPicPr>
          <a:picLocks noChangeAspect="1"/>
        </xdr:cNvPicPr>
      </xdr:nvPicPr>
      <xdr:blipFill>
        <a:blip xmlns:r="http://schemas.openxmlformats.org/officeDocument/2006/relationships" r:embed="rId24"/>
        <a:stretch>
          <a:fillRect/>
        </a:stretch>
      </xdr:blipFill>
      <xdr:spPr>
        <a:xfrm>
          <a:off x="19857720" y="193738500"/>
          <a:ext cx="8183880" cy="5370228"/>
        </a:xfrm>
        <a:prstGeom prst="rect">
          <a:avLst/>
        </a:prstGeom>
      </xdr:spPr>
    </xdr:pic>
    <xdr:clientData/>
  </xdr:twoCellAnchor>
  <xdr:twoCellAnchor editAs="oneCell">
    <xdr:from>
      <xdr:col>7</xdr:col>
      <xdr:colOff>773430</xdr:colOff>
      <xdr:row>314</xdr:row>
      <xdr:rowOff>99061</xdr:rowOff>
    </xdr:from>
    <xdr:to>
      <xdr:col>9</xdr:col>
      <xdr:colOff>3202749</xdr:colOff>
      <xdr:row>319</xdr:row>
      <xdr:rowOff>723900</xdr:rowOff>
    </xdr:to>
    <xdr:pic>
      <xdr:nvPicPr>
        <xdr:cNvPr id="13" name="Imagen 12">
          <a:extLst>
            <a:ext uri="{FF2B5EF4-FFF2-40B4-BE49-F238E27FC236}">
              <a16:creationId xmlns:a16="http://schemas.microsoft.com/office/drawing/2014/main" id="{00000000-0008-0000-1000-00000D000000}"/>
            </a:ext>
          </a:extLst>
        </xdr:cNvPr>
        <xdr:cNvPicPr>
          <a:picLocks noChangeAspect="1"/>
        </xdr:cNvPicPr>
      </xdr:nvPicPr>
      <xdr:blipFill>
        <a:blip xmlns:r="http://schemas.openxmlformats.org/officeDocument/2006/relationships" r:embed="rId25"/>
        <a:stretch>
          <a:fillRect/>
        </a:stretch>
      </xdr:blipFill>
      <xdr:spPr>
        <a:xfrm>
          <a:off x="19709130" y="236280961"/>
          <a:ext cx="9211119" cy="4434839"/>
        </a:xfrm>
        <a:prstGeom prst="rect">
          <a:avLst/>
        </a:prstGeom>
      </xdr:spPr>
    </xdr:pic>
    <xdr:clientData/>
  </xdr:twoCellAnchor>
  <xdr:twoCellAnchor editAs="oneCell">
    <xdr:from>
      <xdr:col>7</xdr:col>
      <xdr:colOff>796290</xdr:colOff>
      <xdr:row>324</xdr:row>
      <xdr:rowOff>156209</xdr:rowOff>
    </xdr:from>
    <xdr:to>
      <xdr:col>9</xdr:col>
      <xdr:colOff>3276600</xdr:colOff>
      <xdr:row>331</xdr:row>
      <xdr:rowOff>625344</xdr:rowOff>
    </xdr:to>
    <xdr:pic>
      <xdr:nvPicPr>
        <xdr:cNvPr id="14" name="Imagen 13">
          <a:extLst>
            <a:ext uri="{FF2B5EF4-FFF2-40B4-BE49-F238E27FC236}">
              <a16:creationId xmlns:a16="http://schemas.microsoft.com/office/drawing/2014/main" id="{00000000-0008-0000-1000-00000E000000}"/>
            </a:ext>
          </a:extLst>
        </xdr:cNvPr>
        <xdr:cNvPicPr>
          <a:picLocks noChangeAspect="1"/>
        </xdr:cNvPicPr>
      </xdr:nvPicPr>
      <xdr:blipFill>
        <a:blip xmlns:r="http://schemas.openxmlformats.org/officeDocument/2006/relationships" r:embed="rId26"/>
        <a:stretch>
          <a:fillRect/>
        </a:stretch>
      </xdr:blipFill>
      <xdr:spPr>
        <a:xfrm>
          <a:off x="19731990" y="243958109"/>
          <a:ext cx="9262110" cy="5803135"/>
        </a:xfrm>
        <a:prstGeom prst="rect">
          <a:avLst/>
        </a:prstGeom>
      </xdr:spPr>
    </xdr:pic>
    <xdr:clientData/>
  </xdr:twoCellAnchor>
  <xdr:twoCellAnchor editAs="oneCell">
    <xdr:from>
      <xdr:col>7</xdr:col>
      <xdr:colOff>243839</xdr:colOff>
      <xdr:row>336</xdr:row>
      <xdr:rowOff>133349</xdr:rowOff>
    </xdr:from>
    <xdr:to>
      <xdr:col>9</xdr:col>
      <xdr:colOff>3494414</xdr:colOff>
      <xdr:row>342</xdr:row>
      <xdr:rowOff>114300</xdr:rowOff>
    </xdr:to>
    <xdr:pic>
      <xdr:nvPicPr>
        <xdr:cNvPr id="15" name="Imagen 14">
          <a:extLst>
            <a:ext uri="{FF2B5EF4-FFF2-40B4-BE49-F238E27FC236}">
              <a16:creationId xmlns:a16="http://schemas.microsoft.com/office/drawing/2014/main" id="{00000000-0008-0000-1000-00000F000000}"/>
            </a:ext>
          </a:extLst>
        </xdr:cNvPr>
        <xdr:cNvPicPr>
          <a:picLocks noChangeAspect="1"/>
        </xdr:cNvPicPr>
      </xdr:nvPicPr>
      <xdr:blipFill>
        <a:blip xmlns:r="http://schemas.openxmlformats.org/officeDocument/2006/relationships" r:embed="rId27"/>
        <a:stretch>
          <a:fillRect/>
        </a:stretch>
      </xdr:blipFill>
      <xdr:spPr>
        <a:xfrm>
          <a:off x="19179539" y="253079249"/>
          <a:ext cx="10032375" cy="4552951"/>
        </a:xfrm>
        <a:prstGeom prst="rect">
          <a:avLst/>
        </a:prstGeom>
      </xdr:spPr>
    </xdr:pic>
    <xdr:clientData/>
  </xdr:twoCellAnchor>
  <xdr:twoCellAnchor editAs="oneCell">
    <xdr:from>
      <xdr:col>7</xdr:col>
      <xdr:colOff>201930</xdr:colOff>
      <xdr:row>358</xdr:row>
      <xdr:rowOff>99060</xdr:rowOff>
    </xdr:from>
    <xdr:to>
      <xdr:col>9</xdr:col>
      <xdr:colOff>3780784</xdr:colOff>
      <xdr:row>361</xdr:row>
      <xdr:rowOff>533400</xdr:rowOff>
    </xdr:to>
    <xdr:pic>
      <xdr:nvPicPr>
        <xdr:cNvPr id="16" name="Imagen 15">
          <a:extLst>
            <a:ext uri="{FF2B5EF4-FFF2-40B4-BE49-F238E27FC236}">
              <a16:creationId xmlns:a16="http://schemas.microsoft.com/office/drawing/2014/main" id="{00000000-0008-0000-1000-000010000000}"/>
            </a:ext>
          </a:extLst>
        </xdr:cNvPr>
        <xdr:cNvPicPr>
          <a:picLocks noChangeAspect="1"/>
        </xdr:cNvPicPr>
      </xdr:nvPicPr>
      <xdr:blipFill>
        <a:blip xmlns:r="http://schemas.openxmlformats.org/officeDocument/2006/relationships" r:embed="rId28"/>
        <a:stretch>
          <a:fillRect/>
        </a:stretch>
      </xdr:blipFill>
      <xdr:spPr>
        <a:xfrm>
          <a:off x="19137630" y="269808960"/>
          <a:ext cx="10360654" cy="2720340"/>
        </a:xfrm>
        <a:prstGeom prst="rect">
          <a:avLst/>
        </a:prstGeom>
      </xdr:spPr>
    </xdr:pic>
    <xdr:clientData/>
  </xdr:twoCellAnchor>
  <xdr:twoCellAnchor editAs="oneCell">
    <xdr:from>
      <xdr:col>7</xdr:col>
      <xdr:colOff>807719</xdr:colOff>
      <xdr:row>368</xdr:row>
      <xdr:rowOff>209550</xdr:rowOff>
    </xdr:from>
    <xdr:to>
      <xdr:col>9</xdr:col>
      <xdr:colOff>3185066</xdr:colOff>
      <xdr:row>375</xdr:row>
      <xdr:rowOff>152400</xdr:rowOff>
    </xdr:to>
    <xdr:pic>
      <xdr:nvPicPr>
        <xdr:cNvPr id="17" name="Imagen 16">
          <a:extLst>
            <a:ext uri="{FF2B5EF4-FFF2-40B4-BE49-F238E27FC236}">
              <a16:creationId xmlns:a16="http://schemas.microsoft.com/office/drawing/2014/main" id="{00000000-0008-0000-1000-000011000000}"/>
            </a:ext>
          </a:extLst>
        </xdr:cNvPr>
        <xdr:cNvPicPr>
          <a:picLocks noChangeAspect="1"/>
        </xdr:cNvPicPr>
      </xdr:nvPicPr>
      <xdr:blipFill>
        <a:blip xmlns:r="http://schemas.openxmlformats.org/officeDocument/2006/relationships" r:embed="rId29"/>
        <a:stretch>
          <a:fillRect/>
        </a:stretch>
      </xdr:blipFill>
      <xdr:spPr>
        <a:xfrm>
          <a:off x="19743419" y="277539450"/>
          <a:ext cx="9159147" cy="5276850"/>
        </a:xfrm>
        <a:prstGeom prst="rect">
          <a:avLst/>
        </a:prstGeom>
      </xdr:spPr>
    </xdr:pic>
    <xdr:clientData/>
  </xdr:twoCellAnchor>
  <xdr:twoCellAnchor editAs="oneCell">
    <xdr:from>
      <xdr:col>7</xdr:col>
      <xdr:colOff>2007870</xdr:colOff>
      <xdr:row>379</xdr:row>
      <xdr:rowOff>567691</xdr:rowOff>
    </xdr:from>
    <xdr:to>
      <xdr:col>9</xdr:col>
      <xdr:colOff>1790700</xdr:colOff>
      <xdr:row>386</xdr:row>
      <xdr:rowOff>652394</xdr:rowOff>
    </xdr:to>
    <xdr:pic>
      <xdr:nvPicPr>
        <xdr:cNvPr id="18" name="Imagen 17">
          <a:extLst>
            <a:ext uri="{FF2B5EF4-FFF2-40B4-BE49-F238E27FC236}">
              <a16:creationId xmlns:a16="http://schemas.microsoft.com/office/drawing/2014/main" id="{00000000-0008-0000-1000-000012000000}"/>
            </a:ext>
          </a:extLst>
        </xdr:cNvPr>
        <xdr:cNvPicPr>
          <a:picLocks noChangeAspect="1"/>
        </xdr:cNvPicPr>
      </xdr:nvPicPr>
      <xdr:blipFill>
        <a:blip xmlns:r="http://schemas.openxmlformats.org/officeDocument/2006/relationships" r:embed="rId30"/>
        <a:stretch>
          <a:fillRect/>
        </a:stretch>
      </xdr:blipFill>
      <xdr:spPr>
        <a:xfrm>
          <a:off x="20943570" y="286279591"/>
          <a:ext cx="6564630" cy="5418703"/>
        </a:xfrm>
        <a:prstGeom prst="rect">
          <a:avLst/>
        </a:prstGeom>
      </xdr:spPr>
    </xdr:pic>
    <xdr:clientData/>
  </xdr:twoCellAnchor>
  <xdr:twoCellAnchor editAs="oneCell">
    <xdr:from>
      <xdr:col>7</xdr:col>
      <xdr:colOff>495300</xdr:colOff>
      <xdr:row>391</xdr:row>
      <xdr:rowOff>121920</xdr:rowOff>
    </xdr:from>
    <xdr:to>
      <xdr:col>9</xdr:col>
      <xdr:colOff>2583680</xdr:colOff>
      <xdr:row>397</xdr:row>
      <xdr:rowOff>114300</xdr:rowOff>
    </xdr:to>
    <xdr:pic>
      <xdr:nvPicPr>
        <xdr:cNvPr id="19" name="Imagen 18">
          <a:extLst>
            <a:ext uri="{FF2B5EF4-FFF2-40B4-BE49-F238E27FC236}">
              <a16:creationId xmlns:a16="http://schemas.microsoft.com/office/drawing/2014/main" id="{00000000-0008-0000-1000-000013000000}"/>
            </a:ext>
          </a:extLst>
        </xdr:cNvPr>
        <xdr:cNvPicPr>
          <a:picLocks noChangeAspect="1"/>
        </xdr:cNvPicPr>
      </xdr:nvPicPr>
      <xdr:blipFill>
        <a:blip xmlns:r="http://schemas.openxmlformats.org/officeDocument/2006/relationships" r:embed="rId31"/>
        <a:stretch>
          <a:fillRect/>
        </a:stretch>
      </xdr:blipFill>
      <xdr:spPr>
        <a:xfrm>
          <a:off x="19431000" y="294977820"/>
          <a:ext cx="8870180" cy="4564380"/>
        </a:xfrm>
        <a:prstGeom prst="rect">
          <a:avLst/>
        </a:prstGeom>
      </xdr:spPr>
    </xdr:pic>
    <xdr:clientData/>
  </xdr:twoCellAnchor>
  <xdr:twoCellAnchor editAs="oneCell">
    <xdr:from>
      <xdr:col>7</xdr:col>
      <xdr:colOff>685800</xdr:colOff>
      <xdr:row>412</xdr:row>
      <xdr:rowOff>281940</xdr:rowOff>
    </xdr:from>
    <xdr:to>
      <xdr:col>9</xdr:col>
      <xdr:colOff>3464422</xdr:colOff>
      <xdr:row>419</xdr:row>
      <xdr:rowOff>685800</xdr:rowOff>
    </xdr:to>
    <xdr:pic>
      <xdr:nvPicPr>
        <xdr:cNvPr id="20" name="Imagen 19">
          <a:extLst>
            <a:ext uri="{FF2B5EF4-FFF2-40B4-BE49-F238E27FC236}">
              <a16:creationId xmlns:a16="http://schemas.microsoft.com/office/drawing/2014/main" id="{00000000-0008-0000-1000-000014000000}"/>
            </a:ext>
          </a:extLst>
        </xdr:cNvPr>
        <xdr:cNvPicPr>
          <a:picLocks noChangeAspect="1"/>
        </xdr:cNvPicPr>
      </xdr:nvPicPr>
      <xdr:blipFill>
        <a:blip xmlns:r="http://schemas.openxmlformats.org/officeDocument/2006/relationships" r:embed="rId32"/>
        <a:stretch>
          <a:fillRect/>
        </a:stretch>
      </xdr:blipFill>
      <xdr:spPr>
        <a:xfrm>
          <a:off x="19621500" y="311139840"/>
          <a:ext cx="9560422" cy="5737860"/>
        </a:xfrm>
        <a:prstGeom prst="rect">
          <a:avLst/>
        </a:prstGeom>
      </xdr:spPr>
    </xdr:pic>
    <xdr:clientData/>
  </xdr:twoCellAnchor>
  <xdr:twoCellAnchor editAs="oneCell">
    <xdr:from>
      <xdr:col>7</xdr:col>
      <xdr:colOff>807719</xdr:colOff>
      <xdr:row>423</xdr:row>
      <xdr:rowOff>628648</xdr:rowOff>
    </xdr:from>
    <xdr:to>
      <xdr:col>9</xdr:col>
      <xdr:colOff>4098228</xdr:colOff>
      <xdr:row>430</xdr:row>
      <xdr:rowOff>380999</xdr:rowOff>
    </xdr:to>
    <xdr:pic>
      <xdr:nvPicPr>
        <xdr:cNvPr id="21" name="Imagen 20">
          <a:extLst>
            <a:ext uri="{FF2B5EF4-FFF2-40B4-BE49-F238E27FC236}">
              <a16:creationId xmlns:a16="http://schemas.microsoft.com/office/drawing/2014/main" id="{00000000-0008-0000-1000-000015000000}"/>
            </a:ext>
          </a:extLst>
        </xdr:cNvPr>
        <xdr:cNvPicPr>
          <a:picLocks noChangeAspect="1"/>
        </xdr:cNvPicPr>
      </xdr:nvPicPr>
      <xdr:blipFill>
        <a:blip xmlns:r="http://schemas.openxmlformats.org/officeDocument/2006/relationships" r:embed="rId33"/>
        <a:stretch>
          <a:fillRect/>
        </a:stretch>
      </xdr:blipFill>
      <xdr:spPr>
        <a:xfrm>
          <a:off x="19743419" y="319868548"/>
          <a:ext cx="10072309" cy="5086351"/>
        </a:xfrm>
        <a:prstGeom prst="rect">
          <a:avLst/>
        </a:prstGeom>
      </xdr:spPr>
    </xdr:pic>
    <xdr:clientData/>
  </xdr:twoCellAnchor>
  <xdr:twoCellAnchor editAs="oneCell">
    <xdr:from>
      <xdr:col>7</xdr:col>
      <xdr:colOff>259080</xdr:colOff>
      <xdr:row>446</xdr:row>
      <xdr:rowOff>232410</xdr:rowOff>
    </xdr:from>
    <xdr:to>
      <xdr:col>9</xdr:col>
      <xdr:colOff>3654052</xdr:colOff>
      <xdr:row>451</xdr:row>
      <xdr:rowOff>38100</xdr:rowOff>
    </xdr:to>
    <xdr:pic>
      <xdr:nvPicPr>
        <xdr:cNvPr id="23" name="Imagen 22">
          <a:extLst>
            <a:ext uri="{FF2B5EF4-FFF2-40B4-BE49-F238E27FC236}">
              <a16:creationId xmlns:a16="http://schemas.microsoft.com/office/drawing/2014/main" id="{00000000-0008-0000-1000-000017000000}"/>
            </a:ext>
          </a:extLst>
        </xdr:cNvPr>
        <xdr:cNvPicPr>
          <a:picLocks noChangeAspect="1"/>
        </xdr:cNvPicPr>
      </xdr:nvPicPr>
      <xdr:blipFill>
        <a:blip xmlns:r="http://schemas.openxmlformats.org/officeDocument/2006/relationships" r:embed="rId34"/>
        <a:stretch>
          <a:fillRect/>
        </a:stretch>
      </xdr:blipFill>
      <xdr:spPr>
        <a:xfrm>
          <a:off x="19194780" y="336998310"/>
          <a:ext cx="10176772" cy="3615690"/>
        </a:xfrm>
        <a:prstGeom prst="rect">
          <a:avLst/>
        </a:prstGeom>
      </xdr:spPr>
    </xdr:pic>
    <xdr:clientData/>
  </xdr:twoCellAnchor>
  <xdr:twoCellAnchor editAs="oneCell">
    <xdr:from>
      <xdr:col>7</xdr:col>
      <xdr:colOff>1493519</xdr:colOff>
      <xdr:row>456</xdr:row>
      <xdr:rowOff>624841</xdr:rowOff>
    </xdr:from>
    <xdr:to>
      <xdr:col>9</xdr:col>
      <xdr:colOff>3215986</xdr:colOff>
      <xdr:row>464</xdr:row>
      <xdr:rowOff>190500</xdr:rowOff>
    </xdr:to>
    <xdr:pic>
      <xdr:nvPicPr>
        <xdr:cNvPr id="24" name="Imagen 23">
          <a:extLst>
            <a:ext uri="{FF2B5EF4-FFF2-40B4-BE49-F238E27FC236}">
              <a16:creationId xmlns:a16="http://schemas.microsoft.com/office/drawing/2014/main" id="{00000000-0008-0000-1000-000018000000}"/>
            </a:ext>
          </a:extLst>
        </xdr:cNvPr>
        <xdr:cNvPicPr>
          <a:picLocks noChangeAspect="1"/>
        </xdr:cNvPicPr>
      </xdr:nvPicPr>
      <xdr:blipFill>
        <a:blip xmlns:r="http://schemas.openxmlformats.org/officeDocument/2006/relationships" r:embed="rId35"/>
        <a:stretch>
          <a:fillRect/>
        </a:stretch>
      </xdr:blipFill>
      <xdr:spPr>
        <a:xfrm>
          <a:off x="20429219" y="345010741"/>
          <a:ext cx="8504267" cy="5661659"/>
        </a:xfrm>
        <a:prstGeom prst="rect">
          <a:avLst/>
        </a:prstGeom>
      </xdr:spPr>
    </xdr:pic>
    <xdr:clientData/>
  </xdr:twoCellAnchor>
  <xdr:twoCellAnchor editAs="oneCell">
    <xdr:from>
      <xdr:col>7</xdr:col>
      <xdr:colOff>1177290</xdr:colOff>
      <xdr:row>467</xdr:row>
      <xdr:rowOff>106678</xdr:rowOff>
    </xdr:from>
    <xdr:to>
      <xdr:col>9</xdr:col>
      <xdr:colOff>2712008</xdr:colOff>
      <xdr:row>474</xdr:row>
      <xdr:rowOff>304799</xdr:rowOff>
    </xdr:to>
    <xdr:pic>
      <xdr:nvPicPr>
        <xdr:cNvPr id="166" name="Imagen 165">
          <a:extLst>
            <a:ext uri="{FF2B5EF4-FFF2-40B4-BE49-F238E27FC236}">
              <a16:creationId xmlns:a16="http://schemas.microsoft.com/office/drawing/2014/main" id="{00000000-0008-0000-1000-0000A6000000}"/>
            </a:ext>
          </a:extLst>
        </xdr:cNvPr>
        <xdr:cNvPicPr>
          <a:picLocks noChangeAspect="1"/>
        </xdr:cNvPicPr>
      </xdr:nvPicPr>
      <xdr:blipFill>
        <a:blip xmlns:r="http://schemas.openxmlformats.org/officeDocument/2006/relationships" r:embed="rId35"/>
        <a:stretch>
          <a:fillRect/>
        </a:stretch>
      </xdr:blipFill>
      <xdr:spPr>
        <a:xfrm>
          <a:off x="20112990" y="352874578"/>
          <a:ext cx="8316518" cy="5532121"/>
        </a:xfrm>
        <a:prstGeom prst="rect">
          <a:avLst/>
        </a:prstGeom>
      </xdr:spPr>
    </xdr:pic>
    <xdr:clientData/>
  </xdr:twoCellAnchor>
  <xdr:oneCellAnchor>
    <xdr:from>
      <xdr:col>11</xdr:col>
      <xdr:colOff>705970</xdr:colOff>
      <xdr:row>71</xdr:row>
      <xdr:rowOff>285750</xdr:rowOff>
    </xdr:from>
    <xdr:ext cx="6228230" cy="3829050"/>
    <xdr:pic>
      <xdr:nvPicPr>
        <xdr:cNvPr id="40" name="image123.png">
          <a:extLst>
            <a:ext uri="{FF2B5EF4-FFF2-40B4-BE49-F238E27FC236}">
              <a16:creationId xmlns:a16="http://schemas.microsoft.com/office/drawing/2014/main" id="{3E456582-E222-430D-BD97-20C89D33273E}"/>
            </a:ext>
          </a:extLst>
        </xdr:cNvPr>
        <xdr:cNvPicPr preferRelativeResize="0"/>
      </xdr:nvPicPr>
      <xdr:blipFill>
        <a:blip xmlns:r="http://schemas.openxmlformats.org/officeDocument/2006/relationships" r:embed="rId16" cstate="print"/>
        <a:stretch>
          <a:fillRect/>
        </a:stretch>
      </xdr:blipFill>
      <xdr:spPr>
        <a:xfrm>
          <a:off x="33090970" y="46615350"/>
          <a:ext cx="6228230" cy="3829050"/>
        </a:xfrm>
        <a:prstGeom prst="rect">
          <a:avLst/>
        </a:prstGeom>
        <a:noFill/>
      </xdr:spPr>
    </xdr:pic>
    <xdr:clientData fLocksWithSheet="0"/>
  </xdr:oneCellAnchor>
  <xdr:oneCellAnchor>
    <xdr:from>
      <xdr:col>15</xdr:col>
      <xdr:colOff>533400</xdr:colOff>
      <xdr:row>72</xdr:row>
      <xdr:rowOff>39220</xdr:rowOff>
    </xdr:from>
    <xdr:ext cx="6629400" cy="4151780"/>
    <xdr:pic>
      <xdr:nvPicPr>
        <xdr:cNvPr id="41" name="image123.png">
          <a:extLst>
            <a:ext uri="{FF2B5EF4-FFF2-40B4-BE49-F238E27FC236}">
              <a16:creationId xmlns:a16="http://schemas.microsoft.com/office/drawing/2014/main" id="{2D20E66B-C651-4243-9B5B-26329307AEFF}"/>
            </a:ext>
          </a:extLst>
        </xdr:cNvPr>
        <xdr:cNvPicPr preferRelativeResize="0"/>
      </xdr:nvPicPr>
      <xdr:blipFill>
        <a:blip xmlns:r="http://schemas.openxmlformats.org/officeDocument/2006/relationships" r:embed="rId16" cstate="print"/>
        <a:stretch>
          <a:fillRect/>
        </a:stretch>
      </xdr:blipFill>
      <xdr:spPr>
        <a:xfrm>
          <a:off x="44119800" y="46978420"/>
          <a:ext cx="6629400" cy="4151780"/>
        </a:xfrm>
        <a:prstGeom prst="rect">
          <a:avLst/>
        </a:prstGeom>
        <a:noFill/>
      </xdr:spPr>
    </xdr:pic>
    <xdr:clientData fLocksWithSheet="0"/>
  </xdr:oneCellAnchor>
  <xdr:oneCellAnchor>
    <xdr:from>
      <xdr:col>11</xdr:col>
      <xdr:colOff>379878</xdr:colOff>
      <xdr:row>82</xdr:row>
      <xdr:rowOff>175933</xdr:rowOff>
    </xdr:from>
    <xdr:ext cx="7163922" cy="4243667"/>
    <xdr:pic>
      <xdr:nvPicPr>
        <xdr:cNvPr id="42" name="image124.png">
          <a:extLst>
            <a:ext uri="{FF2B5EF4-FFF2-40B4-BE49-F238E27FC236}">
              <a16:creationId xmlns:a16="http://schemas.microsoft.com/office/drawing/2014/main" id="{B6AFBC32-D9CF-4CE8-85C8-247B74FE919B}"/>
            </a:ext>
          </a:extLst>
        </xdr:cNvPr>
        <xdr:cNvPicPr preferRelativeResize="0"/>
      </xdr:nvPicPr>
      <xdr:blipFill>
        <a:blip xmlns:r="http://schemas.openxmlformats.org/officeDocument/2006/relationships" r:embed="rId15" cstate="print"/>
        <a:stretch>
          <a:fillRect/>
        </a:stretch>
      </xdr:blipFill>
      <xdr:spPr>
        <a:xfrm>
          <a:off x="32764878" y="53211133"/>
          <a:ext cx="7163922" cy="4243667"/>
        </a:xfrm>
        <a:prstGeom prst="rect">
          <a:avLst/>
        </a:prstGeom>
        <a:noFill/>
      </xdr:spPr>
    </xdr:pic>
    <xdr:clientData fLocksWithSheet="0"/>
  </xdr:oneCellAnchor>
  <xdr:oneCellAnchor>
    <xdr:from>
      <xdr:col>15</xdr:col>
      <xdr:colOff>448236</xdr:colOff>
      <xdr:row>82</xdr:row>
      <xdr:rowOff>270062</xdr:rowOff>
    </xdr:from>
    <xdr:ext cx="7171764" cy="4530538"/>
    <xdr:pic>
      <xdr:nvPicPr>
        <xdr:cNvPr id="43" name="image124.png">
          <a:extLst>
            <a:ext uri="{FF2B5EF4-FFF2-40B4-BE49-F238E27FC236}">
              <a16:creationId xmlns:a16="http://schemas.microsoft.com/office/drawing/2014/main" id="{FB0FDCDC-11AF-448A-930C-0EA7F42A8757}"/>
            </a:ext>
          </a:extLst>
        </xdr:cNvPr>
        <xdr:cNvPicPr preferRelativeResize="0"/>
      </xdr:nvPicPr>
      <xdr:blipFill>
        <a:blip xmlns:r="http://schemas.openxmlformats.org/officeDocument/2006/relationships" r:embed="rId15" cstate="print"/>
        <a:stretch>
          <a:fillRect/>
        </a:stretch>
      </xdr:blipFill>
      <xdr:spPr>
        <a:xfrm>
          <a:off x="44034636" y="53305262"/>
          <a:ext cx="7171764" cy="4530538"/>
        </a:xfrm>
        <a:prstGeom prst="rect">
          <a:avLst/>
        </a:prstGeom>
        <a:noFill/>
      </xdr:spPr>
    </xdr:pic>
    <xdr:clientData fLocksWithSheet="0"/>
  </xdr:oneCellAnchor>
  <xdr:twoCellAnchor editAs="oneCell">
    <xdr:from>
      <xdr:col>11</xdr:col>
      <xdr:colOff>231961</xdr:colOff>
      <xdr:row>95</xdr:row>
      <xdr:rowOff>256614</xdr:rowOff>
    </xdr:from>
    <xdr:to>
      <xdr:col>13</xdr:col>
      <xdr:colOff>2654846</xdr:colOff>
      <xdr:row>97</xdr:row>
      <xdr:rowOff>76200</xdr:rowOff>
    </xdr:to>
    <xdr:pic>
      <xdr:nvPicPr>
        <xdr:cNvPr id="44" name="Imagen 43">
          <a:extLst>
            <a:ext uri="{FF2B5EF4-FFF2-40B4-BE49-F238E27FC236}">
              <a16:creationId xmlns:a16="http://schemas.microsoft.com/office/drawing/2014/main" id="{EE29F76A-2DE6-4234-BE68-4A5CE20DF51E}"/>
            </a:ext>
          </a:extLst>
        </xdr:cNvPr>
        <xdr:cNvPicPr>
          <a:picLocks noChangeAspect="1"/>
        </xdr:cNvPicPr>
      </xdr:nvPicPr>
      <xdr:blipFill>
        <a:blip xmlns:r="http://schemas.openxmlformats.org/officeDocument/2006/relationships" r:embed="rId36"/>
        <a:stretch>
          <a:fillRect/>
        </a:stretch>
      </xdr:blipFill>
      <xdr:spPr>
        <a:xfrm>
          <a:off x="32616961" y="61216614"/>
          <a:ext cx="7756885" cy="1267386"/>
        </a:xfrm>
        <a:prstGeom prst="rect">
          <a:avLst/>
        </a:prstGeom>
      </xdr:spPr>
    </xdr:pic>
    <xdr:clientData/>
  </xdr:twoCellAnchor>
  <xdr:twoCellAnchor editAs="oneCell">
    <xdr:from>
      <xdr:col>15</xdr:col>
      <xdr:colOff>98610</xdr:colOff>
      <xdr:row>96</xdr:row>
      <xdr:rowOff>26895</xdr:rowOff>
    </xdr:from>
    <xdr:to>
      <xdr:col>17</xdr:col>
      <xdr:colOff>2075174</xdr:colOff>
      <xdr:row>97</xdr:row>
      <xdr:rowOff>464820</xdr:rowOff>
    </xdr:to>
    <xdr:pic>
      <xdr:nvPicPr>
        <xdr:cNvPr id="45" name="Imagen 44">
          <a:extLst>
            <a:ext uri="{FF2B5EF4-FFF2-40B4-BE49-F238E27FC236}">
              <a16:creationId xmlns:a16="http://schemas.microsoft.com/office/drawing/2014/main" id="{7FE188D5-B1D5-4F30-9C6D-DC5BC17A4A51}"/>
            </a:ext>
          </a:extLst>
        </xdr:cNvPr>
        <xdr:cNvPicPr>
          <a:picLocks noChangeAspect="1"/>
        </xdr:cNvPicPr>
      </xdr:nvPicPr>
      <xdr:blipFill>
        <a:blip xmlns:r="http://schemas.openxmlformats.org/officeDocument/2006/relationships" r:embed="rId37"/>
        <a:stretch>
          <a:fillRect/>
        </a:stretch>
      </xdr:blipFill>
      <xdr:spPr>
        <a:xfrm>
          <a:off x="43898370" y="63486255"/>
          <a:ext cx="7341044" cy="1192305"/>
        </a:xfrm>
        <a:prstGeom prst="rect">
          <a:avLst/>
        </a:prstGeom>
      </xdr:spPr>
    </xdr:pic>
    <xdr:clientData/>
  </xdr:twoCellAnchor>
  <xdr:twoCellAnchor editAs="oneCell">
    <xdr:from>
      <xdr:col>11</xdr:col>
      <xdr:colOff>636494</xdr:colOff>
      <xdr:row>104</xdr:row>
      <xdr:rowOff>275665</xdr:rowOff>
    </xdr:from>
    <xdr:to>
      <xdr:col>13</xdr:col>
      <xdr:colOff>1524000</xdr:colOff>
      <xdr:row>110</xdr:row>
      <xdr:rowOff>348007</xdr:rowOff>
    </xdr:to>
    <xdr:pic>
      <xdr:nvPicPr>
        <xdr:cNvPr id="46" name="Imagen 45">
          <a:extLst>
            <a:ext uri="{FF2B5EF4-FFF2-40B4-BE49-F238E27FC236}">
              <a16:creationId xmlns:a16="http://schemas.microsoft.com/office/drawing/2014/main" id="{E84C3B12-697C-4F8A-BC35-DB7A16740267}"/>
            </a:ext>
          </a:extLst>
        </xdr:cNvPr>
        <xdr:cNvPicPr>
          <a:picLocks noChangeAspect="1"/>
        </xdr:cNvPicPr>
      </xdr:nvPicPr>
      <xdr:blipFill>
        <a:blip xmlns:r="http://schemas.openxmlformats.org/officeDocument/2006/relationships" r:embed="rId38"/>
        <a:stretch>
          <a:fillRect/>
        </a:stretch>
      </xdr:blipFill>
      <xdr:spPr>
        <a:xfrm>
          <a:off x="33402494" y="68055565"/>
          <a:ext cx="6297706" cy="4644342"/>
        </a:xfrm>
        <a:prstGeom prst="rect">
          <a:avLst/>
        </a:prstGeom>
      </xdr:spPr>
    </xdr:pic>
    <xdr:clientData/>
  </xdr:twoCellAnchor>
  <xdr:twoCellAnchor editAs="oneCell">
    <xdr:from>
      <xdr:col>15</xdr:col>
      <xdr:colOff>545726</xdr:colOff>
      <xdr:row>105</xdr:row>
      <xdr:rowOff>147917</xdr:rowOff>
    </xdr:from>
    <xdr:to>
      <xdr:col>17</xdr:col>
      <xdr:colOff>1436769</xdr:colOff>
      <xdr:row>109</xdr:row>
      <xdr:rowOff>685800</xdr:rowOff>
    </xdr:to>
    <xdr:pic>
      <xdr:nvPicPr>
        <xdr:cNvPr id="47" name="Imagen 46">
          <a:extLst>
            <a:ext uri="{FF2B5EF4-FFF2-40B4-BE49-F238E27FC236}">
              <a16:creationId xmlns:a16="http://schemas.microsoft.com/office/drawing/2014/main" id="{88CA8767-6350-4786-A07B-2D43D30938CE}"/>
            </a:ext>
          </a:extLst>
        </xdr:cNvPr>
        <xdr:cNvPicPr>
          <a:picLocks noChangeAspect="1"/>
        </xdr:cNvPicPr>
      </xdr:nvPicPr>
      <xdr:blipFill>
        <a:blip xmlns:r="http://schemas.openxmlformats.org/officeDocument/2006/relationships" r:embed="rId39"/>
        <a:stretch>
          <a:fillRect/>
        </a:stretch>
      </xdr:blipFill>
      <xdr:spPr>
        <a:xfrm>
          <a:off x="44627426" y="68575517"/>
          <a:ext cx="6301243" cy="3585883"/>
        </a:xfrm>
        <a:prstGeom prst="rect">
          <a:avLst/>
        </a:prstGeom>
      </xdr:spPr>
    </xdr:pic>
    <xdr:clientData/>
  </xdr:twoCellAnchor>
  <xdr:twoCellAnchor editAs="oneCell">
    <xdr:from>
      <xdr:col>11</xdr:col>
      <xdr:colOff>692150</xdr:colOff>
      <xdr:row>116</xdr:row>
      <xdr:rowOff>78317</xdr:rowOff>
    </xdr:from>
    <xdr:to>
      <xdr:col>13</xdr:col>
      <xdr:colOff>1600200</xdr:colOff>
      <xdr:row>122</xdr:row>
      <xdr:rowOff>156087</xdr:rowOff>
    </xdr:to>
    <xdr:pic>
      <xdr:nvPicPr>
        <xdr:cNvPr id="48" name="Imagen 47">
          <a:extLst>
            <a:ext uri="{FF2B5EF4-FFF2-40B4-BE49-F238E27FC236}">
              <a16:creationId xmlns:a16="http://schemas.microsoft.com/office/drawing/2014/main" id="{946A4C1B-6FC9-4875-8ABE-28289673042E}"/>
            </a:ext>
          </a:extLst>
        </xdr:cNvPr>
        <xdr:cNvPicPr>
          <a:picLocks noChangeAspect="1"/>
        </xdr:cNvPicPr>
      </xdr:nvPicPr>
      <xdr:blipFill>
        <a:blip xmlns:r="http://schemas.openxmlformats.org/officeDocument/2006/relationships" r:embed="rId40"/>
        <a:stretch>
          <a:fillRect/>
        </a:stretch>
      </xdr:blipFill>
      <xdr:spPr>
        <a:xfrm>
          <a:off x="33458150" y="75630617"/>
          <a:ext cx="6318250" cy="4649770"/>
        </a:xfrm>
        <a:prstGeom prst="rect">
          <a:avLst/>
        </a:prstGeom>
      </xdr:spPr>
    </xdr:pic>
    <xdr:clientData/>
  </xdr:twoCellAnchor>
  <xdr:twoCellAnchor editAs="oneCell">
    <xdr:from>
      <xdr:col>15</xdr:col>
      <xdr:colOff>611716</xdr:colOff>
      <xdr:row>115</xdr:row>
      <xdr:rowOff>182032</xdr:rowOff>
    </xdr:from>
    <xdr:to>
      <xdr:col>17</xdr:col>
      <xdr:colOff>1362679</xdr:colOff>
      <xdr:row>120</xdr:row>
      <xdr:rowOff>723899</xdr:rowOff>
    </xdr:to>
    <xdr:pic>
      <xdr:nvPicPr>
        <xdr:cNvPr id="49" name="Imagen 48">
          <a:extLst>
            <a:ext uri="{FF2B5EF4-FFF2-40B4-BE49-F238E27FC236}">
              <a16:creationId xmlns:a16="http://schemas.microsoft.com/office/drawing/2014/main" id="{F215BFC7-89BD-4109-8111-E6242B2BEA74}"/>
            </a:ext>
          </a:extLst>
        </xdr:cNvPr>
        <xdr:cNvPicPr>
          <a:picLocks noChangeAspect="1"/>
        </xdr:cNvPicPr>
      </xdr:nvPicPr>
      <xdr:blipFill>
        <a:blip xmlns:r="http://schemas.openxmlformats.org/officeDocument/2006/relationships" r:embed="rId41"/>
        <a:stretch>
          <a:fillRect/>
        </a:stretch>
      </xdr:blipFill>
      <xdr:spPr>
        <a:xfrm>
          <a:off x="44693416" y="75086632"/>
          <a:ext cx="6161163" cy="4351867"/>
        </a:xfrm>
        <a:prstGeom prst="rect">
          <a:avLst/>
        </a:prstGeom>
      </xdr:spPr>
    </xdr:pic>
    <xdr:clientData/>
  </xdr:twoCellAnchor>
  <xdr:twoCellAnchor editAs="oneCell">
    <xdr:from>
      <xdr:col>11</xdr:col>
      <xdr:colOff>84667</xdr:colOff>
      <xdr:row>128</xdr:row>
      <xdr:rowOff>118534</xdr:rowOff>
    </xdr:from>
    <xdr:to>
      <xdr:col>13</xdr:col>
      <xdr:colOff>2453955</xdr:colOff>
      <xdr:row>131</xdr:row>
      <xdr:rowOff>76200</xdr:rowOff>
    </xdr:to>
    <xdr:pic>
      <xdr:nvPicPr>
        <xdr:cNvPr id="50" name="Imagen 49">
          <a:extLst>
            <a:ext uri="{FF2B5EF4-FFF2-40B4-BE49-F238E27FC236}">
              <a16:creationId xmlns:a16="http://schemas.microsoft.com/office/drawing/2014/main" id="{8F64AB01-ECDC-48BB-AA64-55D64DAB4A25}"/>
            </a:ext>
          </a:extLst>
        </xdr:cNvPr>
        <xdr:cNvPicPr>
          <a:picLocks noChangeAspect="1"/>
        </xdr:cNvPicPr>
      </xdr:nvPicPr>
      <xdr:blipFill>
        <a:blip xmlns:r="http://schemas.openxmlformats.org/officeDocument/2006/relationships" r:embed="rId42"/>
        <a:stretch>
          <a:fillRect/>
        </a:stretch>
      </xdr:blipFill>
      <xdr:spPr>
        <a:xfrm>
          <a:off x="32850667" y="83443234"/>
          <a:ext cx="7779488" cy="2243666"/>
        </a:xfrm>
        <a:prstGeom prst="rect">
          <a:avLst/>
        </a:prstGeom>
      </xdr:spPr>
    </xdr:pic>
    <xdr:clientData/>
  </xdr:twoCellAnchor>
  <xdr:twoCellAnchor editAs="oneCell">
    <xdr:from>
      <xdr:col>15</xdr:col>
      <xdr:colOff>264582</xdr:colOff>
      <xdr:row>128</xdr:row>
      <xdr:rowOff>93133</xdr:rowOff>
    </xdr:from>
    <xdr:to>
      <xdr:col>17</xdr:col>
      <xdr:colOff>1961903</xdr:colOff>
      <xdr:row>131</xdr:row>
      <xdr:rowOff>304800</xdr:rowOff>
    </xdr:to>
    <xdr:pic>
      <xdr:nvPicPr>
        <xdr:cNvPr id="51" name="Imagen 50">
          <a:extLst>
            <a:ext uri="{FF2B5EF4-FFF2-40B4-BE49-F238E27FC236}">
              <a16:creationId xmlns:a16="http://schemas.microsoft.com/office/drawing/2014/main" id="{E0A7FC13-8D35-4441-9982-31172B3131CF}"/>
            </a:ext>
          </a:extLst>
        </xdr:cNvPr>
        <xdr:cNvPicPr>
          <a:picLocks noChangeAspect="1"/>
        </xdr:cNvPicPr>
      </xdr:nvPicPr>
      <xdr:blipFill>
        <a:blip xmlns:r="http://schemas.openxmlformats.org/officeDocument/2006/relationships" r:embed="rId43"/>
        <a:stretch>
          <a:fillRect/>
        </a:stretch>
      </xdr:blipFill>
      <xdr:spPr>
        <a:xfrm>
          <a:off x="44346282" y="83417833"/>
          <a:ext cx="7107521" cy="2497667"/>
        </a:xfrm>
        <a:prstGeom prst="rect">
          <a:avLst/>
        </a:prstGeom>
      </xdr:spPr>
    </xdr:pic>
    <xdr:clientData/>
  </xdr:twoCellAnchor>
  <xdr:oneCellAnchor>
    <xdr:from>
      <xdr:col>11</xdr:col>
      <xdr:colOff>419100</xdr:colOff>
      <xdr:row>137</xdr:row>
      <xdr:rowOff>273050</xdr:rowOff>
    </xdr:from>
    <xdr:ext cx="7086600" cy="4984750"/>
    <xdr:pic>
      <xdr:nvPicPr>
        <xdr:cNvPr id="52" name="image113.png">
          <a:extLst>
            <a:ext uri="{FF2B5EF4-FFF2-40B4-BE49-F238E27FC236}">
              <a16:creationId xmlns:a16="http://schemas.microsoft.com/office/drawing/2014/main" id="{450A1168-41B9-4551-A02B-E18AC3131632}"/>
            </a:ext>
          </a:extLst>
        </xdr:cNvPr>
        <xdr:cNvPicPr preferRelativeResize="0"/>
      </xdr:nvPicPr>
      <xdr:blipFill>
        <a:blip xmlns:r="http://schemas.openxmlformats.org/officeDocument/2006/relationships" r:embed="rId21" cstate="print"/>
        <a:stretch>
          <a:fillRect/>
        </a:stretch>
      </xdr:blipFill>
      <xdr:spPr>
        <a:xfrm>
          <a:off x="33185100" y="101580950"/>
          <a:ext cx="7086600" cy="4984750"/>
        </a:xfrm>
        <a:prstGeom prst="rect">
          <a:avLst/>
        </a:prstGeom>
        <a:noFill/>
      </xdr:spPr>
    </xdr:pic>
    <xdr:clientData fLocksWithSheet="0"/>
  </xdr:oneCellAnchor>
  <xdr:oneCellAnchor>
    <xdr:from>
      <xdr:col>15</xdr:col>
      <xdr:colOff>442384</xdr:colOff>
      <xdr:row>137</xdr:row>
      <xdr:rowOff>273050</xdr:rowOff>
    </xdr:from>
    <xdr:ext cx="6796616" cy="5022850"/>
    <xdr:pic>
      <xdr:nvPicPr>
        <xdr:cNvPr id="53" name="image113.png">
          <a:extLst>
            <a:ext uri="{FF2B5EF4-FFF2-40B4-BE49-F238E27FC236}">
              <a16:creationId xmlns:a16="http://schemas.microsoft.com/office/drawing/2014/main" id="{F70C14CD-A871-4E45-89CB-8C2BD68DF2B3}"/>
            </a:ext>
          </a:extLst>
        </xdr:cNvPr>
        <xdr:cNvPicPr preferRelativeResize="0"/>
      </xdr:nvPicPr>
      <xdr:blipFill>
        <a:blip xmlns:r="http://schemas.openxmlformats.org/officeDocument/2006/relationships" r:embed="rId21" cstate="print"/>
        <a:stretch>
          <a:fillRect/>
        </a:stretch>
      </xdr:blipFill>
      <xdr:spPr>
        <a:xfrm>
          <a:off x="44524084" y="101580950"/>
          <a:ext cx="6796616" cy="5022850"/>
        </a:xfrm>
        <a:prstGeom prst="rect">
          <a:avLst/>
        </a:prstGeom>
        <a:noFill/>
      </xdr:spPr>
    </xdr:pic>
    <xdr:clientData fLocksWithSheet="0"/>
  </xdr:oneCellAnchor>
  <xdr:oneCellAnchor>
    <xdr:from>
      <xdr:col>11</xdr:col>
      <xdr:colOff>474132</xdr:colOff>
      <xdr:row>160</xdr:row>
      <xdr:rowOff>61382</xdr:rowOff>
    </xdr:from>
    <xdr:ext cx="6879168" cy="4472518"/>
    <xdr:pic>
      <xdr:nvPicPr>
        <xdr:cNvPr id="54" name="image113.png">
          <a:extLst>
            <a:ext uri="{FF2B5EF4-FFF2-40B4-BE49-F238E27FC236}">
              <a16:creationId xmlns:a16="http://schemas.microsoft.com/office/drawing/2014/main" id="{C6278A08-3DCD-4CC2-B876-779431576CDF}"/>
            </a:ext>
          </a:extLst>
        </xdr:cNvPr>
        <xdr:cNvPicPr preferRelativeResize="0"/>
      </xdr:nvPicPr>
      <xdr:blipFill>
        <a:blip xmlns:r="http://schemas.openxmlformats.org/officeDocument/2006/relationships" r:embed="rId21" cstate="print"/>
        <a:stretch>
          <a:fillRect/>
        </a:stretch>
      </xdr:blipFill>
      <xdr:spPr>
        <a:xfrm>
          <a:off x="33240132" y="118895282"/>
          <a:ext cx="6879168" cy="4472518"/>
        </a:xfrm>
        <a:prstGeom prst="rect">
          <a:avLst/>
        </a:prstGeom>
        <a:noFill/>
      </xdr:spPr>
    </xdr:pic>
    <xdr:clientData fLocksWithSheet="0"/>
  </xdr:oneCellAnchor>
  <xdr:oneCellAnchor>
    <xdr:from>
      <xdr:col>15</xdr:col>
      <xdr:colOff>463548</xdr:colOff>
      <xdr:row>159</xdr:row>
      <xdr:rowOff>287866</xdr:rowOff>
    </xdr:from>
    <xdr:ext cx="7232652" cy="5008034"/>
    <xdr:pic>
      <xdr:nvPicPr>
        <xdr:cNvPr id="55" name="image113.png">
          <a:extLst>
            <a:ext uri="{FF2B5EF4-FFF2-40B4-BE49-F238E27FC236}">
              <a16:creationId xmlns:a16="http://schemas.microsoft.com/office/drawing/2014/main" id="{5D889A01-EA24-4993-AE89-88C0FA0AA627}"/>
            </a:ext>
          </a:extLst>
        </xdr:cNvPr>
        <xdr:cNvPicPr preferRelativeResize="0"/>
      </xdr:nvPicPr>
      <xdr:blipFill>
        <a:blip xmlns:r="http://schemas.openxmlformats.org/officeDocument/2006/relationships" r:embed="rId21" cstate="print"/>
        <a:stretch>
          <a:fillRect/>
        </a:stretch>
      </xdr:blipFill>
      <xdr:spPr>
        <a:xfrm>
          <a:off x="44545248" y="118359766"/>
          <a:ext cx="7232652" cy="5008034"/>
        </a:xfrm>
        <a:prstGeom prst="rect">
          <a:avLst/>
        </a:prstGeom>
        <a:noFill/>
      </xdr:spPr>
    </xdr:pic>
    <xdr:clientData fLocksWithSheet="0"/>
  </xdr:oneCellAnchor>
  <xdr:oneCellAnchor>
    <xdr:from>
      <xdr:col>11</xdr:col>
      <xdr:colOff>867832</xdr:colOff>
      <xdr:row>182</xdr:row>
      <xdr:rowOff>57150</xdr:rowOff>
    </xdr:from>
    <xdr:ext cx="7209368" cy="4514850"/>
    <xdr:pic>
      <xdr:nvPicPr>
        <xdr:cNvPr id="56" name="image113.png">
          <a:extLst>
            <a:ext uri="{FF2B5EF4-FFF2-40B4-BE49-F238E27FC236}">
              <a16:creationId xmlns:a16="http://schemas.microsoft.com/office/drawing/2014/main" id="{33C3AE71-4DD2-4066-A27F-66CBC18D27C2}"/>
            </a:ext>
          </a:extLst>
        </xdr:cNvPr>
        <xdr:cNvPicPr preferRelativeResize="0"/>
      </xdr:nvPicPr>
      <xdr:blipFill>
        <a:blip xmlns:r="http://schemas.openxmlformats.org/officeDocument/2006/relationships" r:embed="rId21" cstate="print"/>
        <a:stretch>
          <a:fillRect/>
        </a:stretch>
      </xdr:blipFill>
      <xdr:spPr>
        <a:xfrm>
          <a:off x="33633832" y="135655050"/>
          <a:ext cx="7209368" cy="4514850"/>
        </a:xfrm>
        <a:prstGeom prst="rect">
          <a:avLst/>
        </a:prstGeom>
        <a:noFill/>
      </xdr:spPr>
    </xdr:pic>
    <xdr:clientData fLocksWithSheet="0"/>
  </xdr:oneCellAnchor>
  <xdr:oneCellAnchor>
    <xdr:from>
      <xdr:col>15</xdr:col>
      <xdr:colOff>469900</xdr:colOff>
      <xdr:row>181</xdr:row>
      <xdr:rowOff>251882</xdr:rowOff>
    </xdr:from>
    <xdr:ext cx="6845300" cy="4891618"/>
    <xdr:pic>
      <xdr:nvPicPr>
        <xdr:cNvPr id="57" name="image113.png">
          <a:extLst>
            <a:ext uri="{FF2B5EF4-FFF2-40B4-BE49-F238E27FC236}">
              <a16:creationId xmlns:a16="http://schemas.microsoft.com/office/drawing/2014/main" id="{4FAB55B7-FD1A-4763-85FA-F8B540EE943B}"/>
            </a:ext>
          </a:extLst>
        </xdr:cNvPr>
        <xdr:cNvPicPr preferRelativeResize="0"/>
      </xdr:nvPicPr>
      <xdr:blipFill>
        <a:blip xmlns:r="http://schemas.openxmlformats.org/officeDocument/2006/relationships" r:embed="rId21" cstate="print"/>
        <a:stretch>
          <a:fillRect/>
        </a:stretch>
      </xdr:blipFill>
      <xdr:spPr>
        <a:xfrm>
          <a:off x="44551600" y="135087782"/>
          <a:ext cx="6845300" cy="4891618"/>
        </a:xfrm>
        <a:prstGeom prst="rect">
          <a:avLst/>
        </a:prstGeom>
        <a:noFill/>
      </xdr:spPr>
    </xdr:pic>
    <xdr:clientData fLocksWithSheet="0"/>
  </xdr:oneCellAnchor>
  <xdr:twoCellAnchor editAs="oneCell">
    <xdr:from>
      <xdr:col>11</xdr:col>
      <xdr:colOff>505882</xdr:colOff>
      <xdr:row>203</xdr:row>
      <xdr:rowOff>285750</xdr:rowOff>
    </xdr:from>
    <xdr:to>
      <xdr:col>13</xdr:col>
      <xdr:colOff>1818481</xdr:colOff>
      <xdr:row>209</xdr:row>
      <xdr:rowOff>495300</xdr:rowOff>
    </xdr:to>
    <xdr:pic>
      <xdr:nvPicPr>
        <xdr:cNvPr id="58" name="Imagen 57">
          <a:extLst>
            <a:ext uri="{FF2B5EF4-FFF2-40B4-BE49-F238E27FC236}">
              <a16:creationId xmlns:a16="http://schemas.microsoft.com/office/drawing/2014/main" id="{2999C58A-6DF5-4A02-97F9-A57C2231C430}"/>
            </a:ext>
          </a:extLst>
        </xdr:cNvPr>
        <xdr:cNvPicPr>
          <a:picLocks noChangeAspect="1"/>
        </xdr:cNvPicPr>
      </xdr:nvPicPr>
      <xdr:blipFill>
        <a:blip xmlns:r="http://schemas.openxmlformats.org/officeDocument/2006/relationships" r:embed="rId44"/>
        <a:stretch>
          <a:fillRect/>
        </a:stretch>
      </xdr:blipFill>
      <xdr:spPr>
        <a:xfrm>
          <a:off x="33271882" y="151885650"/>
          <a:ext cx="6722799" cy="4781550"/>
        </a:xfrm>
        <a:prstGeom prst="rect">
          <a:avLst/>
        </a:prstGeom>
      </xdr:spPr>
    </xdr:pic>
    <xdr:clientData/>
  </xdr:twoCellAnchor>
  <xdr:twoCellAnchor editAs="oneCell">
    <xdr:from>
      <xdr:col>15</xdr:col>
      <xdr:colOff>264584</xdr:colOff>
      <xdr:row>204</xdr:row>
      <xdr:rowOff>186266</xdr:rowOff>
    </xdr:from>
    <xdr:to>
      <xdr:col>17</xdr:col>
      <xdr:colOff>2065234</xdr:colOff>
      <xdr:row>209</xdr:row>
      <xdr:rowOff>495300</xdr:rowOff>
    </xdr:to>
    <xdr:pic>
      <xdr:nvPicPr>
        <xdr:cNvPr id="59" name="Imagen 58">
          <a:extLst>
            <a:ext uri="{FF2B5EF4-FFF2-40B4-BE49-F238E27FC236}">
              <a16:creationId xmlns:a16="http://schemas.microsoft.com/office/drawing/2014/main" id="{65E1562E-7369-4F19-AD76-A811892AFB78}"/>
            </a:ext>
          </a:extLst>
        </xdr:cNvPr>
        <xdr:cNvPicPr>
          <a:picLocks noChangeAspect="1"/>
        </xdr:cNvPicPr>
      </xdr:nvPicPr>
      <xdr:blipFill>
        <a:blip xmlns:r="http://schemas.openxmlformats.org/officeDocument/2006/relationships" r:embed="rId45"/>
        <a:stretch>
          <a:fillRect/>
        </a:stretch>
      </xdr:blipFill>
      <xdr:spPr>
        <a:xfrm>
          <a:off x="44346284" y="152548166"/>
          <a:ext cx="7210850" cy="4119034"/>
        </a:xfrm>
        <a:prstGeom prst="rect">
          <a:avLst/>
        </a:prstGeom>
      </xdr:spPr>
    </xdr:pic>
    <xdr:clientData/>
  </xdr:twoCellAnchor>
  <xdr:oneCellAnchor>
    <xdr:from>
      <xdr:col>11</xdr:col>
      <xdr:colOff>319616</xdr:colOff>
      <xdr:row>259</xdr:row>
      <xdr:rowOff>27516</xdr:rowOff>
    </xdr:from>
    <xdr:ext cx="6690784" cy="4430184"/>
    <xdr:pic>
      <xdr:nvPicPr>
        <xdr:cNvPr id="60" name="image107.png">
          <a:extLst>
            <a:ext uri="{FF2B5EF4-FFF2-40B4-BE49-F238E27FC236}">
              <a16:creationId xmlns:a16="http://schemas.microsoft.com/office/drawing/2014/main" id="{13BC5807-C612-4177-89D3-7B7B334FF2B3}"/>
            </a:ext>
          </a:extLst>
        </xdr:cNvPr>
        <xdr:cNvPicPr preferRelativeResize="0"/>
      </xdr:nvPicPr>
      <xdr:blipFill>
        <a:blip xmlns:r="http://schemas.openxmlformats.org/officeDocument/2006/relationships" r:embed="rId24" cstate="print"/>
        <a:stretch>
          <a:fillRect/>
        </a:stretch>
      </xdr:blipFill>
      <xdr:spPr>
        <a:xfrm>
          <a:off x="33085616" y="194299416"/>
          <a:ext cx="6690784" cy="4430184"/>
        </a:xfrm>
        <a:prstGeom prst="rect">
          <a:avLst/>
        </a:prstGeom>
        <a:noFill/>
      </xdr:spPr>
    </xdr:pic>
    <xdr:clientData fLocksWithSheet="0"/>
  </xdr:oneCellAnchor>
  <xdr:oneCellAnchor>
    <xdr:from>
      <xdr:col>15</xdr:col>
      <xdr:colOff>395816</xdr:colOff>
      <xdr:row>258</xdr:row>
      <xdr:rowOff>289982</xdr:rowOff>
    </xdr:from>
    <xdr:ext cx="6576484" cy="5082118"/>
    <xdr:pic>
      <xdr:nvPicPr>
        <xdr:cNvPr id="61" name="image107.png">
          <a:extLst>
            <a:ext uri="{FF2B5EF4-FFF2-40B4-BE49-F238E27FC236}">
              <a16:creationId xmlns:a16="http://schemas.microsoft.com/office/drawing/2014/main" id="{4EAA4A29-4FC3-40F7-B12F-BFF0BC067448}"/>
            </a:ext>
          </a:extLst>
        </xdr:cNvPr>
        <xdr:cNvPicPr preferRelativeResize="0"/>
      </xdr:nvPicPr>
      <xdr:blipFill>
        <a:blip xmlns:r="http://schemas.openxmlformats.org/officeDocument/2006/relationships" r:embed="rId24" cstate="print"/>
        <a:stretch>
          <a:fillRect/>
        </a:stretch>
      </xdr:blipFill>
      <xdr:spPr>
        <a:xfrm>
          <a:off x="44477516" y="193799882"/>
          <a:ext cx="6576484" cy="5082118"/>
        </a:xfrm>
        <a:prstGeom prst="rect">
          <a:avLst/>
        </a:prstGeom>
        <a:noFill/>
      </xdr:spPr>
    </xdr:pic>
    <xdr:clientData fLocksWithSheet="0"/>
  </xdr:oneCellAnchor>
  <xdr:oneCellAnchor>
    <xdr:from>
      <xdr:col>11</xdr:col>
      <xdr:colOff>110066</xdr:colOff>
      <xdr:row>314</xdr:row>
      <xdr:rowOff>110066</xdr:rowOff>
    </xdr:from>
    <xdr:ext cx="7814734" cy="4461934"/>
    <xdr:pic>
      <xdr:nvPicPr>
        <xdr:cNvPr id="62" name="image129.png">
          <a:extLst>
            <a:ext uri="{FF2B5EF4-FFF2-40B4-BE49-F238E27FC236}">
              <a16:creationId xmlns:a16="http://schemas.microsoft.com/office/drawing/2014/main" id="{5C4F9E6F-A0BF-4B8F-BBFA-3FEF74E4DE1B}"/>
            </a:ext>
          </a:extLst>
        </xdr:cNvPr>
        <xdr:cNvPicPr preferRelativeResize="0"/>
      </xdr:nvPicPr>
      <xdr:blipFill>
        <a:blip xmlns:r="http://schemas.openxmlformats.org/officeDocument/2006/relationships" r:embed="rId25" cstate="print"/>
        <a:stretch>
          <a:fillRect/>
        </a:stretch>
      </xdr:blipFill>
      <xdr:spPr>
        <a:xfrm>
          <a:off x="32876066" y="236291966"/>
          <a:ext cx="7814734" cy="4461934"/>
        </a:xfrm>
        <a:prstGeom prst="rect">
          <a:avLst/>
        </a:prstGeom>
        <a:noFill/>
      </xdr:spPr>
    </xdr:pic>
    <xdr:clientData fLocksWithSheet="0"/>
  </xdr:oneCellAnchor>
  <xdr:oneCellAnchor>
    <xdr:from>
      <xdr:col>15</xdr:col>
      <xdr:colOff>135466</xdr:colOff>
      <xdr:row>314</xdr:row>
      <xdr:rowOff>93134</xdr:rowOff>
    </xdr:from>
    <xdr:ext cx="7255934" cy="4288366"/>
    <xdr:pic>
      <xdr:nvPicPr>
        <xdr:cNvPr id="63" name="image129.png">
          <a:extLst>
            <a:ext uri="{FF2B5EF4-FFF2-40B4-BE49-F238E27FC236}">
              <a16:creationId xmlns:a16="http://schemas.microsoft.com/office/drawing/2014/main" id="{4D65A35D-D63B-4679-9376-CD1050B60339}"/>
            </a:ext>
          </a:extLst>
        </xdr:cNvPr>
        <xdr:cNvPicPr preferRelativeResize="0"/>
      </xdr:nvPicPr>
      <xdr:blipFill>
        <a:blip xmlns:r="http://schemas.openxmlformats.org/officeDocument/2006/relationships" r:embed="rId25" cstate="print"/>
        <a:stretch>
          <a:fillRect/>
        </a:stretch>
      </xdr:blipFill>
      <xdr:spPr>
        <a:xfrm>
          <a:off x="44217166" y="236275034"/>
          <a:ext cx="7255934" cy="4288366"/>
        </a:xfrm>
        <a:prstGeom prst="rect">
          <a:avLst/>
        </a:prstGeom>
        <a:noFill/>
      </xdr:spPr>
    </xdr:pic>
    <xdr:clientData fLocksWithSheet="0"/>
  </xdr:oneCellAnchor>
  <xdr:oneCellAnchor>
    <xdr:from>
      <xdr:col>11</xdr:col>
      <xdr:colOff>378884</xdr:colOff>
      <xdr:row>325</xdr:row>
      <xdr:rowOff>46566</xdr:rowOff>
    </xdr:from>
    <xdr:ext cx="7279216" cy="4906434"/>
    <xdr:pic>
      <xdr:nvPicPr>
        <xdr:cNvPr id="64" name="image117.png">
          <a:extLst>
            <a:ext uri="{FF2B5EF4-FFF2-40B4-BE49-F238E27FC236}">
              <a16:creationId xmlns:a16="http://schemas.microsoft.com/office/drawing/2014/main" id="{881E01FE-2CF6-40A3-A30A-CF1C1BB7E835}"/>
            </a:ext>
          </a:extLst>
        </xdr:cNvPr>
        <xdr:cNvPicPr preferRelativeResize="0"/>
      </xdr:nvPicPr>
      <xdr:blipFill>
        <a:blip xmlns:r="http://schemas.openxmlformats.org/officeDocument/2006/relationships" r:embed="rId26" cstate="print"/>
        <a:stretch>
          <a:fillRect/>
        </a:stretch>
      </xdr:blipFill>
      <xdr:spPr>
        <a:xfrm>
          <a:off x="33144884" y="244610466"/>
          <a:ext cx="7279216" cy="4906434"/>
        </a:xfrm>
        <a:prstGeom prst="rect">
          <a:avLst/>
        </a:prstGeom>
        <a:noFill/>
      </xdr:spPr>
    </xdr:pic>
    <xdr:clientData fLocksWithSheet="0"/>
  </xdr:oneCellAnchor>
  <xdr:oneCellAnchor>
    <xdr:from>
      <xdr:col>15</xdr:col>
      <xdr:colOff>387350</xdr:colOff>
      <xdr:row>325</xdr:row>
      <xdr:rowOff>65616</xdr:rowOff>
    </xdr:from>
    <xdr:ext cx="6927850" cy="4811184"/>
    <xdr:pic>
      <xdr:nvPicPr>
        <xdr:cNvPr id="65" name="image117.png">
          <a:extLst>
            <a:ext uri="{FF2B5EF4-FFF2-40B4-BE49-F238E27FC236}">
              <a16:creationId xmlns:a16="http://schemas.microsoft.com/office/drawing/2014/main" id="{56AC62DC-8523-49C5-864E-BE73000D988E}"/>
            </a:ext>
          </a:extLst>
        </xdr:cNvPr>
        <xdr:cNvPicPr preferRelativeResize="0"/>
      </xdr:nvPicPr>
      <xdr:blipFill>
        <a:blip xmlns:r="http://schemas.openxmlformats.org/officeDocument/2006/relationships" r:embed="rId26" cstate="print"/>
        <a:stretch>
          <a:fillRect/>
        </a:stretch>
      </xdr:blipFill>
      <xdr:spPr>
        <a:xfrm>
          <a:off x="44469050" y="244629516"/>
          <a:ext cx="6927850" cy="4811184"/>
        </a:xfrm>
        <a:prstGeom prst="rect">
          <a:avLst/>
        </a:prstGeom>
        <a:noFill/>
      </xdr:spPr>
    </xdr:pic>
    <xdr:clientData fLocksWithSheet="0"/>
  </xdr:oneCellAnchor>
  <xdr:oneCellAnchor>
    <xdr:from>
      <xdr:col>11</xdr:col>
      <xdr:colOff>314324</xdr:colOff>
      <xdr:row>347</xdr:row>
      <xdr:rowOff>171450</xdr:rowOff>
    </xdr:from>
    <xdr:ext cx="7229476" cy="4743450"/>
    <xdr:pic>
      <xdr:nvPicPr>
        <xdr:cNvPr id="66" name="image115.png">
          <a:extLst>
            <a:ext uri="{FF2B5EF4-FFF2-40B4-BE49-F238E27FC236}">
              <a16:creationId xmlns:a16="http://schemas.microsoft.com/office/drawing/2014/main" id="{31200AD1-859C-4486-B6AA-97D056B190A2}"/>
            </a:ext>
          </a:extLst>
        </xdr:cNvPr>
        <xdr:cNvPicPr preferRelativeResize="0"/>
      </xdr:nvPicPr>
      <xdr:blipFill>
        <a:blip xmlns:r="http://schemas.openxmlformats.org/officeDocument/2006/relationships" r:embed="rId27" cstate="print"/>
        <a:stretch>
          <a:fillRect/>
        </a:stretch>
      </xdr:blipFill>
      <xdr:spPr>
        <a:xfrm>
          <a:off x="33080324" y="261499350"/>
          <a:ext cx="7229476" cy="4743450"/>
        </a:xfrm>
        <a:prstGeom prst="rect">
          <a:avLst/>
        </a:prstGeom>
        <a:noFill/>
      </xdr:spPr>
    </xdr:pic>
    <xdr:clientData fLocksWithSheet="0"/>
  </xdr:oneCellAnchor>
  <xdr:oneCellAnchor>
    <xdr:from>
      <xdr:col>15</xdr:col>
      <xdr:colOff>447674</xdr:colOff>
      <xdr:row>347</xdr:row>
      <xdr:rowOff>152400</xdr:rowOff>
    </xdr:from>
    <xdr:ext cx="6524626" cy="4343400"/>
    <xdr:pic>
      <xdr:nvPicPr>
        <xdr:cNvPr id="67" name="image115.png">
          <a:extLst>
            <a:ext uri="{FF2B5EF4-FFF2-40B4-BE49-F238E27FC236}">
              <a16:creationId xmlns:a16="http://schemas.microsoft.com/office/drawing/2014/main" id="{DF5C0C9D-DA23-4F20-94AE-CCD5F4A1466A}"/>
            </a:ext>
          </a:extLst>
        </xdr:cNvPr>
        <xdr:cNvPicPr preferRelativeResize="0"/>
      </xdr:nvPicPr>
      <xdr:blipFill>
        <a:blip xmlns:r="http://schemas.openxmlformats.org/officeDocument/2006/relationships" r:embed="rId27" cstate="print"/>
        <a:stretch>
          <a:fillRect/>
        </a:stretch>
      </xdr:blipFill>
      <xdr:spPr>
        <a:xfrm>
          <a:off x="44529374" y="261480300"/>
          <a:ext cx="6524626" cy="4343400"/>
        </a:xfrm>
        <a:prstGeom prst="rect">
          <a:avLst/>
        </a:prstGeom>
        <a:noFill/>
      </xdr:spPr>
    </xdr:pic>
    <xdr:clientData fLocksWithSheet="0"/>
  </xdr:oneCellAnchor>
  <xdr:twoCellAnchor editAs="oneCell">
    <xdr:from>
      <xdr:col>11</xdr:col>
      <xdr:colOff>118533</xdr:colOff>
      <xdr:row>359</xdr:row>
      <xdr:rowOff>110066</xdr:rowOff>
    </xdr:from>
    <xdr:to>
      <xdr:col>13</xdr:col>
      <xdr:colOff>3014996</xdr:colOff>
      <xdr:row>362</xdr:row>
      <xdr:rowOff>76200</xdr:rowOff>
    </xdr:to>
    <xdr:pic>
      <xdr:nvPicPr>
        <xdr:cNvPr id="68" name="Imagen 67">
          <a:extLst>
            <a:ext uri="{FF2B5EF4-FFF2-40B4-BE49-F238E27FC236}">
              <a16:creationId xmlns:a16="http://schemas.microsoft.com/office/drawing/2014/main" id="{F5515346-3030-4AA8-96E1-53EABAD8F288}"/>
            </a:ext>
          </a:extLst>
        </xdr:cNvPr>
        <xdr:cNvPicPr>
          <a:picLocks noChangeAspect="1"/>
        </xdr:cNvPicPr>
      </xdr:nvPicPr>
      <xdr:blipFill>
        <a:blip xmlns:r="http://schemas.openxmlformats.org/officeDocument/2006/relationships" r:embed="rId46"/>
        <a:stretch>
          <a:fillRect/>
        </a:stretch>
      </xdr:blipFill>
      <xdr:spPr>
        <a:xfrm>
          <a:off x="32884533" y="270581966"/>
          <a:ext cx="8306663" cy="2252134"/>
        </a:xfrm>
        <a:prstGeom prst="rect">
          <a:avLst/>
        </a:prstGeom>
      </xdr:spPr>
    </xdr:pic>
    <xdr:clientData/>
  </xdr:twoCellAnchor>
  <xdr:twoCellAnchor editAs="oneCell">
    <xdr:from>
      <xdr:col>15</xdr:col>
      <xdr:colOff>93132</xdr:colOff>
      <xdr:row>358</xdr:row>
      <xdr:rowOff>135466</xdr:rowOff>
    </xdr:from>
    <xdr:to>
      <xdr:col>17</xdr:col>
      <xdr:colOff>2073679</xdr:colOff>
      <xdr:row>362</xdr:row>
      <xdr:rowOff>342900</xdr:rowOff>
    </xdr:to>
    <xdr:pic>
      <xdr:nvPicPr>
        <xdr:cNvPr id="69" name="Imagen 68">
          <a:extLst>
            <a:ext uri="{FF2B5EF4-FFF2-40B4-BE49-F238E27FC236}">
              <a16:creationId xmlns:a16="http://schemas.microsoft.com/office/drawing/2014/main" id="{99EA7581-CA37-4B4B-9971-E8B82B33D103}"/>
            </a:ext>
          </a:extLst>
        </xdr:cNvPr>
        <xdr:cNvPicPr>
          <a:picLocks noChangeAspect="1"/>
        </xdr:cNvPicPr>
      </xdr:nvPicPr>
      <xdr:blipFill>
        <a:blip xmlns:r="http://schemas.openxmlformats.org/officeDocument/2006/relationships" r:embed="rId47"/>
        <a:stretch>
          <a:fillRect/>
        </a:stretch>
      </xdr:blipFill>
      <xdr:spPr>
        <a:xfrm>
          <a:off x="44174832" y="269845366"/>
          <a:ext cx="7390747" cy="3255434"/>
        </a:xfrm>
        <a:prstGeom prst="rect">
          <a:avLst/>
        </a:prstGeom>
      </xdr:spPr>
    </xdr:pic>
    <xdr:clientData/>
  </xdr:twoCellAnchor>
  <xdr:twoCellAnchor editAs="oneCell">
    <xdr:from>
      <xdr:col>11</xdr:col>
      <xdr:colOff>84667</xdr:colOff>
      <xdr:row>369</xdr:row>
      <xdr:rowOff>67734</xdr:rowOff>
    </xdr:from>
    <xdr:to>
      <xdr:col>13</xdr:col>
      <xdr:colOff>2816379</xdr:colOff>
      <xdr:row>373</xdr:row>
      <xdr:rowOff>723900</xdr:rowOff>
    </xdr:to>
    <xdr:pic>
      <xdr:nvPicPr>
        <xdr:cNvPr id="75" name="Imagen 74">
          <a:extLst>
            <a:ext uri="{FF2B5EF4-FFF2-40B4-BE49-F238E27FC236}">
              <a16:creationId xmlns:a16="http://schemas.microsoft.com/office/drawing/2014/main" id="{D1EC67FE-CDDF-4FB2-A353-523F54F6AD22}"/>
            </a:ext>
          </a:extLst>
        </xdr:cNvPr>
        <xdr:cNvPicPr>
          <a:picLocks noChangeAspect="1"/>
        </xdr:cNvPicPr>
      </xdr:nvPicPr>
      <xdr:blipFill>
        <a:blip xmlns:r="http://schemas.openxmlformats.org/officeDocument/2006/relationships" r:embed="rId48"/>
        <a:stretch>
          <a:fillRect/>
        </a:stretch>
      </xdr:blipFill>
      <xdr:spPr>
        <a:xfrm>
          <a:off x="32850667" y="278159634"/>
          <a:ext cx="8141912" cy="3704166"/>
        </a:xfrm>
        <a:prstGeom prst="rect">
          <a:avLst/>
        </a:prstGeom>
      </xdr:spPr>
    </xdr:pic>
    <xdr:clientData/>
  </xdr:twoCellAnchor>
  <xdr:twoCellAnchor editAs="oneCell">
    <xdr:from>
      <xdr:col>15</xdr:col>
      <xdr:colOff>203199</xdr:colOff>
      <xdr:row>369</xdr:row>
      <xdr:rowOff>188384</xdr:rowOff>
    </xdr:from>
    <xdr:to>
      <xdr:col>17</xdr:col>
      <xdr:colOff>1966078</xdr:colOff>
      <xdr:row>373</xdr:row>
      <xdr:rowOff>495300</xdr:rowOff>
    </xdr:to>
    <xdr:pic>
      <xdr:nvPicPr>
        <xdr:cNvPr id="77" name="Imagen 76">
          <a:extLst>
            <a:ext uri="{FF2B5EF4-FFF2-40B4-BE49-F238E27FC236}">
              <a16:creationId xmlns:a16="http://schemas.microsoft.com/office/drawing/2014/main" id="{B5B34DCD-1519-4130-BBB8-73114C4091B3}"/>
            </a:ext>
          </a:extLst>
        </xdr:cNvPr>
        <xdr:cNvPicPr>
          <a:picLocks noChangeAspect="1"/>
        </xdr:cNvPicPr>
      </xdr:nvPicPr>
      <xdr:blipFill>
        <a:blip xmlns:r="http://schemas.openxmlformats.org/officeDocument/2006/relationships" r:embed="rId49"/>
        <a:stretch>
          <a:fillRect/>
        </a:stretch>
      </xdr:blipFill>
      <xdr:spPr>
        <a:xfrm>
          <a:off x="44284899" y="278280284"/>
          <a:ext cx="7173079" cy="3354916"/>
        </a:xfrm>
        <a:prstGeom prst="rect">
          <a:avLst/>
        </a:prstGeom>
      </xdr:spPr>
    </xdr:pic>
    <xdr:clientData/>
  </xdr:twoCellAnchor>
  <xdr:twoCellAnchor editAs="oneCell">
    <xdr:from>
      <xdr:col>11</xdr:col>
      <xdr:colOff>1130300</xdr:colOff>
      <xdr:row>379</xdr:row>
      <xdr:rowOff>461434</xdr:rowOff>
    </xdr:from>
    <xdr:to>
      <xdr:col>13</xdr:col>
      <xdr:colOff>1562100</xdr:colOff>
      <xdr:row>386</xdr:row>
      <xdr:rowOff>684272</xdr:rowOff>
    </xdr:to>
    <xdr:pic>
      <xdr:nvPicPr>
        <xdr:cNvPr id="80" name="Imagen 79">
          <a:extLst>
            <a:ext uri="{FF2B5EF4-FFF2-40B4-BE49-F238E27FC236}">
              <a16:creationId xmlns:a16="http://schemas.microsoft.com/office/drawing/2014/main" id="{99CF9CF8-9756-4317-94DC-933D96E544CE}"/>
            </a:ext>
          </a:extLst>
        </xdr:cNvPr>
        <xdr:cNvPicPr>
          <a:picLocks noChangeAspect="1"/>
        </xdr:cNvPicPr>
      </xdr:nvPicPr>
      <xdr:blipFill>
        <a:blip xmlns:r="http://schemas.openxmlformats.org/officeDocument/2006/relationships" r:embed="rId50"/>
        <a:stretch>
          <a:fillRect/>
        </a:stretch>
      </xdr:blipFill>
      <xdr:spPr>
        <a:xfrm>
          <a:off x="33896300" y="286173334"/>
          <a:ext cx="5842000" cy="5556838"/>
        </a:xfrm>
        <a:prstGeom prst="rect">
          <a:avLst/>
        </a:prstGeom>
      </xdr:spPr>
    </xdr:pic>
    <xdr:clientData/>
  </xdr:twoCellAnchor>
  <xdr:oneCellAnchor>
    <xdr:from>
      <xdr:col>15</xdr:col>
      <xdr:colOff>916516</xdr:colOff>
      <xdr:row>379</xdr:row>
      <xdr:rowOff>304800</xdr:rowOff>
    </xdr:from>
    <xdr:ext cx="5895977" cy="5334000"/>
    <xdr:pic>
      <xdr:nvPicPr>
        <xdr:cNvPr id="81" name="Imagen 80">
          <a:extLst>
            <a:ext uri="{FF2B5EF4-FFF2-40B4-BE49-F238E27FC236}">
              <a16:creationId xmlns:a16="http://schemas.microsoft.com/office/drawing/2014/main" id="{7E4CC5BB-45A7-4010-A4A0-6E80F3749F3D}"/>
            </a:ext>
          </a:extLst>
        </xdr:cNvPr>
        <xdr:cNvPicPr>
          <a:picLocks noChangeAspect="1"/>
        </xdr:cNvPicPr>
      </xdr:nvPicPr>
      <xdr:blipFill>
        <a:blip xmlns:r="http://schemas.openxmlformats.org/officeDocument/2006/relationships" r:embed="rId50"/>
        <a:stretch>
          <a:fillRect/>
        </a:stretch>
      </xdr:blipFill>
      <xdr:spPr>
        <a:xfrm>
          <a:off x="44998216" y="286016700"/>
          <a:ext cx="5895977" cy="5334000"/>
        </a:xfrm>
        <a:prstGeom prst="rect">
          <a:avLst/>
        </a:prstGeom>
      </xdr:spPr>
    </xdr:pic>
    <xdr:clientData/>
  </xdr:oneCellAnchor>
  <xdr:oneCellAnchor>
    <xdr:from>
      <xdr:col>11</xdr:col>
      <xdr:colOff>711200</xdr:colOff>
      <xdr:row>391</xdr:row>
      <xdr:rowOff>507998</xdr:rowOff>
    </xdr:from>
    <xdr:ext cx="7023100" cy="4445002"/>
    <xdr:pic>
      <xdr:nvPicPr>
        <xdr:cNvPr id="82" name="image122.png">
          <a:extLst>
            <a:ext uri="{FF2B5EF4-FFF2-40B4-BE49-F238E27FC236}">
              <a16:creationId xmlns:a16="http://schemas.microsoft.com/office/drawing/2014/main" id="{207657DE-A752-4AFB-B53A-0E35905041B1}"/>
            </a:ext>
          </a:extLst>
        </xdr:cNvPr>
        <xdr:cNvPicPr preferRelativeResize="0"/>
      </xdr:nvPicPr>
      <xdr:blipFill>
        <a:blip xmlns:r="http://schemas.openxmlformats.org/officeDocument/2006/relationships" r:embed="rId31" cstate="print"/>
        <a:stretch>
          <a:fillRect/>
        </a:stretch>
      </xdr:blipFill>
      <xdr:spPr>
        <a:xfrm>
          <a:off x="33477200" y="295363898"/>
          <a:ext cx="7023100" cy="4445002"/>
        </a:xfrm>
        <a:prstGeom prst="rect">
          <a:avLst/>
        </a:prstGeom>
        <a:noFill/>
      </xdr:spPr>
    </xdr:pic>
    <xdr:clientData fLocksWithSheet="0"/>
  </xdr:oneCellAnchor>
  <xdr:oneCellAnchor>
    <xdr:from>
      <xdr:col>15</xdr:col>
      <xdr:colOff>452966</xdr:colOff>
      <xdr:row>391</xdr:row>
      <xdr:rowOff>461432</xdr:rowOff>
    </xdr:from>
    <xdr:ext cx="6786034" cy="4262968"/>
    <xdr:pic>
      <xdr:nvPicPr>
        <xdr:cNvPr id="83" name="image122.png">
          <a:extLst>
            <a:ext uri="{FF2B5EF4-FFF2-40B4-BE49-F238E27FC236}">
              <a16:creationId xmlns:a16="http://schemas.microsoft.com/office/drawing/2014/main" id="{70F8A561-2EF0-4D1D-828B-66F018C820C3}"/>
            </a:ext>
          </a:extLst>
        </xdr:cNvPr>
        <xdr:cNvPicPr preferRelativeResize="0"/>
      </xdr:nvPicPr>
      <xdr:blipFill>
        <a:blip xmlns:r="http://schemas.openxmlformats.org/officeDocument/2006/relationships" r:embed="rId31" cstate="print"/>
        <a:stretch>
          <a:fillRect/>
        </a:stretch>
      </xdr:blipFill>
      <xdr:spPr>
        <a:xfrm>
          <a:off x="44534666" y="295317332"/>
          <a:ext cx="6786034" cy="4262968"/>
        </a:xfrm>
        <a:prstGeom prst="rect">
          <a:avLst/>
        </a:prstGeom>
        <a:noFill/>
      </xdr:spPr>
    </xdr:pic>
    <xdr:clientData fLocksWithSheet="0"/>
  </xdr:oneCellAnchor>
  <xdr:oneCellAnchor>
    <xdr:from>
      <xdr:col>11</xdr:col>
      <xdr:colOff>323850</xdr:colOff>
      <xdr:row>413</xdr:row>
      <xdr:rowOff>84667</xdr:rowOff>
    </xdr:from>
    <xdr:ext cx="7448550" cy="5173133"/>
    <xdr:pic>
      <xdr:nvPicPr>
        <xdr:cNvPr id="84" name="image127.png">
          <a:extLst>
            <a:ext uri="{FF2B5EF4-FFF2-40B4-BE49-F238E27FC236}">
              <a16:creationId xmlns:a16="http://schemas.microsoft.com/office/drawing/2014/main" id="{8C48125E-B5BD-4148-8682-390F45A29400}"/>
            </a:ext>
          </a:extLst>
        </xdr:cNvPr>
        <xdr:cNvPicPr preferRelativeResize="0"/>
      </xdr:nvPicPr>
      <xdr:blipFill>
        <a:blip xmlns:r="http://schemas.openxmlformats.org/officeDocument/2006/relationships" r:embed="rId32" cstate="print"/>
        <a:stretch>
          <a:fillRect/>
        </a:stretch>
      </xdr:blipFill>
      <xdr:spPr>
        <a:xfrm>
          <a:off x="33089850" y="311704567"/>
          <a:ext cx="7448550" cy="5173133"/>
        </a:xfrm>
        <a:prstGeom prst="rect">
          <a:avLst/>
        </a:prstGeom>
        <a:noFill/>
      </xdr:spPr>
    </xdr:pic>
    <xdr:clientData fLocksWithSheet="0"/>
  </xdr:oneCellAnchor>
  <xdr:oneCellAnchor>
    <xdr:from>
      <xdr:col>15</xdr:col>
      <xdr:colOff>213782</xdr:colOff>
      <xdr:row>413</xdr:row>
      <xdr:rowOff>38101</xdr:rowOff>
    </xdr:from>
    <xdr:ext cx="7634818" cy="5295899"/>
    <xdr:pic>
      <xdr:nvPicPr>
        <xdr:cNvPr id="85" name="image127.png">
          <a:extLst>
            <a:ext uri="{FF2B5EF4-FFF2-40B4-BE49-F238E27FC236}">
              <a16:creationId xmlns:a16="http://schemas.microsoft.com/office/drawing/2014/main" id="{DC8806AA-AAD6-4A20-9158-5B0453EA0521}"/>
            </a:ext>
          </a:extLst>
        </xdr:cNvPr>
        <xdr:cNvPicPr preferRelativeResize="0"/>
      </xdr:nvPicPr>
      <xdr:blipFill>
        <a:blip xmlns:r="http://schemas.openxmlformats.org/officeDocument/2006/relationships" r:embed="rId32" cstate="print"/>
        <a:stretch>
          <a:fillRect/>
        </a:stretch>
      </xdr:blipFill>
      <xdr:spPr>
        <a:xfrm>
          <a:off x="44295482" y="311658001"/>
          <a:ext cx="7634818" cy="5295899"/>
        </a:xfrm>
        <a:prstGeom prst="rect">
          <a:avLst/>
        </a:prstGeom>
        <a:noFill/>
      </xdr:spPr>
    </xdr:pic>
    <xdr:clientData fLocksWithSheet="0"/>
  </xdr:oneCellAnchor>
  <xdr:oneCellAnchor>
    <xdr:from>
      <xdr:col>11</xdr:col>
      <xdr:colOff>588432</xdr:colOff>
      <xdr:row>424</xdr:row>
      <xdr:rowOff>529166</xdr:rowOff>
    </xdr:from>
    <xdr:ext cx="7526868" cy="4614334"/>
    <xdr:pic>
      <xdr:nvPicPr>
        <xdr:cNvPr id="86" name="image121.png">
          <a:extLst>
            <a:ext uri="{FF2B5EF4-FFF2-40B4-BE49-F238E27FC236}">
              <a16:creationId xmlns:a16="http://schemas.microsoft.com/office/drawing/2014/main" id="{400DD1A6-5F2A-4C83-8B66-AB6DEFE361D8}"/>
            </a:ext>
          </a:extLst>
        </xdr:cNvPr>
        <xdr:cNvPicPr preferRelativeResize="0"/>
      </xdr:nvPicPr>
      <xdr:blipFill>
        <a:blip xmlns:r="http://schemas.openxmlformats.org/officeDocument/2006/relationships" r:embed="rId33" cstate="print"/>
        <a:stretch>
          <a:fillRect/>
        </a:stretch>
      </xdr:blipFill>
      <xdr:spPr>
        <a:xfrm>
          <a:off x="33354432" y="320531066"/>
          <a:ext cx="7526868" cy="4614334"/>
        </a:xfrm>
        <a:prstGeom prst="rect">
          <a:avLst/>
        </a:prstGeom>
        <a:noFill/>
      </xdr:spPr>
    </xdr:pic>
    <xdr:clientData fLocksWithSheet="0"/>
  </xdr:oneCellAnchor>
  <xdr:oneCellAnchor>
    <xdr:from>
      <xdr:col>15</xdr:col>
      <xdr:colOff>529166</xdr:colOff>
      <xdr:row>424</xdr:row>
      <xdr:rowOff>237066</xdr:rowOff>
    </xdr:from>
    <xdr:ext cx="7052734" cy="4639734"/>
    <xdr:pic>
      <xdr:nvPicPr>
        <xdr:cNvPr id="87" name="image121.png">
          <a:extLst>
            <a:ext uri="{FF2B5EF4-FFF2-40B4-BE49-F238E27FC236}">
              <a16:creationId xmlns:a16="http://schemas.microsoft.com/office/drawing/2014/main" id="{16B290B1-7159-4448-B8BE-A770E1A0D2EE}"/>
            </a:ext>
          </a:extLst>
        </xdr:cNvPr>
        <xdr:cNvPicPr preferRelativeResize="0"/>
      </xdr:nvPicPr>
      <xdr:blipFill>
        <a:blip xmlns:r="http://schemas.openxmlformats.org/officeDocument/2006/relationships" r:embed="rId33" cstate="print"/>
        <a:stretch>
          <a:fillRect/>
        </a:stretch>
      </xdr:blipFill>
      <xdr:spPr>
        <a:xfrm>
          <a:off x="44610866" y="320238966"/>
          <a:ext cx="7052734" cy="4639734"/>
        </a:xfrm>
        <a:prstGeom prst="rect">
          <a:avLst/>
        </a:prstGeom>
        <a:noFill/>
      </xdr:spPr>
    </xdr:pic>
    <xdr:clientData fLocksWithSheet="0"/>
  </xdr:oneCellAnchor>
  <xdr:oneCellAnchor>
    <xdr:from>
      <xdr:col>11</xdr:col>
      <xdr:colOff>524932</xdr:colOff>
      <xdr:row>447</xdr:row>
      <xdr:rowOff>76201</xdr:rowOff>
    </xdr:from>
    <xdr:ext cx="7399868" cy="3657599"/>
    <xdr:pic>
      <xdr:nvPicPr>
        <xdr:cNvPr id="88" name="image112.png">
          <a:extLst>
            <a:ext uri="{FF2B5EF4-FFF2-40B4-BE49-F238E27FC236}">
              <a16:creationId xmlns:a16="http://schemas.microsoft.com/office/drawing/2014/main" id="{D02A8D03-E03A-45FC-BE7D-666DE58F757C}"/>
            </a:ext>
          </a:extLst>
        </xdr:cNvPr>
        <xdr:cNvPicPr preferRelativeResize="0"/>
      </xdr:nvPicPr>
      <xdr:blipFill>
        <a:blip xmlns:r="http://schemas.openxmlformats.org/officeDocument/2006/relationships" r:embed="rId34" cstate="print"/>
        <a:stretch>
          <a:fillRect/>
        </a:stretch>
      </xdr:blipFill>
      <xdr:spPr>
        <a:xfrm>
          <a:off x="33290932" y="337604101"/>
          <a:ext cx="7399868" cy="3657599"/>
        </a:xfrm>
        <a:prstGeom prst="rect">
          <a:avLst/>
        </a:prstGeom>
        <a:noFill/>
      </xdr:spPr>
    </xdr:pic>
    <xdr:clientData fLocksWithSheet="0"/>
  </xdr:oneCellAnchor>
  <xdr:oneCellAnchor>
    <xdr:from>
      <xdr:col>15</xdr:col>
      <xdr:colOff>738716</xdr:colOff>
      <xdr:row>446</xdr:row>
      <xdr:rowOff>2117</xdr:rowOff>
    </xdr:from>
    <xdr:ext cx="6119284" cy="3998383"/>
    <xdr:pic>
      <xdr:nvPicPr>
        <xdr:cNvPr id="89" name="image112.png">
          <a:extLst>
            <a:ext uri="{FF2B5EF4-FFF2-40B4-BE49-F238E27FC236}">
              <a16:creationId xmlns:a16="http://schemas.microsoft.com/office/drawing/2014/main" id="{EE6D1B4F-B24E-4C0C-93A3-4C32202A8AD7}"/>
            </a:ext>
          </a:extLst>
        </xdr:cNvPr>
        <xdr:cNvPicPr preferRelativeResize="0"/>
      </xdr:nvPicPr>
      <xdr:blipFill>
        <a:blip xmlns:r="http://schemas.openxmlformats.org/officeDocument/2006/relationships" r:embed="rId34" cstate="print"/>
        <a:stretch>
          <a:fillRect/>
        </a:stretch>
      </xdr:blipFill>
      <xdr:spPr>
        <a:xfrm>
          <a:off x="44820416" y="336768017"/>
          <a:ext cx="6119284" cy="3998383"/>
        </a:xfrm>
        <a:prstGeom prst="rect">
          <a:avLst/>
        </a:prstGeom>
        <a:noFill/>
      </xdr:spPr>
    </xdr:pic>
    <xdr:clientData fLocksWithSheet="0"/>
  </xdr:oneCellAnchor>
  <xdr:oneCellAnchor>
    <xdr:from>
      <xdr:col>11</xdr:col>
      <xdr:colOff>366183</xdr:colOff>
      <xdr:row>456</xdr:row>
      <xdr:rowOff>273050</xdr:rowOff>
    </xdr:from>
    <xdr:ext cx="6910917" cy="5518150"/>
    <xdr:pic>
      <xdr:nvPicPr>
        <xdr:cNvPr id="90" name="image126.png">
          <a:extLst>
            <a:ext uri="{FF2B5EF4-FFF2-40B4-BE49-F238E27FC236}">
              <a16:creationId xmlns:a16="http://schemas.microsoft.com/office/drawing/2014/main" id="{32D7F85B-47BF-422C-8E65-1761CB53C7AE}"/>
            </a:ext>
          </a:extLst>
        </xdr:cNvPr>
        <xdr:cNvPicPr preferRelativeResize="0"/>
      </xdr:nvPicPr>
      <xdr:blipFill>
        <a:blip xmlns:r="http://schemas.openxmlformats.org/officeDocument/2006/relationships" r:embed="rId35" cstate="print"/>
        <a:stretch>
          <a:fillRect/>
        </a:stretch>
      </xdr:blipFill>
      <xdr:spPr>
        <a:xfrm>
          <a:off x="33132183" y="344658950"/>
          <a:ext cx="6910917" cy="5518150"/>
        </a:xfrm>
        <a:prstGeom prst="rect">
          <a:avLst/>
        </a:prstGeom>
        <a:noFill/>
      </xdr:spPr>
    </xdr:pic>
    <xdr:clientData fLocksWithSheet="0"/>
  </xdr:oneCellAnchor>
  <xdr:oneCellAnchor>
    <xdr:from>
      <xdr:col>15</xdr:col>
      <xdr:colOff>565150</xdr:colOff>
      <xdr:row>456</xdr:row>
      <xdr:rowOff>300567</xdr:rowOff>
    </xdr:from>
    <xdr:ext cx="6788150" cy="5338233"/>
    <xdr:pic>
      <xdr:nvPicPr>
        <xdr:cNvPr id="91" name="image126.png">
          <a:extLst>
            <a:ext uri="{FF2B5EF4-FFF2-40B4-BE49-F238E27FC236}">
              <a16:creationId xmlns:a16="http://schemas.microsoft.com/office/drawing/2014/main" id="{86B31AF8-D4E2-485F-A260-D4499D6A398F}"/>
            </a:ext>
          </a:extLst>
        </xdr:cNvPr>
        <xdr:cNvPicPr preferRelativeResize="0"/>
      </xdr:nvPicPr>
      <xdr:blipFill>
        <a:blip xmlns:r="http://schemas.openxmlformats.org/officeDocument/2006/relationships" r:embed="rId35" cstate="print"/>
        <a:stretch>
          <a:fillRect/>
        </a:stretch>
      </xdr:blipFill>
      <xdr:spPr>
        <a:xfrm>
          <a:off x="44646850" y="344686467"/>
          <a:ext cx="6788150" cy="5338233"/>
        </a:xfrm>
        <a:prstGeom prst="rect">
          <a:avLst/>
        </a:prstGeom>
        <a:noFill/>
      </xdr:spPr>
    </xdr:pic>
    <xdr:clientData fLocksWithSheet="0"/>
  </xdr:oneCellAnchor>
  <xdr:oneCellAnchor>
    <xdr:from>
      <xdr:col>11</xdr:col>
      <xdr:colOff>279400</xdr:colOff>
      <xdr:row>467</xdr:row>
      <xdr:rowOff>209550</xdr:rowOff>
    </xdr:from>
    <xdr:ext cx="7797800" cy="5695950"/>
    <xdr:pic>
      <xdr:nvPicPr>
        <xdr:cNvPr id="92" name="image126.png">
          <a:extLst>
            <a:ext uri="{FF2B5EF4-FFF2-40B4-BE49-F238E27FC236}">
              <a16:creationId xmlns:a16="http://schemas.microsoft.com/office/drawing/2014/main" id="{FBD84F1E-8689-4EA8-AF7C-6A1F489C8D51}"/>
            </a:ext>
          </a:extLst>
        </xdr:cNvPr>
        <xdr:cNvPicPr preferRelativeResize="0"/>
      </xdr:nvPicPr>
      <xdr:blipFill>
        <a:blip xmlns:r="http://schemas.openxmlformats.org/officeDocument/2006/relationships" r:embed="rId35" cstate="print"/>
        <a:stretch>
          <a:fillRect/>
        </a:stretch>
      </xdr:blipFill>
      <xdr:spPr>
        <a:xfrm>
          <a:off x="33045400" y="352977450"/>
          <a:ext cx="7797800" cy="5695950"/>
        </a:xfrm>
        <a:prstGeom prst="rect">
          <a:avLst/>
        </a:prstGeom>
        <a:noFill/>
      </xdr:spPr>
    </xdr:pic>
    <xdr:clientData fLocksWithSheet="0"/>
  </xdr:oneCellAnchor>
  <xdr:oneCellAnchor>
    <xdr:from>
      <xdr:col>15</xdr:col>
      <xdr:colOff>325966</xdr:colOff>
      <xdr:row>467</xdr:row>
      <xdr:rowOff>218017</xdr:rowOff>
    </xdr:from>
    <xdr:ext cx="7255934" cy="5268383"/>
    <xdr:pic>
      <xdr:nvPicPr>
        <xdr:cNvPr id="93" name="image126.png">
          <a:extLst>
            <a:ext uri="{FF2B5EF4-FFF2-40B4-BE49-F238E27FC236}">
              <a16:creationId xmlns:a16="http://schemas.microsoft.com/office/drawing/2014/main" id="{0D9978A3-F687-4098-947F-05A55397827D}"/>
            </a:ext>
          </a:extLst>
        </xdr:cNvPr>
        <xdr:cNvPicPr preferRelativeResize="0"/>
      </xdr:nvPicPr>
      <xdr:blipFill>
        <a:blip xmlns:r="http://schemas.openxmlformats.org/officeDocument/2006/relationships" r:embed="rId35" cstate="print"/>
        <a:stretch>
          <a:fillRect/>
        </a:stretch>
      </xdr:blipFill>
      <xdr:spPr>
        <a:xfrm>
          <a:off x="44407666" y="352985917"/>
          <a:ext cx="7255934" cy="5268383"/>
        </a:xfrm>
        <a:prstGeom prst="rect">
          <a:avLst/>
        </a:prstGeom>
        <a:noFill/>
      </xdr:spPr>
    </xdr:pic>
    <xdr:clientData fLocksWithSheet="0"/>
  </xdr:oneCellAnchor>
  <xdr:twoCellAnchor editAs="oneCell">
    <xdr:from>
      <xdr:col>16</xdr:col>
      <xdr:colOff>1386852</xdr:colOff>
      <xdr:row>479</xdr:row>
      <xdr:rowOff>93072</xdr:rowOff>
    </xdr:from>
    <xdr:to>
      <xdr:col>20</xdr:col>
      <xdr:colOff>1400469</xdr:colOff>
      <xdr:row>488</xdr:row>
      <xdr:rowOff>0</xdr:rowOff>
    </xdr:to>
    <xdr:pic>
      <xdr:nvPicPr>
        <xdr:cNvPr id="94" name="Picture 9">
          <a:extLst>
            <a:ext uri="{FF2B5EF4-FFF2-40B4-BE49-F238E27FC236}">
              <a16:creationId xmlns:a16="http://schemas.microsoft.com/office/drawing/2014/main" id="{413EB54E-FAD0-4701-B4B8-695EA4223359}"/>
            </a:ext>
          </a:extLst>
        </xdr:cNvPr>
        <xdr:cNvPicPr>
          <a:picLocks noChangeAspect="1"/>
        </xdr:cNvPicPr>
      </xdr:nvPicPr>
      <xdr:blipFill>
        <a:blip xmlns:r="http://schemas.openxmlformats.org/officeDocument/2006/relationships" r:embed="rId51">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47868852" y="361799232"/>
          <a:ext cx="10742577" cy="5667648"/>
        </a:xfrm>
        <a:prstGeom prst="rect">
          <a:avLst/>
        </a:prstGeom>
        <a:noFill/>
        <a:ln>
          <a:noFill/>
        </a:ln>
      </xdr:spPr>
    </xdr:pic>
    <xdr:clientData/>
  </xdr:twoCellAnchor>
  <xdr:twoCellAnchor editAs="oneCell">
    <xdr:from>
      <xdr:col>6</xdr:col>
      <xdr:colOff>1106812</xdr:colOff>
      <xdr:row>479</xdr:row>
      <xdr:rowOff>105854</xdr:rowOff>
    </xdr:from>
    <xdr:to>
      <xdr:col>9</xdr:col>
      <xdr:colOff>1177646</xdr:colOff>
      <xdr:row>487</xdr:row>
      <xdr:rowOff>548639</xdr:rowOff>
    </xdr:to>
    <xdr:pic>
      <xdr:nvPicPr>
        <xdr:cNvPr id="95" name="Imagen 94">
          <a:extLst>
            <a:ext uri="{FF2B5EF4-FFF2-40B4-BE49-F238E27FC236}">
              <a16:creationId xmlns:a16="http://schemas.microsoft.com/office/drawing/2014/main" id="{ED650D3F-DAD3-4654-8BAA-4156FF65C219}"/>
            </a:ext>
          </a:extLst>
        </xdr:cNvPr>
        <xdr:cNvPicPr>
          <a:picLocks noChangeAspect="1"/>
        </xdr:cNvPicPr>
      </xdr:nvPicPr>
      <xdr:blipFill rotWithShape="1">
        <a:blip xmlns:r="http://schemas.openxmlformats.org/officeDocument/2006/relationships" r:embed="rId52"/>
        <a:srcRect l="11896" t="7262" r="6320" b="12031"/>
        <a:stretch/>
      </xdr:blipFill>
      <xdr:spPr>
        <a:xfrm>
          <a:off x="17200252" y="361812014"/>
          <a:ext cx="9755854" cy="556342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oneCellAnchor>
    <xdr:from>
      <xdr:col>1</xdr:col>
      <xdr:colOff>38100</xdr:colOff>
      <xdr:row>109</xdr:row>
      <xdr:rowOff>123825</xdr:rowOff>
    </xdr:from>
    <xdr:ext cx="4391025" cy="1676400"/>
    <xdr:pic>
      <xdr:nvPicPr>
        <xdr:cNvPr id="19" name="image283.png">
          <a:extLst>
            <a:ext uri="{FF2B5EF4-FFF2-40B4-BE49-F238E27FC236}">
              <a16:creationId xmlns:a16="http://schemas.microsoft.com/office/drawing/2014/main" id="{00000000-0008-0000-1200-000013000000}"/>
            </a:ext>
          </a:extLst>
        </xdr:cNvPr>
        <xdr:cNvPicPr preferRelativeResize="0"/>
      </xdr:nvPicPr>
      <xdr:blipFill>
        <a:blip xmlns:r="http://schemas.openxmlformats.org/officeDocument/2006/relationships" r:embed="rId1" cstate="print"/>
        <a:stretch>
          <a:fillRect/>
        </a:stretch>
      </xdr:blipFill>
      <xdr:spPr>
        <a:xfrm>
          <a:off x="38100" y="447675"/>
          <a:ext cx="4391025" cy="1676400"/>
        </a:xfrm>
        <a:prstGeom prst="rect">
          <a:avLst/>
        </a:prstGeom>
        <a:noFill/>
      </xdr:spPr>
    </xdr:pic>
    <xdr:clientData fLocksWithSheet="0"/>
  </xdr:oneCellAnchor>
  <xdr:twoCellAnchor editAs="oneCell">
    <xdr:from>
      <xdr:col>35</xdr:col>
      <xdr:colOff>510249</xdr:colOff>
      <xdr:row>223</xdr:row>
      <xdr:rowOff>41117</xdr:rowOff>
    </xdr:from>
    <xdr:to>
      <xdr:col>39</xdr:col>
      <xdr:colOff>54471</xdr:colOff>
      <xdr:row>230</xdr:row>
      <xdr:rowOff>83087</xdr:rowOff>
    </xdr:to>
    <xdr:pic>
      <xdr:nvPicPr>
        <xdr:cNvPr id="23" name="Picture 9">
          <a:extLst>
            <a:ext uri="{FF2B5EF4-FFF2-40B4-BE49-F238E27FC236}">
              <a16:creationId xmlns:a16="http://schemas.microsoft.com/office/drawing/2014/main" id="{B5D688C6-9E43-4903-A2BD-6D3576A7C7FA}"/>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34343049" y="174898346"/>
          <a:ext cx="2679308" cy="1413569"/>
        </a:xfrm>
        <a:prstGeom prst="rect">
          <a:avLst/>
        </a:prstGeom>
        <a:noFill/>
        <a:ln>
          <a:noFill/>
        </a:ln>
      </xdr:spPr>
    </xdr:pic>
    <xdr:clientData/>
  </xdr:twoCellAnchor>
  <xdr:twoCellAnchor editAs="oneCell">
    <xdr:from>
      <xdr:col>3</xdr:col>
      <xdr:colOff>86591</xdr:colOff>
      <xdr:row>225</xdr:row>
      <xdr:rowOff>128404</xdr:rowOff>
    </xdr:from>
    <xdr:to>
      <xdr:col>5</xdr:col>
      <xdr:colOff>128999</xdr:colOff>
      <xdr:row>232</xdr:row>
      <xdr:rowOff>96549</xdr:rowOff>
    </xdr:to>
    <xdr:pic>
      <xdr:nvPicPr>
        <xdr:cNvPr id="26" name="Imagen 25">
          <a:extLst>
            <a:ext uri="{FF2B5EF4-FFF2-40B4-BE49-F238E27FC236}">
              <a16:creationId xmlns:a16="http://schemas.microsoft.com/office/drawing/2014/main" id="{5BB80431-20FE-45EE-A3F2-A5802AA8387D}"/>
            </a:ext>
          </a:extLst>
        </xdr:cNvPr>
        <xdr:cNvPicPr>
          <a:picLocks noChangeAspect="1"/>
        </xdr:cNvPicPr>
      </xdr:nvPicPr>
      <xdr:blipFill>
        <a:blip xmlns:r="http://schemas.openxmlformats.org/officeDocument/2006/relationships" r:embed="rId3"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3342409" y="94564449"/>
          <a:ext cx="3073090" cy="1561418"/>
        </a:xfrm>
        <a:prstGeom prst="rect">
          <a:avLst/>
        </a:prstGeom>
      </xdr:spPr>
    </xdr:pic>
    <xdr:clientData/>
  </xdr:twoCellAnchor>
  <xdr:twoCellAnchor editAs="oneCell">
    <xdr:from>
      <xdr:col>8</xdr:col>
      <xdr:colOff>1563673</xdr:colOff>
      <xdr:row>224</xdr:row>
      <xdr:rowOff>1</xdr:rowOff>
    </xdr:from>
    <xdr:to>
      <xdr:col>10</xdr:col>
      <xdr:colOff>1692852</xdr:colOff>
      <xdr:row>232</xdr:row>
      <xdr:rowOff>158925</xdr:rowOff>
    </xdr:to>
    <xdr:pic>
      <xdr:nvPicPr>
        <xdr:cNvPr id="27" name="Imagen 26">
          <a:extLst>
            <a:ext uri="{FF2B5EF4-FFF2-40B4-BE49-F238E27FC236}">
              <a16:creationId xmlns:a16="http://schemas.microsoft.com/office/drawing/2014/main" id="{7DAB8AF0-DF09-4737-A3C2-307B9AC4B264}"/>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1625537" y="94228228"/>
          <a:ext cx="2969360" cy="196001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5</xdr:col>
      <xdr:colOff>367393</xdr:colOff>
      <xdr:row>44</xdr:row>
      <xdr:rowOff>64078</xdr:rowOff>
    </xdr:from>
    <xdr:to>
      <xdr:col>9</xdr:col>
      <xdr:colOff>392483</xdr:colOff>
      <xdr:row>52</xdr:row>
      <xdr:rowOff>210353</xdr:rowOff>
    </xdr:to>
    <xdr:pic>
      <xdr:nvPicPr>
        <xdr:cNvPr id="2" name="Imagen 1">
          <a:extLst>
            <a:ext uri="{FF2B5EF4-FFF2-40B4-BE49-F238E27FC236}">
              <a16:creationId xmlns:a16="http://schemas.microsoft.com/office/drawing/2014/main" id="{3F1DCC02-1EB8-424B-B43F-39997D5C4BE3}"/>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4177393" y="7792935"/>
          <a:ext cx="3073090" cy="1561418"/>
        </a:xfrm>
        <a:prstGeom prst="rect">
          <a:avLst/>
        </a:prstGeom>
      </xdr:spPr>
    </xdr:pic>
    <xdr:clientData/>
  </xdr:twoCellAnchor>
  <xdr:twoCellAnchor editAs="oneCell">
    <xdr:from>
      <xdr:col>17</xdr:col>
      <xdr:colOff>459021</xdr:colOff>
      <xdr:row>42</xdr:row>
      <xdr:rowOff>13606</xdr:rowOff>
    </xdr:from>
    <xdr:to>
      <xdr:col>21</xdr:col>
      <xdr:colOff>380381</xdr:colOff>
      <xdr:row>52</xdr:row>
      <xdr:rowOff>231907</xdr:rowOff>
    </xdr:to>
    <xdr:pic>
      <xdr:nvPicPr>
        <xdr:cNvPr id="3" name="Imagen 2">
          <a:extLst>
            <a:ext uri="{FF2B5EF4-FFF2-40B4-BE49-F238E27FC236}">
              <a16:creationId xmlns:a16="http://schemas.microsoft.com/office/drawing/2014/main" id="{626EEE13-026B-4CBA-A06B-9F3C403006C7}"/>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3413021" y="7415892"/>
          <a:ext cx="2969360" cy="196001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11</xdr:col>
      <xdr:colOff>1038498</xdr:colOff>
      <xdr:row>291</xdr:row>
      <xdr:rowOff>154249</xdr:rowOff>
    </xdr:from>
    <xdr:to>
      <xdr:col>16</xdr:col>
      <xdr:colOff>807720</xdr:colOff>
      <xdr:row>303</xdr:row>
      <xdr:rowOff>54060</xdr:rowOff>
    </xdr:to>
    <xdr:pic>
      <xdr:nvPicPr>
        <xdr:cNvPr id="2" name="Imagen 1">
          <a:extLst>
            <a:ext uri="{FF2B5EF4-FFF2-40B4-BE49-F238E27FC236}">
              <a16:creationId xmlns:a16="http://schemas.microsoft.com/office/drawing/2014/main" id="{5B5F91B6-59CD-4EB8-A7C5-BB92C2340F36}"/>
            </a:ext>
          </a:extLst>
        </xdr:cNvPr>
        <xdr:cNvPicPr>
          <a:picLocks noChangeAspect="1"/>
        </xdr:cNvPicPr>
      </xdr:nvPicPr>
      <xdr:blipFill rotWithShape="1">
        <a:blip xmlns:r="http://schemas.openxmlformats.org/officeDocument/2006/relationships" r:embed="rId1"/>
        <a:srcRect l="11896" t="7262" r="6320" b="12031"/>
        <a:stretch/>
      </xdr:blipFill>
      <xdr:spPr>
        <a:xfrm>
          <a:off x="10761618" y="77817289"/>
          <a:ext cx="5103222" cy="3008771"/>
        </a:xfrm>
        <a:prstGeom prst="rect">
          <a:avLst/>
        </a:prstGeom>
      </xdr:spPr>
    </xdr:pic>
    <xdr:clientData/>
  </xdr:twoCellAnchor>
  <xdr:twoCellAnchor editAs="oneCell">
    <xdr:from>
      <xdr:col>25</xdr:col>
      <xdr:colOff>368681</xdr:colOff>
      <xdr:row>292</xdr:row>
      <xdr:rowOff>232956</xdr:rowOff>
    </xdr:from>
    <xdr:to>
      <xdr:col>31</xdr:col>
      <xdr:colOff>424990</xdr:colOff>
      <xdr:row>302</xdr:row>
      <xdr:rowOff>228600</xdr:rowOff>
    </xdr:to>
    <xdr:pic>
      <xdr:nvPicPr>
        <xdr:cNvPr id="3" name="Picture 9">
          <a:extLst>
            <a:ext uri="{FF2B5EF4-FFF2-40B4-BE49-F238E27FC236}">
              <a16:creationId xmlns:a16="http://schemas.microsoft.com/office/drawing/2014/main" id="{F9778EA6-BC5B-46E2-92DE-154942159E85}"/>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23853521" y="78155076"/>
          <a:ext cx="4734989" cy="2586444"/>
        </a:xfrm>
        <a:prstGeom prst="rect">
          <a:avLst/>
        </a:prstGeom>
        <a:noFill/>
        <a:ln>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932330</xdr:colOff>
      <xdr:row>56</xdr:row>
      <xdr:rowOff>89649</xdr:rowOff>
    </xdr:from>
    <xdr:to>
      <xdr:col>2</xdr:col>
      <xdr:colOff>2740154</xdr:colOff>
      <xdr:row>62</xdr:row>
      <xdr:rowOff>98611</xdr:rowOff>
    </xdr:to>
    <xdr:pic>
      <xdr:nvPicPr>
        <xdr:cNvPr id="2" name="Imagen 1">
          <a:extLst>
            <a:ext uri="{FF2B5EF4-FFF2-40B4-BE49-F238E27FC236}">
              <a16:creationId xmlns:a16="http://schemas.microsoft.com/office/drawing/2014/main" id="{00CD1B3C-9C5B-47AE-BA62-77A2E32CF92F}"/>
            </a:ext>
          </a:extLst>
        </xdr:cNvPr>
        <xdr:cNvPicPr>
          <a:picLocks noChangeAspect="1"/>
        </xdr:cNvPicPr>
      </xdr:nvPicPr>
      <xdr:blipFill rotWithShape="1">
        <a:blip xmlns:r="http://schemas.openxmlformats.org/officeDocument/2006/relationships" r:embed="rId1"/>
        <a:srcRect l="11896" t="7262" r="6320" b="12031"/>
        <a:stretch/>
      </xdr:blipFill>
      <xdr:spPr>
        <a:xfrm>
          <a:off x="1810871" y="9681884"/>
          <a:ext cx="1807824" cy="1030939"/>
        </a:xfrm>
        <a:prstGeom prst="rect">
          <a:avLst/>
        </a:prstGeom>
      </xdr:spPr>
    </xdr:pic>
    <xdr:clientData/>
  </xdr:twoCellAnchor>
  <xdr:twoCellAnchor editAs="oneCell">
    <xdr:from>
      <xdr:col>4</xdr:col>
      <xdr:colOff>367554</xdr:colOff>
      <xdr:row>55</xdr:row>
      <xdr:rowOff>161365</xdr:rowOff>
    </xdr:from>
    <xdr:to>
      <xdr:col>6</xdr:col>
      <xdr:colOff>600264</xdr:colOff>
      <xdr:row>63</xdr:row>
      <xdr:rowOff>62753</xdr:rowOff>
    </xdr:to>
    <xdr:pic>
      <xdr:nvPicPr>
        <xdr:cNvPr id="3" name="Picture 9">
          <a:extLst>
            <a:ext uri="{FF2B5EF4-FFF2-40B4-BE49-F238E27FC236}">
              <a16:creationId xmlns:a16="http://schemas.microsoft.com/office/drawing/2014/main" id="{D6FFAF3B-F7D7-4B7E-8727-64738A33C060}"/>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9583271"/>
          <a:ext cx="2330452" cy="1272988"/>
        </a:xfrm>
        <a:prstGeom prst="rect">
          <a:avLst/>
        </a:prstGeom>
        <a:noFill/>
        <a:ln>
          <a:noFill/>
        </a:ln>
      </xdr:spPr>
    </xdr:pic>
    <xdr:clientData/>
  </xdr:twoCellAnchor>
  <xdr:oneCellAnchor>
    <xdr:from>
      <xdr:col>2</xdr:col>
      <xdr:colOff>932330</xdr:colOff>
      <xdr:row>127</xdr:row>
      <xdr:rowOff>89649</xdr:rowOff>
    </xdr:from>
    <xdr:ext cx="1807824" cy="1030939"/>
    <xdr:pic>
      <xdr:nvPicPr>
        <xdr:cNvPr id="4" name="Imagen 3">
          <a:extLst>
            <a:ext uri="{FF2B5EF4-FFF2-40B4-BE49-F238E27FC236}">
              <a16:creationId xmlns:a16="http://schemas.microsoft.com/office/drawing/2014/main" id="{5EA2ED88-8AC6-4E7F-A431-8CDBC21BDB33}"/>
            </a:ext>
          </a:extLst>
        </xdr:cNvPr>
        <xdr:cNvPicPr>
          <a:picLocks noChangeAspect="1"/>
        </xdr:cNvPicPr>
      </xdr:nvPicPr>
      <xdr:blipFill rotWithShape="1">
        <a:blip xmlns:r="http://schemas.openxmlformats.org/officeDocument/2006/relationships" r:embed="rId1"/>
        <a:srcRect l="11896" t="7262" r="6320" b="12031"/>
        <a:stretch/>
      </xdr:blipFill>
      <xdr:spPr>
        <a:xfrm>
          <a:off x="1810871" y="9681884"/>
          <a:ext cx="1807824" cy="1030939"/>
        </a:xfrm>
        <a:prstGeom prst="rect">
          <a:avLst/>
        </a:prstGeom>
      </xdr:spPr>
    </xdr:pic>
    <xdr:clientData/>
  </xdr:oneCellAnchor>
  <xdr:oneCellAnchor>
    <xdr:from>
      <xdr:col>4</xdr:col>
      <xdr:colOff>367554</xdr:colOff>
      <xdr:row>126</xdr:row>
      <xdr:rowOff>161365</xdr:rowOff>
    </xdr:from>
    <xdr:ext cx="2330452" cy="1272988"/>
    <xdr:pic>
      <xdr:nvPicPr>
        <xdr:cNvPr id="5" name="Picture 9">
          <a:extLst>
            <a:ext uri="{FF2B5EF4-FFF2-40B4-BE49-F238E27FC236}">
              <a16:creationId xmlns:a16="http://schemas.microsoft.com/office/drawing/2014/main" id="{DD01E3F2-BE0E-4C45-9953-6E9A34675CA4}"/>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9583271"/>
          <a:ext cx="2330452" cy="1272988"/>
        </a:xfrm>
        <a:prstGeom prst="rect">
          <a:avLst/>
        </a:prstGeom>
        <a:noFill/>
        <a:ln>
          <a:noFill/>
        </a:ln>
      </xdr:spPr>
    </xdr:pic>
    <xdr:clientData/>
  </xdr:oneCellAnchor>
  <xdr:oneCellAnchor>
    <xdr:from>
      <xdr:col>2</xdr:col>
      <xdr:colOff>932330</xdr:colOff>
      <xdr:row>197</xdr:row>
      <xdr:rowOff>89649</xdr:rowOff>
    </xdr:from>
    <xdr:ext cx="1807824" cy="1030939"/>
    <xdr:pic>
      <xdr:nvPicPr>
        <xdr:cNvPr id="6" name="Imagen 5">
          <a:extLst>
            <a:ext uri="{FF2B5EF4-FFF2-40B4-BE49-F238E27FC236}">
              <a16:creationId xmlns:a16="http://schemas.microsoft.com/office/drawing/2014/main" id="{832EC574-8328-4B96-B89E-5809063077DC}"/>
            </a:ext>
          </a:extLst>
        </xdr:cNvPr>
        <xdr:cNvPicPr>
          <a:picLocks noChangeAspect="1"/>
        </xdr:cNvPicPr>
      </xdr:nvPicPr>
      <xdr:blipFill rotWithShape="1">
        <a:blip xmlns:r="http://schemas.openxmlformats.org/officeDocument/2006/relationships" r:embed="rId1"/>
        <a:srcRect l="11896" t="7262" r="6320" b="12031"/>
        <a:stretch/>
      </xdr:blipFill>
      <xdr:spPr>
        <a:xfrm>
          <a:off x="1810871" y="21855955"/>
          <a:ext cx="1807824" cy="1030939"/>
        </a:xfrm>
        <a:prstGeom prst="rect">
          <a:avLst/>
        </a:prstGeom>
      </xdr:spPr>
    </xdr:pic>
    <xdr:clientData/>
  </xdr:oneCellAnchor>
  <xdr:oneCellAnchor>
    <xdr:from>
      <xdr:col>4</xdr:col>
      <xdr:colOff>367554</xdr:colOff>
      <xdr:row>196</xdr:row>
      <xdr:rowOff>161365</xdr:rowOff>
    </xdr:from>
    <xdr:ext cx="2330452" cy="1272988"/>
    <xdr:pic>
      <xdr:nvPicPr>
        <xdr:cNvPr id="7" name="Picture 9">
          <a:extLst>
            <a:ext uri="{FF2B5EF4-FFF2-40B4-BE49-F238E27FC236}">
              <a16:creationId xmlns:a16="http://schemas.microsoft.com/office/drawing/2014/main" id="{79B997DE-466E-4A9E-ABCC-1C7CA4D56E81}"/>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21757341"/>
          <a:ext cx="2330452" cy="1272988"/>
        </a:xfrm>
        <a:prstGeom prst="rect">
          <a:avLst/>
        </a:prstGeom>
        <a:noFill/>
        <a:ln>
          <a:noFill/>
        </a:ln>
      </xdr:spPr>
    </xdr:pic>
    <xdr:clientData/>
  </xdr:oneCellAnchor>
  <xdr:oneCellAnchor>
    <xdr:from>
      <xdr:col>2</xdr:col>
      <xdr:colOff>932330</xdr:colOff>
      <xdr:row>267</xdr:row>
      <xdr:rowOff>89649</xdr:rowOff>
    </xdr:from>
    <xdr:ext cx="1807824" cy="1030939"/>
    <xdr:pic>
      <xdr:nvPicPr>
        <xdr:cNvPr id="8" name="Imagen 7">
          <a:extLst>
            <a:ext uri="{FF2B5EF4-FFF2-40B4-BE49-F238E27FC236}">
              <a16:creationId xmlns:a16="http://schemas.microsoft.com/office/drawing/2014/main" id="{2E65FFFC-8C23-43D4-999C-9AB08AB870DC}"/>
            </a:ext>
          </a:extLst>
        </xdr:cNvPr>
        <xdr:cNvPicPr>
          <a:picLocks noChangeAspect="1"/>
        </xdr:cNvPicPr>
      </xdr:nvPicPr>
      <xdr:blipFill rotWithShape="1">
        <a:blip xmlns:r="http://schemas.openxmlformats.org/officeDocument/2006/relationships" r:embed="rId1"/>
        <a:srcRect l="11896" t="7262" r="6320" b="12031"/>
        <a:stretch/>
      </xdr:blipFill>
      <xdr:spPr>
        <a:xfrm>
          <a:off x="1810871" y="34307931"/>
          <a:ext cx="1807824" cy="1030939"/>
        </a:xfrm>
        <a:prstGeom prst="rect">
          <a:avLst/>
        </a:prstGeom>
      </xdr:spPr>
    </xdr:pic>
    <xdr:clientData/>
  </xdr:oneCellAnchor>
  <xdr:oneCellAnchor>
    <xdr:from>
      <xdr:col>4</xdr:col>
      <xdr:colOff>367554</xdr:colOff>
      <xdr:row>266</xdr:row>
      <xdr:rowOff>161365</xdr:rowOff>
    </xdr:from>
    <xdr:ext cx="2330452" cy="1272988"/>
    <xdr:pic>
      <xdr:nvPicPr>
        <xdr:cNvPr id="9" name="Picture 9">
          <a:extLst>
            <a:ext uri="{FF2B5EF4-FFF2-40B4-BE49-F238E27FC236}">
              <a16:creationId xmlns:a16="http://schemas.microsoft.com/office/drawing/2014/main" id="{02A60C0C-A6E4-4486-9545-2547950A64B0}"/>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34209318"/>
          <a:ext cx="2330452" cy="1272988"/>
        </a:xfrm>
        <a:prstGeom prst="rect">
          <a:avLst/>
        </a:prstGeom>
        <a:noFill/>
        <a:ln>
          <a:noFill/>
        </a:ln>
      </xdr:spPr>
    </xdr:pic>
    <xdr:clientData/>
  </xdr:oneCellAnchor>
  <xdr:oneCellAnchor>
    <xdr:from>
      <xdr:col>2</xdr:col>
      <xdr:colOff>932330</xdr:colOff>
      <xdr:row>336</xdr:row>
      <xdr:rowOff>89649</xdr:rowOff>
    </xdr:from>
    <xdr:ext cx="1807824" cy="1030939"/>
    <xdr:pic>
      <xdr:nvPicPr>
        <xdr:cNvPr id="10" name="Imagen 9">
          <a:extLst>
            <a:ext uri="{FF2B5EF4-FFF2-40B4-BE49-F238E27FC236}">
              <a16:creationId xmlns:a16="http://schemas.microsoft.com/office/drawing/2014/main" id="{87852D02-E062-485F-8ECF-39EFA6408259}"/>
            </a:ext>
          </a:extLst>
        </xdr:cNvPr>
        <xdr:cNvPicPr>
          <a:picLocks noChangeAspect="1"/>
        </xdr:cNvPicPr>
      </xdr:nvPicPr>
      <xdr:blipFill rotWithShape="1">
        <a:blip xmlns:r="http://schemas.openxmlformats.org/officeDocument/2006/relationships" r:embed="rId1"/>
        <a:srcRect l="11896" t="7262" r="6320" b="12031"/>
        <a:stretch/>
      </xdr:blipFill>
      <xdr:spPr>
        <a:xfrm>
          <a:off x="1810871" y="46768873"/>
          <a:ext cx="1807824" cy="1030939"/>
        </a:xfrm>
        <a:prstGeom prst="rect">
          <a:avLst/>
        </a:prstGeom>
      </xdr:spPr>
    </xdr:pic>
    <xdr:clientData/>
  </xdr:oneCellAnchor>
  <xdr:oneCellAnchor>
    <xdr:from>
      <xdr:col>4</xdr:col>
      <xdr:colOff>367554</xdr:colOff>
      <xdr:row>335</xdr:row>
      <xdr:rowOff>161365</xdr:rowOff>
    </xdr:from>
    <xdr:ext cx="2330452" cy="1272988"/>
    <xdr:pic>
      <xdr:nvPicPr>
        <xdr:cNvPr id="11" name="Picture 9">
          <a:extLst>
            <a:ext uri="{FF2B5EF4-FFF2-40B4-BE49-F238E27FC236}">
              <a16:creationId xmlns:a16="http://schemas.microsoft.com/office/drawing/2014/main" id="{F4F5A145-FB9A-4E68-AC02-4E02EE4F8881}"/>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46670259"/>
          <a:ext cx="2330452" cy="1272988"/>
        </a:xfrm>
        <a:prstGeom prst="rect">
          <a:avLst/>
        </a:prstGeom>
        <a:noFill/>
        <a:ln>
          <a:noFill/>
        </a:ln>
      </xdr:spPr>
    </xdr:pic>
    <xdr:clientData/>
  </xdr:oneCellAnchor>
  <xdr:oneCellAnchor>
    <xdr:from>
      <xdr:col>2</xdr:col>
      <xdr:colOff>932330</xdr:colOff>
      <xdr:row>405</xdr:row>
      <xdr:rowOff>89649</xdr:rowOff>
    </xdr:from>
    <xdr:ext cx="1807824" cy="1030939"/>
    <xdr:pic>
      <xdr:nvPicPr>
        <xdr:cNvPr id="12" name="Imagen 11">
          <a:extLst>
            <a:ext uri="{FF2B5EF4-FFF2-40B4-BE49-F238E27FC236}">
              <a16:creationId xmlns:a16="http://schemas.microsoft.com/office/drawing/2014/main" id="{A6D7CF4B-8A35-45D1-A788-5CFCAB2A3336}"/>
            </a:ext>
          </a:extLst>
        </xdr:cNvPr>
        <xdr:cNvPicPr>
          <a:picLocks noChangeAspect="1"/>
        </xdr:cNvPicPr>
      </xdr:nvPicPr>
      <xdr:blipFill rotWithShape="1">
        <a:blip xmlns:r="http://schemas.openxmlformats.org/officeDocument/2006/relationships" r:embed="rId1"/>
        <a:srcRect l="11896" t="7262" r="6320" b="12031"/>
        <a:stretch/>
      </xdr:blipFill>
      <xdr:spPr>
        <a:xfrm>
          <a:off x="1810871" y="59050520"/>
          <a:ext cx="1807824" cy="1030939"/>
        </a:xfrm>
        <a:prstGeom prst="rect">
          <a:avLst/>
        </a:prstGeom>
      </xdr:spPr>
    </xdr:pic>
    <xdr:clientData/>
  </xdr:oneCellAnchor>
  <xdr:oneCellAnchor>
    <xdr:from>
      <xdr:col>4</xdr:col>
      <xdr:colOff>367554</xdr:colOff>
      <xdr:row>404</xdr:row>
      <xdr:rowOff>161365</xdr:rowOff>
    </xdr:from>
    <xdr:ext cx="2330452" cy="1272988"/>
    <xdr:pic>
      <xdr:nvPicPr>
        <xdr:cNvPr id="13" name="Picture 9">
          <a:extLst>
            <a:ext uri="{FF2B5EF4-FFF2-40B4-BE49-F238E27FC236}">
              <a16:creationId xmlns:a16="http://schemas.microsoft.com/office/drawing/2014/main" id="{B231B1F7-05ED-4679-83EC-CAF59A069F4E}"/>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58951906"/>
          <a:ext cx="2330452" cy="1272988"/>
        </a:xfrm>
        <a:prstGeom prst="rect">
          <a:avLst/>
        </a:prstGeom>
        <a:noFill/>
        <a:ln>
          <a:noFill/>
        </a:ln>
      </xdr:spPr>
    </xdr:pic>
    <xdr:clientData/>
  </xdr:oneCellAnchor>
  <xdr:oneCellAnchor>
    <xdr:from>
      <xdr:col>2</xdr:col>
      <xdr:colOff>932330</xdr:colOff>
      <xdr:row>475</xdr:row>
      <xdr:rowOff>89649</xdr:rowOff>
    </xdr:from>
    <xdr:ext cx="1807824" cy="1030939"/>
    <xdr:pic>
      <xdr:nvPicPr>
        <xdr:cNvPr id="14" name="Imagen 13">
          <a:extLst>
            <a:ext uri="{FF2B5EF4-FFF2-40B4-BE49-F238E27FC236}">
              <a16:creationId xmlns:a16="http://schemas.microsoft.com/office/drawing/2014/main" id="{014AA040-9B26-4C69-AADA-E8BDBAE5545C}"/>
            </a:ext>
          </a:extLst>
        </xdr:cNvPr>
        <xdr:cNvPicPr>
          <a:picLocks noChangeAspect="1"/>
        </xdr:cNvPicPr>
      </xdr:nvPicPr>
      <xdr:blipFill rotWithShape="1">
        <a:blip xmlns:r="http://schemas.openxmlformats.org/officeDocument/2006/relationships" r:embed="rId1"/>
        <a:srcRect l="11896" t="7262" r="6320" b="12031"/>
        <a:stretch/>
      </xdr:blipFill>
      <xdr:spPr>
        <a:xfrm>
          <a:off x="1810871" y="71332167"/>
          <a:ext cx="1807824" cy="1030939"/>
        </a:xfrm>
        <a:prstGeom prst="rect">
          <a:avLst/>
        </a:prstGeom>
      </xdr:spPr>
    </xdr:pic>
    <xdr:clientData/>
  </xdr:oneCellAnchor>
  <xdr:oneCellAnchor>
    <xdr:from>
      <xdr:col>4</xdr:col>
      <xdr:colOff>367554</xdr:colOff>
      <xdr:row>474</xdr:row>
      <xdr:rowOff>161365</xdr:rowOff>
    </xdr:from>
    <xdr:ext cx="2330452" cy="1272988"/>
    <xdr:pic>
      <xdr:nvPicPr>
        <xdr:cNvPr id="15" name="Picture 9">
          <a:extLst>
            <a:ext uri="{FF2B5EF4-FFF2-40B4-BE49-F238E27FC236}">
              <a16:creationId xmlns:a16="http://schemas.microsoft.com/office/drawing/2014/main" id="{1E2EAFE5-C88F-4F8A-BF3E-3DB96E858C2C}"/>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71233553"/>
          <a:ext cx="2330452" cy="1272988"/>
        </a:xfrm>
        <a:prstGeom prst="rect">
          <a:avLst/>
        </a:prstGeom>
        <a:noFill/>
        <a:ln>
          <a:noFill/>
        </a:ln>
      </xdr:spPr>
    </xdr:pic>
    <xdr:clientData/>
  </xdr:oneCellAnchor>
  <xdr:oneCellAnchor>
    <xdr:from>
      <xdr:col>2</xdr:col>
      <xdr:colOff>932330</xdr:colOff>
      <xdr:row>544</xdr:row>
      <xdr:rowOff>89649</xdr:rowOff>
    </xdr:from>
    <xdr:ext cx="1807824" cy="1030939"/>
    <xdr:pic>
      <xdr:nvPicPr>
        <xdr:cNvPr id="16" name="Imagen 15">
          <a:extLst>
            <a:ext uri="{FF2B5EF4-FFF2-40B4-BE49-F238E27FC236}">
              <a16:creationId xmlns:a16="http://schemas.microsoft.com/office/drawing/2014/main" id="{18EBA434-66FF-4A93-9AD1-BED8DAFCAD0F}"/>
            </a:ext>
          </a:extLst>
        </xdr:cNvPr>
        <xdr:cNvPicPr>
          <a:picLocks noChangeAspect="1"/>
        </xdr:cNvPicPr>
      </xdr:nvPicPr>
      <xdr:blipFill rotWithShape="1">
        <a:blip xmlns:r="http://schemas.openxmlformats.org/officeDocument/2006/relationships" r:embed="rId1"/>
        <a:srcRect l="11896" t="7262" r="6320" b="12031"/>
        <a:stretch/>
      </xdr:blipFill>
      <xdr:spPr>
        <a:xfrm>
          <a:off x="1810871" y="83793108"/>
          <a:ext cx="1807824" cy="1030939"/>
        </a:xfrm>
        <a:prstGeom prst="rect">
          <a:avLst/>
        </a:prstGeom>
      </xdr:spPr>
    </xdr:pic>
    <xdr:clientData/>
  </xdr:oneCellAnchor>
  <xdr:oneCellAnchor>
    <xdr:from>
      <xdr:col>4</xdr:col>
      <xdr:colOff>367554</xdr:colOff>
      <xdr:row>543</xdr:row>
      <xdr:rowOff>161365</xdr:rowOff>
    </xdr:from>
    <xdr:ext cx="2330452" cy="1272988"/>
    <xdr:pic>
      <xdr:nvPicPr>
        <xdr:cNvPr id="17" name="Picture 9">
          <a:extLst>
            <a:ext uri="{FF2B5EF4-FFF2-40B4-BE49-F238E27FC236}">
              <a16:creationId xmlns:a16="http://schemas.microsoft.com/office/drawing/2014/main" id="{5B0FBB29-B598-4011-8662-F74257D96FAC}"/>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83694494"/>
          <a:ext cx="2330452" cy="1272988"/>
        </a:xfrm>
        <a:prstGeom prst="rect">
          <a:avLst/>
        </a:prstGeom>
        <a:noFill/>
        <a:ln>
          <a:noFill/>
        </a:ln>
      </xdr:spPr>
    </xdr:pic>
    <xdr:clientData/>
  </xdr:oneCellAnchor>
  <xdr:oneCellAnchor>
    <xdr:from>
      <xdr:col>2</xdr:col>
      <xdr:colOff>932330</xdr:colOff>
      <xdr:row>613</xdr:row>
      <xdr:rowOff>89649</xdr:rowOff>
    </xdr:from>
    <xdr:ext cx="1807824" cy="1030939"/>
    <xdr:pic>
      <xdr:nvPicPr>
        <xdr:cNvPr id="18" name="Imagen 17">
          <a:extLst>
            <a:ext uri="{FF2B5EF4-FFF2-40B4-BE49-F238E27FC236}">
              <a16:creationId xmlns:a16="http://schemas.microsoft.com/office/drawing/2014/main" id="{E2687AB9-8FEE-4856-B71D-450C280AF4B6}"/>
            </a:ext>
          </a:extLst>
        </xdr:cNvPr>
        <xdr:cNvPicPr>
          <a:picLocks noChangeAspect="1"/>
        </xdr:cNvPicPr>
      </xdr:nvPicPr>
      <xdr:blipFill rotWithShape="1">
        <a:blip xmlns:r="http://schemas.openxmlformats.org/officeDocument/2006/relationships" r:embed="rId1"/>
        <a:srcRect l="11896" t="7262" r="6320" b="12031"/>
        <a:stretch/>
      </xdr:blipFill>
      <xdr:spPr>
        <a:xfrm>
          <a:off x="1810871" y="96074755"/>
          <a:ext cx="1807824" cy="1030939"/>
        </a:xfrm>
        <a:prstGeom prst="rect">
          <a:avLst/>
        </a:prstGeom>
      </xdr:spPr>
    </xdr:pic>
    <xdr:clientData/>
  </xdr:oneCellAnchor>
  <xdr:oneCellAnchor>
    <xdr:from>
      <xdr:col>4</xdr:col>
      <xdr:colOff>367554</xdr:colOff>
      <xdr:row>612</xdr:row>
      <xdr:rowOff>161365</xdr:rowOff>
    </xdr:from>
    <xdr:ext cx="2330452" cy="1272988"/>
    <xdr:pic>
      <xdr:nvPicPr>
        <xdr:cNvPr id="19" name="Picture 9">
          <a:extLst>
            <a:ext uri="{FF2B5EF4-FFF2-40B4-BE49-F238E27FC236}">
              <a16:creationId xmlns:a16="http://schemas.microsoft.com/office/drawing/2014/main" id="{B71F3C01-F2E3-4631-BE44-5559826ABEFC}"/>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95976141"/>
          <a:ext cx="2330452" cy="1272988"/>
        </a:xfrm>
        <a:prstGeom prst="rect">
          <a:avLst/>
        </a:prstGeom>
        <a:noFill/>
        <a:ln>
          <a:noFill/>
        </a:ln>
      </xdr:spPr>
    </xdr:pic>
    <xdr:clientData/>
  </xdr:oneCellAnchor>
  <xdr:oneCellAnchor>
    <xdr:from>
      <xdr:col>2</xdr:col>
      <xdr:colOff>932330</xdr:colOff>
      <xdr:row>682</xdr:row>
      <xdr:rowOff>89649</xdr:rowOff>
    </xdr:from>
    <xdr:ext cx="1807824" cy="1030939"/>
    <xdr:pic>
      <xdr:nvPicPr>
        <xdr:cNvPr id="20" name="Imagen 19">
          <a:extLst>
            <a:ext uri="{FF2B5EF4-FFF2-40B4-BE49-F238E27FC236}">
              <a16:creationId xmlns:a16="http://schemas.microsoft.com/office/drawing/2014/main" id="{2DB76976-7692-4C82-A254-0FB598B98E6A}"/>
            </a:ext>
          </a:extLst>
        </xdr:cNvPr>
        <xdr:cNvPicPr>
          <a:picLocks noChangeAspect="1"/>
        </xdr:cNvPicPr>
      </xdr:nvPicPr>
      <xdr:blipFill rotWithShape="1">
        <a:blip xmlns:r="http://schemas.openxmlformats.org/officeDocument/2006/relationships" r:embed="rId1"/>
        <a:srcRect l="11896" t="7262" r="6320" b="12031"/>
        <a:stretch/>
      </xdr:blipFill>
      <xdr:spPr>
        <a:xfrm>
          <a:off x="1810871" y="108356402"/>
          <a:ext cx="1807824" cy="1030939"/>
        </a:xfrm>
        <a:prstGeom prst="rect">
          <a:avLst/>
        </a:prstGeom>
      </xdr:spPr>
    </xdr:pic>
    <xdr:clientData/>
  </xdr:oneCellAnchor>
  <xdr:oneCellAnchor>
    <xdr:from>
      <xdr:col>4</xdr:col>
      <xdr:colOff>367554</xdr:colOff>
      <xdr:row>681</xdr:row>
      <xdr:rowOff>161365</xdr:rowOff>
    </xdr:from>
    <xdr:ext cx="2330452" cy="1272988"/>
    <xdr:pic>
      <xdr:nvPicPr>
        <xdr:cNvPr id="21" name="Picture 9">
          <a:extLst>
            <a:ext uri="{FF2B5EF4-FFF2-40B4-BE49-F238E27FC236}">
              <a16:creationId xmlns:a16="http://schemas.microsoft.com/office/drawing/2014/main" id="{DA4C7869-9560-40F3-B75D-0EA2B7250837}"/>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108257789"/>
          <a:ext cx="2330452" cy="1272988"/>
        </a:xfrm>
        <a:prstGeom prst="rect">
          <a:avLst/>
        </a:prstGeom>
        <a:noFill/>
        <a:ln>
          <a:noFill/>
        </a:ln>
      </xdr:spPr>
    </xdr:pic>
    <xdr:clientData/>
  </xdr:oneCellAnchor>
  <xdr:oneCellAnchor>
    <xdr:from>
      <xdr:col>2</xdr:col>
      <xdr:colOff>932330</xdr:colOff>
      <xdr:row>751</xdr:row>
      <xdr:rowOff>89649</xdr:rowOff>
    </xdr:from>
    <xdr:ext cx="1807824" cy="1030939"/>
    <xdr:pic>
      <xdr:nvPicPr>
        <xdr:cNvPr id="22" name="Imagen 21">
          <a:extLst>
            <a:ext uri="{FF2B5EF4-FFF2-40B4-BE49-F238E27FC236}">
              <a16:creationId xmlns:a16="http://schemas.microsoft.com/office/drawing/2014/main" id="{FDC926EF-AB39-401C-AD70-D7D51752E181}"/>
            </a:ext>
          </a:extLst>
        </xdr:cNvPr>
        <xdr:cNvPicPr>
          <a:picLocks noChangeAspect="1"/>
        </xdr:cNvPicPr>
      </xdr:nvPicPr>
      <xdr:blipFill rotWithShape="1">
        <a:blip xmlns:r="http://schemas.openxmlformats.org/officeDocument/2006/relationships" r:embed="rId1"/>
        <a:srcRect l="11896" t="7262" r="6320" b="12031"/>
        <a:stretch/>
      </xdr:blipFill>
      <xdr:spPr>
        <a:xfrm>
          <a:off x="1810871" y="120638049"/>
          <a:ext cx="1807824" cy="1030939"/>
        </a:xfrm>
        <a:prstGeom prst="rect">
          <a:avLst/>
        </a:prstGeom>
      </xdr:spPr>
    </xdr:pic>
    <xdr:clientData/>
  </xdr:oneCellAnchor>
  <xdr:oneCellAnchor>
    <xdr:from>
      <xdr:col>4</xdr:col>
      <xdr:colOff>367554</xdr:colOff>
      <xdr:row>750</xdr:row>
      <xdr:rowOff>161365</xdr:rowOff>
    </xdr:from>
    <xdr:ext cx="2330452" cy="1272988"/>
    <xdr:pic>
      <xdr:nvPicPr>
        <xdr:cNvPr id="23" name="Picture 9">
          <a:extLst>
            <a:ext uri="{FF2B5EF4-FFF2-40B4-BE49-F238E27FC236}">
              <a16:creationId xmlns:a16="http://schemas.microsoft.com/office/drawing/2014/main" id="{A97946B8-8194-4B09-B8E0-B88A52404642}"/>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120539436"/>
          <a:ext cx="2330452" cy="1272988"/>
        </a:xfrm>
        <a:prstGeom prst="rect">
          <a:avLst/>
        </a:prstGeom>
        <a:noFill/>
        <a:ln>
          <a:noFill/>
        </a:ln>
      </xdr:spPr>
    </xdr:pic>
    <xdr:clientData/>
  </xdr:oneCellAnchor>
  <xdr:oneCellAnchor>
    <xdr:from>
      <xdr:col>2</xdr:col>
      <xdr:colOff>932330</xdr:colOff>
      <xdr:row>820</xdr:row>
      <xdr:rowOff>89649</xdr:rowOff>
    </xdr:from>
    <xdr:ext cx="1807824" cy="1030939"/>
    <xdr:pic>
      <xdr:nvPicPr>
        <xdr:cNvPr id="24" name="Imagen 23">
          <a:extLst>
            <a:ext uri="{FF2B5EF4-FFF2-40B4-BE49-F238E27FC236}">
              <a16:creationId xmlns:a16="http://schemas.microsoft.com/office/drawing/2014/main" id="{BCB717BD-774E-40D9-976A-CC408F407F0F}"/>
            </a:ext>
          </a:extLst>
        </xdr:cNvPr>
        <xdr:cNvPicPr>
          <a:picLocks noChangeAspect="1"/>
        </xdr:cNvPicPr>
      </xdr:nvPicPr>
      <xdr:blipFill rotWithShape="1">
        <a:blip xmlns:r="http://schemas.openxmlformats.org/officeDocument/2006/relationships" r:embed="rId1"/>
        <a:srcRect l="11896" t="7262" r="6320" b="12031"/>
        <a:stretch/>
      </xdr:blipFill>
      <xdr:spPr>
        <a:xfrm>
          <a:off x="1810871" y="132919696"/>
          <a:ext cx="1807824" cy="1030939"/>
        </a:xfrm>
        <a:prstGeom prst="rect">
          <a:avLst/>
        </a:prstGeom>
      </xdr:spPr>
    </xdr:pic>
    <xdr:clientData/>
  </xdr:oneCellAnchor>
  <xdr:oneCellAnchor>
    <xdr:from>
      <xdr:col>4</xdr:col>
      <xdr:colOff>367554</xdr:colOff>
      <xdr:row>819</xdr:row>
      <xdr:rowOff>161365</xdr:rowOff>
    </xdr:from>
    <xdr:ext cx="2330452" cy="1272988"/>
    <xdr:pic>
      <xdr:nvPicPr>
        <xdr:cNvPr id="25" name="Picture 9">
          <a:extLst>
            <a:ext uri="{FF2B5EF4-FFF2-40B4-BE49-F238E27FC236}">
              <a16:creationId xmlns:a16="http://schemas.microsoft.com/office/drawing/2014/main" id="{43114171-446D-4D78-9EAD-3CD64BB568D2}"/>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132821083"/>
          <a:ext cx="2330452" cy="1272988"/>
        </a:xfrm>
        <a:prstGeom prst="rect">
          <a:avLst/>
        </a:prstGeom>
        <a:noFill/>
        <a:ln>
          <a:noFill/>
        </a:ln>
      </xdr:spPr>
    </xdr:pic>
    <xdr:clientData/>
  </xdr:oneCellAnchor>
  <xdr:oneCellAnchor>
    <xdr:from>
      <xdr:col>2</xdr:col>
      <xdr:colOff>932330</xdr:colOff>
      <xdr:row>889</xdr:row>
      <xdr:rowOff>89649</xdr:rowOff>
    </xdr:from>
    <xdr:ext cx="1807824" cy="1030939"/>
    <xdr:pic>
      <xdr:nvPicPr>
        <xdr:cNvPr id="26" name="Imagen 25">
          <a:extLst>
            <a:ext uri="{FF2B5EF4-FFF2-40B4-BE49-F238E27FC236}">
              <a16:creationId xmlns:a16="http://schemas.microsoft.com/office/drawing/2014/main" id="{30264F31-D14D-4936-8359-A5F416EE3827}"/>
            </a:ext>
          </a:extLst>
        </xdr:cNvPr>
        <xdr:cNvPicPr>
          <a:picLocks noChangeAspect="1"/>
        </xdr:cNvPicPr>
      </xdr:nvPicPr>
      <xdr:blipFill rotWithShape="1">
        <a:blip xmlns:r="http://schemas.openxmlformats.org/officeDocument/2006/relationships" r:embed="rId1"/>
        <a:srcRect l="11896" t="7262" r="6320" b="12031"/>
        <a:stretch/>
      </xdr:blipFill>
      <xdr:spPr>
        <a:xfrm>
          <a:off x="1810871" y="145201343"/>
          <a:ext cx="1807824" cy="1030939"/>
        </a:xfrm>
        <a:prstGeom prst="rect">
          <a:avLst/>
        </a:prstGeom>
      </xdr:spPr>
    </xdr:pic>
    <xdr:clientData/>
  </xdr:oneCellAnchor>
  <xdr:oneCellAnchor>
    <xdr:from>
      <xdr:col>4</xdr:col>
      <xdr:colOff>367554</xdr:colOff>
      <xdr:row>888</xdr:row>
      <xdr:rowOff>161365</xdr:rowOff>
    </xdr:from>
    <xdr:ext cx="2330452" cy="1272988"/>
    <xdr:pic>
      <xdr:nvPicPr>
        <xdr:cNvPr id="27" name="Picture 9">
          <a:extLst>
            <a:ext uri="{FF2B5EF4-FFF2-40B4-BE49-F238E27FC236}">
              <a16:creationId xmlns:a16="http://schemas.microsoft.com/office/drawing/2014/main" id="{9C60EE05-8DC3-4952-BD58-8802D765C2B7}"/>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145102730"/>
          <a:ext cx="2330452" cy="1272988"/>
        </a:xfrm>
        <a:prstGeom prst="rect">
          <a:avLst/>
        </a:prstGeom>
        <a:noFill/>
        <a:ln>
          <a:noFill/>
        </a:ln>
      </xdr:spPr>
    </xdr:pic>
    <xdr:clientData/>
  </xdr:oneCellAnchor>
  <xdr:oneCellAnchor>
    <xdr:from>
      <xdr:col>2</xdr:col>
      <xdr:colOff>932330</xdr:colOff>
      <xdr:row>958</xdr:row>
      <xdr:rowOff>89649</xdr:rowOff>
    </xdr:from>
    <xdr:ext cx="1807824" cy="1030939"/>
    <xdr:pic>
      <xdr:nvPicPr>
        <xdr:cNvPr id="28" name="Imagen 27">
          <a:extLst>
            <a:ext uri="{FF2B5EF4-FFF2-40B4-BE49-F238E27FC236}">
              <a16:creationId xmlns:a16="http://schemas.microsoft.com/office/drawing/2014/main" id="{B5C8A062-598F-4D41-9B37-225ACF39F0AD}"/>
            </a:ext>
          </a:extLst>
        </xdr:cNvPr>
        <xdr:cNvPicPr>
          <a:picLocks noChangeAspect="1"/>
        </xdr:cNvPicPr>
      </xdr:nvPicPr>
      <xdr:blipFill rotWithShape="1">
        <a:blip xmlns:r="http://schemas.openxmlformats.org/officeDocument/2006/relationships" r:embed="rId1"/>
        <a:srcRect l="11896" t="7262" r="6320" b="12031"/>
        <a:stretch/>
      </xdr:blipFill>
      <xdr:spPr>
        <a:xfrm>
          <a:off x="1810871" y="157482990"/>
          <a:ext cx="1807824" cy="1030939"/>
        </a:xfrm>
        <a:prstGeom prst="rect">
          <a:avLst/>
        </a:prstGeom>
      </xdr:spPr>
    </xdr:pic>
    <xdr:clientData/>
  </xdr:oneCellAnchor>
  <xdr:oneCellAnchor>
    <xdr:from>
      <xdr:col>4</xdr:col>
      <xdr:colOff>367554</xdr:colOff>
      <xdr:row>957</xdr:row>
      <xdr:rowOff>161365</xdr:rowOff>
    </xdr:from>
    <xdr:ext cx="2330452" cy="1272988"/>
    <xdr:pic>
      <xdr:nvPicPr>
        <xdr:cNvPr id="29" name="Picture 9">
          <a:extLst>
            <a:ext uri="{FF2B5EF4-FFF2-40B4-BE49-F238E27FC236}">
              <a16:creationId xmlns:a16="http://schemas.microsoft.com/office/drawing/2014/main" id="{3D7E3392-2AB2-4D79-9C4E-F9193EC0EA62}"/>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157384377"/>
          <a:ext cx="2330452" cy="1272988"/>
        </a:xfrm>
        <a:prstGeom prst="rect">
          <a:avLst/>
        </a:prstGeom>
        <a:noFill/>
        <a:ln>
          <a:noFill/>
        </a:ln>
      </xdr:spPr>
    </xdr:pic>
    <xdr:clientData/>
  </xdr:oneCellAnchor>
  <xdr:oneCellAnchor>
    <xdr:from>
      <xdr:col>2</xdr:col>
      <xdr:colOff>932330</xdr:colOff>
      <xdr:row>1027</xdr:row>
      <xdr:rowOff>89649</xdr:rowOff>
    </xdr:from>
    <xdr:ext cx="1807824" cy="1030939"/>
    <xdr:pic>
      <xdr:nvPicPr>
        <xdr:cNvPr id="30" name="Imagen 29">
          <a:extLst>
            <a:ext uri="{FF2B5EF4-FFF2-40B4-BE49-F238E27FC236}">
              <a16:creationId xmlns:a16="http://schemas.microsoft.com/office/drawing/2014/main" id="{625A81BB-3761-4545-8FDD-EDD6108C18FB}"/>
            </a:ext>
          </a:extLst>
        </xdr:cNvPr>
        <xdr:cNvPicPr>
          <a:picLocks noChangeAspect="1"/>
        </xdr:cNvPicPr>
      </xdr:nvPicPr>
      <xdr:blipFill rotWithShape="1">
        <a:blip xmlns:r="http://schemas.openxmlformats.org/officeDocument/2006/relationships" r:embed="rId1"/>
        <a:srcRect l="11896" t="7262" r="6320" b="12031"/>
        <a:stretch/>
      </xdr:blipFill>
      <xdr:spPr>
        <a:xfrm>
          <a:off x="1810871" y="169764637"/>
          <a:ext cx="1807824" cy="1030939"/>
        </a:xfrm>
        <a:prstGeom prst="rect">
          <a:avLst/>
        </a:prstGeom>
      </xdr:spPr>
    </xdr:pic>
    <xdr:clientData/>
  </xdr:oneCellAnchor>
  <xdr:oneCellAnchor>
    <xdr:from>
      <xdr:col>4</xdr:col>
      <xdr:colOff>367554</xdr:colOff>
      <xdr:row>1026</xdr:row>
      <xdr:rowOff>161365</xdr:rowOff>
    </xdr:from>
    <xdr:ext cx="2330452" cy="1272988"/>
    <xdr:pic>
      <xdr:nvPicPr>
        <xdr:cNvPr id="31" name="Picture 9">
          <a:extLst>
            <a:ext uri="{FF2B5EF4-FFF2-40B4-BE49-F238E27FC236}">
              <a16:creationId xmlns:a16="http://schemas.microsoft.com/office/drawing/2014/main" id="{8420EC05-AF99-4ECA-8085-64052267A027}"/>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169666024"/>
          <a:ext cx="2330452" cy="1272988"/>
        </a:xfrm>
        <a:prstGeom prst="rect">
          <a:avLst/>
        </a:prstGeom>
        <a:noFill/>
        <a:ln>
          <a:noFill/>
        </a:ln>
      </xdr:spPr>
    </xdr:pic>
    <xdr:clientData/>
  </xdr:oneCellAnchor>
  <xdr:oneCellAnchor>
    <xdr:from>
      <xdr:col>2</xdr:col>
      <xdr:colOff>932330</xdr:colOff>
      <xdr:row>1096</xdr:row>
      <xdr:rowOff>89649</xdr:rowOff>
    </xdr:from>
    <xdr:ext cx="1807824" cy="1030939"/>
    <xdr:pic>
      <xdr:nvPicPr>
        <xdr:cNvPr id="32" name="Imagen 31">
          <a:extLst>
            <a:ext uri="{FF2B5EF4-FFF2-40B4-BE49-F238E27FC236}">
              <a16:creationId xmlns:a16="http://schemas.microsoft.com/office/drawing/2014/main" id="{83EF7AEE-BC57-4850-B3DA-01680DB6C5C5}"/>
            </a:ext>
          </a:extLst>
        </xdr:cNvPr>
        <xdr:cNvPicPr>
          <a:picLocks noChangeAspect="1"/>
        </xdr:cNvPicPr>
      </xdr:nvPicPr>
      <xdr:blipFill rotWithShape="1">
        <a:blip xmlns:r="http://schemas.openxmlformats.org/officeDocument/2006/relationships" r:embed="rId1"/>
        <a:srcRect l="11896" t="7262" r="6320" b="12031"/>
        <a:stretch/>
      </xdr:blipFill>
      <xdr:spPr>
        <a:xfrm>
          <a:off x="1810871" y="182046284"/>
          <a:ext cx="1807824" cy="1030939"/>
        </a:xfrm>
        <a:prstGeom prst="rect">
          <a:avLst/>
        </a:prstGeom>
      </xdr:spPr>
    </xdr:pic>
    <xdr:clientData/>
  </xdr:oneCellAnchor>
  <xdr:oneCellAnchor>
    <xdr:from>
      <xdr:col>4</xdr:col>
      <xdr:colOff>367554</xdr:colOff>
      <xdr:row>1095</xdr:row>
      <xdr:rowOff>161365</xdr:rowOff>
    </xdr:from>
    <xdr:ext cx="2330452" cy="1272988"/>
    <xdr:pic>
      <xdr:nvPicPr>
        <xdr:cNvPr id="33" name="Picture 9">
          <a:extLst>
            <a:ext uri="{FF2B5EF4-FFF2-40B4-BE49-F238E27FC236}">
              <a16:creationId xmlns:a16="http://schemas.microsoft.com/office/drawing/2014/main" id="{D091DF42-1910-49D7-8067-7A8B20707005}"/>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181947671"/>
          <a:ext cx="2330452" cy="1272988"/>
        </a:xfrm>
        <a:prstGeom prst="rect">
          <a:avLst/>
        </a:prstGeom>
        <a:noFill/>
        <a:ln>
          <a:noFill/>
        </a:ln>
      </xdr:spPr>
    </xdr:pic>
    <xdr:clientData/>
  </xdr:oneCellAnchor>
  <xdr:oneCellAnchor>
    <xdr:from>
      <xdr:col>2</xdr:col>
      <xdr:colOff>932330</xdr:colOff>
      <xdr:row>1165</xdr:row>
      <xdr:rowOff>89649</xdr:rowOff>
    </xdr:from>
    <xdr:ext cx="1807824" cy="1030939"/>
    <xdr:pic>
      <xdr:nvPicPr>
        <xdr:cNvPr id="34" name="Imagen 33">
          <a:extLst>
            <a:ext uri="{FF2B5EF4-FFF2-40B4-BE49-F238E27FC236}">
              <a16:creationId xmlns:a16="http://schemas.microsoft.com/office/drawing/2014/main" id="{D45B513D-4D86-4EFD-AA3B-C7829A94F911}"/>
            </a:ext>
          </a:extLst>
        </xdr:cNvPr>
        <xdr:cNvPicPr>
          <a:picLocks noChangeAspect="1"/>
        </xdr:cNvPicPr>
      </xdr:nvPicPr>
      <xdr:blipFill rotWithShape="1">
        <a:blip xmlns:r="http://schemas.openxmlformats.org/officeDocument/2006/relationships" r:embed="rId1"/>
        <a:srcRect l="11896" t="7262" r="6320" b="12031"/>
        <a:stretch/>
      </xdr:blipFill>
      <xdr:spPr>
        <a:xfrm>
          <a:off x="1810871" y="194327931"/>
          <a:ext cx="1807824" cy="1030939"/>
        </a:xfrm>
        <a:prstGeom prst="rect">
          <a:avLst/>
        </a:prstGeom>
      </xdr:spPr>
    </xdr:pic>
    <xdr:clientData/>
  </xdr:oneCellAnchor>
  <xdr:oneCellAnchor>
    <xdr:from>
      <xdr:col>4</xdr:col>
      <xdr:colOff>367554</xdr:colOff>
      <xdr:row>1164</xdr:row>
      <xdr:rowOff>161365</xdr:rowOff>
    </xdr:from>
    <xdr:ext cx="2330452" cy="1272988"/>
    <xdr:pic>
      <xdr:nvPicPr>
        <xdr:cNvPr id="35" name="Picture 9">
          <a:extLst>
            <a:ext uri="{FF2B5EF4-FFF2-40B4-BE49-F238E27FC236}">
              <a16:creationId xmlns:a16="http://schemas.microsoft.com/office/drawing/2014/main" id="{5C26D4A9-57D5-4670-B95A-40DFFFCA3AD7}"/>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194229318"/>
          <a:ext cx="2330452" cy="1272988"/>
        </a:xfrm>
        <a:prstGeom prst="rect">
          <a:avLst/>
        </a:prstGeom>
        <a:noFill/>
        <a:ln>
          <a:noFill/>
        </a:ln>
      </xdr:spPr>
    </xdr:pic>
    <xdr:clientData/>
  </xdr:oneCellAnchor>
  <xdr:oneCellAnchor>
    <xdr:from>
      <xdr:col>2</xdr:col>
      <xdr:colOff>932330</xdr:colOff>
      <xdr:row>1234</xdr:row>
      <xdr:rowOff>89649</xdr:rowOff>
    </xdr:from>
    <xdr:ext cx="1807824" cy="1030939"/>
    <xdr:pic>
      <xdr:nvPicPr>
        <xdr:cNvPr id="36" name="Imagen 35">
          <a:extLst>
            <a:ext uri="{FF2B5EF4-FFF2-40B4-BE49-F238E27FC236}">
              <a16:creationId xmlns:a16="http://schemas.microsoft.com/office/drawing/2014/main" id="{C1C2A369-4725-42EC-A49A-337E02E75E71}"/>
            </a:ext>
          </a:extLst>
        </xdr:cNvPr>
        <xdr:cNvPicPr>
          <a:picLocks noChangeAspect="1"/>
        </xdr:cNvPicPr>
      </xdr:nvPicPr>
      <xdr:blipFill rotWithShape="1">
        <a:blip xmlns:r="http://schemas.openxmlformats.org/officeDocument/2006/relationships" r:embed="rId1"/>
        <a:srcRect l="11896" t="7262" r="6320" b="12031"/>
        <a:stretch/>
      </xdr:blipFill>
      <xdr:spPr>
        <a:xfrm>
          <a:off x="1810871" y="206609578"/>
          <a:ext cx="1807824" cy="1030939"/>
        </a:xfrm>
        <a:prstGeom prst="rect">
          <a:avLst/>
        </a:prstGeom>
      </xdr:spPr>
    </xdr:pic>
    <xdr:clientData/>
  </xdr:oneCellAnchor>
  <xdr:oneCellAnchor>
    <xdr:from>
      <xdr:col>4</xdr:col>
      <xdr:colOff>367554</xdr:colOff>
      <xdr:row>1233</xdr:row>
      <xdr:rowOff>161365</xdr:rowOff>
    </xdr:from>
    <xdr:ext cx="2330452" cy="1272988"/>
    <xdr:pic>
      <xdr:nvPicPr>
        <xdr:cNvPr id="37" name="Picture 9">
          <a:extLst>
            <a:ext uri="{FF2B5EF4-FFF2-40B4-BE49-F238E27FC236}">
              <a16:creationId xmlns:a16="http://schemas.microsoft.com/office/drawing/2014/main" id="{46827A19-4B16-46B8-B283-03BD9536874A}"/>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206510965"/>
          <a:ext cx="2330452" cy="1272988"/>
        </a:xfrm>
        <a:prstGeom prst="rect">
          <a:avLst/>
        </a:prstGeom>
        <a:noFill/>
        <a:ln>
          <a:noFill/>
        </a:ln>
      </xdr:spPr>
    </xdr:pic>
    <xdr:clientData/>
  </xdr:oneCellAnchor>
  <xdr:oneCellAnchor>
    <xdr:from>
      <xdr:col>2</xdr:col>
      <xdr:colOff>932330</xdr:colOff>
      <xdr:row>1313</xdr:row>
      <xdr:rowOff>89649</xdr:rowOff>
    </xdr:from>
    <xdr:ext cx="1807824" cy="1030939"/>
    <xdr:pic>
      <xdr:nvPicPr>
        <xdr:cNvPr id="38" name="Imagen 37">
          <a:extLst>
            <a:ext uri="{FF2B5EF4-FFF2-40B4-BE49-F238E27FC236}">
              <a16:creationId xmlns:a16="http://schemas.microsoft.com/office/drawing/2014/main" id="{A63AD63D-07F3-40EC-AA59-C0617D10A2E2}"/>
            </a:ext>
          </a:extLst>
        </xdr:cNvPr>
        <xdr:cNvPicPr>
          <a:picLocks noChangeAspect="1"/>
        </xdr:cNvPicPr>
      </xdr:nvPicPr>
      <xdr:blipFill rotWithShape="1">
        <a:blip xmlns:r="http://schemas.openxmlformats.org/officeDocument/2006/relationships" r:embed="rId1"/>
        <a:srcRect l="11896" t="7262" r="6320" b="12031"/>
        <a:stretch/>
      </xdr:blipFill>
      <xdr:spPr>
        <a:xfrm>
          <a:off x="1810871" y="218891225"/>
          <a:ext cx="1807824" cy="1030939"/>
        </a:xfrm>
        <a:prstGeom prst="rect">
          <a:avLst/>
        </a:prstGeom>
      </xdr:spPr>
    </xdr:pic>
    <xdr:clientData/>
  </xdr:oneCellAnchor>
  <xdr:oneCellAnchor>
    <xdr:from>
      <xdr:col>4</xdr:col>
      <xdr:colOff>367554</xdr:colOff>
      <xdr:row>1312</xdr:row>
      <xdr:rowOff>161365</xdr:rowOff>
    </xdr:from>
    <xdr:ext cx="2330452" cy="1272988"/>
    <xdr:pic>
      <xdr:nvPicPr>
        <xdr:cNvPr id="39" name="Picture 9">
          <a:extLst>
            <a:ext uri="{FF2B5EF4-FFF2-40B4-BE49-F238E27FC236}">
              <a16:creationId xmlns:a16="http://schemas.microsoft.com/office/drawing/2014/main" id="{D220D4C7-ACB8-4AA7-B23C-F83B2892129A}"/>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5934636" y="218792612"/>
          <a:ext cx="2330452" cy="1272988"/>
        </a:xfrm>
        <a:prstGeom prst="rect">
          <a:avLst/>
        </a:prstGeom>
        <a:noFill/>
        <a:ln>
          <a:noFill/>
        </a:ln>
      </xdr:spPr>
    </xdr:pic>
    <xdr:clientData/>
  </xdr:oneCellAnchor>
</xdr:wsDr>
</file>

<file path=xl/drawings/drawing21.xml><?xml version="1.0" encoding="utf-8"?>
<xdr:wsDr xmlns:xdr="http://schemas.openxmlformats.org/drawingml/2006/spreadsheetDrawing" xmlns:a="http://schemas.openxmlformats.org/drawingml/2006/main">
  <xdr:oneCellAnchor>
    <xdr:from>
      <xdr:col>2</xdr:col>
      <xdr:colOff>251460</xdr:colOff>
      <xdr:row>238</xdr:row>
      <xdr:rowOff>75754</xdr:rowOff>
    </xdr:from>
    <xdr:ext cx="1807824" cy="1030939"/>
    <xdr:pic>
      <xdr:nvPicPr>
        <xdr:cNvPr id="2" name="Imagen 1">
          <a:extLst>
            <a:ext uri="{FF2B5EF4-FFF2-40B4-BE49-F238E27FC236}">
              <a16:creationId xmlns:a16="http://schemas.microsoft.com/office/drawing/2014/main" id="{D0BB6EEF-57FD-4E85-A117-6299245DF51C}"/>
            </a:ext>
          </a:extLst>
        </xdr:cNvPr>
        <xdr:cNvPicPr>
          <a:picLocks noChangeAspect="1"/>
        </xdr:cNvPicPr>
      </xdr:nvPicPr>
      <xdr:blipFill rotWithShape="1">
        <a:blip xmlns:r="http://schemas.openxmlformats.org/officeDocument/2006/relationships" r:embed="rId1"/>
        <a:srcRect l="11896" t="7262" r="6320" b="12031"/>
        <a:stretch/>
      </xdr:blipFill>
      <xdr:spPr>
        <a:xfrm>
          <a:off x="1043940" y="43928854"/>
          <a:ext cx="1807824" cy="1030939"/>
        </a:xfrm>
        <a:prstGeom prst="rect">
          <a:avLst/>
        </a:prstGeom>
      </xdr:spPr>
    </xdr:pic>
    <xdr:clientData/>
  </xdr:oneCellAnchor>
  <xdr:oneCellAnchor>
    <xdr:from>
      <xdr:col>6</xdr:col>
      <xdr:colOff>466165</xdr:colOff>
      <xdr:row>237</xdr:row>
      <xdr:rowOff>106680</xdr:rowOff>
    </xdr:from>
    <xdr:ext cx="2330452" cy="1272988"/>
    <xdr:pic>
      <xdr:nvPicPr>
        <xdr:cNvPr id="3" name="Picture 9">
          <a:extLst>
            <a:ext uri="{FF2B5EF4-FFF2-40B4-BE49-F238E27FC236}">
              <a16:creationId xmlns:a16="http://schemas.microsoft.com/office/drawing/2014/main" id="{8D19BDDF-DB80-4145-8541-8FC595FF90A6}"/>
            </a:ext>
          </a:extLst>
        </xdr:cNvPr>
        <xdr:cNvPicPr>
          <a:picLocks noChangeAspect="1"/>
        </xdr:cNvPicPr>
      </xdr:nvPicPr>
      <xdr:blipFill>
        <a:blip xmlns:r="http://schemas.openxmlformats.org/officeDocument/2006/relationships" r:embed="rId2">
          <a:clrChange>
            <a:clrFrom>
              <a:srgbClr val="F8F8F8"/>
            </a:clrFrom>
            <a:clrTo>
              <a:srgbClr val="F8F8F8">
                <a:alpha val="0"/>
              </a:srgbClr>
            </a:clrTo>
          </a:clrChange>
          <a:extLst>
            <a:ext uri="{28A0092B-C50C-407E-A947-70E740481C1C}">
              <a14:useLocalDpi xmlns:a14="http://schemas.microsoft.com/office/drawing/2010/main"/>
            </a:ext>
          </a:extLst>
        </a:blip>
        <a:srcRect/>
        <a:stretch>
          <a:fillRect/>
        </a:stretch>
      </xdr:blipFill>
      <xdr:spPr bwMode="auto">
        <a:xfrm>
          <a:off x="4428565" y="43792140"/>
          <a:ext cx="2330452" cy="1272988"/>
        </a:xfrm>
        <a:prstGeom prst="rect">
          <a:avLst/>
        </a:prstGeom>
        <a:noFill/>
        <a:ln>
          <a:noFill/>
        </a:ln>
      </xdr:spPr>
    </xdr:pic>
    <xdr:clientData/>
  </xdr:oneCellAnchor>
</xdr:wsDr>
</file>

<file path=xl/drawings/drawing22.xml><?xml version="1.0" encoding="utf-8"?>
<xdr:wsDr xmlns:xdr="http://schemas.openxmlformats.org/drawingml/2006/spreadsheetDrawing" xmlns:a="http://schemas.openxmlformats.org/drawingml/2006/main">
  <xdr:twoCellAnchor editAs="oneCell">
    <xdr:from>
      <xdr:col>7</xdr:col>
      <xdr:colOff>600075</xdr:colOff>
      <xdr:row>0</xdr:row>
      <xdr:rowOff>133350</xdr:rowOff>
    </xdr:from>
    <xdr:to>
      <xdr:col>13</xdr:col>
      <xdr:colOff>628075</xdr:colOff>
      <xdr:row>23</xdr:row>
      <xdr:rowOff>28123</xdr:rowOff>
    </xdr:to>
    <xdr:pic>
      <xdr:nvPicPr>
        <xdr:cNvPr id="2" name="Imagen 1">
          <a:extLst>
            <a:ext uri="{FF2B5EF4-FFF2-40B4-BE49-F238E27FC236}">
              <a16:creationId xmlns:a16="http://schemas.microsoft.com/office/drawing/2014/main" id="{2655FA1E-AEB4-469A-DA6E-3AB7641FCB3F}"/>
            </a:ext>
          </a:extLst>
        </xdr:cNvPr>
        <xdr:cNvPicPr>
          <a:picLocks noChangeAspect="1"/>
        </xdr:cNvPicPr>
      </xdr:nvPicPr>
      <xdr:blipFill>
        <a:blip xmlns:r="http://schemas.openxmlformats.org/officeDocument/2006/relationships" r:embed="rId1"/>
        <a:stretch>
          <a:fillRect/>
        </a:stretch>
      </xdr:blipFill>
      <xdr:spPr>
        <a:xfrm>
          <a:off x="6115050" y="133350"/>
          <a:ext cx="4600000" cy="361904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4</xdr:col>
      <xdr:colOff>371475</xdr:colOff>
      <xdr:row>85</xdr:row>
      <xdr:rowOff>157968</xdr:rowOff>
    </xdr:from>
    <xdr:to>
      <xdr:col>6</xdr:col>
      <xdr:colOff>685800</xdr:colOff>
      <xdr:row>91</xdr:row>
      <xdr:rowOff>54401</xdr:rowOff>
    </xdr:to>
    <xdr:pic>
      <xdr:nvPicPr>
        <xdr:cNvPr id="2" name="Imagen 1">
          <a:extLst>
            <a:ext uri="{FF2B5EF4-FFF2-40B4-BE49-F238E27FC236}">
              <a16:creationId xmlns:a16="http://schemas.microsoft.com/office/drawing/2014/main" id="{33EB07F2-2737-480E-8C8C-BDD374193B55}"/>
            </a:ext>
          </a:extLst>
        </xdr:cNvPr>
        <xdr:cNvPicPr>
          <a:picLocks noChangeAspect="1"/>
        </xdr:cNvPicPr>
      </xdr:nvPicPr>
      <xdr:blipFill>
        <a:blip xmlns:r="http://schemas.openxmlformats.org/officeDocument/2006/relationships" r:embed="rId1" cstate="print">
          <a:clrChange>
            <a:clrFrom>
              <a:srgbClr val="FEFEFE"/>
            </a:clrFrom>
            <a:clrTo>
              <a:srgbClr val="FEFEFE">
                <a:alpha val="0"/>
              </a:srgbClr>
            </a:clrTo>
          </a:clrChange>
          <a:extLst>
            <a:ext uri="{28A0092B-C50C-407E-A947-70E740481C1C}">
              <a14:useLocalDpi xmlns:a14="http://schemas.microsoft.com/office/drawing/2010/main" val="0"/>
            </a:ext>
          </a:extLst>
        </a:blip>
        <a:stretch>
          <a:fillRect/>
        </a:stretch>
      </xdr:blipFill>
      <xdr:spPr>
        <a:xfrm>
          <a:off x="3419475" y="13921593"/>
          <a:ext cx="1914525" cy="972758"/>
        </a:xfrm>
        <a:prstGeom prst="rect">
          <a:avLst/>
        </a:prstGeom>
      </xdr:spPr>
    </xdr:pic>
    <xdr:clientData/>
  </xdr:twoCellAnchor>
  <xdr:twoCellAnchor editAs="oneCell">
    <xdr:from>
      <xdr:col>9</xdr:col>
      <xdr:colOff>120203</xdr:colOff>
      <xdr:row>84</xdr:row>
      <xdr:rowOff>76200</xdr:rowOff>
    </xdr:from>
    <xdr:to>
      <xdr:col>11</xdr:col>
      <xdr:colOff>476250</xdr:colOff>
      <xdr:row>91</xdr:row>
      <xdr:rowOff>78931</xdr:rowOff>
    </xdr:to>
    <xdr:pic>
      <xdr:nvPicPr>
        <xdr:cNvPr id="3" name="Imagen 2">
          <a:extLst>
            <a:ext uri="{FF2B5EF4-FFF2-40B4-BE49-F238E27FC236}">
              <a16:creationId xmlns:a16="http://schemas.microsoft.com/office/drawing/2014/main" id="{926D6DA6-B8EC-4CAB-BA82-E43139C1FA48}"/>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054403" y="13677900"/>
          <a:ext cx="1880047" cy="1240981"/>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V60"/>
  <sheetViews>
    <sheetView view="pageBreakPreview" zoomScale="55" zoomScaleNormal="100" zoomScaleSheetLayoutView="55" workbookViewId="0">
      <selection activeCell="Q5" sqref="Q5"/>
    </sheetView>
  </sheetViews>
  <sheetFormatPr baseColWidth="10" defaultRowHeight="12.75" x14ac:dyDescent="0.2"/>
  <cols>
    <col min="1" max="1" width="2" customWidth="1"/>
    <col min="10" max="10" width="13.85546875" customWidth="1"/>
    <col min="15" max="15" width="17.140625" customWidth="1"/>
    <col min="20" max="20" width="16.7109375" customWidth="1"/>
    <col min="21" max="21" width="15.85546875" customWidth="1"/>
    <col min="22" max="22" width="2" customWidth="1"/>
  </cols>
  <sheetData>
    <row r="1" spans="2:22" ht="6.6" customHeight="1" thickBot="1" x14ac:dyDescent="0.25"/>
    <row r="2" spans="2:22" ht="20.45" customHeight="1" x14ac:dyDescent="0.2">
      <c r="B2" s="999" t="s">
        <v>1480</v>
      </c>
      <c r="C2" s="1000"/>
      <c r="D2" s="1000"/>
      <c r="E2" s="1000"/>
      <c r="F2" s="1000"/>
      <c r="G2" s="1000"/>
      <c r="H2" s="1000"/>
      <c r="I2" s="1000"/>
      <c r="J2" s="1000"/>
      <c r="K2" s="1000"/>
      <c r="L2" s="1000"/>
      <c r="M2" s="1000"/>
      <c r="N2" s="1000"/>
      <c r="O2" s="1000"/>
      <c r="P2" s="1001"/>
      <c r="Q2" s="1018" t="s">
        <v>0</v>
      </c>
      <c r="R2" s="1019"/>
      <c r="S2" s="1026">
        <f>'PTO OC PLIEGO'!M203</f>
        <v>5425888425.0799999</v>
      </c>
      <c r="T2" s="1027"/>
      <c r="U2" s="1028"/>
      <c r="V2" s="337"/>
    </row>
    <row r="3" spans="2:22" ht="20.45" customHeight="1" x14ac:dyDescent="0.2">
      <c r="B3" s="1002"/>
      <c r="C3" s="1003"/>
      <c r="D3" s="1003"/>
      <c r="E3" s="1003"/>
      <c r="F3" s="1003"/>
      <c r="G3" s="1003"/>
      <c r="H3" s="1003"/>
      <c r="I3" s="1003"/>
      <c r="J3" s="1003"/>
      <c r="K3" s="1003"/>
      <c r="L3" s="1003"/>
      <c r="M3" s="1003"/>
      <c r="N3" s="1003"/>
      <c r="O3" s="1003"/>
      <c r="P3" s="1004"/>
      <c r="Q3" s="1034">
        <v>46195</v>
      </c>
      <c r="R3" s="1035"/>
      <c r="S3" s="1029"/>
      <c r="T3" s="939"/>
      <c r="U3" s="1030"/>
      <c r="V3" s="337"/>
    </row>
    <row r="4" spans="2:22" x14ac:dyDescent="0.2">
      <c r="B4" s="1002"/>
      <c r="C4" s="1003"/>
      <c r="D4" s="1003"/>
      <c r="E4" s="1003"/>
      <c r="F4" s="1003"/>
      <c r="G4" s="1003"/>
      <c r="H4" s="1003"/>
      <c r="I4" s="1003"/>
      <c r="J4" s="1003"/>
      <c r="K4" s="1003"/>
      <c r="L4" s="1003"/>
      <c r="M4" s="1003"/>
      <c r="N4" s="1003"/>
      <c r="O4" s="1003"/>
      <c r="P4" s="1004"/>
      <c r="Q4" s="1036"/>
      <c r="R4" s="1037"/>
      <c r="S4" s="1031"/>
      <c r="T4" s="1032"/>
      <c r="U4" s="1033"/>
      <c r="V4" s="337"/>
    </row>
    <row r="5" spans="2:22" x14ac:dyDescent="0.2">
      <c r="B5" s="337"/>
      <c r="C5" s="76"/>
      <c r="D5" s="76"/>
      <c r="E5" s="76"/>
      <c r="F5" s="76"/>
      <c r="G5" s="76"/>
      <c r="H5" s="76"/>
      <c r="I5" s="76"/>
      <c r="J5" s="76"/>
      <c r="K5" s="76"/>
      <c r="L5" s="76"/>
      <c r="M5" s="76"/>
      <c r="N5" s="76"/>
      <c r="O5" s="76"/>
      <c r="P5" s="76"/>
      <c r="Q5" s="76"/>
      <c r="R5" s="76"/>
      <c r="S5" s="76"/>
      <c r="T5" s="76"/>
      <c r="U5" s="338"/>
      <c r="V5" s="337"/>
    </row>
    <row r="6" spans="2:22" ht="15" x14ac:dyDescent="0.2">
      <c r="B6" s="337"/>
      <c r="C6" s="1038" t="s">
        <v>878</v>
      </c>
      <c r="D6" s="1039"/>
      <c r="E6" s="1038" t="s">
        <v>1</v>
      </c>
      <c r="F6" s="1039"/>
      <c r="G6" s="1038" t="s">
        <v>2</v>
      </c>
      <c r="H6" s="1039"/>
      <c r="I6" s="1038" t="s">
        <v>3</v>
      </c>
      <c r="J6" s="1039"/>
      <c r="K6" s="1038" t="s">
        <v>4</v>
      </c>
      <c r="L6" s="1039"/>
      <c r="M6" s="76"/>
      <c r="N6" s="76"/>
      <c r="O6" s="76"/>
      <c r="P6" s="1040" t="s">
        <v>24</v>
      </c>
      <c r="Q6" s="1041"/>
      <c r="R6" s="1041"/>
      <c r="S6" s="1041"/>
      <c r="T6" s="1041"/>
      <c r="U6" s="1042"/>
      <c r="V6" s="337"/>
    </row>
    <row r="7" spans="2:22" ht="15" x14ac:dyDescent="0.2">
      <c r="B7" s="337"/>
      <c r="C7" s="1006">
        <v>2</v>
      </c>
      <c r="D7" s="1007"/>
      <c r="E7" s="1006">
        <v>1</v>
      </c>
      <c r="F7" s="1007"/>
      <c r="G7" s="1006">
        <v>6</v>
      </c>
      <c r="H7" s="1007"/>
      <c r="I7" s="1006">
        <v>1</v>
      </c>
      <c r="J7" s="1007"/>
      <c r="K7" s="1006">
        <f>G7+I7</f>
        <v>7</v>
      </c>
      <c r="L7" s="1007"/>
      <c r="M7" s="76"/>
      <c r="N7" s="76"/>
      <c r="O7" s="76"/>
      <c r="P7" s="1043"/>
      <c r="Q7" s="1044"/>
      <c r="R7" s="1044"/>
      <c r="S7" s="1044"/>
      <c r="T7" s="1044"/>
      <c r="U7" s="1045"/>
      <c r="V7" s="337"/>
    </row>
    <row r="8" spans="2:22" ht="17.25" x14ac:dyDescent="0.2">
      <c r="B8" s="337"/>
      <c r="C8" s="76"/>
      <c r="D8" s="76"/>
      <c r="E8" s="76"/>
      <c r="F8" s="76"/>
      <c r="G8" s="76"/>
      <c r="H8" s="76"/>
      <c r="I8" s="76"/>
      <c r="J8" s="76"/>
      <c r="K8" s="76"/>
      <c r="L8" s="76"/>
      <c r="M8" s="76"/>
      <c r="N8" s="76"/>
      <c r="O8" s="76"/>
      <c r="P8" s="403">
        <v>1</v>
      </c>
      <c r="Q8" s="1011" t="s">
        <v>25</v>
      </c>
      <c r="R8" s="1012"/>
      <c r="S8" s="1012"/>
      <c r="T8" s="1012"/>
      <c r="U8" s="1013"/>
      <c r="V8" s="337"/>
    </row>
    <row r="9" spans="2:22" ht="17.25" x14ac:dyDescent="0.2">
      <c r="B9" s="1005" t="s">
        <v>864</v>
      </c>
      <c r="C9" s="997"/>
      <c r="D9" s="997"/>
      <c r="E9" s="997"/>
      <c r="F9" s="997"/>
      <c r="G9" s="997"/>
      <c r="H9" s="76"/>
      <c r="I9" s="1014" t="s">
        <v>912</v>
      </c>
      <c r="J9" s="1015"/>
      <c r="K9" s="402" t="s">
        <v>20</v>
      </c>
      <c r="L9" s="400">
        <v>72</v>
      </c>
      <c r="M9" s="401" t="s">
        <v>19</v>
      </c>
      <c r="N9" s="399"/>
      <c r="O9" s="76"/>
      <c r="P9" s="403">
        <v>2</v>
      </c>
      <c r="Q9" s="1011" t="s">
        <v>834</v>
      </c>
      <c r="R9" s="1012"/>
      <c r="S9" s="1012"/>
      <c r="T9" s="1012"/>
      <c r="U9" s="1013"/>
      <c r="V9" s="337"/>
    </row>
    <row r="10" spans="2:22" ht="17.25" x14ac:dyDescent="0.2">
      <c r="B10" s="1020"/>
      <c r="C10" s="1021"/>
      <c r="D10" s="1021"/>
      <c r="E10" s="1021"/>
      <c r="F10" s="1021"/>
      <c r="G10" s="1021"/>
      <c r="H10" s="76"/>
      <c r="I10" s="1051"/>
      <c r="J10" s="1052"/>
      <c r="K10" s="1052"/>
      <c r="L10" s="1052"/>
      <c r="M10" s="1052"/>
      <c r="N10" s="1053"/>
      <c r="O10" s="76"/>
      <c r="P10" s="403">
        <v>3</v>
      </c>
      <c r="Q10" s="1011" t="s">
        <v>835</v>
      </c>
      <c r="R10" s="1012"/>
      <c r="S10" s="1012"/>
      <c r="T10" s="1012"/>
      <c r="U10" s="1013"/>
      <c r="V10" s="337"/>
    </row>
    <row r="11" spans="2:22" ht="17.25" x14ac:dyDescent="0.2">
      <c r="B11" s="1022"/>
      <c r="C11" s="1023"/>
      <c r="D11" s="1023"/>
      <c r="E11" s="1023"/>
      <c r="F11" s="1023"/>
      <c r="G11" s="1021"/>
      <c r="H11" s="76"/>
      <c r="I11" s="1029"/>
      <c r="J11" s="939"/>
      <c r="K11" s="939"/>
      <c r="L11" s="939"/>
      <c r="M11" s="939"/>
      <c r="N11" s="1054"/>
      <c r="O11" s="76"/>
      <c r="P11" s="403">
        <v>4</v>
      </c>
      <c r="Q11" s="1011" t="s">
        <v>843</v>
      </c>
      <c r="R11" s="1012"/>
      <c r="S11" s="1012"/>
      <c r="T11" s="1012"/>
      <c r="U11" s="1013"/>
      <c r="V11" s="337"/>
    </row>
    <row r="12" spans="2:22" ht="17.25" x14ac:dyDescent="0.2">
      <c r="B12" s="1022"/>
      <c r="C12" s="1023"/>
      <c r="D12" s="1023"/>
      <c r="E12" s="1023"/>
      <c r="F12" s="1023"/>
      <c r="G12" s="1021"/>
      <c r="H12" s="76"/>
      <c r="I12" s="1029"/>
      <c r="J12" s="939"/>
      <c r="K12" s="939"/>
      <c r="L12" s="939"/>
      <c r="M12" s="939"/>
      <c r="N12" s="1054"/>
      <c r="O12" s="76"/>
      <c r="P12" s="403">
        <v>5</v>
      </c>
      <c r="Q12" s="1011" t="s">
        <v>844</v>
      </c>
      <c r="R12" s="1012"/>
      <c r="S12" s="1012"/>
      <c r="T12" s="1012"/>
      <c r="U12" s="1013"/>
      <c r="V12" s="337"/>
    </row>
    <row r="13" spans="2:22" ht="17.25" x14ac:dyDescent="0.2">
      <c r="B13" s="1022"/>
      <c r="C13" s="1023"/>
      <c r="D13" s="1023"/>
      <c r="E13" s="1023"/>
      <c r="F13" s="1023"/>
      <c r="G13" s="1021"/>
      <c r="H13" s="76"/>
      <c r="I13" s="1029"/>
      <c r="J13" s="939"/>
      <c r="K13" s="939"/>
      <c r="L13" s="939"/>
      <c r="M13" s="939"/>
      <c r="N13" s="1054"/>
      <c r="O13" s="76"/>
      <c r="P13" s="403">
        <v>6</v>
      </c>
      <c r="Q13" s="1011" t="s">
        <v>28</v>
      </c>
      <c r="R13" s="1012"/>
      <c r="S13" s="1012"/>
      <c r="T13" s="1012"/>
      <c r="U13" s="1013"/>
      <c r="V13" s="337"/>
    </row>
    <row r="14" spans="2:22" ht="17.25" x14ac:dyDescent="0.2">
      <c r="B14" s="1022"/>
      <c r="C14" s="1023"/>
      <c r="D14" s="1023"/>
      <c r="E14" s="1023"/>
      <c r="F14" s="1023"/>
      <c r="G14" s="1021"/>
      <c r="H14" s="76"/>
      <c r="I14" s="1029"/>
      <c r="J14" s="939"/>
      <c r="K14" s="939"/>
      <c r="L14" s="939"/>
      <c r="M14" s="939"/>
      <c r="N14" s="1054"/>
      <c r="O14" s="76"/>
      <c r="P14" s="403">
        <v>7</v>
      </c>
      <c r="Q14" s="1011" t="s">
        <v>33</v>
      </c>
      <c r="R14" s="1012"/>
      <c r="S14" s="1012"/>
      <c r="T14" s="1012"/>
      <c r="U14" s="1013"/>
      <c r="V14" s="337"/>
    </row>
    <row r="15" spans="2:22" ht="17.25" x14ac:dyDescent="0.2">
      <c r="B15" s="1022"/>
      <c r="C15" s="1023"/>
      <c r="D15" s="1023"/>
      <c r="E15" s="1023"/>
      <c r="F15" s="1023"/>
      <c r="G15" s="1021"/>
      <c r="H15" s="76"/>
      <c r="I15" s="1029"/>
      <c r="J15" s="939"/>
      <c r="K15" s="939"/>
      <c r="L15" s="939"/>
      <c r="M15" s="939"/>
      <c r="N15" s="1054"/>
      <c r="O15" s="76"/>
      <c r="P15" s="403">
        <v>8</v>
      </c>
      <c r="Q15" s="1011" t="s">
        <v>34</v>
      </c>
      <c r="R15" s="1012"/>
      <c r="S15" s="1012"/>
      <c r="T15" s="1012"/>
      <c r="U15" s="1013"/>
      <c r="V15" s="337"/>
    </row>
    <row r="16" spans="2:22" ht="17.25" x14ac:dyDescent="0.2">
      <c r="B16" s="1022"/>
      <c r="C16" s="1023"/>
      <c r="D16" s="1023"/>
      <c r="E16" s="1023"/>
      <c r="F16" s="1023"/>
      <c r="G16" s="1021"/>
      <c r="H16" s="76"/>
      <c r="I16" s="1029"/>
      <c r="J16" s="939"/>
      <c r="K16" s="939"/>
      <c r="L16" s="939"/>
      <c r="M16" s="939"/>
      <c r="N16" s="1054"/>
      <c r="O16" s="76"/>
      <c r="P16" s="403">
        <v>9</v>
      </c>
      <c r="Q16" s="1011" t="s">
        <v>36</v>
      </c>
      <c r="R16" s="1012"/>
      <c r="S16" s="1012"/>
      <c r="T16" s="1012"/>
      <c r="U16" s="1013"/>
      <c r="V16" s="337"/>
    </row>
    <row r="17" spans="2:22" ht="17.25" x14ac:dyDescent="0.2">
      <c r="B17" s="1022"/>
      <c r="C17" s="1023"/>
      <c r="D17" s="1023"/>
      <c r="E17" s="1023"/>
      <c r="F17" s="1023"/>
      <c r="G17" s="1021"/>
      <c r="H17" s="76"/>
      <c r="I17" s="1029"/>
      <c r="J17" s="939"/>
      <c r="K17" s="939"/>
      <c r="L17" s="939"/>
      <c r="M17" s="939"/>
      <c r="N17" s="1054"/>
      <c r="O17" s="76"/>
      <c r="P17" s="403">
        <v>10</v>
      </c>
      <c r="Q17" s="1011" t="s">
        <v>29</v>
      </c>
      <c r="R17" s="1012"/>
      <c r="S17" s="1012"/>
      <c r="T17" s="1012"/>
      <c r="U17" s="1013"/>
      <c r="V17" s="337"/>
    </row>
    <row r="18" spans="2:22" ht="17.25" x14ac:dyDescent="0.2">
      <c r="B18" s="1022"/>
      <c r="C18" s="1023"/>
      <c r="D18" s="1023"/>
      <c r="E18" s="1023"/>
      <c r="F18" s="1023"/>
      <c r="G18" s="1021"/>
      <c r="H18" s="76"/>
      <c r="I18" s="1029"/>
      <c r="J18" s="939"/>
      <c r="K18" s="939"/>
      <c r="L18" s="939"/>
      <c r="M18" s="939"/>
      <c r="N18" s="1054"/>
      <c r="O18" s="76"/>
      <c r="P18" s="403">
        <v>11</v>
      </c>
      <c r="Q18" s="1011" t="s">
        <v>31</v>
      </c>
      <c r="R18" s="1012"/>
      <c r="S18" s="1012"/>
      <c r="T18" s="1012"/>
      <c r="U18" s="1013"/>
      <c r="V18" s="337"/>
    </row>
    <row r="19" spans="2:22" ht="17.25" x14ac:dyDescent="0.2">
      <c r="B19" s="1022"/>
      <c r="C19" s="1023"/>
      <c r="D19" s="1023"/>
      <c r="E19" s="1023"/>
      <c r="F19" s="1023"/>
      <c r="G19" s="1021"/>
      <c r="H19" s="76"/>
      <c r="I19" s="1029"/>
      <c r="J19" s="939"/>
      <c r="K19" s="939"/>
      <c r="L19" s="939"/>
      <c r="M19" s="939"/>
      <c r="N19" s="1054"/>
      <c r="O19" s="76"/>
      <c r="P19" s="403">
        <v>12</v>
      </c>
      <c r="Q19" s="1011" t="s">
        <v>32</v>
      </c>
      <c r="R19" s="1012"/>
      <c r="S19" s="1012"/>
      <c r="T19" s="1012"/>
      <c r="U19" s="1013"/>
      <c r="V19" s="337"/>
    </row>
    <row r="20" spans="2:22" ht="17.25" x14ac:dyDescent="0.2">
      <c r="B20" s="1022"/>
      <c r="C20" s="1023"/>
      <c r="D20" s="1023"/>
      <c r="E20" s="1023"/>
      <c r="F20" s="1023"/>
      <c r="G20" s="1021"/>
      <c r="H20" s="76"/>
      <c r="I20" s="1029"/>
      <c r="J20" s="939"/>
      <c r="K20" s="939"/>
      <c r="L20" s="939"/>
      <c r="M20" s="939"/>
      <c r="N20" s="1054"/>
      <c r="O20" s="76"/>
      <c r="P20" s="403">
        <v>13</v>
      </c>
      <c r="Q20" s="1011" t="s">
        <v>26</v>
      </c>
      <c r="R20" s="1012"/>
      <c r="S20" s="1012"/>
      <c r="T20" s="1012"/>
      <c r="U20" s="1013"/>
      <c r="V20" s="337"/>
    </row>
    <row r="21" spans="2:22" ht="17.25" x14ac:dyDescent="0.2">
      <c r="B21" s="1022"/>
      <c r="C21" s="1023"/>
      <c r="D21" s="1023"/>
      <c r="E21" s="1023"/>
      <c r="F21" s="1023"/>
      <c r="G21" s="1021"/>
      <c r="H21" s="76"/>
      <c r="I21" s="1029"/>
      <c r="J21" s="939"/>
      <c r="K21" s="939"/>
      <c r="L21" s="939"/>
      <c r="M21" s="939"/>
      <c r="N21" s="1054"/>
      <c r="O21" s="76"/>
      <c r="P21" s="403">
        <v>14</v>
      </c>
      <c r="Q21" s="1011" t="s">
        <v>27</v>
      </c>
      <c r="R21" s="1012"/>
      <c r="S21" s="1012"/>
      <c r="T21" s="1012"/>
      <c r="U21" s="1013"/>
      <c r="V21" s="337"/>
    </row>
    <row r="22" spans="2:22" ht="17.25" x14ac:dyDescent="0.2">
      <c r="B22" s="1022"/>
      <c r="C22" s="1023"/>
      <c r="D22" s="1023"/>
      <c r="E22" s="1023"/>
      <c r="F22" s="1023"/>
      <c r="G22" s="1021"/>
      <c r="H22" s="76"/>
      <c r="I22" s="1029"/>
      <c r="J22" s="939"/>
      <c r="K22" s="939"/>
      <c r="L22" s="939"/>
      <c r="M22" s="939"/>
      <c r="N22" s="1054"/>
      <c r="O22" s="76"/>
      <c r="P22" s="403">
        <v>15</v>
      </c>
      <c r="Q22" s="1011" t="s">
        <v>879</v>
      </c>
      <c r="R22" s="1012"/>
      <c r="S22" s="1012"/>
      <c r="T22" s="1012"/>
      <c r="U22" s="1013"/>
      <c r="V22" s="337"/>
    </row>
    <row r="23" spans="2:22" ht="17.25" x14ac:dyDescent="0.2">
      <c r="B23" s="1022"/>
      <c r="C23" s="1023"/>
      <c r="D23" s="1023"/>
      <c r="E23" s="1023"/>
      <c r="F23" s="1023"/>
      <c r="G23" s="1021"/>
      <c r="H23" s="76"/>
      <c r="I23" s="1029"/>
      <c r="J23" s="939"/>
      <c r="K23" s="939"/>
      <c r="L23" s="939"/>
      <c r="M23" s="939"/>
      <c r="N23" s="1054"/>
      <c r="O23" s="76"/>
      <c r="P23" s="403">
        <v>16</v>
      </c>
      <c r="Q23" s="1011" t="s">
        <v>30</v>
      </c>
      <c r="R23" s="1012"/>
      <c r="S23" s="1012"/>
      <c r="T23" s="1012"/>
      <c r="U23" s="1013"/>
      <c r="V23" s="337"/>
    </row>
    <row r="24" spans="2:22" ht="17.25" x14ac:dyDescent="0.2">
      <c r="B24" s="1022"/>
      <c r="C24" s="1023"/>
      <c r="D24" s="1023"/>
      <c r="E24" s="1023"/>
      <c r="F24" s="1023"/>
      <c r="G24" s="1021"/>
      <c r="H24" s="76"/>
      <c r="I24" s="1029"/>
      <c r="J24" s="939"/>
      <c r="K24" s="939"/>
      <c r="L24" s="939"/>
      <c r="M24" s="939"/>
      <c r="N24" s="1054"/>
      <c r="O24" s="76"/>
      <c r="P24" s="403">
        <v>17</v>
      </c>
      <c r="Q24" s="1011" t="s">
        <v>35</v>
      </c>
      <c r="R24" s="1012"/>
      <c r="S24" s="1012"/>
      <c r="T24" s="1012"/>
      <c r="U24" s="1013"/>
      <c r="V24" s="337"/>
    </row>
    <row r="25" spans="2:22" ht="17.25" x14ac:dyDescent="0.2">
      <c r="B25" s="1022"/>
      <c r="C25" s="1023"/>
      <c r="D25" s="1023"/>
      <c r="E25" s="1023"/>
      <c r="F25" s="1023"/>
      <c r="G25" s="1021"/>
      <c r="H25" s="76"/>
      <c r="I25" s="1029"/>
      <c r="J25" s="939"/>
      <c r="K25" s="939"/>
      <c r="L25" s="939"/>
      <c r="M25" s="939"/>
      <c r="N25" s="1054"/>
      <c r="O25" s="76"/>
      <c r="P25" s="403"/>
      <c r="Q25" s="1011"/>
      <c r="R25" s="1012"/>
      <c r="S25" s="1012"/>
      <c r="T25" s="1012"/>
      <c r="U25" s="1013"/>
      <c r="V25" s="337"/>
    </row>
    <row r="26" spans="2:22" ht="17.25" x14ac:dyDescent="0.2">
      <c r="B26" s="1022"/>
      <c r="C26" s="1023"/>
      <c r="D26" s="1023"/>
      <c r="E26" s="1023"/>
      <c r="F26" s="1023"/>
      <c r="G26" s="1021"/>
      <c r="H26" s="76"/>
      <c r="I26" s="1029"/>
      <c r="J26" s="939"/>
      <c r="K26" s="939"/>
      <c r="L26" s="939"/>
      <c r="M26" s="939"/>
      <c r="N26" s="1054"/>
      <c r="O26" s="76"/>
      <c r="P26" s="403"/>
      <c r="Q26" s="1011"/>
      <c r="R26" s="1012"/>
      <c r="S26" s="1012"/>
      <c r="T26" s="1012"/>
      <c r="U26" s="1013"/>
      <c r="V26" s="337"/>
    </row>
    <row r="27" spans="2:22" x14ac:dyDescent="0.2">
      <c r="B27" s="1022"/>
      <c r="C27" s="1023"/>
      <c r="D27" s="1023"/>
      <c r="E27" s="1023"/>
      <c r="F27" s="1023"/>
      <c r="G27" s="1021"/>
      <c r="H27" s="76"/>
      <c r="I27" s="1029"/>
      <c r="J27" s="939"/>
      <c r="K27" s="939"/>
      <c r="L27" s="939"/>
      <c r="M27" s="939"/>
      <c r="N27" s="1054"/>
      <c r="O27" s="76"/>
      <c r="P27" s="76"/>
      <c r="Q27" s="76"/>
      <c r="R27" s="76"/>
      <c r="S27" s="76"/>
      <c r="T27" s="76"/>
      <c r="U27" s="338"/>
      <c r="V27" s="337"/>
    </row>
    <row r="28" spans="2:22" x14ac:dyDescent="0.2">
      <c r="B28" s="1022"/>
      <c r="C28" s="1021"/>
      <c r="D28" s="1021"/>
      <c r="E28" s="1021"/>
      <c r="F28" s="1021"/>
      <c r="G28" s="1021"/>
      <c r="H28" s="76"/>
      <c r="I28" s="1031"/>
      <c r="J28" s="1032"/>
      <c r="K28" s="1032"/>
      <c r="L28" s="1032"/>
      <c r="M28" s="1032"/>
      <c r="N28" s="1055"/>
      <c r="O28" s="76"/>
      <c r="P28" s="1048" t="s">
        <v>18</v>
      </c>
      <c r="Q28" s="1049"/>
      <c r="R28" s="1049"/>
      <c r="S28" s="1050"/>
      <c r="T28" s="4" t="s">
        <v>19</v>
      </c>
      <c r="U28" s="339">
        <v>3</v>
      </c>
      <c r="V28" s="337"/>
    </row>
    <row r="29" spans="2:22" x14ac:dyDescent="0.2">
      <c r="B29" s="337"/>
      <c r="C29" s="76"/>
      <c r="D29" s="76"/>
      <c r="E29" s="76"/>
      <c r="F29" s="76"/>
      <c r="G29" s="76"/>
      <c r="H29" s="76"/>
      <c r="I29" s="76"/>
      <c r="J29" s="76"/>
      <c r="K29" s="76"/>
      <c r="L29" s="76"/>
      <c r="M29" s="76"/>
      <c r="N29" s="76"/>
      <c r="O29" s="76"/>
      <c r="P29" s="76"/>
      <c r="Q29" s="76"/>
      <c r="R29" s="76"/>
      <c r="S29" s="76"/>
      <c r="T29" s="76"/>
      <c r="U29" s="338"/>
      <c r="V29" s="337"/>
    </row>
    <row r="30" spans="2:22" ht="20.45" customHeight="1" x14ac:dyDescent="0.2">
      <c r="B30" s="1005" t="s">
        <v>1368</v>
      </c>
      <c r="C30" s="998"/>
      <c r="D30" s="998"/>
      <c r="E30" s="998"/>
      <c r="F30" s="397" t="s">
        <v>19</v>
      </c>
      <c r="G30" s="398">
        <v>44.7</v>
      </c>
      <c r="H30" s="76"/>
      <c r="I30" s="997" t="s">
        <v>863</v>
      </c>
      <c r="J30" s="998"/>
      <c r="K30" s="998"/>
      <c r="L30" s="998"/>
      <c r="M30" s="397" t="s">
        <v>19</v>
      </c>
      <c r="N30" s="399">
        <v>18.5</v>
      </c>
      <c r="O30" s="76"/>
      <c r="P30" s="76"/>
      <c r="Q30" s="1014" t="s">
        <v>21</v>
      </c>
      <c r="R30" s="1025"/>
      <c r="S30" s="402" t="s">
        <v>11</v>
      </c>
      <c r="T30" s="404">
        <v>0.3</v>
      </c>
      <c r="U30" s="338"/>
      <c r="V30" s="337"/>
    </row>
    <row r="31" spans="2:22" ht="23.45" customHeight="1" x14ac:dyDescent="0.2">
      <c r="B31" s="1020"/>
      <c r="C31" s="1021"/>
      <c r="D31" s="1021"/>
      <c r="E31" s="1021"/>
      <c r="F31" s="1021"/>
      <c r="G31" s="1021"/>
      <c r="H31" s="76"/>
      <c r="I31" s="1024"/>
      <c r="J31" s="1021"/>
      <c r="K31" s="1021"/>
      <c r="L31" s="1021"/>
      <c r="M31" s="1021"/>
      <c r="N31" s="1021"/>
      <c r="O31" s="76"/>
      <c r="P31" s="76"/>
      <c r="Q31" s="1014" t="s">
        <v>22</v>
      </c>
      <c r="R31" s="1025"/>
      <c r="S31" s="402" t="s">
        <v>11</v>
      </c>
      <c r="T31" s="404">
        <v>0.25</v>
      </c>
      <c r="U31" s="338"/>
      <c r="V31" s="337"/>
    </row>
    <row r="32" spans="2:22" x14ac:dyDescent="0.2">
      <c r="B32" s="1022"/>
      <c r="C32" s="1023"/>
      <c r="D32" s="1023"/>
      <c r="E32" s="1023"/>
      <c r="F32" s="1023"/>
      <c r="G32" s="1021"/>
      <c r="H32" s="76"/>
      <c r="I32" s="1021"/>
      <c r="J32" s="1023"/>
      <c r="K32" s="1023"/>
      <c r="L32" s="1023"/>
      <c r="M32" s="1023"/>
      <c r="N32" s="1021"/>
      <c r="O32" s="76"/>
      <c r="P32" s="76"/>
      <c r="Q32" s="76"/>
      <c r="R32" s="76"/>
      <c r="S32" s="76"/>
      <c r="T32" s="76"/>
      <c r="U32" s="338"/>
      <c r="V32" s="337"/>
    </row>
    <row r="33" spans="2:22" ht="17.25" x14ac:dyDescent="0.3">
      <c r="B33" s="1022"/>
      <c r="C33" s="1023"/>
      <c r="D33" s="1023"/>
      <c r="E33" s="1023"/>
      <c r="F33" s="1023"/>
      <c r="G33" s="1021"/>
      <c r="H33" s="76"/>
      <c r="I33" s="1021"/>
      <c r="J33" s="1023"/>
      <c r="K33" s="1023"/>
      <c r="L33" s="1023"/>
      <c r="M33" s="1023"/>
      <c r="N33" s="1021"/>
      <c r="O33" s="76"/>
      <c r="P33" s="76"/>
      <c r="Q33" s="1008" t="s">
        <v>37</v>
      </c>
      <c r="R33" s="1009"/>
      <c r="S33" s="1009"/>
      <c r="T33" s="1016">
        <f>'PTO OC PLIEGO'!K180+'PTO OC PLIEGO'!M180</f>
        <v>135928994.75</v>
      </c>
      <c r="U33" s="1017"/>
      <c r="V33" s="337"/>
    </row>
    <row r="34" spans="2:22" ht="17.25" x14ac:dyDescent="0.3">
      <c r="B34" s="1022"/>
      <c r="C34" s="1023"/>
      <c r="D34" s="1023"/>
      <c r="E34" s="1023"/>
      <c r="F34" s="1023"/>
      <c r="G34" s="1021"/>
      <c r="H34" s="76"/>
      <c r="I34" s="1021"/>
      <c r="J34" s="1023"/>
      <c r="K34" s="1023"/>
      <c r="L34" s="1023"/>
      <c r="M34" s="1023"/>
      <c r="N34" s="1021"/>
      <c r="O34" s="76"/>
      <c r="P34" s="76"/>
      <c r="Q34" s="1008" t="s">
        <v>75</v>
      </c>
      <c r="R34" s="1009"/>
      <c r="S34" s="1010"/>
      <c r="T34" s="1016">
        <f>'PTO OC PLIEGO'!K181+'PTO OC PLIEGO'!M181</f>
        <v>470429077.38</v>
      </c>
      <c r="U34" s="1017"/>
      <c r="V34" s="337"/>
    </row>
    <row r="35" spans="2:22" ht="17.25" x14ac:dyDescent="0.3">
      <c r="B35" s="1022"/>
      <c r="C35" s="1023"/>
      <c r="D35" s="1023"/>
      <c r="E35" s="1023"/>
      <c r="F35" s="1023"/>
      <c r="G35" s="1021"/>
      <c r="H35" s="76"/>
      <c r="I35" s="1021"/>
      <c r="J35" s="1023"/>
      <c r="K35" s="1023"/>
      <c r="L35" s="1023"/>
      <c r="M35" s="1023"/>
      <c r="N35" s="1021"/>
      <c r="O35" s="76"/>
      <c r="P35" s="78"/>
      <c r="Q35" s="1008" t="s">
        <v>100</v>
      </c>
      <c r="R35" s="1009"/>
      <c r="S35" s="1010"/>
      <c r="T35" s="1016">
        <f>'PTO OC PLIEGO'!K182+'PTO OC PLIEGO'!M182</f>
        <v>4428723.5</v>
      </c>
      <c r="U35" s="1017"/>
      <c r="V35" s="337"/>
    </row>
    <row r="36" spans="2:22" ht="17.25" x14ac:dyDescent="0.3">
      <c r="B36" s="1022"/>
      <c r="C36" s="1023"/>
      <c r="D36" s="1023"/>
      <c r="E36" s="1023"/>
      <c r="F36" s="1023"/>
      <c r="G36" s="1021"/>
      <c r="H36" s="76"/>
      <c r="I36" s="1021"/>
      <c r="J36" s="1023"/>
      <c r="K36" s="1023"/>
      <c r="L36" s="1023"/>
      <c r="M36" s="1023"/>
      <c r="N36" s="1021"/>
      <c r="O36" s="76"/>
      <c r="P36" s="76"/>
      <c r="Q36" s="1008" t="str">
        <f>'PTO OC PLIEGO'!G183</f>
        <v>D - PTAP Y PLACA SOPORTE</v>
      </c>
      <c r="R36" s="1009"/>
      <c r="S36" s="1010"/>
      <c r="T36" s="1016">
        <f>'PTO OC PLIEGO'!K183+'PTO OC PLIEGO'!M183</f>
        <v>357686531.94</v>
      </c>
      <c r="U36" s="1017"/>
      <c r="V36" s="337"/>
    </row>
    <row r="37" spans="2:22" ht="17.25" x14ac:dyDescent="0.3">
      <c r="B37" s="1022"/>
      <c r="C37" s="1023"/>
      <c r="D37" s="1023"/>
      <c r="E37" s="1023"/>
      <c r="F37" s="1023"/>
      <c r="G37" s="1021"/>
      <c r="H37" s="76"/>
      <c r="I37" s="1021"/>
      <c r="J37" s="1023"/>
      <c r="K37" s="1023"/>
      <c r="L37" s="1023"/>
      <c r="M37" s="1023"/>
      <c r="N37" s="1021"/>
      <c r="O37" s="76"/>
      <c r="P37" s="76"/>
      <c r="Q37" s="1008" t="str">
        <f>+'PTO OC PLIEGO'!G184</f>
        <v>E - ALMACENAMIENTO</v>
      </c>
      <c r="R37" s="1009"/>
      <c r="S37" s="1010"/>
      <c r="T37" s="1016">
        <f>'PTO OC PLIEGO'!K184+'PTO OC PLIEGO'!M184</f>
        <v>1145932772.2</v>
      </c>
      <c r="U37" s="1017"/>
      <c r="V37" s="337"/>
    </row>
    <row r="38" spans="2:22" ht="17.25" x14ac:dyDescent="0.3">
      <c r="B38" s="1022"/>
      <c r="C38" s="1023"/>
      <c r="D38" s="1023"/>
      <c r="E38" s="1023"/>
      <c r="F38" s="1023"/>
      <c r="G38" s="1021"/>
      <c r="H38" s="76"/>
      <c r="I38" s="1021"/>
      <c r="J38" s="1023"/>
      <c r="K38" s="1023"/>
      <c r="L38" s="1023"/>
      <c r="M38" s="1023"/>
      <c r="N38" s="1021"/>
      <c r="O38" s="76"/>
      <c r="P38" s="76"/>
      <c r="Q38" s="1008" t="str">
        <f>+'PTO OC PLIEGO'!G185</f>
        <v>F - CASETA DE OPERACIONES</v>
      </c>
      <c r="R38" s="1009"/>
      <c r="S38" s="1010"/>
      <c r="T38" s="1016">
        <f>+'PTO OC PLIEGO'!M185</f>
        <v>0</v>
      </c>
      <c r="U38" s="1017"/>
      <c r="V38" s="337"/>
    </row>
    <row r="39" spans="2:22" ht="17.25" x14ac:dyDescent="0.3">
      <c r="B39" s="1022"/>
      <c r="C39" s="1023"/>
      <c r="D39" s="1023"/>
      <c r="E39" s="1023"/>
      <c r="F39" s="1023"/>
      <c r="G39" s="1021"/>
      <c r="H39" s="76"/>
      <c r="I39" s="1021"/>
      <c r="J39" s="1023"/>
      <c r="K39" s="1023"/>
      <c r="L39" s="1023"/>
      <c r="M39" s="1023"/>
      <c r="N39" s="1021"/>
      <c r="O39" s="76"/>
      <c r="P39" s="76"/>
      <c r="Q39" s="1008" t="str">
        <f>+'PTO OC PLIEGO'!G186</f>
        <v>G - URBANISMO E ILUMINACIÓN</v>
      </c>
      <c r="R39" s="1009"/>
      <c r="S39" s="1010"/>
      <c r="T39" s="1016">
        <f>+'PTO OC PLIEGO'!M186</f>
        <v>0</v>
      </c>
      <c r="U39" s="1017"/>
      <c r="V39" s="337"/>
    </row>
    <row r="40" spans="2:22" ht="17.25" x14ac:dyDescent="0.3">
      <c r="B40" s="1022"/>
      <c r="C40" s="1023"/>
      <c r="D40" s="1023"/>
      <c r="E40" s="1023"/>
      <c r="F40" s="1023"/>
      <c r="G40" s="1021"/>
      <c r="H40" s="76"/>
      <c r="I40" s="1021"/>
      <c r="J40" s="1023"/>
      <c r="K40" s="1023"/>
      <c r="L40" s="1023"/>
      <c r="M40" s="1023"/>
      <c r="N40" s="1021"/>
      <c r="O40" s="76"/>
      <c r="P40" s="76"/>
      <c r="Q40" s="1008" t="str">
        <f>+'PTO OC PLIEGO'!G187</f>
        <v>H - DISTRIBUCIÓN FASE I</v>
      </c>
      <c r="R40" s="1009"/>
      <c r="S40" s="1010"/>
      <c r="T40" s="1016">
        <f>+'PTO OC PLIEGO'!K187+'PTO OC PLIEGO'!M187</f>
        <v>2618379933.0300002</v>
      </c>
      <c r="U40" s="1017"/>
      <c r="V40" s="337"/>
    </row>
    <row r="41" spans="2:22" ht="13.5" x14ac:dyDescent="0.25">
      <c r="B41" s="1022"/>
      <c r="C41" s="1023"/>
      <c r="D41" s="1023"/>
      <c r="E41" s="1023"/>
      <c r="F41" s="1023"/>
      <c r="G41" s="1021"/>
      <c r="H41" s="76"/>
      <c r="I41" s="1021"/>
      <c r="J41" s="1023"/>
      <c r="K41" s="1023"/>
      <c r="L41" s="1023"/>
      <c r="M41" s="1023"/>
      <c r="N41" s="1021"/>
      <c r="O41" s="76"/>
      <c r="P41" s="76"/>
      <c r="Q41" s="76"/>
      <c r="R41" s="76"/>
      <c r="S41" s="76"/>
      <c r="T41" s="76"/>
      <c r="U41" s="340"/>
      <c r="V41" s="337"/>
    </row>
    <row r="42" spans="2:22" ht="13.5" customHeight="1" x14ac:dyDescent="0.2">
      <c r="B42" s="1022"/>
      <c r="C42" s="1023"/>
      <c r="D42" s="1023"/>
      <c r="E42" s="1023"/>
      <c r="F42" s="1023"/>
      <c r="G42" s="1021"/>
      <c r="H42" s="76"/>
      <c r="I42" s="1021"/>
      <c r="J42" s="1023"/>
      <c r="K42" s="1023"/>
      <c r="L42" s="1023"/>
      <c r="M42" s="1023"/>
      <c r="N42" s="1021"/>
      <c r="O42" s="76"/>
      <c r="P42" s="76"/>
      <c r="Q42" s="76"/>
      <c r="R42" s="76"/>
      <c r="S42" s="76"/>
      <c r="T42" s="995"/>
      <c r="U42" s="996"/>
      <c r="V42" s="337"/>
    </row>
    <row r="43" spans="2:22" ht="13.5" x14ac:dyDescent="0.25">
      <c r="B43" s="1022"/>
      <c r="C43" s="1023"/>
      <c r="D43" s="1023"/>
      <c r="E43" s="1023"/>
      <c r="F43" s="1023"/>
      <c r="G43" s="1021"/>
      <c r="H43" s="76"/>
      <c r="I43" s="1021"/>
      <c r="J43" s="1023"/>
      <c r="K43" s="1023"/>
      <c r="L43" s="1023"/>
      <c r="M43" s="1023"/>
      <c r="N43" s="1021"/>
      <c r="O43" s="76"/>
      <c r="P43" s="76"/>
      <c r="Q43" s="76"/>
      <c r="R43" s="76"/>
      <c r="S43" s="76"/>
      <c r="T43" s="76"/>
      <c r="U43" s="340"/>
      <c r="V43" s="337"/>
    </row>
    <row r="44" spans="2:22" ht="13.5" x14ac:dyDescent="0.25">
      <c r="B44" s="1022"/>
      <c r="C44" s="1023"/>
      <c r="D44" s="1023"/>
      <c r="E44" s="1023"/>
      <c r="F44" s="1023"/>
      <c r="G44" s="1021"/>
      <c r="H44" s="76"/>
      <c r="I44" s="1021"/>
      <c r="J44" s="1023"/>
      <c r="K44" s="1023"/>
      <c r="L44" s="1023"/>
      <c r="M44" s="1023"/>
      <c r="N44" s="1021"/>
      <c r="O44" s="76"/>
      <c r="P44" s="76"/>
      <c r="Q44" s="76"/>
      <c r="R44" s="76"/>
      <c r="S44" s="76"/>
      <c r="T44" s="76"/>
      <c r="U44" s="340"/>
      <c r="V44" s="337"/>
    </row>
    <row r="45" spans="2:22" ht="13.5" x14ac:dyDescent="0.25">
      <c r="B45" s="1022"/>
      <c r="C45" s="1023"/>
      <c r="D45" s="1023"/>
      <c r="E45" s="1023"/>
      <c r="F45" s="1023"/>
      <c r="G45" s="1021"/>
      <c r="H45" s="76"/>
      <c r="I45" s="1021"/>
      <c r="J45" s="1023"/>
      <c r="K45" s="1023"/>
      <c r="L45" s="1023"/>
      <c r="M45" s="1023"/>
      <c r="N45" s="1021"/>
      <c r="O45" s="76"/>
      <c r="P45" s="76"/>
      <c r="Q45" s="1046"/>
      <c r="R45" s="1046"/>
      <c r="S45" s="1046"/>
      <c r="T45" s="1046"/>
      <c r="U45" s="340"/>
      <c r="V45" s="337"/>
    </row>
    <row r="46" spans="2:22" ht="14.25" customHeight="1" thickBot="1" x14ac:dyDescent="0.25">
      <c r="B46" s="1022"/>
      <c r="C46" s="1023"/>
      <c r="D46" s="1023"/>
      <c r="E46" s="1023"/>
      <c r="F46" s="1023"/>
      <c r="G46" s="1021"/>
      <c r="H46" s="76"/>
      <c r="I46" s="1021"/>
      <c r="J46" s="1023"/>
      <c r="K46" s="1023"/>
      <c r="L46" s="1023"/>
      <c r="M46" s="1023"/>
      <c r="N46" s="1021"/>
      <c r="O46" s="76"/>
      <c r="P46" s="76"/>
      <c r="Q46" s="1047"/>
      <c r="R46" s="1047"/>
      <c r="S46" s="1047"/>
      <c r="T46" s="1047"/>
      <c r="U46" s="338"/>
      <c r="V46" s="337"/>
    </row>
    <row r="47" spans="2:22" ht="14.25" thickTop="1" x14ac:dyDescent="0.2">
      <c r="B47" s="1022"/>
      <c r="C47" s="1023"/>
      <c r="D47" s="1023"/>
      <c r="E47" s="1023"/>
      <c r="F47" s="1023"/>
      <c r="G47" s="1021"/>
      <c r="H47" s="76"/>
      <c r="I47" s="1021"/>
      <c r="J47" s="1023"/>
      <c r="K47" s="1023"/>
      <c r="L47" s="1023"/>
      <c r="M47" s="1023"/>
      <c r="N47" s="1021"/>
      <c r="O47" s="76"/>
      <c r="P47" s="76"/>
      <c r="Q47" s="912" t="s">
        <v>1961</v>
      </c>
      <c r="R47" s="912"/>
      <c r="S47" s="912"/>
      <c r="T47" s="912"/>
      <c r="U47" s="338"/>
      <c r="V47" s="337"/>
    </row>
    <row r="48" spans="2:22" ht="13.5" x14ac:dyDescent="0.25">
      <c r="B48" s="1022"/>
      <c r="C48" s="1023"/>
      <c r="D48" s="1023"/>
      <c r="E48" s="1023"/>
      <c r="F48" s="1023"/>
      <c r="G48" s="1021"/>
      <c r="H48" s="76"/>
      <c r="I48" s="1021"/>
      <c r="J48" s="1023"/>
      <c r="K48" s="1023"/>
      <c r="L48" s="1023"/>
      <c r="M48" s="1023"/>
      <c r="N48" s="1021"/>
      <c r="O48" s="76"/>
      <c r="P48" s="76"/>
      <c r="Q48" s="926" t="s">
        <v>1962</v>
      </c>
      <c r="R48" s="927"/>
      <c r="S48" s="927"/>
      <c r="T48" s="927"/>
      <c r="U48" s="338"/>
      <c r="V48" s="337"/>
    </row>
    <row r="49" spans="2:22" ht="13.5" x14ac:dyDescent="0.25">
      <c r="B49" s="1022"/>
      <c r="C49" s="1023"/>
      <c r="D49" s="1023"/>
      <c r="E49" s="1023"/>
      <c r="F49" s="1023"/>
      <c r="G49" s="1021"/>
      <c r="H49" s="76"/>
      <c r="I49" s="1021"/>
      <c r="J49" s="1023"/>
      <c r="K49" s="1023"/>
      <c r="L49" s="1023"/>
      <c r="M49" s="1023"/>
      <c r="N49" s="1021"/>
      <c r="O49" s="76"/>
      <c r="P49" s="76"/>
      <c r="Q49" s="926" t="s">
        <v>1963</v>
      </c>
      <c r="R49" s="927"/>
      <c r="S49" s="927"/>
      <c r="T49" s="927"/>
      <c r="U49" s="338"/>
      <c r="V49" s="337"/>
    </row>
    <row r="50" spans="2:22" x14ac:dyDescent="0.2">
      <c r="B50" s="1022"/>
      <c r="C50" s="1023"/>
      <c r="D50" s="1023"/>
      <c r="E50" s="1023"/>
      <c r="F50" s="1023"/>
      <c r="G50" s="1021"/>
      <c r="H50" s="76"/>
      <c r="I50" s="1021"/>
      <c r="J50" s="1023"/>
      <c r="K50" s="1023"/>
      <c r="L50" s="1023"/>
      <c r="M50" s="1023"/>
      <c r="N50" s="1021"/>
      <c r="O50" s="76"/>
      <c r="P50" s="76"/>
      <c r="Q50" s="76"/>
      <c r="R50" s="76"/>
      <c r="S50" s="76"/>
      <c r="T50" s="76"/>
      <c r="U50" s="338"/>
      <c r="V50" s="337"/>
    </row>
    <row r="51" spans="2:22" x14ac:dyDescent="0.2">
      <c r="B51" s="1022"/>
      <c r="C51" s="1023"/>
      <c r="D51" s="1023"/>
      <c r="E51" s="1023"/>
      <c r="F51" s="1023"/>
      <c r="G51" s="1021"/>
      <c r="H51" s="76"/>
      <c r="I51" s="1021"/>
      <c r="J51" s="1023"/>
      <c r="K51" s="1023"/>
      <c r="L51" s="1023"/>
      <c r="M51" s="1023"/>
      <c r="N51" s="1021"/>
      <c r="O51" s="76"/>
      <c r="P51" s="76"/>
      <c r="Q51" s="76"/>
      <c r="R51" s="76"/>
      <c r="S51" s="76"/>
      <c r="T51" s="76"/>
      <c r="U51" s="338"/>
      <c r="V51" s="337"/>
    </row>
    <row r="52" spans="2:22" x14ac:dyDescent="0.2">
      <c r="B52" s="1022"/>
      <c r="C52" s="1023"/>
      <c r="D52" s="1023"/>
      <c r="E52" s="1023"/>
      <c r="F52" s="1023"/>
      <c r="G52" s="1021"/>
      <c r="H52" s="76"/>
      <c r="I52" s="1021"/>
      <c r="J52" s="1023"/>
      <c r="K52" s="1023"/>
      <c r="L52" s="1023"/>
      <c r="M52" s="1023"/>
      <c r="N52" s="1021"/>
      <c r="O52" s="76"/>
      <c r="P52" s="76"/>
      <c r="Q52" s="76"/>
      <c r="R52" s="76"/>
      <c r="S52" s="76"/>
      <c r="T52" s="76"/>
      <c r="U52" s="338"/>
      <c r="V52" s="337"/>
    </row>
    <row r="53" spans="2:22" x14ac:dyDescent="0.2">
      <c r="B53" s="1022"/>
      <c r="C53" s="1023"/>
      <c r="D53" s="1023"/>
      <c r="E53" s="1023"/>
      <c r="F53" s="1023"/>
      <c r="G53" s="1021"/>
      <c r="H53" s="76"/>
      <c r="I53" s="1021"/>
      <c r="J53" s="1023"/>
      <c r="K53" s="1023"/>
      <c r="L53" s="1023"/>
      <c r="M53" s="1023"/>
      <c r="N53" s="1021"/>
      <c r="O53" s="76"/>
      <c r="P53" s="76"/>
      <c r="Q53" s="76"/>
      <c r="R53" s="76"/>
      <c r="S53" s="76"/>
      <c r="T53" s="76"/>
      <c r="U53" s="338"/>
      <c r="V53" s="337"/>
    </row>
    <row r="54" spans="2:22" x14ac:dyDescent="0.2">
      <c r="B54" s="1022"/>
      <c r="C54" s="1021"/>
      <c r="D54" s="1021"/>
      <c r="E54" s="1021"/>
      <c r="F54" s="1021"/>
      <c r="G54" s="1021"/>
      <c r="H54" s="76"/>
      <c r="I54" s="1021"/>
      <c r="J54" s="1021"/>
      <c r="K54" s="1021"/>
      <c r="L54" s="1021"/>
      <c r="M54" s="1021"/>
      <c r="N54" s="1021"/>
      <c r="O54" s="76"/>
      <c r="P54" s="76"/>
      <c r="Q54" s="76"/>
      <c r="R54" s="76"/>
      <c r="S54" s="76"/>
      <c r="T54" s="76"/>
      <c r="U54" s="338"/>
      <c r="V54" s="337"/>
    </row>
    <row r="55" spans="2:22" ht="14.25" thickBot="1" x14ac:dyDescent="0.3">
      <c r="B55" s="337"/>
      <c r="C55" s="76"/>
      <c r="D55" s="76"/>
      <c r="E55" s="76"/>
      <c r="F55" s="76"/>
      <c r="G55" s="76"/>
      <c r="H55" s="76"/>
      <c r="I55" s="76"/>
      <c r="J55" s="76"/>
      <c r="K55" s="76"/>
      <c r="L55" s="76"/>
      <c r="M55" s="76"/>
      <c r="N55" s="76"/>
      <c r="O55" s="76"/>
      <c r="P55" s="76"/>
      <c r="Q55" s="78"/>
      <c r="R55" s="78"/>
      <c r="S55" s="78"/>
      <c r="T55" s="78"/>
      <c r="U55" s="338"/>
      <c r="V55" s="337"/>
    </row>
    <row r="56" spans="2:22" ht="12.75" customHeight="1" thickTop="1" x14ac:dyDescent="0.2">
      <c r="B56" s="337"/>
      <c r="C56" s="76"/>
      <c r="D56" s="76"/>
      <c r="E56" s="76"/>
      <c r="F56" s="76"/>
      <c r="G56" s="76"/>
      <c r="H56" s="76"/>
      <c r="I56" s="76"/>
      <c r="J56" s="76"/>
      <c r="K56" s="76"/>
      <c r="L56" s="76"/>
      <c r="M56" s="76"/>
      <c r="N56" s="76"/>
      <c r="O56" s="76"/>
      <c r="P56" s="76"/>
      <c r="Q56" s="912" t="s">
        <v>1964</v>
      </c>
      <c r="R56" s="942"/>
      <c r="S56" s="942"/>
      <c r="T56" s="942"/>
      <c r="U56" s="338"/>
      <c r="V56" s="337"/>
    </row>
    <row r="57" spans="2:22" ht="13.5" x14ac:dyDescent="0.25">
      <c r="B57" s="337"/>
      <c r="C57" s="76"/>
      <c r="D57" s="76"/>
      <c r="E57" s="76"/>
      <c r="F57" s="76"/>
      <c r="G57" s="76"/>
      <c r="H57" s="76"/>
      <c r="I57" s="76"/>
      <c r="J57" s="76"/>
      <c r="K57" s="76"/>
      <c r="L57" s="76"/>
      <c r="M57" s="76"/>
      <c r="N57" s="76"/>
      <c r="O57" s="76"/>
      <c r="P57" s="76"/>
      <c r="Q57" s="938" t="s">
        <v>1965</v>
      </c>
      <c r="R57" s="939"/>
      <c r="S57" s="939"/>
      <c r="T57" s="939"/>
      <c r="U57" s="338"/>
      <c r="V57" s="337"/>
    </row>
    <row r="58" spans="2:22" ht="13.5" x14ac:dyDescent="0.25">
      <c r="B58" s="337"/>
      <c r="C58" s="76"/>
      <c r="D58" s="76"/>
      <c r="E58" s="76"/>
      <c r="F58" s="76"/>
      <c r="G58" s="76"/>
      <c r="H58" s="76"/>
      <c r="I58" s="76"/>
      <c r="J58" s="76"/>
      <c r="K58" s="76"/>
      <c r="L58" s="76"/>
      <c r="M58" s="76"/>
      <c r="N58" s="76"/>
      <c r="O58" s="76"/>
      <c r="P58" s="76"/>
      <c r="Q58" s="938" t="s">
        <v>1966</v>
      </c>
      <c r="R58" s="939"/>
      <c r="S58" s="939"/>
      <c r="T58" s="939"/>
      <c r="U58" s="338"/>
      <c r="V58" s="337"/>
    </row>
    <row r="59" spans="2:22" ht="13.5" thickBot="1" x14ac:dyDescent="0.25">
      <c r="B59" s="341"/>
      <c r="C59" s="342"/>
      <c r="D59" s="342"/>
      <c r="E59" s="342"/>
      <c r="F59" s="342"/>
      <c r="G59" s="342"/>
      <c r="H59" s="342"/>
      <c r="I59" s="342"/>
      <c r="J59" s="342"/>
      <c r="K59" s="342"/>
      <c r="L59" s="342"/>
      <c r="M59" s="342"/>
      <c r="N59" s="342"/>
      <c r="O59" s="342"/>
      <c r="P59" s="342"/>
      <c r="Q59" s="342"/>
      <c r="R59" s="342"/>
      <c r="S59" s="342"/>
      <c r="T59" s="342"/>
      <c r="U59" s="343"/>
      <c r="V59" s="337"/>
    </row>
    <row r="60" spans="2:22" ht="7.9" customHeight="1" x14ac:dyDescent="0.2"/>
  </sheetData>
  <mergeCells count="69">
    <mergeCell ref="Q38:S38"/>
    <mergeCell ref="Q39:S39"/>
    <mergeCell ref="Q40:S40"/>
    <mergeCell ref="T38:U38"/>
    <mergeCell ref="T39:U39"/>
    <mergeCell ref="T40:U40"/>
    <mergeCell ref="Q45:T46"/>
    <mergeCell ref="Q47:T47"/>
    <mergeCell ref="P28:S28"/>
    <mergeCell ref="Q10:U10"/>
    <mergeCell ref="G6:H6"/>
    <mergeCell ref="B10:G28"/>
    <mergeCell ref="Q31:R31"/>
    <mergeCell ref="Q22:U22"/>
    <mergeCell ref="Q14:U14"/>
    <mergeCell ref="Q15:U15"/>
    <mergeCell ref="Q21:U21"/>
    <mergeCell ref="Q17:U17"/>
    <mergeCell ref="Q18:U18"/>
    <mergeCell ref="I10:N28"/>
    <mergeCell ref="Q23:U23"/>
    <mergeCell ref="Q25:U25"/>
    <mergeCell ref="Q30:R30"/>
    <mergeCell ref="S2:U4"/>
    <mergeCell ref="Q3:R4"/>
    <mergeCell ref="B9:G9"/>
    <mergeCell ref="C6:D6"/>
    <mergeCell ref="E6:F6"/>
    <mergeCell ref="C7:D7"/>
    <mergeCell ref="E7:F7"/>
    <mergeCell ref="K6:L6"/>
    <mergeCell ref="I6:J6"/>
    <mergeCell ref="G7:H7"/>
    <mergeCell ref="Q8:U8"/>
    <mergeCell ref="Q9:U9"/>
    <mergeCell ref="K7:L7"/>
    <mergeCell ref="P6:U7"/>
    <mergeCell ref="B31:G54"/>
    <mergeCell ref="Q24:U24"/>
    <mergeCell ref="I31:N54"/>
    <mergeCell ref="Q58:T58"/>
    <mergeCell ref="Q56:T56"/>
    <mergeCell ref="Q26:U26"/>
    <mergeCell ref="Q57:T57"/>
    <mergeCell ref="Q49:T49"/>
    <mergeCell ref="T33:U33"/>
    <mergeCell ref="T34:U34"/>
    <mergeCell ref="T35:U35"/>
    <mergeCell ref="Q33:S33"/>
    <mergeCell ref="Q34:S34"/>
    <mergeCell ref="Q35:S35"/>
    <mergeCell ref="Q36:S36"/>
    <mergeCell ref="Q48:T48"/>
    <mergeCell ref="T42:U42"/>
    <mergeCell ref="I30:L30"/>
    <mergeCell ref="B2:P4"/>
    <mergeCell ref="B30:E30"/>
    <mergeCell ref="I7:J7"/>
    <mergeCell ref="Q37:S37"/>
    <mergeCell ref="Q12:U12"/>
    <mergeCell ref="Q11:U11"/>
    <mergeCell ref="I9:J9"/>
    <mergeCell ref="T36:U36"/>
    <mergeCell ref="T37:U37"/>
    <mergeCell ref="Q20:U20"/>
    <mergeCell ref="Q19:U19"/>
    <mergeCell ref="Q16:U16"/>
    <mergeCell ref="Q2:R2"/>
    <mergeCell ref="Q13:U13"/>
  </mergeCells>
  <printOptions horizontalCentered="1" verticalCentered="1"/>
  <pageMargins left="0" right="0" top="0" bottom="0" header="0" footer="0"/>
  <pageSetup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221"/>
  <sheetViews>
    <sheetView view="pageBreakPreview" topLeftCell="F189" zoomScaleNormal="100" zoomScaleSheetLayoutView="100" workbookViewId="0">
      <selection activeCell="S219" sqref="S219"/>
    </sheetView>
  </sheetViews>
  <sheetFormatPr baseColWidth="10" defaultRowHeight="12.75" outlineLevelRow="1" x14ac:dyDescent="0.2"/>
  <cols>
    <col min="7" max="7" width="17.5703125" bestFit="1" customWidth="1"/>
    <col min="13" max="13" width="16.5703125" bestFit="1" customWidth="1"/>
    <col min="14" max="14" width="17.5703125" bestFit="1" customWidth="1"/>
    <col min="15" max="15" width="3.7109375" customWidth="1"/>
    <col min="16" max="16" width="18.7109375" customWidth="1"/>
    <col min="17" max="17" width="16.7109375" bestFit="1" customWidth="1"/>
  </cols>
  <sheetData>
    <row r="1" spans="1:14" ht="13.5" thickBot="1" x14ac:dyDescent="0.25"/>
    <row r="2" spans="1:14" ht="16.5" thickTop="1" x14ac:dyDescent="0.25">
      <c r="A2" s="871"/>
      <c r="B2" s="872"/>
      <c r="C2" s="873"/>
      <c r="D2" s="872"/>
      <c r="E2" s="872"/>
      <c r="F2" s="872"/>
      <c r="G2" s="872"/>
      <c r="H2" s="872"/>
      <c r="I2" s="872"/>
      <c r="J2" s="874"/>
      <c r="K2" s="874"/>
      <c r="L2" s="874"/>
      <c r="M2" s="874"/>
      <c r="N2" s="875"/>
    </row>
    <row r="3" spans="1:14" ht="15.75" customHeight="1" x14ac:dyDescent="0.2">
      <c r="A3" s="971" t="s">
        <v>2041</v>
      </c>
      <c r="B3" s="972"/>
      <c r="C3" s="972"/>
      <c r="D3" s="972"/>
      <c r="E3" s="972"/>
      <c r="F3" s="972"/>
      <c r="G3" s="972"/>
      <c r="H3" s="972"/>
      <c r="I3" s="972"/>
      <c r="J3" s="972"/>
      <c r="K3" s="972"/>
      <c r="L3" s="972"/>
      <c r="M3" s="972"/>
      <c r="N3" s="973"/>
    </row>
    <row r="4" spans="1:14" ht="16.5" customHeight="1" x14ac:dyDescent="0.2">
      <c r="A4" s="983" t="s">
        <v>2042</v>
      </c>
      <c r="B4" s="984"/>
      <c r="C4" s="984"/>
      <c r="D4" s="984"/>
      <c r="E4" s="984"/>
      <c r="F4" s="984"/>
      <c r="G4" s="984"/>
      <c r="H4" s="984"/>
      <c r="I4" s="984"/>
      <c r="J4" s="984"/>
      <c r="K4" s="984"/>
      <c r="L4" s="984"/>
      <c r="M4" s="984"/>
      <c r="N4" s="985"/>
    </row>
    <row r="5" spans="1:14" x14ac:dyDescent="0.2">
      <c r="A5" s="974" t="s">
        <v>2043</v>
      </c>
      <c r="B5" s="975"/>
      <c r="C5" s="975"/>
      <c r="D5" s="975"/>
      <c r="E5" s="975"/>
      <c r="F5" s="975"/>
      <c r="G5" s="975"/>
      <c r="H5" s="975"/>
      <c r="I5" s="975"/>
      <c r="J5" s="975"/>
      <c r="K5" s="975"/>
      <c r="L5" s="975"/>
      <c r="M5" s="975"/>
      <c r="N5" s="976"/>
    </row>
    <row r="6" spans="1:14" x14ac:dyDescent="0.2">
      <c r="A6" s="977" t="s">
        <v>2044</v>
      </c>
      <c r="B6" s="978"/>
      <c r="C6" s="978"/>
      <c r="D6" s="978"/>
      <c r="E6" s="978"/>
      <c r="F6" s="978"/>
      <c r="G6" s="978"/>
      <c r="H6" s="978"/>
      <c r="I6" s="978"/>
      <c r="J6" s="978"/>
      <c r="K6" s="978"/>
      <c r="L6" s="978"/>
      <c r="M6" s="978"/>
      <c r="N6" s="979"/>
    </row>
    <row r="7" spans="1:14" x14ac:dyDescent="0.2">
      <c r="A7" s="977" t="s">
        <v>1480</v>
      </c>
      <c r="B7" s="978"/>
      <c r="C7" s="978"/>
      <c r="D7" s="978"/>
      <c r="E7" s="978"/>
      <c r="F7" s="978"/>
      <c r="G7" s="978"/>
      <c r="H7" s="978"/>
      <c r="I7" s="978"/>
      <c r="J7" s="978"/>
      <c r="K7" s="978"/>
      <c r="L7" s="978"/>
      <c r="M7" s="978"/>
      <c r="N7" s="979"/>
    </row>
    <row r="8" spans="1:14" ht="12.75" customHeight="1" x14ac:dyDescent="0.2">
      <c r="A8" s="980" t="s">
        <v>2045</v>
      </c>
      <c r="B8" s="981"/>
      <c r="C8" s="981"/>
      <c r="D8" s="981"/>
      <c r="E8" s="981"/>
      <c r="F8" s="981"/>
      <c r="G8" s="981"/>
      <c r="H8" s="981"/>
      <c r="I8" s="981"/>
      <c r="J8" s="981"/>
      <c r="K8" s="981"/>
      <c r="L8" s="981"/>
      <c r="M8" s="981"/>
      <c r="N8" s="982"/>
    </row>
    <row r="9" spans="1:14" ht="32.25" customHeight="1" x14ac:dyDescent="0.2">
      <c r="A9" s="980"/>
      <c r="B9" s="981"/>
      <c r="C9" s="981"/>
      <c r="D9" s="981"/>
      <c r="E9" s="981"/>
      <c r="F9" s="981"/>
      <c r="G9" s="981"/>
      <c r="H9" s="981"/>
      <c r="I9" s="981"/>
      <c r="J9" s="981"/>
      <c r="K9" s="981"/>
      <c r="L9" s="981"/>
      <c r="M9" s="981"/>
      <c r="N9" s="982"/>
    </row>
    <row r="10" spans="1:14" ht="31.5" customHeight="1" x14ac:dyDescent="0.2">
      <c r="A10" s="980" t="s">
        <v>2046</v>
      </c>
      <c r="B10" s="981"/>
      <c r="C10" s="981"/>
      <c r="D10" s="981"/>
      <c r="E10" s="981"/>
      <c r="F10" s="981"/>
      <c r="G10" s="981"/>
      <c r="H10" s="981"/>
      <c r="I10" s="981"/>
      <c r="J10" s="981"/>
      <c r="K10" s="981"/>
      <c r="L10" s="981"/>
      <c r="M10" s="981"/>
      <c r="N10" s="982"/>
    </row>
    <row r="11" spans="1:14" ht="13.5" thickBot="1" x14ac:dyDescent="0.25">
      <c r="A11" s="868"/>
      <c r="B11" s="869"/>
      <c r="C11" s="869"/>
      <c r="D11" s="869"/>
      <c r="E11" s="869"/>
      <c r="F11" s="869"/>
      <c r="G11" s="869"/>
      <c r="H11" s="869"/>
      <c r="I11" s="869"/>
      <c r="J11" s="869"/>
      <c r="K11" s="869"/>
      <c r="L11" s="869"/>
      <c r="M11" s="869"/>
      <c r="N11" s="870"/>
    </row>
    <row r="12" spans="1:14" ht="13.5" x14ac:dyDescent="0.25">
      <c r="A12" s="943" t="str">
        <f>Indice!$B$2</f>
        <v>CONSTRUCCIÓN DE LA FASE 1 DEL PLAN MAESTRO DE ACUEDUCTO DEL MUNICIPIO DE ÍQUIRA, HUILA</v>
      </c>
      <c r="B12" s="944"/>
      <c r="C12" s="944"/>
      <c r="D12" s="944"/>
      <c r="E12" s="944"/>
      <c r="F12" s="944"/>
      <c r="G12" s="944"/>
      <c r="H12" s="944"/>
      <c r="I12" s="944"/>
      <c r="J12" s="944"/>
      <c r="K12" s="944"/>
      <c r="L12" s="945"/>
      <c r="M12" s="949" t="s">
        <v>0</v>
      </c>
      <c r="N12" s="950"/>
    </row>
    <row r="13" spans="1:14" x14ac:dyDescent="0.2">
      <c r="A13" s="946"/>
      <c r="B13" s="947"/>
      <c r="C13" s="947"/>
      <c r="D13" s="947"/>
      <c r="E13" s="947"/>
      <c r="F13" s="947"/>
      <c r="G13" s="947"/>
      <c r="H13" s="947"/>
      <c r="I13" s="947"/>
      <c r="J13" s="947"/>
      <c r="K13" s="947"/>
      <c r="L13" s="948"/>
      <c r="M13" s="951">
        <f>Indice!$Q$3</f>
        <v>46195</v>
      </c>
      <c r="N13" s="952"/>
    </row>
    <row r="14" spans="1:14" x14ac:dyDescent="0.2">
      <c r="A14" s="946"/>
      <c r="B14" s="947"/>
      <c r="C14" s="947"/>
      <c r="D14" s="947"/>
      <c r="E14" s="947"/>
      <c r="F14" s="947"/>
      <c r="G14" s="947"/>
      <c r="H14" s="947"/>
      <c r="I14" s="947"/>
      <c r="J14" s="947"/>
      <c r="K14" s="947"/>
      <c r="L14" s="948"/>
      <c r="M14" s="953"/>
      <c r="N14" s="954"/>
    </row>
    <row r="15" spans="1:14" ht="13.5" x14ac:dyDescent="0.25">
      <c r="A15" s="344"/>
      <c r="B15" s="345"/>
      <c r="C15" s="346"/>
      <c r="D15" s="346"/>
      <c r="E15" s="346"/>
      <c r="F15" s="346"/>
      <c r="G15" s="346"/>
      <c r="H15" s="65" t="s">
        <v>37</v>
      </c>
      <c r="I15" s="347"/>
      <c r="J15" s="347"/>
      <c r="K15" s="930">
        <v>0</v>
      </c>
      <c r="L15" s="914"/>
      <c r="M15" s="930">
        <f>ROUND((SUM(M18:M32)-K15),2)</f>
        <v>135928994.75</v>
      </c>
      <c r="N15" s="915"/>
    </row>
    <row r="16" spans="1:14" ht="13.5" outlineLevel="1" x14ac:dyDescent="0.25">
      <c r="A16" s="940" t="s">
        <v>38</v>
      </c>
      <c r="B16" s="917"/>
      <c r="C16" s="917"/>
      <c r="D16" s="917"/>
      <c r="E16" s="917"/>
      <c r="F16" s="917"/>
      <c r="G16" s="917"/>
      <c r="H16" s="914"/>
      <c r="I16" s="66" t="s">
        <v>39</v>
      </c>
      <c r="J16" s="66" t="s">
        <v>40</v>
      </c>
      <c r="K16" s="941" t="s">
        <v>41</v>
      </c>
      <c r="L16" s="914"/>
      <c r="M16" s="941" t="s">
        <v>42</v>
      </c>
      <c r="N16" s="915"/>
    </row>
    <row r="17" spans="1:14" ht="13.5" outlineLevel="1" x14ac:dyDescent="0.25">
      <c r="A17" s="348" t="s">
        <v>43</v>
      </c>
      <c r="B17" s="934" t="s">
        <v>44</v>
      </c>
      <c r="C17" s="917"/>
      <c r="D17" s="917"/>
      <c r="E17" s="917"/>
      <c r="F17" s="917"/>
      <c r="G17" s="917"/>
      <c r="H17" s="917"/>
      <c r="I17" s="917"/>
      <c r="J17" s="917"/>
      <c r="K17" s="917"/>
      <c r="L17" s="917"/>
      <c r="M17" s="917"/>
      <c r="N17" s="915"/>
    </row>
    <row r="18" spans="1:14" ht="27" customHeight="1" outlineLevel="1" x14ac:dyDescent="0.25">
      <c r="A18" s="349" t="s">
        <v>45</v>
      </c>
      <c r="B18" s="916" t="s">
        <v>1622</v>
      </c>
      <c r="C18" s="917"/>
      <c r="D18" s="917"/>
      <c r="E18" s="917"/>
      <c r="F18" s="917"/>
      <c r="G18" s="917"/>
      <c r="H18" s="914"/>
      <c r="I18" s="63" t="str">
        <f>VLOOKUP(B18,AA_Unitarios,'11'!$H$7,FALSE)</f>
        <v>M2</v>
      </c>
      <c r="J18" s="64">
        <f>'14'!$H$5</f>
        <v>228.875</v>
      </c>
      <c r="K18" s="913">
        <f>UNITARIOS!F45</f>
        <v>11175.461164172608</v>
      </c>
      <c r="L18" s="914"/>
      <c r="M18" s="913">
        <f>ROUND(J18*K18,2)</f>
        <v>2557783.67</v>
      </c>
      <c r="N18" s="915"/>
    </row>
    <row r="19" spans="1:14" ht="13.5" outlineLevel="1" x14ac:dyDescent="0.25">
      <c r="A19" s="348" t="s">
        <v>48</v>
      </c>
      <c r="B19" s="918" t="s">
        <v>1629</v>
      </c>
      <c r="C19" s="917"/>
      <c r="D19" s="917"/>
      <c r="E19" s="917"/>
      <c r="F19" s="917"/>
      <c r="G19" s="917"/>
      <c r="H19" s="917"/>
      <c r="I19" s="917"/>
      <c r="J19" s="917"/>
      <c r="K19" s="917"/>
      <c r="L19" s="917"/>
      <c r="M19" s="917"/>
      <c r="N19" s="915"/>
    </row>
    <row r="20" spans="1:14" ht="13.5" outlineLevel="1" x14ac:dyDescent="0.25">
      <c r="A20" s="349" t="s">
        <v>49</v>
      </c>
      <c r="B20" s="916" t="s">
        <v>1632</v>
      </c>
      <c r="C20" s="917"/>
      <c r="D20" s="917"/>
      <c r="E20" s="917"/>
      <c r="F20" s="917"/>
      <c r="G20" s="917"/>
      <c r="H20" s="914"/>
      <c r="I20" s="63" t="str">
        <f>VLOOKUP(B20,AA_Unitarios,'11'!$H$7,FALSE)</f>
        <v>M3</v>
      </c>
      <c r="J20" s="64">
        <f>+'14'!$H$16</f>
        <v>14.483999999999998</v>
      </c>
      <c r="K20" s="913">
        <f>UNITARIOS!F296</f>
        <v>245717.08617601037</v>
      </c>
      <c r="L20" s="914"/>
      <c r="M20" s="913">
        <f>ROUND(J20*K20,2)</f>
        <v>3558966.28</v>
      </c>
      <c r="N20" s="915"/>
    </row>
    <row r="21" spans="1:14" ht="13.5" outlineLevel="1" x14ac:dyDescent="0.25">
      <c r="A21" s="350" t="s">
        <v>51</v>
      </c>
      <c r="B21" s="918" t="s">
        <v>909</v>
      </c>
      <c r="C21" s="917"/>
      <c r="D21" s="917"/>
      <c r="E21" s="917"/>
      <c r="F21" s="917"/>
      <c r="G21" s="917"/>
      <c r="H21" s="917"/>
      <c r="I21" s="917"/>
      <c r="J21" s="917"/>
      <c r="K21" s="917"/>
      <c r="L21" s="917"/>
      <c r="M21" s="917"/>
      <c r="N21" s="915"/>
    </row>
    <row r="22" spans="1:14" ht="13.5" outlineLevel="1" x14ac:dyDescent="0.25">
      <c r="A22" s="351" t="s">
        <v>53</v>
      </c>
      <c r="B22" s="919" t="s">
        <v>1705</v>
      </c>
      <c r="C22" s="917"/>
      <c r="D22" s="917"/>
      <c r="E22" s="917"/>
      <c r="F22" s="917"/>
      <c r="G22" s="917"/>
      <c r="H22" s="914"/>
      <c r="I22" s="63" t="str">
        <f>VLOOKUP(B22,AA_Unitarios,'11'!$H$7,FALSE)</f>
        <v>M3</v>
      </c>
      <c r="J22" s="64">
        <f>+'14'!H27</f>
        <v>1.286</v>
      </c>
      <c r="K22" s="913">
        <f>UNITARIOS!F1705</f>
        <v>847135.90853784618</v>
      </c>
      <c r="L22" s="914"/>
      <c r="M22" s="913">
        <f t="shared" ref="M22:M23" si="0">ROUND(J22*K22,2)</f>
        <v>1089416.78</v>
      </c>
      <c r="N22" s="915"/>
    </row>
    <row r="23" spans="1:14" ht="13.5" outlineLevel="1" x14ac:dyDescent="0.25">
      <c r="A23" s="351" t="s">
        <v>55</v>
      </c>
      <c r="B23" s="919" t="s">
        <v>1706</v>
      </c>
      <c r="C23" s="917"/>
      <c r="D23" s="917"/>
      <c r="E23" s="917"/>
      <c r="F23" s="917"/>
      <c r="G23" s="917"/>
      <c r="H23" s="914"/>
      <c r="I23" s="63" t="str">
        <f>VLOOKUP(B23,AA_Unitarios,'11'!$H$7,FALSE)</f>
        <v>M3</v>
      </c>
      <c r="J23" s="64">
        <f>+'14'!H38</f>
        <v>15.34</v>
      </c>
      <c r="K23" s="913">
        <f>VLOOKUP(B23,AA_Unitarios,'11'!$M$7,FALSE)</f>
        <v>1784263.7533028442</v>
      </c>
      <c r="L23" s="914"/>
      <c r="M23" s="913">
        <f t="shared" si="0"/>
        <v>27370605.98</v>
      </c>
      <c r="N23" s="915"/>
    </row>
    <row r="24" spans="1:14" ht="13.5" outlineLevel="1" x14ac:dyDescent="0.25">
      <c r="A24" s="350" t="s">
        <v>56</v>
      </c>
      <c r="B24" s="918" t="s">
        <v>951</v>
      </c>
      <c r="C24" s="917"/>
      <c r="D24" s="917"/>
      <c r="E24" s="917"/>
      <c r="F24" s="917"/>
      <c r="G24" s="917"/>
      <c r="H24" s="917"/>
      <c r="I24" s="917"/>
      <c r="J24" s="917"/>
      <c r="K24" s="917"/>
      <c r="L24" s="917"/>
      <c r="M24" s="917"/>
      <c r="N24" s="915"/>
    </row>
    <row r="25" spans="1:14" ht="13.5" outlineLevel="1" x14ac:dyDescent="0.25">
      <c r="A25" s="351" t="s">
        <v>57</v>
      </c>
      <c r="B25" s="919" t="s">
        <v>1707</v>
      </c>
      <c r="C25" s="917"/>
      <c r="D25" s="917"/>
      <c r="E25" s="917"/>
      <c r="F25" s="917"/>
      <c r="G25" s="917"/>
      <c r="H25" s="914"/>
      <c r="I25" s="63" t="str">
        <f>VLOOKUP(B25,AA_Unitarios,'11'!$H$7,FALSE)</f>
        <v>KG</v>
      </c>
      <c r="J25" s="64">
        <f>+'14'!H49</f>
        <v>8535</v>
      </c>
      <c r="K25" s="913">
        <f>UNITARIOS!F1789</f>
        <v>8972.5357280975004</v>
      </c>
      <c r="L25" s="914"/>
      <c r="M25" s="913">
        <f>ROUND(J25*K25,2)</f>
        <v>76580592.439999998</v>
      </c>
      <c r="N25" s="915"/>
    </row>
    <row r="26" spans="1:14" ht="13.5" outlineLevel="1" x14ac:dyDescent="0.25">
      <c r="A26" s="350" t="s">
        <v>63</v>
      </c>
      <c r="B26" s="934" t="s">
        <v>67</v>
      </c>
      <c r="C26" s="917"/>
      <c r="D26" s="917"/>
      <c r="E26" s="917"/>
      <c r="F26" s="917"/>
      <c r="G26" s="917"/>
      <c r="H26" s="917"/>
      <c r="I26" s="917"/>
      <c r="J26" s="917"/>
      <c r="K26" s="917"/>
      <c r="L26" s="917"/>
      <c r="M26" s="917"/>
      <c r="N26" s="915"/>
    </row>
    <row r="27" spans="1:14" ht="27" customHeight="1" outlineLevel="1" x14ac:dyDescent="0.25">
      <c r="A27" s="351" t="s">
        <v>64</v>
      </c>
      <c r="B27" s="919" t="s">
        <v>1708</v>
      </c>
      <c r="C27" s="917"/>
      <c r="D27" s="917"/>
      <c r="E27" s="917"/>
      <c r="F27" s="917"/>
      <c r="G27" s="917"/>
      <c r="H27" s="914"/>
      <c r="I27" s="63" t="str">
        <f>VLOOKUP(B27,AA_Unitarios,'11'!$H$7,FALSE)</f>
        <v>UND</v>
      </c>
      <c r="J27" s="64">
        <f>+'14'!H60</f>
        <v>7</v>
      </c>
      <c r="K27" s="913">
        <f>VLOOKUP(B27,AA_Unitarios,'11'!$M$7,FALSE)</f>
        <v>164364.38650813999</v>
      </c>
      <c r="L27" s="914"/>
      <c r="M27" s="913">
        <f t="shared" ref="M27:M30" si="1">ROUND(J27*K27,2)</f>
        <v>1150550.71</v>
      </c>
      <c r="N27" s="915"/>
    </row>
    <row r="28" spans="1:14" ht="13.5" outlineLevel="1" x14ac:dyDescent="0.25">
      <c r="A28" s="351" t="s">
        <v>65</v>
      </c>
      <c r="B28" s="919" t="s">
        <v>1709</v>
      </c>
      <c r="C28" s="917"/>
      <c r="D28" s="917"/>
      <c r="E28" s="917"/>
      <c r="F28" s="917"/>
      <c r="G28" s="917"/>
      <c r="H28" s="914"/>
      <c r="I28" s="63" t="str">
        <f>VLOOKUP(B28,AA_Unitarios,'11'!$H$7,FALSE)</f>
        <v>UND</v>
      </c>
      <c r="J28" s="64">
        <f>+'14'!H71</f>
        <v>1</v>
      </c>
      <c r="K28" s="913">
        <f>VLOOKUP(B28,AA_Unitarios,'11'!$M$7,FALSE)</f>
        <v>18416006.6456769</v>
      </c>
      <c r="L28" s="914"/>
      <c r="M28" s="913">
        <f t="shared" si="1"/>
        <v>18416006.649999999</v>
      </c>
      <c r="N28" s="915"/>
    </row>
    <row r="29" spans="1:14" ht="13.5" outlineLevel="1" x14ac:dyDescent="0.25">
      <c r="A29" s="351" t="s">
        <v>1757</v>
      </c>
      <c r="B29" s="919" t="s">
        <v>1710</v>
      </c>
      <c r="C29" s="917"/>
      <c r="D29" s="917"/>
      <c r="E29" s="917"/>
      <c r="F29" s="917"/>
      <c r="G29" s="917"/>
      <c r="H29" s="914"/>
      <c r="I29" s="63" t="str">
        <f>VLOOKUP(B29,AA_Unitarios,'11'!$H$7,FALSE)</f>
        <v>UND</v>
      </c>
      <c r="J29" s="64">
        <f>+'14'!$H$82</f>
        <v>1</v>
      </c>
      <c r="K29" s="913">
        <f>VLOOKUP(B29,AA_Unitarios,'11'!$M$7,FALSE)</f>
        <v>557473.79773653753</v>
      </c>
      <c r="L29" s="914"/>
      <c r="M29" s="913">
        <f t="shared" si="1"/>
        <v>557473.80000000005</v>
      </c>
      <c r="N29" s="915"/>
    </row>
    <row r="30" spans="1:14" ht="13.5" outlineLevel="1" x14ac:dyDescent="0.25">
      <c r="A30" s="351" t="s">
        <v>1758</v>
      </c>
      <c r="B30" s="919" t="s">
        <v>1711</v>
      </c>
      <c r="C30" s="917"/>
      <c r="D30" s="917"/>
      <c r="E30" s="917"/>
      <c r="F30" s="917"/>
      <c r="G30" s="917"/>
      <c r="H30" s="914"/>
      <c r="I30" s="63" t="str">
        <f>VLOOKUP(B30,AA_Unitarios,'11'!$H$7,FALSE)</f>
        <v>UND</v>
      </c>
      <c r="J30" s="64">
        <f>+'14'!H93</f>
        <v>1</v>
      </c>
      <c r="K30" s="913">
        <f>VLOOKUP(B30,AA_Unitarios,'11'!$M$7,FALSE)</f>
        <v>4317145.9849523893</v>
      </c>
      <c r="L30" s="914"/>
      <c r="M30" s="913">
        <f t="shared" si="1"/>
        <v>4317145.9800000004</v>
      </c>
      <c r="N30" s="915"/>
    </row>
    <row r="31" spans="1:14" ht="13.5" outlineLevel="1" x14ac:dyDescent="0.25">
      <c r="A31" s="350" t="s">
        <v>66</v>
      </c>
      <c r="B31" s="918" t="s">
        <v>1161</v>
      </c>
      <c r="C31" s="917"/>
      <c r="D31" s="917"/>
      <c r="E31" s="917"/>
      <c r="F31" s="917"/>
      <c r="G31" s="917"/>
      <c r="H31" s="917"/>
      <c r="I31" s="917"/>
      <c r="J31" s="917"/>
      <c r="K31" s="917"/>
      <c r="L31" s="917"/>
      <c r="M31" s="917"/>
      <c r="N31" s="915"/>
    </row>
    <row r="32" spans="1:14" ht="13.5" outlineLevel="1" x14ac:dyDescent="0.25">
      <c r="A32" s="351" t="s">
        <v>68</v>
      </c>
      <c r="B32" s="919" t="s">
        <v>1703</v>
      </c>
      <c r="C32" s="917"/>
      <c r="D32" s="917"/>
      <c r="E32" s="917"/>
      <c r="F32" s="917"/>
      <c r="G32" s="917"/>
      <c r="H32" s="914"/>
      <c r="I32" s="63" t="str">
        <f>VLOOKUP(B32,AA_Unitarios,'11'!$H$7,FALSE)</f>
        <v>M3</v>
      </c>
      <c r="J32" s="64">
        <f>+J20</f>
        <v>14.483999999999998</v>
      </c>
      <c r="K32" s="913">
        <f>VLOOKUP(B32,AA_Unitarios,'11'!$M$7,FALSE)</f>
        <v>22815</v>
      </c>
      <c r="L32" s="914"/>
      <c r="M32" s="913">
        <f>ROUND(J32*K32,2)</f>
        <v>330452.46000000002</v>
      </c>
      <c r="N32" s="915"/>
    </row>
    <row r="33" spans="1:14" ht="13.5" x14ac:dyDescent="0.25">
      <c r="A33" s="344"/>
      <c r="B33" s="353"/>
      <c r="C33" s="354"/>
      <c r="D33" s="354"/>
      <c r="E33" s="354"/>
      <c r="F33" s="354"/>
      <c r="G33" s="354"/>
      <c r="H33" s="354"/>
      <c r="I33" s="354"/>
      <c r="J33" s="354"/>
      <c r="K33" s="354"/>
      <c r="L33" s="354"/>
      <c r="M33" s="354"/>
      <c r="N33" s="355"/>
    </row>
    <row r="34" spans="1:14" ht="13.5" x14ac:dyDescent="0.25">
      <c r="A34" s="344"/>
      <c r="B34" s="353"/>
      <c r="C34" s="354"/>
      <c r="D34" s="354"/>
      <c r="E34" s="354"/>
      <c r="F34" s="356"/>
      <c r="G34" s="356"/>
      <c r="H34" s="65" t="s">
        <v>75</v>
      </c>
      <c r="I34" s="347"/>
      <c r="J34" s="347"/>
      <c r="K34" s="930">
        <v>0</v>
      </c>
      <c r="L34" s="914"/>
      <c r="M34" s="930">
        <f>ROUND((SUM(M37:M62)-K34),2)</f>
        <v>470429077.38</v>
      </c>
      <c r="N34" s="915"/>
    </row>
    <row r="35" spans="1:14" ht="13.5" outlineLevel="1" x14ac:dyDescent="0.25">
      <c r="A35" s="940" t="s">
        <v>76</v>
      </c>
      <c r="B35" s="917"/>
      <c r="C35" s="917"/>
      <c r="D35" s="917"/>
      <c r="E35" s="917"/>
      <c r="F35" s="917"/>
      <c r="G35" s="917"/>
      <c r="H35" s="914"/>
      <c r="I35" s="66" t="s">
        <v>77</v>
      </c>
      <c r="J35" s="66" t="s">
        <v>40</v>
      </c>
      <c r="K35" s="941" t="s">
        <v>78</v>
      </c>
      <c r="L35" s="914"/>
      <c r="M35" s="941" t="s">
        <v>42</v>
      </c>
      <c r="N35" s="915"/>
    </row>
    <row r="36" spans="1:14" ht="13.5" outlineLevel="1" x14ac:dyDescent="0.25">
      <c r="A36" s="348" t="s">
        <v>79</v>
      </c>
      <c r="B36" s="934" t="s">
        <v>44</v>
      </c>
      <c r="C36" s="917"/>
      <c r="D36" s="917"/>
      <c r="E36" s="917"/>
      <c r="F36" s="917"/>
      <c r="G36" s="917"/>
      <c r="H36" s="917"/>
      <c r="I36" s="917"/>
      <c r="J36" s="917"/>
      <c r="K36" s="917"/>
      <c r="L36" s="917"/>
      <c r="M36" s="917"/>
      <c r="N36" s="915"/>
    </row>
    <row r="37" spans="1:14" ht="27" customHeight="1" outlineLevel="1" x14ac:dyDescent="0.25">
      <c r="A37" s="349" t="s">
        <v>80</v>
      </c>
      <c r="B37" s="916" t="s">
        <v>1622</v>
      </c>
      <c r="C37" s="917"/>
      <c r="D37" s="917"/>
      <c r="E37" s="917"/>
      <c r="F37" s="917"/>
      <c r="G37" s="917"/>
      <c r="H37" s="914"/>
      <c r="I37" s="63" t="str">
        <f>VLOOKUP(B37,AA_Unitarios,'11'!$H$7,FALSE)</f>
        <v>M2</v>
      </c>
      <c r="J37" s="64">
        <f>'14'!L5</f>
        <v>279.31799999999998</v>
      </c>
      <c r="K37" s="913">
        <f>VLOOKUP(B37,AA_Unitarios,'11'!$M$7,FALSE)</f>
        <v>11175.461164172608</v>
      </c>
      <c r="L37" s="914"/>
      <c r="M37" s="913">
        <f>ROUND(J37*K37,2)</f>
        <v>3121507.46</v>
      </c>
      <c r="N37" s="915"/>
    </row>
    <row r="38" spans="1:14" ht="13.5" outlineLevel="1" x14ac:dyDescent="0.25">
      <c r="A38" s="348" t="s">
        <v>81</v>
      </c>
      <c r="B38" s="918" t="s">
        <v>1629</v>
      </c>
      <c r="C38" s="917"/>
      <c r="D38" s="917"/>
      <c r="E38" s="917"/>
      <c r="F38" s="917"/>
      <c r="G38" s="917"/>
      <c r="H38" s="917"/>
      <c r="I38" s="917"/>
      <c r="J38" s="917"/>
      <c r="K38" s="917"/>
      <c r="L38" s="917"/>
      <c r="M38" s="917"/>
      <c r="N38" s="915"/>
    </row>
    <row r="39" spans="1:14" ht="13.5" outlineLevel="1" x14ac:dyDescent="0.25">
      <c r="A39" s="349" t="s">
        <v>82</v>
      </c>
      <c r="B39" s="916" t="s">
        <v>1632</v>
      </c>
      <c r="C39" s="917"/>
      <c r="D39" s="917"/>
      <c r="E39" s="917"/>
      <c r="F39" s="917"/>
      <c r="G39" s="917"/>
      <c r="H39" s="914"/>
      <c r="I39" s="63" t="str">
        <f>VLOOKUP(B39,AA_Unitarios,'11'!$H$7,FALSE)</f>
        <v>M3</v>
      </c>
      <c r="J39" s="64">
        <f>+'14'!L16</f>
        <v>14.353999999999999</v>
      </c>
      <c r="K39" s="913">
        <f>VLOOKUP(B39,AA_Unitarios,'11'!$M$7,FALSE)</f>
        <v>245717.08617601037</v>
      </c>
      <c r="L39" s="914"/>
      <c r="M39" s="913">
        <f>ROUND(J39*K39,2)</f>
        <v>3527023.05</v>
      </c>
      <c r="N39" s="915"/>
    </row>
    <row r="40" spans="1:14" ht="13.5" outlineLevel="1" x14ac:dyDescent="0.25">
      <c r="A40" s="350" t="s">
        <v>85</v>
      </c>
      <c r="B40" s="918" t="s">
        <v>909</v>
      </c>
      <c r="C40" s="917"/>
      <c r="D40" s="917"/>
      <c r="E40" s="917"/>
      <c r="F40" s="917"/>
      <c r="G40" s="917"/>
      <c r="H40" s="917"/>
      <c r="I40" s="917"/>
      <c r="J40" s="917"/>
      <c r="K40" s="917"/>
      <c r="L40" s="917"/>
      <c r="M40" s="917"/>
      <c r="N40" s="915"/>
    </row>
    <row r="41" spans="1:14" ht="13.5" customHeight="1" outlineLevel="1" x14ac:dyDescent="0.25">
      <c r="A41" s="351" t="s">
        <v>86</v>
      </c>
      <c r="B41" s="919" t="s">
        <v>1706</v>
      </c>
      <c r="C41" s="917"/>
      <c r="D41" s="917"/>
      <c r="E41" s="917"/>
      <c r="F41" s="917"/>
      <c r="G41" s="917"/>
      <c r="H41" s="914"/>
      <c r="I41" s="63" t="str">
        <f>VLOOKUP(B41,AA_Unitarios,'11'!$H$7,FALSE)</f>
        <v>M3</v>
      </c>
      <c r="J41" s="64">
        <f>+'14'!L38</f>
        <v>84.04</v>
      </c>
      <c r="K41" s="913">
        <f>VLOOKUP(B41,AA_Unitarios,'11'!$M$7,FALSE)</f>
        <v>1784263.7533028442</v>
      </c>
      <c r="L41" s="914"/>
      <c r="M41" s="913">
        <f>ROUND(J41*K41,2)</f>
        <v>149949525.83000001</v>
      </c>
      <c r="N41" s="915"/>
    </row>
    <row r="42" spans="1:14" ht="13.5" outlineLevel="1" x14ac:dyDescent="0.25">
      <c r="A42" s="350" t="s">
        <v>88</v>
      </c>
      <c r="B42" s="918" t="s">
        <v>951</v>
      </c>
      <c r="C42" s="917"/>
      <c r="D42" s="917"/>
      <c r="E42" s="917"/>
      <c r="F42" s="917"/>
      <c r="G42" s="917"/>
      <c r="H42" s="917"/>
      <c r="I42" s="917"/>
      <c r="J42" s="917"/>
      <c r="K42" s="917"/>
      <c r="L42" s="917"/>
      <c r="M42" s="917"/>
      <c r="N42" s="915"/>
    </row>
    <row r="43" spans="1:14" ht="13.5" outlineLevel="1" x14ac:dyDescent="0.25">
      <c r="A43" s="351" t="s">
        <v>89</v>
      </c>
      <c r="B43" s="919" t="s">
        <v>1707</v>
      </c>
      <c r="C43" s="917"/>
      <c r="D43" s="917"/>
      <c r="E43" s="917"/>
      <c r="F43" s="917"/>
      <c r="G43" s="917"/>
      <c r="H43" s="914"/>
      <c r="I43" s="63" t="str">
        <f>VLOOKUP(B43,AA_Unitarios,'11'!$H$7,FALSE)</f>
        <v>KG</v>
      </c>
      <c r="J43" s="64">
        <f>+'14'!L49</f>
        <v>13782.45</v>
      </c>
      <c r="K43" s="913">
        <f>VLOOKUP(B43,AA_Unitarios,'11'!$M$7,FALSE)</f>
        <v>8972.5357280975004</v>
      </c>
      <c r="L43" s="914"/>
      <c r="M43" s="913">
        <f>ROUND(J43*K43,2)</f>
        <v>123663525.05</v>
      </c>
      <c r="N43" s="915"/>
    </row>
    <row r="44" spans="1:14" ht="13.5" outlineLevel="1" x14ac:dyDescent="0.25">
      <c r="A44" s="350" t="s">
        <v>94</v>
      </c>
      <c r="B44" s="934" t="s">
        <v>67</v>
      </c>
      <c r="C44" s="917"/>
      <c r="D44" s="917"/>
      <c r="E44" s="917"/>
      <c r="F44" s="917"/>
      <c r="G44" s="917"/>
      <c r="H44" s="917"/>
      <c r="I44" s="917"/>
      <c r="J44" s="917"/>
      <c r="K44" s="917"/>
      <c r="L44" s="917"/>
      <c r="M44" s="917"/>
      <c r="N44" s="915"/>
    </row>
    <row r="45" spans="1:14" ht="27" customHeight="1" outlineLevel="1" x14ac:dyDescent="0.25">
      <c r="A45" s="351" t="s">
        <v>831</v>
      </c>
      <c r="B45" s="919" t="s">
        <v>1712</v>
      </c>
      <c r="C45" s="917"/>
      <c r="D45" s="917"/>
      <c r="E45" s="917"/>
      <c r="F45" s="917"/>
      <c r="G45" s="917"/>
      <c r="H45" s="914"/>
      <c r="I45" s="63" t="str">
        <f>VLOOKUP(B45,AA_Unitarios,'11'!$H$7,FALSE)</f>
        <v>UND</v>
      </c>
      <c r="J45" s="64">
        <f>+'14'!L104</f>
        <v>1</v>
      </c>
      <c r="K45" s="913">
        <f>VLOOKUP(B45,AA_Unitarios,'11'!$M$7,FALSE)</f>
        <v>9204797.1907125004</v>
      </c>
      <c r="L45" s="914"/>
      <c r="M45" s="913">
        <f t="shared" ref="M45:M57" si="2">ROUND(J45*K45,2)</f>
        <v>9204797.1899999995</v>
      </c>
      <c r="N45" s="915"/>
    </row>
    <row r="46" spans="1:14" ht="13.5" outlineLevel="1" x14ac:dyDescent="0.25">
      <c r="A46" s="351" t="s">
        <v>832</v>
      </c>
      <c r="B46" s="919" t="s">
        <v>1713</v>
      </c>
      <c r="C46" s="917"/>
      <c r="D46" s="917"/>
      <c r="E46" s="917"/>
      <c r="F46" s="917"/>
      <c r="G46" s="917"/>
      <c r="H46" s="914"/>
      <c r="I46" s="63" t="str">
        <f>VLOOKUP(B46,AA_Unitarios,'11'!$H$7,FALSE)</f>
        <v>UND</v>
      </c>
      <c r="J46" s="64">
        <f>+'14'!L116</f>
        <v>1</v>
      </c>
      <c r="K46" s="913">
        <f>VLOOKUP(B46,AA_Unitarios,'11'!$M$7,FALSE)</f>
        <v>2990384.0953723751</v>
      </c>
      <c r="L46" s="914"/>
      <c r="M46" s="913">
        <f t="shared" si="2"/>
        <v>2990384.1</v>
      </c>
      <c r="N46" s="915"/>
    </row>
    <row r="47" spans="1:14" ht="13.5" outlineLevel="1" x14ac:dyDescent="0.25">
      <c r="A47" s="351" t="s">
        <v>1759</v>
      </c>
      <c r="B47" s="919" t="s">
        <v>1714</v>
      </c>
      <c r="C47" s="917"/>
      <c r="D47" s="917"/>
      <c r="E47" s="917"/>
      <c r="F47" s="917"/>
      <c r="G47" s="917"/>
      <c r="H47" s="914"/>
      <c r="I47" s="63" t="str">
        <f>VLOOKUP(B47,AA_Unitarios,'11'!$H$7,FALSE)</f>
        <v>UND</v>
      </c>
      <c r="J47" s="64">
        <f>+'14'!L126</f>
        <v>2</v>
      </c>
      <c r="K47" s="913">
        <f>VLOOKUP(B47,AA_Unitarios,'11'!$M$7,FALSE)</f>
        <v>2250501.0393417501</v>
      </c>
      <c r="L47" s="914"/>
      <c r="M47" s="913">
        <f t="shared" si="2"/>
        <v>4501002.08</v>
      </c>
      <c r="N47" s="915"/>
    </row>
    <row r="48" spans="1:14" ht="13.5" outlineLevel="1" x14ac:dyDescent="0.25">
      <c r="A48" s="351" t="s">
        <v>1760</v>
      </c>
      <c r="B48" s="919" t="s">
        <v>1716</v>
      </c>
      <c r="C48" s="917"/>
      <c r="D48" s="917"/>
      <c r="E48" s="917"/>
      <c r="F48" s="917"/>
      <c r="G48" s="917"/>
      <c r="H48" s="914"/>
      <c r="I48" s="63" t="str">
        <f>VLOOKUP(B48,AA_Unitarios,'11'!$H$7,FALSE)</f>
        <v>UND</v>
      </c>
      <c r="J48" s="64">
        <f>+'14'!L138</f>
        <v>4</v>
      </c>
      <c r="K48" s="913">
        <f>VLOOKUP(B48,AA_Unitarios,'11'!$M$7,FALSE)</f>
        <v>1334080.3590944374</v>
      </c>
      <c r="L48" s="914"/>
      <c r="M48" s="913">
        <f t="shared" si="2"/>
        <v>5336321.4400000004</v>
      </c>
      <c r="N48" s="915"/>
    </row>
    <row r="49" spans="1:14" ht="13.5" outlineLevel="1" x14ac:dyDescent="0.25">
      <c r="A49" s="351" t="s">
        <v>1761</v>
      </c>
      <c r="B49" s="919" t="s">
        <v>1717</v>
      </c>
      <c r="C49" s="917"/>
      <c r="D49" s="917"/>
      <c r="E49" s="917"/>
      <c r="F49" s="917"/>
      <c r="G49" s="917"/>
      <c r="H49" s="914"/>
      <c r="I49" s="63" t="str">
        <f>VLOOKUP(B49,AA_Unitarios,'11'!$H$7,FALSE)</f>
        <v>UND</v>
      </c>
      <c r="J49" s="64">
        <f>+'14'!L148</f>
        <v>6</v>
      </c>
      <c r="K49" s="913">
        <f>VLOOKUP(B49,AA_Unitarios,'11'!$M$7,FALSE)</f>
        <v>1341141.403734925</v>
      </c>
      <c r="L49" s="914"/>
      <c r="M49" s="913">
        <f t="shared" si="2"/>
        <v>8046848.4199999999</v>
      </c>
      <c r="N49" s="915"/>
    </row>
    <row r="50" spans="1:14" ht="27" customHeight="1" outlineLevel="1" x14ac:dyDescent="0.25">
      <c r="A50" s="351" t="s">
        <v>1762</v>
      </c>
      <c r="B50" s="919" t="s">
        <v>1718</v>
      </c>
      <c r="C50" s="917"/>
      <c r="D50" s="917"/>
      <c r="E50" s="917"/>
      <c r="F50" s="917"/>
      <c r="G50" s="917"/>
      <c r="H50" s="914"/>
      <c r="I50" s="63" t="str">
        <f>VLOOKUP(B50,AA_Unitarios,'11'!$H$7,FALSE)</f>
        <v>UND</v>
      </c>
      <c r="J50" s="64">
        <f>+'14'!L159</f>
        <v>3</v>
      </c>
      <c r="K50" s="913">
        <f>VLOOKUP(B50,AA_Unitarios,'11'!$M$7,FALSE)</f>
        <v>2372664.0371239004</v>
      </c>
      <c r="L50" s="914"/>
      <c r="M50" s="913">
        <f t="shared" si="2"/>
        <v>7117992.1100000003</v>
      </c>
      <c r="N50" s="915"/>
    </row>
    <row r="51" spans="1:14" ht="13.5" outlineLevel="1" x14ac:dyDescent="0.25">
      <c r="A51" s="351" t="s">
        <v>1763</v>
      </c>
      <c r="B51" s="919" t="s">
        <v>1719</v>
      </c>
      <c r="C51" s="917"/>
      <c r="D51" s="917"/>
      <c r="E51" s="917"/>
      <c r="F51" s="917"/>
      <c r="G51" s="917"/>
      <c r="H51" s="914"/>
      <c r="I51" s="63" t="str">
        <f>VLOOKUP(B51,AA_Unitarios,'11'!$H$7,FALSE)</f>
        <v>UND</v>
      </c>
      <c r="J51" s="64">
        <f>+'14'!L170</f>
        <v>2</v>
      </c>
      <c r="K51" s="913">
        <f>VLOOKUP(B51,AA_Unitarios,'11'!$M$7,FALSE)</f>
        <v>1406913.8051191983</v>
      </c>
      <c r="L51" s="914"/>
      <c r="M51" s="913">
        <f t="shared" si="2"/>
        <v>2813827.61</v>
      </c>
      <c r="N51" s="915"/>
    </row>
    <row r="52" spans="1:14" ht="13.5" outlineLevel="1" x14ac:dyDescent="0.25">
      <c r="A52" s="351" t="s">
        <v>1764</v>
      </c>
      <c r="B52" s="919" t="s">
        <v>1720</v>
      </c>
      <c r="C52" s="917"/>
      <c r="D52" s="917"/>
      <c r="E52" s="917"/>
      <c r="F52" s="917"/>
      <c r="G52" s="917"/>
      <c r="H52" s="914"/>
      <c r="I52" s="63" t="str">
        <f>VLOOKUP(B52,AA_Unitarios,'11'!$H$7,FALSE)</f>
        <v>UND</v>
      </c>
      <c r="J52" s="64">
        <f>+'14'!L181</f>
        <v>2</v>
      </c>
      <c r="K52" s="913">
        <f>VLOOKUP(B52,AA_Unitarios,'11'!$M$7,FALSE)</f>
        <v>1225670.9970469249</v>
      </c>
      <c r="L52" s="914"/>
      <c r="M52" s="913">
        <f t="shared" si="2"/>
        <v>2451341.9900000002</v>
      </c>
      <c r="N52" s="915"/>
    </row>
    <row r="53" spans="1:14" ht="13.5" outlineLevel="1" x14ac:dyDescent="0.25">
      <c r="A53" s="351" t="s">
        <v>1765</v>
      </c>
      <c r="B53" s="919" t="s">
        <v>1721</v>
      </c>
      <c r="C53" s="917"/>
      <c r="D53" s="917"/>
      <c r="E53" s="917"/>
      <c r="F53" s="917"/>
      <c r="G53" s="917"/>
      <c r="H53" s="914"/>
      <c r="I53" s="63" t="str">
        <f>VLOOKUP(B53,AA_Unitarios,'11'!$H$7,FALSE)</f>
        <v>UND</v>
      </c>
      <c r="J53" s="64">
        <f>+'14'!L192</f>
        <v>6</v>
      </c>
      <c r="K53" s="913">
        <f>VLOOKUP(B53,AA_Unitarios,'11'!$M$7,FALSE)</f>
        <v>700100.31811492506</v>
      </c>
      <c r="L53" s="914"/>
      <c r="M53" s="913">
        <f t="shared" si="2"/>
        <v>4200601.91</v>
      </c>
      <c r="N53" s="915"/>
    </row>
    <row r="54" spans="1:14" ht="13.5" outlineLevel="1" x14ac:dyDescent="0.25">
      <c r="A54" s="351" t="s">
        <v>1766</v>
      </c>
      <c r="B54" s="919" t="s">
        <v>1722</v>
      </c>
      <c r="C54" s="917"/>
      <c r="D54" s="917"/>
      <c r="E54" s="917"/>
      <c r="F54" s="917"/>
      <c r="G54" s="917"/>
      <c r="H54" s="914"/>
      <c r="I54" s="63" t="str">
        <f>VLOOKUP(B54,AA_Unitarios,'11'!$H$7,FALSE)</f>
        <v>UND</v>
      </c>
      <c r="J54" s="64">
        <f>+'14'!L203</f>
        <v>10</v>
      </c>
      <c r="K54" s="913">
        <f>VLOOKUP(B54,AA_Unitarios,'11'!$M$7,FALSE)</f>
        <v>700571.30811492517</v>
      </c>
      <c r="L54" s="914"/>
      <c r="M54" s="913">
        <f t="shared" si="2"/>
        <v>7005713.0800000001</v>
      </c>
      <c r="N54" s="915"/>
    </row>
    <row r="55" spans="1:14" ht="27" customHeight="1" outlineLevel="1" x14ac:dyDescent="0.25">
      <c r="A55" s="351" t="s">
        <v>1767</v>
      </c>
      <c r="B55" s="919" t="s">
        <v>1724</v>
      </c>
      <c r="C55" s="917"/>
      <c r="D55" s="917"/>
      <c r="E55" s="917"/>
      <c r="F55" s="917"/>
      <c r="G55" s="917"/>
      <c r="H55" s="914"/>
      <c r="I55" s="63" t="str">
        <f>VLOOKUP(B55,AA_Unitarios,'11'!$H$7,FALSE)</f>
        <v>UND</v>
      </c>
      <c r="J55" s="64">
        <f>+'14'!L214</f>
        <v>16.8</v>
      </c>
      <c r="K55" s="913">
        <f>VLOOKUP(B55,AA_Unitarios,'11'!$M$7,FALSE)</f>
        <v>191548.38248341251</v>
      </c>
      <c r="L55" s="914"/>
      <c r="M55" s="913">
        <f t="shared" si="2"/>
        <v>3218012.83</v>
      </c>
      <c r="N55" s="915"/>
    </row>
    <row r="56" spans="1:14" ht="27" customHeight="1" outlineLevel="1" x14ac:dyDescent="0.25">
      <c r="A56" s="351" t="s">
        <v>1768</v>
      </c>
      <c r="B56" s="919" t="s">
        <v>1725</v>
      </c>
      <c r="C56" s="917"/>
      <c r="D56" s="917"/>
      <c r="E56" s="917"/>
      <c r="F56" s="917"/>
      <c r="G56" s="917"/>
      <c r="H56" s="914"/>
      <c r="I56" s="63" t="str">
        <f>VLOOKUP(B56,AA_Unitarios,'11'!$H$7,FALSE)</f>
        <v>UND</v>
      </c>
      <c r="J56" s="64">
        <f>+'14'!L225</f>
        <v>6</v>
      </c>
      <c r="K56" s="913">
        <f>VLOOKUP(B56,AA_Unitarios,'11'!$M$7,FALSE)</f>
        <v>189227.88248341251</v>
      </c>
      <c r="L56" s="914"/>
      <c r="M56" s="913">
        <f t="shared" si="2"/>
        <v>1135367.29</v>
      </c>
      <c r="N56" s="915"/>
    </row>
    <row r="57" spans="1:14" ht="27" customHeight="1" outlineLevel="1" x14ac:dyDescent="0.25">
      <c r="A57" s="351" t="s">
        <v>1769</v>
      </c>
      <c r="B57" s="919" t="s">
        <v>1737</v>
      </c>
      <c r="C57" s="917"/>
      <c r="D57" s="917"/>
      <c r="E57" s="917"/>
      <c r="F57" s="917"/>
      <c r="G57" s="917"/>
      <c r="H57" s="914"/>
      <c r="I57" s="63" t="str">
        <f>VLOOKUP(B57,AA_Unitarios,'11'!$H$7,FALSE)</f>
        <v>M2</v>
      </c>
      <c r="J57" s="64">
        <f>+'14'!L236</f>
        <v>280</v>
      </c>
      <c r="K57" s="913">
        <f>VLOOKUP(B57,AA_Unitarios,'11'!$M$7,FALSE)</f>
        <v>397308.63684672874</v>
      </c>
      <c r="L57" s="914"/>
      <c r="M57" s="913">
        <f t="shared" si="2"/>
        <v>111246418.31999999</v>
      </c>
      <c r="N57" s="915"/>
    </row>
    <row r="58" spans="1:14" ht="13.5" outlineLevel="1" x14ac:dyDescent="0.25">
      <c r="A58" s="352" t="s">
        <v>95</v>
      </c>
      <c r="B58" s="918" t="s">
        <v>2040</v>
      </c>
      <c r="C58" s="917"/>
      <c r="D58" s="917"/>
      <c r="E58" s="917"/>
      <c r="F58" s="917"/>
      <c r="G58" s="917"/>
      <c r="H58" s="917"/>
      <c r="I58" s="917"/>
      <c r="J58" s="917"/>
      <c r="K58" s="917"/>
      <c r="L58" s="917"/>
      <c r="M58" s="917"/>
      <c r="N58" s="915"/>
    </row>
    <row r="59" spans="1:14" ht="13.15" customHeight="1" outlineLevel="1" x14ac:dyDescent="0.25">
      <c r="A59" s="351" t="s">
        <v>1770</v>
      </c>
      <c r="B59" s="919" t="s">
        <v>1715</v>
      </c>
      <c r="C59" s="917"/>
      <c r="D59" s="917"/>
      <c r="E59" s="917"/>
      <c r="F59" s="917"/>
      <c r="G59" s="917"/>
      <c r="H59" s="914"/>
      <c r="I59" s="63" t="str">
        <f>VLOOKUP(B59,AA_Unitarios,'11'!$H$7,FALSE)</f>
        <v>ML</v>
      </c>
      <c r="J59" s="64">
        <f>+'14'!L247</f>
        <v>9</v>
      </c>
      <c r="K59" s="913">
        <f>VLOOKUP(B59,AA_Unitarios,'11'!$M$7,FALSE)</f>
        <v>428795.28986910416</v>
      </c>
      <c r="L59" s="914"/>
      <c r="M59" s="913">
        <f t="shared" ref="M59:M60" si="3">ROUND(J59*K59,2)</f>
        <v>3859157.61</v>
      </c>
      <c r="N59" s="915"/>
    </row>
    <row r="60" spans="1:14" ht="13.15" customHeight="1" outlineLevel="1" x14ac:dyDescent="0.25">
      <c r="A60" s="351" t="s">
        <v>1771</v>
      </c>
      <c r="B60" s="919" t="s">
        <v>1723</v>
      </c>
      <c r="C60" s="917"/>
      <c r="D60" s="917"/>
      <c r="E60" s="917"/>
      <c r="F60" s="917"/>
      <c r="G60" s="917"/>
      <c r="H60" s="914"/>
      <c r="I60" s="63" t="str">
        <f>VLOOKUP(B60,AA_Unitarios,'11'!$H$7,FALSE)</f>
        <v>ML</v>
      </c>
      <c r="J60" s="64">
        <f>+'14'!L258</f>
        <v>43.3</v>
      </c>
      <c r="K60" s="913">
        <f>VLOOKUP(B60,AA_Unitarios,'11'!$M$7,FALSE)</f>
        <v>385963.59117625834</v>
      </c>
      <c r="L60" s="914"/>
      <c r="M60" s="913">
        <f t="shared" si="3"/>
        <v>16712223.5</v>
      </c>
      <c r="N60" s="915"/>
    </row>
    <row r="61" spans="1:14" ht="13.15" customHeight="1" outlineLevel="1" x14ac:dyDescent="0.25">
      <c r="A61" s="350" t="s">
        <v>97</v>
      </c>
      <c r="B61" s="918" t="s">
        <v>1161</v>
      </c>
      <c r="C61" s="917"/>
      <c r="D61" s="917"/>
      <c r="E61" s="917"/>
      <c r="F61" s="917"/>
      <c r="G61" s="917"/>
      <c r="H61" s="917"/>
      <c r="I61" s="917"/>
      <c r="J61" s="917"/>
      <c r="K61" s="917"/>
      <c r="L61" s="917"/>
      <c r="M61" s="917"/>
      <c r="N61" s="915"/>
    </row>
    <row r="62" spans="1:14" ht="13.5" outlineLevel="1" x14ac:dyDescent="0.25">
      <c r="A62" s="351" t="s">
        <v>98</v>
      </c>
      <c r="B62" s="919" t="s">
        <v>1703</v>
      </c>
      <c r="C62" s="917"/>
      <c r="D62" s="917"/>
      <c r="E62" s="917"/>
      <c r="F62" s="917"/>
      <c r="G62" s="917"/>
      <c r="H62" s="914"/>
      <c r="I62" s="63" t="str">
        <f>VLOOKUP(B62,AA_Unitarios,'11'!$H$7,FALSE)</f>
        <v>M3</v>
      </c>
      <c r="J62" s="64">
        <f>+J39</f>
        <v>14.353999999999999</v>
      </c>
      <c r="K62" s="935">
        <f>VLOOKUP(B62,AA_Unitarios,'11'!$M$7,FALSE)</f>
        <v>22815</v>
      </c>
      <c r="L62" s="936"/>
      <c r="M62" s="913">
        <f>ROUND(J62*K62,2)</f>
        <v>327486.51</v>
      </c>
      <c r="N62" s="915"/>
    </row>
    <row r="63" spans="1:14" ht="13.5" x14ac:dyDescent="0.2">
      <c r="A63" s="357"/>
      <c r="B63" s="358"/>
      <c r="C63" s="356"/>
      <c r="D63" s="356"/>
      <c r="E63" s="356"/>
      <c r="F63" s="356"/>
      <c r="G63" s="356"/>
      <c r="H63" s="356"/>
      <c r="I63" s="356"/>
      <c r="J63" s="356"/>
      <c r="K63" s="356"/>
      <c r="L63" s="356"/>
      <c r="M63" s="356"/>
      <c r="N63" s="359"/>
    </row>
    <row r="64" spans="1:14" ht="13.5" x14ac:dyDescent="0.25">
      <c r="A64" s="344"/>
      <c r="B64" s="345"/>
      <c r="C64" s="346"/>
      <c r="D64" s="346"/>
      <c r="E64" s="346"/>
      <c r="F64" s="356"/>
      <c r="G64" s="346"/>
      <c r="H64" s="786" t="s">
        <v>1860</v>
      </c>
      <c r="I64" s="347"/>
      <c r="J64" s="347"/>
      <c r="K64" s="930">
        <v>0</v>
      </c>
      <c r="L64" s="914"/>
      <c r="M64" s="930">
        <f>ROUND((SUM(M66)-K64),2)</f>
        <v>4428723.5</v>
      </c>
      <c r="N64" s="915"/>
    </row>
    <row r="65" spans="1:14" ht="13.5" outlineLevel="1" x14ac:dyDescent="0.25">
      <c r="A65" s="350" t="s">
        <v>916</v>
      </c>
      <c r="B65" s="934" t="s">
        <v>44</v>
      </c>
      <c r="C65" s="917"/>
      <c r="D65" s="917"/>
      <c r="E65" s="917"/>
      <c r="F65" s="917"/>
      <c r="G65" s="917"/>
      <c r="H65" s="917"/>
      <c r="I65" s="917"/>
      <c r="J65" s="917"/>
      <c r="K65" s="917"/>
      <c r="L65" s="917"/>
      <c r="M65" s="917"/>
      <c r="N65" s="915"/>
    </row>
    <row r="66" spans="1:14" ht="13.5" outlineLevel="1" x14ac:dyDescent="0.25">
      <c r="A66" s="351" t="s">
        <v>917</v>
      </c>
      <c r="B66" s="916" t="s">
        <v>1606</v>
      </c>
      <c r="C66" s="931"/>
      <c r="D66" s="931"/>
      <c r="E66" s="931"/>
      <c r="F66" s="931"/>
      <c r="G66" s="931"/>
      <c r="H66" s="932"/>
      <c r="I66" s="63" t="str">
        <f>VLOOKUP(B66,AA_Unitarios,'11'!$H$7,FALSE)</f>
        <v>ML</v>
      </c>
      <c r="J66" s="64">
        <f>+'15'!D13</f>
        <v>396.29</v>
      </c>
      <c r="K66" s="913">
        <f>VLOOKUP(B66,AA_Unitarios,'11'!$M$7,FALSE)</f>
        <v>11175.461164172608</v>
      </c>
      <c r="L66" s="914"/>
      <c r="M66" s="913">
        <f>ROUND(J66*K66,2)</f>
        <v>4428723.5</v>
      </c>
      <c r="N66" s="915"/>
    </row>
    <row r="67" spans="1:14" ht="13.5" x14ac:dyDescent="0.2">
      <c r="A67" s="357"/>
      <c r="B67" s="362"/>
      <c r="C67" s="363"/>
      <c r="D67" s="363"/>
      <c r="E67" s="363"/>
      <c r="F67" s="363"/>
      <c r="G67" s="363"/>
      <c r="H67" s="363"/>
      <c r="I67" s="356"/>
      <c r="J67" s="356"/>
      <c r="K67" s="356"/>
      <c r="L67" s="356"/>
      <c r="M67" s="356"/>
      <c r="N67" s="359"/>
    </row>
    <row r="68" spans="1:14" ht="13.5" x14ac:dyDescent="0.2">
      <c r="A68" s="357"/>
      <c r="B68" s="362"/>
      <c r="C68" s="363"/>
      <c r="D68" s="363"/>
      <c r="E68" s="363"/>
      <c r="F68" s="363"/>
      <c r="G68" s="363"/>
      <c r="H68" s="363"/>
      <c r="I68" s="356"/>
      <c r="J68" s="356"/>
      <c r="K68" s="356"/>
      <c r="L68" s="356"/>
      <c r="M68" s="356"/>
      <c r="N68" s="359"/>
    </row>
    <row r="69" spans="1:14" ht="13.5" x14ac:dyDescent="0.25">
      <c r="A69" s="344"/>
      <c r="B69" s="345"/>
      <c r="C69" s="346"/>
      <c r="D69" s="346"/>
      <c r="E69" s="346"/>
      <c r="F69" s="356"/>
      <c r="G69" s="346"/>
      <c r="H69" s="922" t="s">
        <v>975</v>
      </c>
      <c r="I69" s="986"/>
      <c r="J69" s="987"/>
      <c r="K69" s="930"/>
      <c r="L69" s="914"/>
      <c r="M69" s="930">
        <f>ROUND((SUM(M72:M91)-K69),2)</f>
        <v>357686531.94</v>
      </c>
      <c r="N69" s="915"/>
    </row>
    <row r="70" spans="1:14" ht="13.5" outlineLevel="1" x14ac:dyDescent="0.25">
      <c r="A70" s="940" t="s">
        <v>76</v>
      </c>
      <c r="B70" s="917"/>
      <c r="C70" s="917"/>
      <c r="D70" s="917"/>
      <c r="E70" s="917"/>
      <c r="F70" s="917"/>
      <c r="G70" s="917"/>
      <c r="H70" s="914"/>
      <c r="I70" s="66" t="s">
        <v>77</v>
      </c>
      <c r="J70" s="66" t="s">
        <v>40</v>
      </c>
      <c r="K70" s="941" t="s">
        <v>78</v>
      </c>
      <c r="L70" s="914"/>
      <c r="M70" s="941" t="s">
        <v>42</v>
      </c>
      <c r="N70" s="915"/>
    </row>
    <row r="71" spans="1:14" ht="13.5" outlineLevel="1" x14ac:dyDescent="0.25">
      <c r="A71" s="352" t="s">
        <v>102</v>
      </c>
      <c r="B71" s="934" t="s">
        <v>44</v>
      </c>
      <c r="C71" s="917"/>
      <c r="D71" s="917"/>
      <c r="E71" s="917"/>
      <c r="F71" s="917"/>
      <c r="G71" s="917"/>
      <c r="H71" s="917"/>
      <c r="I71" s="917"/>
      <c r="J71" s="917"/>
      <c r="K71" s="917"/>
      <c r="L71" s="917"/>
      <c r="M71" s="917"/>
      <c r="N71" s="915"/>
    </row>
    <row r="72" spans="1:14" ht="13.5" customHeight="1" outlineLevel="1" x14ac:dyDescent="0.25">
      <c r="A72" s="351" t="s">
        <v>103</v>
      </c>
      <c r="B72" s="916" t="s">
        <v>1622</v>
      </c>
      <c r="C72" s="917"/>
      <c r="D72" s="917"/>
      <c r="E72" s="917"/>
      <c r="F72" s="917"/>
      <c r="G72" s="917"/>
      <c r="H72" s="914"/>
      <c r="I72" s="63" t="str">
        <f>VLOOKUP(B72,AA_Unitarios,'11'!$H$7,FALSE)</f>
        <v>M2</v>
      </c>
      <c r="J72" s="835">
        <f>'14'!$P$5</f>
        <v>542.92200000000003</v>
      </c>
      <c r="K72" s="913">
        <f>VLOOKUP(B72,AA_Unitarios,'11'!$M$7,FALSE)</f>
        <v>11175.461164172608</v>
      </c>
      <c r="L72" s="914"/>
      <c r="M72" s="913">
        <f>ROUND(J72*K72,2)</f>
        <v>6067403.7300000004</v>
      </c>
      <c r="N72" s="915"/>
    </row>
    <row r="73" spans="1:14" ht="13.5" outlineLevel="1" x14ac:dyDescent="0.25">
      <c r="A73" s="350" t="s">
        <v>104</v>
      </c>
      <c r="B73" s="918" t="s">
        <v>909</v>
      </c>
      <c r="C73" s="917"/>
      <c r="D73" s="917"/>
      <c r="E73" s="917"/>
      <c r="F73" s="917"/>
      <c r="G73" s="917"/>
      <c r="H73" s="917"/>
      <c r="I73" s="917"/>
      <c r="J73" s="917"/>
      <c r="K73" s="917"/>
      <c r="L73" s="917"/>
      <c r="M73" s="917"/>
      <c r="N73" s="915"/>
    </row>
    <row r="74" spans="1:14" ht="13.5" customHeight="1" outlineLevel="1" x14ac:dyDescent="0.25">
      <c r="A74" s="351" t="s">
        <v>105</v>
      </c>
      <c r="B74" s="919" t="s">
        <v>1706</v>
      </c>
      <c r="C74" s="917"/>
      <c r="D74" s="917"/>
      <c r="E74" s="917"/>
      <c r="F74" s="917"/>
      <c r="G74" s="917"/>
      <c r="H74" s="914"/>
      <c r="I74" s="63" t="str">
        <f>VLOOKUP(B74,AA_Unitarios,'11'!$H$7,FALSE)</f>
        <v>M3</v>
      </c>
      <c r="J74" s="835">
        <f>+'14'!P38</f>
        <v>17.27</v>
      </c>
      <c r="K74" s="913">
        <f>VLOOKUP(B74,AA_Unitarios,'11'!$M$7,FALSE)</f>
        <v>1784263.7533028442</v>
      </c>
      <c r="L74" s="914"/>
      <c r="M74" s="913">
        <f>ROUND(J74*K74,2)</f>
        <v>30814235.02</v>
      </c>
      <c r="N74" s="915"/>
    </row>
    <row r="75" spans="1:14" ht="13.5" outlineLevel="1" x14ac:dyDescent="0.25">
      <c r="A75" s="350" t="s">
        <v>106</v>
      </c>
      <c r="B75" s="918" t="s">
        <v>951</v>
      </c>
      <c r="C75" s="917"/>
      <c r="D75" s="917"/>
      <c r="E75" s="917"/>
      <c r="F75" s="917"/>
      <c r="G75" s="917"/>
      <c r="H75" s="917"/>
      <c r="I75" s="917"/>
      <c r="J75" s="917"/>
      <c r="K75" s="917"/>
      <c r="L75" s="917"/>
      <c r="M75" s="917"/>
      <c r="N75" s="915"/>
    </row>
    <row r="76" spans="1:14" ht="13.5" outlineLevel="1" x14ac:dyDescent="0.25">
      <c r="A76" s="351" t="s">
        <v>107</v>
      </c>
      <c r="B76" s="919" t="s">
        <v>1707</v>
      </c>
      <c r="C76" s="917"/>
      <c r="D76" s="917"/>
      <c r="E76" s="917"/>
      <c r="F76" s="917"/>
      <c r="G76" s="917"/>
      <c r="H76" s="914"/>
      <c r="I76" s="63" t="str">
        <f>VLOOKUP(B76,AA_Unitarios,'11'!$H$7,FALSE)</f>
        <v>KG</v>
      </c>
      <c r="J76" s="835">
        <f>+'14'!P49</f>
        <v>3515</v>
      </c>
      <c r="K76" s="913">
        <f>VLOOKUP(B76,AA_Unitarios,'11'!$M$7,FALSE)</f>
        <v>8972.5357280975004</v>
      </c>
      <c r="L76" s="914"/>
      <c r="M76" s="913">
        <f>ROUND(J76*K76,2)</f>
        <v>31538463.079999998</v>
      </c>
      <c r="N76" s="915"/>
    </row>
    <row r="77" spans="1:14" ht="13.5" outlineLevel="1" x14ac:dyDescent="0.25">
      <c r="A77" s="352" t="s">
        <v>108</v>
      </c>
      <c r="B77" s="934" t="s">
        <v>67</v>
      </c>
      <c r="C77" s="917"/>
      <c r="D77" s="917"/>
      <c r="E77" s="917"/>
      <c r="F77" s="917"/>
      <c r="G77" s="917"/>
      <c r="H77" s="917"/>
      <c r="I77" s="917"/>
      <c r="J77" s="917"/>
      <c r="K77" s="917"/>
      <c r="L77" s="917"/>
      <c r="M77" s="917"/>
      <c r="N77" s="915"/>
    </row>
    <row r="78" spans="1:14" ht="13.5" outlineLevel="1" x14ac:dyDescent="0.25">
      <c r="A78" s="361" t="s">
        <v>109</v>
      </c>
      <c r="B78" s="919" t="s">
        <v>1739</v>
      </c>
      <c r="C78" s="917"/>
      <c r="D78" s="917"/>
      <c r="E78" s="917"/>
      <c r="F78" s="917"/>
      <c r="G78" s="917"/>
      <c r="H78" s="914"/>
      <c r="I78" s="63" t="str">
        <f>VLOOKUP(B78,AA_Unitarios,'11'!$H$7,FALSE)</f>
        <v>UND</v>
      </c>
      <c r="J78" s="835">
        <f>+'14'!P269</f>
        <v>8</v>
      </c>
      <c r="K78" s="913">
        <f>+VLOOKUP(B78,AA_Unitarios,'11'!$M$7,FALSE)</f>
        <v>7650934.4219399001</v>
      </c>
      <c r="L78" s="914"/>
      <c r="M78" s="913">
        <f t="shared" ref="M78:M88" si="4">ROUND(J78*K78,2)</f>
        <v>61207475.380000003</v>
      </c>
      <c r="N78" s="915"/>
    </row>
    <row r="79" spans="1:14" ht="13.5" outlineLevel="1" x14ac:dyDescent="0.25">
      <c r="A79" s="361" t="s">
        <v>110</v>
      </c>
      <c r="B79" s="919" t="s">
        <v>1727</v>
      </c>
      <c r="C79" s="917"/>
      <c r="D79" s="917"/>
      <c r="E79" s="917"/>
      <c r="F79" s="917"/>
      <c r="G79" s="917"/>
      <c r="H79" s="914"/>
      <c r="I79" s="63" t="str">
        <f>VLOOKUP(B79,AA_Unitarios,'11'!$H$7,FALSE)</f>
        <v>UND</v>
      </c>
      <c r="J79" s="835">
        <f>+'14'!P280</f>
        <v>10</v>
      </c>
      <c r="K79" s="913">
        <f>+VLOOKUP(B79,AA_Unitarios,'11'!$M$7,FALSE)</f>
        <v>193878.13640487503</v>
      </c>
      <c r="L79" s="914"/>
      <c r="M79" s="913">
        <f t="shared" si="4"/>
        <v>1938781.36</v>
      </c>
      <c r="N79" s="915"/>
    </row>
    <row r="80" spans="1:14" ht="13.5" outlineLevel="1" x14ac:dyDescent="0.25">
      <c r="A80" s="361" t="s">
        <v>1772</v>
      </c>
      <c r="B80" s="919" t="s">
        <v>1742</v>
      </c>
      <c r="C80" s="917"/>
      <c r="D80" s="917"/>
      <c r="E80" s="917"/>
      <c r="F80" s="917"/>
      <c r="G80" s="917"/>
      <c r="H80" s="914"/>
      <c r="I80" s="63" t="str">
        <f>VLOOKUP(B80,AA_Unitarios,'11'!$H$7,FALSE)</f>
        <v>UND</v>
      </c>
      <c r="J80" s="64">
        <f>+'14'!P291</f>
        <v>7</v>
      </c>
      <c r="K80" s="913">
        <f>+VLOOKUP(B80,AA_Unitarios,'11'!$M$7,FALSE)</f>
        <v>263683.94549071253</v>
      </c>
      <c r="L80" s="914"/>
      <c r="M80" s="913">
        <f t="shared" si="4"/>
        <v>1845787.62</v>
      </c>
      <c r="N80" s="915"/>
    </row>
    <row r="81" spans="1:14" ht="13.5" outlineLevel="1" x14ac:dyDescent="0.25">
      <c r="A81" s="361" t="s">
        <v>1773</v>
      </c>
      <c r="B81" s="919" t="s">
        <v>1743</v>
      </c>
      <c r="C81" s="917"/>
      <c r="D81" s="917"/>
      <c r="E81" s="917"/>
      <c r="F81" s="917"/>
      <c r="G81" s="917"/>
      <c r="H81" s="914"/>
      <c r="I81" s="63" t="str">
        <f>VLOOKUP(B81,AA_Unitarios,'11'!$H$7,FALSE)</f>
        <v>M3</v>
      </c>
      <c r="J81" s="64">
        <f>+'14'!P302</f>
        <v>0.3</v>
      </c>
      <c r="K81" s="913">
        <f>+VLOOKUP(B81,AA_Unitarios,'11'!$M$7,FALSE)</f>
        <v>16057308.868535351</v>
      </c>
      <c r="L81" s="914"/>
      <c r="M81" s="913">
        <f t="shared" si="4"/>
        <v>4817192.66</v>
      </c>
      <c r="N81" s="915"/>
    </row>
    <row r="82" spans="1:14" ht="13.5" outlineLevel="1" x14ac:dyDescent="0.25">
      <c r="A82" s="361" t="s">
        <v>1774</v>
      </c>
      <c r="B82" s="919" t="s">
        <v>1744</v>
      </c>
      <c r="C82" s="917"/>
      <c r="D82" s="917"/>
      <c r="E82" s="917"/>
      <c r="F82" s="917"/>
      <c r="G82" s="917"/>
      <c r="H82" s="914"/>
      <c r="I82" s="63" t="str">
        <f>VLOOKUP(B82,AA_Unitarios,'11'!$H$7,FALSE)</f>
        <v>UND</v>
      </c>
      <c r="J82" s="64">
        <f>+'14'!P313</f>
        <v>10</v>
      </c>
      <c r="K82" s="913">
        <f>+VLOOKUP(B82,AA_Unitarios,'11'!$M$7,FALSE)</f>
        <v>974641.9176221001</v>
      </c>
      <c r="L82" s="914"/>
      <c r="M82" s="913">
        <f t="shared" si="4"/>
        <v>9746419.1799999997</v>
      </c>
      <c r="N82" s="915"/>
    </row>
    <row r="83" spans="1:14" ht="13.5" outlineLevel="1" x14ac:dyDescent="0.25">
      <c r="A83" s="361" t="s">
        <v>1775</v>
      </c>
      <c r="B83" s="919" t="s">
        <v>1745</v>
      </c>
      <c r="C83" s="917"/>
      <c r="D83" s="917"/>
      <c r="E83" s="917"/>
      <c r="F83" s="917"/>
      <c r="G83" s="917"/>
      <c r="H83" s="914"/>
      <c r="I83" s="63" t="str">
        <f>VLOOKUP(B83,AA_Unitarios,'11'!$H$7,FALSE)</f>
        <v>UND</v>
      </c>
      <c r="J83" s="64">
        <f>+'14'!P324</f>
        <v>53</v>
      </c>
      <c r="K83" s="913">
        <f>+VLOOKUP(B83,AA_Unitarios,'11'!$M$7,FALSE)</f>
        <v>3105394.3896579505</v>
      </c>
      <c r="L83" s="914"/>
      <c r="M83" s="913">
        <f t="shared" si="4"/>
        <v>164585902.65000001</v>
      </c>
      <c r="N83" s="915"/>
    </row>
    <row r="84" spans="1:14" ht="13.5" outlineLevel="1" x14ac:dyDescent="0.25">
      <c r="A84" s="361" t="s">
        <v>1776</v>
      </c>
      <c r="B84" s="919" t="s">
        <v>1746</v>
      </c>
      <c r="C84" s="917"/>
      <c r="D84" s="917"/>
      <c r="E84" s="917"/>
      <c r="F84" s="917"/>
      <c r="G84" s="917"/>
      <c r="H84" s="914"/>
      <c r="I84" s="63" t="str">
        <f>VLOOKUP(B84,AA_Unitarios,'11'!$H$7,FALSE)</f>
        <v>M3</v>
      </c>
      <c r="J84" s="64">
        <f>+'14'!P335</f>
        <v>151.19999999999999</v>
      </c>
      <c r="K84" s="913">
        <f>+VLOOKUP(B84,AA_Unitarios,'11'!$M$7,FALSE)</f>
        <v>27487.939052191756</v>
      </c>
      <c r="L84" s="914"/>
      <c r="M84" s="913">
        <f t="shared" si="4"/>
        <v>4156176.38</v>
      </c>
      <c r="N84" s="915"/>
    </row>
    <row r="85" spans="1:14" ht="13.5" outlineLevel="1" x14ac:dyDescent="0.25">
      <c r="A85" s="361" t="s">
        <v>1777</v>
      </c>
      <c r="B85" s="919" t="s">
        <v>1747</v>
      </c>
      <c r="C85" s="917"/>
      <c r="D85" s="917"/>
      <c r="E85" s="917"/>
      <c r="F85" s="917"/>
      <c r="G85" s="917"/>
      <c r="H85" s="914"/>
      <c r="I85" s="63" t="str">
        <f>VLOOKUP(B85,AA_Unitarios,'11'!$H$7,FALSE)</f>
        <v>M3</v>
      </c>
      <c r="J85" s="64">
        <f>+'14'!P347</f>
        <v>151.19999999999999</v>
      </c>
      <c r="K85" s="913">
        <f>+VLOOKUP(B85,AA_Unitarios,'11'!$M$7,FALSE)</f>
        <v>27487.939052191756</v>
      </c>
      <c r="L85" s="914"/>
      <c r="M85" s="913">
        <f t="shared" si="4"/>
        <v>4156176.38</v>
      </c>
      <c r="N85" s="915"/>
    </row>
    <row r="86" spans="1:14" ht="13.5" outlineLevel="1" x14ac:dyDescent="0.25">
      <c r="A86" s="361" t="s">
        <v>1778</v>
      </c>
      <c r="B86" s="919" t="s">
        <v>1748</v>
      </c>
      <c r="C86" s="917"/>
      <c r="D86" s="917"/>
      <c r="E86" s="917"/>
      <c r="F86" s="917"/>
      <c r="G86" s="917"/>
      <c r="H86" s="914"/>
      <c r="I86" s="63" t="str">
        <f>VLOOKUP(B86,AA_Unitarios,'11'!$H$7,FALSE)</f>
        <v>M3</v>
      </c>
      <c r="J86" s="64">
        <f>+'14'!P358</f>
        <v>151.19999999999999</v>
      </c>
      <c r="K86" s="913">
        <f>+VLOOKUP(B86,AA_Unitarios,'11'!$M$7,FALSE)</f>
        <v>27487.939052191756</v>
      </c>
      <c r="L86" s="914"/>
      <c r="M86" s="913">
        <f t="shared" si="4"/>
        <v>4156176.38</v>
      </c>
      <c r="N86" s="915"/>
    </row>
    <row r="87" spans="1:14" ht="13.5" outlineLevel="1" x14ac:dyDescent="0.25">
      <c r="A87" s="361" t="s">
        <v>1779</v>
      </c>
      <c r="B87" s="919" t="s">
        <v>1749</v>
      </c>
      <c r="C87" s="917"/>
      <c r="D87" s="917"/>
      <c r="E87" s="917"/>
      <c r="F87" s="917"/>
      <c r="G87" s="917"/>
      <c r="H87" s="914"/>
      <c r="I87" s="63" t="str">
        <f>VLOOKUP(B87,AA_Unitarios,'11'!$H$7,FALSE)</f>
        <v>M3</v>
      </c>
      <c r="J87" s="64">
        <f>+'14'!P369</f>
        <v>216</v>
      </c>
      <c r="K87" s="913">
        <f>+VLOOKUP(B87,AA_Unitarios,'11'!$M$7,FALSE)</f>
        <v>68457.439052191767</v>
      </c>
      <c r="L87" s="914"/>
      <c r="M87" s="913">
        <f t="shared" si="4"/>
        <v>14786806.84</v>
      </c>
      <c r="N87" s="915"/>
    </row>
    <row r="88" spans="1:14" ht="13.5" outlineLevel="1" x14ac:dyDescent="0.25">
      <c r="A88" s="361" t="s">
        <v>1780</v>
      </c>
      <c r="B88" s="919" t="s">
        <v>1750</v>
      </c>
      <c r="C88" s="917"/>
      <c r="D88" s="917"/>
      <c r="E88" s="917"/>
      <c r="F88" s="917"/>
      <c r="G88" s="917"/>
      <c r="H88" s="914"/>
      <c r="I88" s="63" t="str">
        <f>VLOOKUP(B88,AA_Unitarios,'11'!$H$7,FALSE)</f>
        <v>M3</v>
      </c>
      <c r="J88" s="64">
        <f>+'14'!P380</f>
        <v>240</v>
      </c>
      <c r="K88" s="913">
        <f>+VLOOKUP(B88,AA_Unitarios,'11'!$M$7,FALSE)</f>
        <v>27487.939052191763</v>
      </c>
      <c r="L88" s="914"/>
      <c r="M88" s="913">
        <f t="shared" si="4"/>
        <v>6597105.3700000001</v>
      </c>
      <c r="N88" s="915"/>
    </row>
    <row r="89" spans="1:14" ht="13.5" outlineLevel="1" x14ac:dyDescent="0.25">
      <c r="A89" s="352" t="s">
        <v>1173</v>
      </c>
      <c r="B89" s="918" t="s">
        <v>2040</v>
      </c>
      <c r="C89" s="917"/>
      <c r="D89" s="917"/>
      <c r="E89" s="917"/>
      <c r="F89" s="917"/>
      <c r="G89" s="917"/>
      <c r="H89" s="917"/>
      <c r="I89" s="917"/>
      <c r="J89" s="917"/>
      <c r="K89" s="917"/>
      <c r="L89" s="917"/>
      <c r="M89" s="917"/>
      <c r="N89" s="915"/>
    </row>
    <row r="90" spans="1:14" ht="13.5" outlineLevel="1" x14ac:dyDescent="0.25">
      <c r="A90" s="361" t="s">
        <v>1781</v>
      </c>
      <c r="B90" s="919" t="s">
        <v>1735</v>
      </c>
      <c r="C90" s="917"/>
      <c r="D90" s="917"/>
      <c r="E90" s="917"/>
      <c r="F90" s="917"/>
      <c r="G90" s="917"/>
      <c r="H90" s="914"/>
      <c r="I90" s="63" t="str">
        <f>VLOOKUP(B90,AA_Unitarios,'11'!$H$7,FALSE)</f>
        <v>ML</v>
      </c>
      <c r="J90" s="64">
        <f>+'14'!P393</f>
        <v>2</v>
      </c>
      <c r="K90" s="913">
        <f>+VLOOKUP(B90,AA_Unitarios,'11'!$M$7,FALSE)</f>
        <v>290743.66387957585</v>
      </c>
      <c r="L90" s="914"/>
      <c r="M90" s="913">
        <f t="shared" ref="M90:M91" si="5">ROUND(J90*K90,2)</f>
        <v>581487.32999999996</v>
      </c>
      <c r="N90" s="915"/>
    </row>
    <row r="91" spans="1:14" ht="13.5" outlineLevel="1" x14ac:dyDescent="0.25">
      <c r="A91" s="361" t="s">
        <v>1782</v>
      </c>
      <c r="B91" s="919" t="s">
        <v>1734</v>
      </c>
      <c r="C91" s="917"/>
      <c r="D91" s="917"/>
      <c r="E91" s="917"/>
      <c r="F91" s="917"/>
      <c r="G91" s="917"/>
      <c r="H91" s="914"/>
      <c r="I91" s="63" t="str">
        <f>VLOOKUP(B91,AA_Unitarios,'11'!$H$7,FALSE)</f>
        <v>ML</v>
      </c>
      <c r="J91" s="64">
        <f>+'14'!P402</f>
        <v>70</v>
      </c>
      <c r="K91" s="913">
        <f>+VLOOKUP(B91,AA_Unitarios,'11'!$M$7,FALSE)</f>
        <v>152727.75121290918</v>
      </c>
      <c r="L91" s="914"/>
      <c r="M91" s="913">
        <f t="shared" si="5"/>
        <v>10690942.58</v>
      </c>
      <c r="N91" s="915"/>
    </row>
    <row r="92" spans="1:14" ht="13.5" customHeight="1" x14ac:dyDescent="0.2">
      <c r="A92" s="337"/>
      <c r="B92" s="76"/>
      <c r="C92" s="76"/>
      <c r="D92" s="76"/>
      <c r="E92" s="76"/>
      <c r="F92" s="76"/>
      <c r="G92" s="76"/>
      <c r="H92" s="76"/>
      <c r="I92" s="76"/>
      <c r="J92" s="76"/>
      <c r="K92" s="76"/>
      <c r="L92" s="76"/>
      <c r="M92" s="76"/>
      <c r="N92" s="338"/>
    </row>
    <row r="93" spans="1:14" ht="13.5" x14ac:dyDescent="0.25">
      <c r="A93" s="364"/>
      <c r="B93" s="362"/>
      <c r="C93" s="363"/>
      <c r="D93" s="363"/>
      <c r="E93" s="356"/>
      <c r="F93" s="356"/>
      <c r="G93" s="356"/>
      <c r="H93" s="922" t="s">
        <v>971</v>
      </c>
      <c r="I93" s="928"/>
      <c r="J93" s="929"/>
      <c r="K93" s="930"/>
      <c r="L93" s="914"/>
      <c r="M93" s="930">
        <f>ROUND((SUM(M96:M120)-K93),2)</f>
        <v>1145932772.2</v>
      </c>
      <c r="N93" s="915"/>
    </row>
    <row r="94" spans="1:14" ht="13.5" outlineLevel="1" x14ac:dyDescent="0.25">
      <c r="A94" s="940" t="s">
        <v>76</v>
      </c>
      <c r="B94" s="917"/>
      <c r="C94" s="917"/>
      <c r="D94" s="917"/>
      <c r="E94" s="917"/>
      <c r="F94" s="917"/>
      <c r="G94" s="917"/>
      <c r="H94" s="914"/>
      <c r="I94" s="66" t="s">
        <v>77</v>
      </c>
      <c r="J94" s="66" t="s">
        <v>40</v>
      </c>
      <c r="K94" s="941" t="s">
        <v>78</v>
      </c>
      <c r="L94" s="914"/>
      <c r="M94" s="941" t="s">
        <v>42</v>
      </c>
      <c r="N94" s="915"/>
    </row>
    <row r="95" spans="1:14" ht="13.5" outlineLevel="1" x14ac:dyDescent="0.25">
      <c r="A95" s="350" t="s">
        <v>1174</v>
      </c>
      <c r="B95" s="934" t="s">
        <v>44</v>
      </c>
      <c r="C95" s="917"/>
      <c r="D95" s="917"/>
      <c r="E95" s="917"/>
      <c r="F95" s="917"/>
      <c r="G95" s="917"/>
      <c r="H95" s="917"/>
      <c r="I95" s="917"/>
      <c r="J95" s="917"/>
      <c r="K95" s="917"/>
      <c r="L95" s="917"/>
      <c r="M95" s="917"/>
      <c r="N95" s="915"/>
    </row>
    <row r="96" spans="1:14" ht="27" customHeight="1" outlineLevel="1" x14ac:dyDescent="0.25">
      <c r="A96" s="351" t="s">
        <v>1175</v>
      </c>
      <c r="B96" s="916" t="s">
        <v>1622</v>
      </c>
      <c r="C96" s="917"/>
      <c r="D96" s="917"/>
      <c r="E96" s="917"/>
      <c r="F96" s="917"/>
      <c r="G96" s="917"/>
      <c r="H96" s="914"/>
      <c r="I96" s="63" t="str">
        <f>VLOOKUP(B96,AA_Unitarios,'11'!$H$7,FALSE)</f>
        <v>M2</v>
      </c>
      <c r="J96" s="835">
        <f>'14'!$T$5</f>
        <v>568.17200000000003</v>
      </c>
      <c r="K96" s="913">
        <f>+VLOOKUP(B96,AA_Unitarios,'11'!$M$7,FALSE)</f>
        <v>11175.461164172608</v>
      </c>
      <c r="L96" s="914"/>
      <c r="M96" s="913">
        <f>ROUND(J96*K96,2)</f>
        <v>6349584.1200000001</v>
      </c>
      <c r="N96" s="915"/>
    </row>
    <row r="97" spans="1:14" ht="13.5" outlineLevel="1" x14ac:dyDescent="0.25">
      <c r="A97" s="350" t="s">
        <v>1176</v>
      </c>
      <c r="B97" s="933" t="s">
        <v>1629</v>
      </c>
      <c r="C97" s="917"/>
      <c r="D97" s="917"/>
      <c r="E97" s="917"/>
      <c r="F97" s="917"/>
      <c r="G97" s="917"/>
      <c r="H97" s="917"/>
      <c r="I97" s="917"/>
      <c r="J97" s="917"/>
      <c r="K97" s="917"/>
      <c r="L97" s="917"/>
      <c r="M97" s="917"/>
      <c r="N97" s="915"/>
    </row>
    <row r="98" spans="1:14" ht="27" customHeight="1" outlineLevel="1" x14ac:dyDescent="0.25">
      <c r="A98" s="351" t="s">
        <v>1194</v>
      </c>
      <c r="B98" s="916" t="s">
        <v>1632</v>
      </c>
      <c r="C98" s="917"/>
      <c r="D98" s="917"/>
      <c r="E98" s="917"/>
      <c r="F98" s="917"/>
      <c r="G98" s="917"/>
      <c r="H98" s="914"/>
      <c r="I98" s="63" t="str">
        <f>VLOOKUP(B98,AA_Unitarios,'11'!$H$7,FALSE)</f>
        <v>M3</v>
      </c>
      <c r="J98" s="835">
        <f>+'14'!T16</f>
        <v>64.564999999999984</v>
      </c>
      <c r="K98" s="913">
        <f>+VLOOKUP(B98,AA_Unitarios,'11'!$M$7,FALSE)</f>
        <v>245717.08617601037</v>
      </c>
      <c r="L98" s="914"/>
      <c r="M98" s="913">
        <f>ROUND(J98*K98,2)</f>
        <v>15864723.67</v>
      </c>
      <c r="N98" s="915"/>
    </row>
    <row r="99" spans="1:14" ht="13.5" outlineLevel="1" x14ac:dyDescent="0.25">
      <c r="A99" s="350" t="s">
        <v>1195</v>
      </c>
      <c r="B99" s="933" t="s">
        <v>909</v>
      </c>
      <c r="C99" s="917"/>
      <c r="D99" s="917"/>
      <c r="E99" s="917"/>
      <c r="F99" s="917"/>
      <c r="G99" s="917"/>
      <c r="H99" s="917"/>
      <c r="I99" s="917"/>
      <c r="J99" s="917"/>
      <c r="K99" s="917"/>
      <c r="L99" s="917"/>
      <c r="M99" s="917"/>
      <c r="N99" s="915"/>
    </row>
    <row r="100" spans="1:14" ht="13.5" customHeight="1" outlineLevel="1" x14ac:dyDescent="0.25">
      <c r="A100" s="351" t="s">
        <v>1196</v>
      </c>
      <c r="B100" s="919" t="s">
        <v>1706</v>
      </c>
      <c r="C100" s="917"/>
      <c r="D100" s="917"/>
      <c r="E100" s="917"/>
      <c r="F100" s="917"/>
      <c r="G100" s="917"/>
      <c r="H100" s="914"/>
      <c r="I100" s="63" t="str">
        <f>VLOOKUP(B100,AA_Unitarios,'11'!$H$7,FALSE)</f>
        <v>M3</v>
      </c>
      <c r="J100" s="835">
        <f>+'14'!T38</f>
        <v>279.33</v>
      </c>
      <c r="K100" s="913">
        <f>+VLOOKUP(B100,AA_Unitarios,'11'!$M$7,FALSE)</f>
        <v>1784263.7533028442</v>
      </c>
      <c r="L100" s="914"/>
      <c r="M100" s="913">
        <f>ROUND(J100*K100,2)</f>
        <v>498398394.20999998</v>
      </c>
      <c r="N100" s="915"/>
    </row>
    <row r="101" spans="1:14" ht="13.5" outlineLevel="1" x14ac:dyDescent="0.25">
      <c r="A101" s="350" t="s">
        <v>1197</v>
      </c>
      <c r="B101" s="918" t="s">
        <v>951</v>
      </c>
      <c r="C101" s="917"/>
      <c r="D101" s="917"/>
      <c r="E101" s="917"/>
      <c r="F101" s="917"/>
      <c r="G101" s="917"/>
      <c r="H101" s="917"/>
      <c r="I101" s="917"/>
      <c r="J101" s="917"/>
      <c r="K101" s="917"/>
      <c r="L101" s="917"/>
      <c r="M101" s="917"/>
      <c r="N101" s="915"/>
    </row>
    <row r="102" spans="1:14" ht="13.15" customHeight="1" outlineLevel="1" x14ac:dyDescent="0.25">
      <c r="A102" s="351" t="s">
        <v>1198</v>
      </c>
      <c r="B102" s="919" t="s">
        <v>1707</v>
      </c>
      <c r="C102" s="917"/>
      <c r="D102" s="917"/>
      <c r="E102" s="917"/>
      <c r="F102" s="917"/>
      <c r="G102" s="917"/>
      <c r="H102" s="914"/>
      <c r="I102" s="63" t="str">
        <f>VLOOKUP(B102,AA_Unitarios,'11'!$H$7,FALSE)</f>
        <v>KG</v>
      </c>
      <c r="J102" s="835">
        <f>+'14'!T49</f>
        <v>37427.61</v>
      </c>
      <c r="K102" s="913">
        <f>+VLOOKUP(B102,AA_Unitarios,'11'!$M$7,FALSE)</f>
        <v>8972.5357280975004</v>
      </c>
      <c r="L102" s="914"/>
      <c r="M102" s="913">
        <f>ROUND(J102*K102,2)</f>
        <v>335820567.94</v>
      </c>
      <c r="N102" s="915"/>
    </row>
    <row r="103" spans="1:14" ht="13.5" outlineLevel="1" x14ac:dyDescent="0.25">
      <c r="A103" s="350" t="s">
        <v>1200</v>
      </c>
      <c r="B103" s="937" t="s">
        <v>112</v>
      </c>
      <c r="C103" s="917"/>
      <c r="D103" s="917"/>
      <c r="E103" s="917"/>
      <c r="F103" s="917"/>
      <c r="G103" s="917"/>
      <c r="H103" s="917"/>
      <c r="I103" s="917"/>
      <c r="J103" s="917"/>
      <c r="K103" s="917"/>
      <c r="L103" s="917"/>
      <c r="M103" s="917"/>
      <c r="N103" s="915"/>
    </row>
    <row r="104" spans="1:14" ht="27" customHeight="1" outlineLevel="1" x14ac:dyDescent="0.25">
      <c r="A104" s="351" t="s">
        <v>1201</v>
      </c>
      <c r="B104" s="919" t="s">
        <v>1726</v>
      </c>
      <c r="C104" s="917"/>
      <c r="D104" s="917"/>
      <c r="E104" s="917"/>
      <c r="F104" s="917"/>
      <c r="G104" s="917"/>
      <c r="H104" s="914"/>
      <c r="I104" s="63" t="str">
        <f>VLOOKUP(B104,AA_Unitarios,'11'!$H$7,FALSE)</f>
        <v>UND</v>
      </c>
      <c r="J104" s="835">
        <f>+'14'!T413</f>
        <v>1</v>
      </c>
      <c r="K104" s="913">
        <f>+VLOOKUP(B104,AA_Unitarios,'11'!$M$7,FALSE)</f>
        <v>4259204.2220146246</v>
      </c>
      <c r="L104" s="914"/>
      <c r="M104" s="913">
        <f t="shared" ref="M104:M115" si="6">ROUND(J104*K104,2)</f>
        <v>4259204.22</v>
      </c>
      <c r="N104" s="915"/>
    </row>
    <row r="105" spans="1:14" ht="27" customHeight="1" outlineLevel="1" x14ac:dyDescent="0.25">
      <c r="A105" s="351" t="s">
        <v>1202</v>
      </c>
      <c r="B105" s="919" t="s">
        <v>1727</v>
      </c>
      <c r="C105" s="917"/>
      <c r="D105" s="917"/>
      <c r="E105" s="917"/>
      <c r="F105" s="917"/>
      <c r="G105" s="917"/>
      <c r="H105" s="914"/>
      <c r="I105" s="63" t="str">
        <f>VLOOKUP(B105,AA_Unitarios,'11'!$H$7,FALSE)</f>
        <v>UND</v>
      </c>
      <c r="J105" s="835">
        <f>+'14'!T280</f>
        <v>16</v>
      </c>
      <c r="K105" s="913">
        <f>+VLOOKUP(B105,AA_Unitarios,'11'!$M$7,FALSE)</f>
        <v>193878.13640487503</v>
      </c>
      <c r="L105" s="914"/>
      <c r="M105" s="913">
        <f t="shared" si="6"/>
        <v>3102050.18</v>
      </c>
      <c r="N105" s="915"/>
    </row>
    <row r="106" spans="1:14" ht="27" customHeight="1" outlineLevel="1" x14ac:dyDescent="0.25">
      <c r="A106" s="351" t="s">
        <v>1783</v>
      </c>
      <c r="B106" s="919" t="s">
        <v>1728</v>
      </c>
      <c r="C106" s="917"/>
      <c r="D106" s="917"/>
      <c r="E106" s="917"/>
      <c r="F106" s="917"/>
      <c r="G106" s="917"/>
      <c r="H106" s="914"/>
      <c r="I106" s="63" t="str">
        <f>VLOOKUP(B106,AA_Unitarios,'11'!$H$7,FALSE)</f>
        <v>UND</v>
      </c>
      <c r="J106" s="835">
        <f>+'14'!T424</f>
        <v>5</v>
      </c>
      <c r="K106" s="913">
        <f>+VLOOKUP(B106,AA_Unitarios,'11'!$M$7,FALSE)</f>
        <v>372738.80353563622</v>
      </c>
      <c r="L106" s="914"/>
      <c r="M106" s="913">
        <f t="shared" si="6"/>
        <v>1863694.02</v>
      </c>
      <c r="N106" s="915"/>
    </row>
    <row r="107" spans="1:14" ht="27" customHeight="1" outlineLevel="1" x14ac:dyDescent="0.25">
      <c r="A107" s="351" t="s">
        <v>1784</v>
      </c>
      <c r="B107" s="919" t="s">
        <v>1729</v>
      </c>
      <c r="C107" s="917"/>
      <c r="D107" s="917"/>
      <c r="E107" s="917"/>
      <c r="F107" s="917"/>
      <c r="G107" s="917"/>
      <c r="H107" s="914"/>
      <c r="I107" s="63" t="str">
        <f>VLOOKUP(B107,AA_Unitarios,'11'!$H$7,FALSE)</f>
        <v>UND</v>
      </c>
      <c r="J107" s="835">
        <f>+'14'!T435</f>
        <v>1</v>
      </c>
      <c r="K107" s="913">
        <f>+VLOOKUP(B107,AA_Unitarios,'11'!$M$7,FALSE)</f>
        <v>4060993.0007624249</v>
      </c>
      <c r="L107" s="914"/>
      <c r="M107" s="913">
        <f t="shared" si="6"/>
        <v>4060993</v>
      </c>
      <c r="N107" s="915"/>
    </row>
    <row r="108" spans="1:14" ht="27" customHeight="1" outlineLevel="1" x14ac:dyDescent="0.25">
      <c r="A108" s="351" t="s">
        <v>1785</v>
      </c>
      <c r="B108" s="919" t="s">
        <v>1730</v>
      </c>
      <c r="C108" s="917"/>
      <c r="D108" s="917"/>
      <c r="E108" s="917"/>
      <c r="F108" s="917"/>
      <c r="G108" s="917"/>
      <c r="H108" s="914"/>
      <c r="I108" s="63" t="str">
        <f>VLOOKUP(B108,AA_Unitarios,'11'!$H$7,FALSE)</f>
        <v>UND</v>
      </c>
      <c r="J108" s="835">
        <f>+'14'!T446</f>
        <v>1</v>
      </c>
      <c r="K108" s="913">
        <f>+VLOOKUP(B108,AA_Unitarios,'11'!$M$7,FALSE)</f>
        <v>15006102.2870213</v>
      </c>
      <c r="L108" s="914"/>
      <c r="M108" s="913">
        <f t="shared" si="6"/>
        <v>15006102.289999999</v>
      </c>
      <c r="N108" s="915"/>
    </row>
    <row r="109" spans="1:14" ht="27" customHeight="1" outlineLevel="1" x14ac:dyDescent="0.25">
      <c r="A109" s="351" t="s">
        <v>1786</v>
      </c>
      <c r="B109" s="919" t="s">
        <v>1731</v>
      </c>
      <c r="C109" s="917"/>
      <c r="D109" s="917"/>
      <c r="E109" s="917"/>
      <c r="F109" s="917"/>
      <c r="G109" s="917"/>
      <c r="H109" s="914"/>
      <c r="I109" s="63" t="str">
        <f>VLOOKUP(B109,AA_Unitarios,'11'!$H$7,FALSE)</f>
        <v>UND</v>
      </c>
      <c r="J109" s="835">
        <f>+'14'!T457</f>
        <v>3</v>
      </c>
      <c r="K109" s="913">
        <f>+VLOOKUP(B109,AA_Unitarios,'11'!$M$7,FALSE)</f>
        <v>1820476.2596258873</v>
      </c>
      <c r="L109" s="914"/>
      <c r="M109" s="913">
        <f t="shared" si="6"/>
        <v>5461428.7800000003</v>
      </c>
      <c r="N109" s="915"/>
    </row>
    <row r="110" spans="1:14" ht="27" customHeight="1" outlineLevel="1" x14ac:dyDescent="0.25">
      <c r="A110" s="351" t="s">
        <v>1787</v>
      </c>
      <c r="B110" s="919" t="s">
        <v>1732</v>
      </c>
      <c r="C110" s="917"/>
      <c r="D110" s="917"/>
      <c r="E110" s="917"/>
      <c r="F110" s="917"/>
      <c r="G110" s="917"/>
      <c r="H110" s="914"/>
      <c r="I110" s="63" t="str">
        <f>VLOOKUP(B110,AA_Unitarios,'11'!$H$7,FALSE)</f>
        <v>UND</v>
      </c>
      <c r="J110" s="835">
        <f>+'14'!T468</f>
        <v>8</v>
      </c>
      <c r="K110" s="913">
        <f>+VLOOKUP(B110,AA_Unitarios,'11'!$M$7,FALSE)</f>
        <v>629192.91432056797</v>
      </c>
      <c r="L110" s="914"/>
      <c r="M110" s="913">
        <f t="shared" si="6"/>
        <v>5033543.3099999996</v>
      </c>
      <c r="N110" s="915"/>
    </row>
    <row r="111" spans="1:14" ht="27" customHeight="1" outlineLevel="1" x14ac:dyDescent="0.25">
      <c r="A111" s="351" t="s">
        <v>1788</v>
      </c>
      <c r="B111" s="919" t="s">
        <v>1733</v>
      </c>
      <c r="C111" s="917"/>
      <c r="D111" s="917"/>
      <c r="E111" s="917"/>
      <c r="F111" s="917"/>
      <c r="G111" s="917"/>
      <c r="H111" s="914"/>
      <c r="I111" s="63" t="str">
        <f>VLOOKUP(B111,AA_Unitarios,'11'!$H$7,FALSE)</f>
        <v>UND</v>
      </c>
      <c r="J111" s="835">
        <f>+'14'!T479</f>
        <v>3</v>
      </c>
      <c r="K111" s="913">
        <f>+VLOOKUP(B111,AA_Unitarios,'11'!$M$7,FALSE)</f>
        <v>566353.68289308588</v>
      </c>
      <c r="L111" s="914"/>
      <c r="M111" s="913">
        <f t="shared" si="6"/>
        <v>1699061.05</v>
      </c>
      <c r="N111" s="915"/>
    </row>
    <row r="112" spans="1:14" ht="27" customHeight="1" outlineLevel="1" x14ac:dyDescent="0.25">
      <c r="A112" s="351" t="s">
        <v>1789</v>
      </c>
      <c r="B112" s="919" t="s">
        <v>1736</v>
      </c>
      <c r="C112" s="917"/>
      <c r="D112" s="917"/>
      <c r="E112" s="917"/>
      <c r="F112" s="917"/>
      <c r="G112" s="917"/>
      <c r="H112" s="914"/>
      <c r="I112" s="63" t="str">
        <f>VLOOKUP(B112,AA_Unitarios,'11'!$H$7,FALSE)</f>
        <v>UND</v>
      </c>
      <c r="J112" s="835">
        <f>+'14'!T490</f>
        <v>0.4</v>
      </c>
      <c r="K112" s="913">
        <f>+VLOOKUP(B112,AA_Unitarios,'11'!$M$7,FALSE)</f>
        <v>9706.7031156533758</v>
      </c>
      <c r="L112" s="914"/>
      <c r="M112" s="913">
        <f t="shared" si="6"/>
        <v>3882.68</v>
      </c>
      <c r="N112" s="915"/>
    </row>
    <row r="113" spans="1:14" ht="27" customHeight="1" outlineLevel="1" x14ac:dyDescent="0.25">
      <c r="A113" s="351" t="s">
        <v>1790</v>
      </c>
      <c r="B113" s="919" t="s">
        <v>1724</v>
      </c>
      <c r="C113" s="917"/>
      <c r="D113" s="917"/>
      <c r="E113" s="917"/>
      <c r="F113" s="917"/>
      <c r="G113" s="917"/>
      <c r="H113" s="914"/>
      <c r="I113" s="63" t="str">
        <f>VLOOKUP(B113,AA_Unitarios,'11'!$H$7,FALSE)</f>
        <v>UND</v>
      </c>
      <c r="J113" s="835">
        <f>+'14'!T214</f>
        <v>30.45</v>
      </c>
      <c r="K113" s="913">
        <f>+VLOOKUP(B113,AA_Unitarios,'11'!$M$7,FALSE)</f>
        <v>191548.38248341251</v>
      </c>
      <c r="L113" s="914"/>
      <c r="M113" s="913">
        <f t="shared" si="6"/>
        <v>5832648.25</v>
      </c>
      <c r="N113" s="915"/>
    </row>
    <row r="114" spans="1:14" ht="27" customHeight="1" outlineLevel="1" x14ac:dyDescent="0.25">
      <c r="A114" s="351" t="s">
        <v>1791</v>
      </c>
      <c r="B114" s="919" t="s">
        <v>1725</v>
      </c>
      <c r="C114" s="917"/>
      <c r="D114" s="917"/>
      <c r="E114" s="917"/>
      <c r="F114" s="917"/>
      <c r="G114" s="917"/>
      <c r="H114" s="914"/>
      <c r="I114" s="63" t="str">
        <f>VLOOKUP(B114,AA_Unitarios,'11'!$H$7,FALSE)</f>
        <v>UND</v>
      </c>
      <c r="J114" s="835">
        <f>+'14'!T225</f>
        <v>4</v>
      </c>
      <c r="K114" s="913">
        <f>+VLOOKUP(B114,AA_Unitarios,'11'!$M$7,FALSE)</f>
        <v>189227.88248341251</v>
      </c>
      <c r="L114" s="914"/>
      <c r="M114" s="913">
        <f t="shared" si="6"/>
        <v>756911.53</v>
      </c>
      <c r="N114" s="915"/>
    </row>
    <row r="115" spans="1:14" ht="27" customHeight="1" outlineLevel="1" x14ac:dyDescent="0.25">
      <c r="A115" s="351" t="s">
        <v>1792</v>
      </c>
      <c r="B115" s="919" t="s">
        <v>1737</v>
      </c>
      <c r="C115" s="917"/>
      <c r="D115" s="917"/>
      <c r="E115" s="917"/>
      <c r="F115" s="917"/>
      <c r="G115" s="917"/>
      <c r="H115" s="914"/>
      <c r="I115" s="63" t="str">
        <f>VLOOKUP(B115,AA_Unitarios,'11'!$H$7,FALSE)</f>
        <v>M2</v>
      </c>
      <c r="J115" s="835">
        <f>+'14'!T236</f>
        <v>570</v>
      </c>
      <c r="K115" s="913">
        <f>+VLOOKUP(B115,AA_Unitarios,'11'!$M$7,FALSE)</f>
        <v>397308.63684672874</v>
      </c>
      <c r="L115" s="914"/>
      <c r="M115" s="913">
        <f t="shared" si="6"/>
        <v>226465923</v>
      </c>
      <c r="N115" s="915"/>
    </row>
    <row r="116" spans="1:14" ht="13.5" outlineLevel="1" x14ac:dyDescent="0.25">
      <c r="A116" s="352" t="s">
        <v>1203</v>
      </c>
      <c r="B116" s="918" t="s">
        <v>2040</v>
      </c>
      <c r="C116" s="917"/>
      <c r="D116" s="917"/>
      <c r="E116" s="917"/>
      <c r="F116" s="917"/>
      <c r="G116" s="917"/>
      <c r="H116" s="917"/>
      <c r="I116" s="917"/>
      <c r="J116" s="917"/>
      <c r="K116" s="917"/>
      <c r="L116" s="917"/>
      <c r="M116" s="917"/>
      <c r="N116" s="915"/>
    </row>
    <row r="117" spans="1:14" ht="13.5" customHeight="1" outlineLevel="1" x14ac:dyDescent="0.25">
      <c r="A117" s="351" t="s">
        <v>1204</v>
      </c>
      <c r="B117" s="919" t="s">
        <v>1734</v>
      </c>
      <c r="C117" s="917"/>
      <c r="D117" s="917"/>
      <c r="E117" s="917"/>
      <c r="F117" s="917"/>
      <c r="G117" s="917"/>
      <c r="H117" s="914"/>
      <c r="I117" s="63" t="str">
        <f>VLOOKUP(B117,AA_Unitarios,'11'!$H$7,FALSE)</f>
        <v>ML</v>
      </c>
      <c r="J117" s="64">
        <f>+'14'!T402</f>
        <v>2.64</v>
      </c>
      <c r="K117" s="913">
        <f>+VLOOKUP(B117,AA_Unitarios,'11'!$M$7,FALSE)</f>
        <v>152727.75121290918</v>
      </c>
      <c r="L117" s="914"/>
      <c r="M117" s="913">
        <f t="shared" ref="M117:M118" si="7">ROUND(J117*K117,2)</f>
        <v>403201.26</v>
      </c>
      <c r="N117" s="915"/>
    </row>
    <row r="118" spans="1:14" ht="13.5" customHeight="1" outlineLevel="1" x14ac:dyDescent="0.25">
      <c r="A118" s="351" t="s">
        <v>1205</v>
      </c>
      <c r="B118" s="919" t="s">
        <v>1735</v>
      </c>
      <c r="C118" s="917"/>
      <c r="D118" s="917"/>
      <c r="E118" s="917"/>
      <c r="F118" s="917"/>
      <c r="G118" s="917"/>
      <c r="H118" s="914"/>
      <c r="I118" s="63" t="str">
        <f>VLOOKUP(B118,AA_Unitarios,'11'!$H$7,FALSE)</f>
        <v>ML</v>
      </c>
      <c r="J118" s="64">
        <f>+'14'!T391</f>
        <v>48.42</v>
      </c>
      <c r="K118" s="913">
        <f>+VLOOKUP(B118,AA_Unitarios,'11'!$M$7,FALSE)</f>
        <v>290743.66387957585</v>
      </c>
      <c r="L118" s="914"/>
      <c r="M118" s="913">
        <f t="shared" si="7"/>
        <v>14077808.210000001</v>
      </c>
      <c r="N118" s="915"/>
    </row>
    <row r="119" spans="1:14" ht="13.15" customHeight="1" outlineLevel="1" x14ac:dyDescent="0.25">
      <c r="A119" s="350" t="s">
        <v>1956</v>
      </c>
      <c r="B119" s="918" t="s">
        <v>1161</v>
      </c>
      <c r="C119" s="917"/>
      <c r="D119" s="917"/>
      <c r="E119" s="917"/>
      <c r="F119" s="917"/>
      <c r="G119" s="917"/>
      <c r="H119" s="917"/>
      <c r="I119" s="917"/>
      <c r="J119" s="917"/>
      <c r="K119" s="917"/>
      <c r="L119" s="917"/>
      <c r="M119" s="917"/>
      <c r="N119" s="915"/>
    </row>
    <row r="120" spans="1:14" ht="13.5" outlineLevel="1" x14ac:dyDescent="0.25">
      <c r="A120" s="351" t="s">
        <v>1957</v>
      </c>
      <c r="B120" s="919" t="s">
        <v>1703</v>
      </c>
      <c r="C120" s="917"/>
      <c r="D120" s="917"/>
      <c r="E120" s="917"/>
      <c r="F120" s="917"/>
      <c r="G120" s="917"/>
      <c r="H120" s="914"/>
      <c r="I120" s="63" t="str">
        <f>VLOOKUP(B120,AA_Unitarios,'11'!$H$7,FALSE)</f>
        <v>M3</v>
      </c>
      <c r="J120" s="64">
        <f>+J98</f>
        <v>64.564999999999984</v>
      </c>
      <c r="K120" s="935">
        <f>VLOOKUP(B120,AA_Unitarios,'11'!$M$7,FALSE)</f>
        <v>22815</v>
      </c>
      <c r="L120" s="936"/>
      <c r="M120" s="913">
        <f>ROUND(J120*K120,2)</f>
        <v>1473050.48</v>
      </c>
      <c r="N120" s="915"/>
    </row>
    <row r="121" spans="1:14" ht="13.5" customHeight="1" x14ac:dyDescent="0.2">
      <c r="A121" s="337"/>
      <c r="B121" s="76"/>
      <c r="C121" s="76"/>
      <c r="D121" s="76"/>
      <c r="E121" s="76"/>
      <c r="F121" s="76"/>
      <c r="G121" s="76"/>
      <c r="H121" s="76"/>
      <c r="I121" s="76"/>
      <c r="J121" s="76"/>
      <c r="K121" s="76"/>
      <c r="L121" s="76"/>
      <c r="M121" s="76"/>
      <c r="N121" s="338"/>
    </row>
    <row r="122" spans="1:14" ht="13.5" x14ac:dyDescent="0.25">
      <c r="A122" s="364"/>
      <c r="B122" s="362"/>
      <c r="C122" s="363"/>
      <c r="D122" s="363"/>
      <c r="E122" s="356"/>
      <c r="F122" s="356"/>
      <c r="G122" s="356"/>
      <c r="H122" s="922" t="s">
        <v>972</v>
      </c>
      <c r="I122" s="928"/>
      <c r="J122" s="929"/>
      <c r="K122" s="930"/>
      <c r="L122" s="914"/>
      <c r="M122" s="930"/>
      <c r="N122" s="915"/>
    </row>
    <row r="123" spans="1:14" ht="13.5" x14ac:dyDescent="0.25">
      <c r="A123" s="364"/>
      <c r="B123" s="362"/>
      <c r="C123" s="363"/>
      <c r="D123" s="363"/>
      <c r="E123" s="356"/>
      <c r="F123" s="354"/>
      <c r="G123" s="354"/>
      <c r="H123" s="354"/>
      <c r="I123" s="354"/>
      <c r="J123" s="354"/>
      <c r="K123" s="354"/>
      <c r="L123" s="354"/>
      <c r="M123" s="354"/>
      <c r="N123" s="355"/>
    </row>
    <row r="124" spans="1:14" ht="13.5" x14ac:dyDescent="0.25">
      <c r="A124" s="364"/>
      <c r="B124" s="362"/>
      <c r="C124" s="363"/>
      <c r="D124" s="363"/>
      <c r="E124" s="356"/>
      <c r="F124" s="356"/>
      <c r="G124" s="356"/>
      <c r="H124" s="922" t="s">
        <v>973</v>
      </c>
      <c r="I124" s="928"/>
      <c r="J124" s="929"/>
      <c r="K124" s="930">
        <v>0</v>
      </c>
      <c r="L124" s="914"/>
      <c r="M124" s="930"/>
      <c r="N124" s="915"/>
    </row>
    <row r="125" spans="1:14" ht="13.5" customHeight="1" x14ac:dyDescent="0.2">
      <c r="A125" s="337"/>
      <c r="B125" s="76"/>
      <c r="C125" s="76"/>
      <c r="D125" s="76"/>
      <c r="E125" s="76"/>
      <c r="F125" s="76"/>
      <c r="G125" s="76"/>
      <c r="H125" s="76"/>
      <c r="I125" s="76"/>
      <c r="J125" s="76"/>
      <c r="K125" s="76"/>
      <c r="L125" s="76"/>
      <c r="M125" s="76"/>
      <c r="N125" s="338"/>
    </row>
    <row r="126" spans="1:14" ht="13.5" x14ac:dyDescent="0.25">
      <c r="A126" s="364"/>
      <c r="B126" s="362"/>
      <c r="C126" s="363"/>
      <c r="D126" s="363"/>
      <c r="E126" s="356"/>
      <c r="F126" s="365"/>
      <c r="G126" s="354"/>
      <c r="H126" s="922" t="s">
        <v>974</v>
      </c>
      <c r="I126" s="928"/>
      <c r="J126" s="929"/>
      <c r="K126" s="930">
        <f>ROUND((SUM(M173:N174)),2)</f>
        <v>192779227.06999999</v>
      </c>
      <c r="L126" s="914"/>
      <c r="M126" s="930">
        <f>ROUND((SUM(M129:M177)-K126),2)</f>
        <v>2425600705.96</v>
      </c>
      <c r="N126" s="915"/>
    </row>
    <row r="127" spans="1:14" ht="13.5" outlineLevel="1" x14ac:dyDescent="0.25">
      <c r="A127" s="940" t="s">
        <v>76</v>
      </c>
      <c r="B127" s="917"/>
      <c r="C127" s="917"/>
      <c r="D127" s="917"/>
      <c r="E127" s="917"/>
      <c r="F127" s="917"/>
      <c r="G127" s="917"/>
      <c r="H127" s="914"/>
      <c r="I127" s="66" t="s">
        <v>77</v>
      </c>
      <c r="J127" s="66" t="s">
        <v>40</v>
      </c>
      <c r="K127" s="941" t="s">
        <v>78</v>
      </c>
      <c r="L127" s="914"/>
      <c r="M127" s="941" t="s">
        <v>42</v>
      </c>
      <c r="N127" s="915"/>
    </row>
    <row r="128" spans="1:14" ht="13.5" outlineLevel="1" x14ac:dyDescent="0.25">
      <c r="A128" s="360" t="s">
        <v>976</v>
      </c>
      <c r="B128" s="934" t="s">
        <v>44</v>
      </c>
      <c r="C128" s="917"/>
      <c r="D128" s="917"/>
      <c r="E128" s="917"/>
      <c r="F128" s="917"/>
      <c r="G128" s="917"/>
      <c r="H128" s="917"/>
      <c r="I128" s="917"/>
      <c r="J128" s="917"/>
      <c r="K128" s="917"/>
      <c r="L128" s="917"/>
      <c r="M128" s="917"/>
      <c r="N128" s="915"/>
    </row>
    <row r="129" spans="1:23" ht="13.5" customHeight="1" outlineLevel="1" x14ac:dyDescent="0.25">
      <c r="A129" s="349" t="s">
        <v>977</v>
      </c>
      <c r="B129" s="916" t="s">
        <v>1606</v>
      </c>
      <c r="C129" s="931"/>
      <c r="D129" s="931"/>
      <c r="E129" s="931"/>
      <c r="F129" s="931"/>
      <c r="G129" s="931"/>
      <c r="H129" s="932"/>
      <c r="I129" s="63" t="str">
        <f>VLOOKUP(B129,AA_Unitarios,'11'!$H$7,FALSE)</f>
        <v>ML</v>
      </c>
      <c r="J129" s="64">
        <f>+'15'!I16</f>
        <v>3281.1731034620366</v>
      </c>
      <c r="K129" s="913">
        <f>+VLOOKUP(B129,AA_Unitarios,'11'!$M$7,FALSE)</f>
        <v>11175.461164172608</v>
      </c>
      <c r="L129" s="914"/>
      <c r="M129" s="913">
        <f t="shared" ref="M129:M132" si="8">ROUND(J129*K129,2)</f>
        <v>36668622.590000004</v>
      </c>
      <c r="N129" s="915"/>
      <c r="Q129" t="s">
        <v>812</v>
      </c>
      <c r="R129">
        <v>1</v>
      </c>
      <c r="S129">
        <v>2</v>
      </c>
      <c r="T129">
        <v>3</v>
      </c>
      <c r="U129">
        <v>4</v>
      </c>
      <c r="V129">
        <v>5</v>
      </c>
      <c r="W129" s="765" t="s">
        <v>852</v>
      </c>
    </row>
    <row r="130" spans="1:23" ht="13.5" customHeight="1" outlineLevel="1" x14ac:dyDescent="0.25">
      <c r="A130" s="349" t="s">
        <v>1623</v>
      </c>
      <c r="B130" s="916" t="s">
        <v>1624</v>
      </c>
      <c r="C130" s="931"/>
      <c r="D130" s="931"/>
      <c r="E130" s="931"/>
      <c r="F130" s="931"/>
      <c r="G130" s="931"/>
      <c r="H130" s="932"/>
      <c r="I130" s="63" t="str">
        <f>VLOOKUP(B130,AA_Unitarios,'11'!$H$7,FALSE)</f>
        <v>M2</v>
      </c>
      <c r="J130" s="64">
        <f>+'15'!N25</f>
        <v>317.03200000000004</v>
      </c>
      <c r="K130" s="913">
        <f>+VLOOKUP(B130,AA_Unitarios,'11'!$M$7,FALSE)</f>
        <v>16332.803151446715</v>
      </c>
      <c r="L130" s="914"/>
      <c r="M130" s="913">
        <f t="shared" si="8"/>
        <v>5178021.25</v>
      </c>
      <c r="N130" s="915"/>
      <c r="W130" s="765"/>
    </row>
    <row r="131" spans="1:23" ht="13.5" customHeight="1" outlineLevel="1" x14ac:dyDescent="0.25">
      <c r="A131" s="349" t="s">
        <v>1627</v>
      </c>
      <c r="B131" s="916" t="s">
        <v>1625</v>
      </c>
      <c r="C131" s="931"/>
      <c r="D131" s="931"/>
      <c r="E131" s="931"/>
      <c r="F131" s="931"/>
      <c r="G131" s="931"/>
      <c r="H131" s="932"/>
      <c r="I131" s="63" t="str">
        <f>VLOOKUP(B131,AA_Unitarios,'11'!$H$7,FALSE)</f>
        <v>UND</v>
      </c>
      <c r="J131" s="64">
        <v>0</v>
      </c>
      <c r="K131" s="913">
        <f>+VLOOKUP(B131,AA_Unitarios,'11'!$M$7,FALSE)</f>
        <v>6251783.8568704464</v>
      </c>
      <c r="L131" s="914"/>
      <c r="M131" s="913">
        <f t="shared" si="8"/>
        <v>0</v>
      </c>
      <c r="N131" s="915"/>
      <c r="W131" s="765"/>
    </row>
    <row r="132" spans="1:23" ht="36.75" customHeight="1" outlineLevel="1" x14ac:dyDescent="0.25">
      <c r="A132" s="349" t="s">
        <v>1628</v>
      </c>
      <c r="B132" s="916" t="s">
        <v>1626</v>
      </c>
      <c r="C132" s="931"/>
      <c r="D132" s="931"/>
      <c r="E132" s="931"/>
      <c r="F132" s="931"/>
      <c r="G132" s="931"/>
      <c r="H132" s="932"/>
      <c r="I132" s="63" t="str">
        <f>VLOOKUP(B132,AA_Unitarios,'11'!$H$7,FALSE)</f>
        <v>ML/MES</v>
      </c>
      <c r="J132" s="64">
        <v>1000</v>
      </c>
      <c r="K132" s="913">
        <f>+VLOOKUP(B132,AA_Unitarios,'11'!$M$7,FALSE)</f>
        <v>98320.804359999136</v>
      </c>
      <c r="L132" s="914"/>
      <c r="M132" s="913">
        <f t="shared" si="8"/>
        <v>98320804.359999999</v>
      </c>
      <c r="N132" s="915"/>
      <c r="W132" s="765"/>
    </row>
    <row r="133" spans="1:23" ht="13.5" outlineLevel="1" x14ac:dyDescent="0.25">
      <c r="A133" s="360" t="s">
        <v>978</v>
      </c>
      <c r="B133" s="933" t="s">
        <v>1629</v>
      </c>
      <c r="C133" s="917"/>
      <c r="D133" s="917"/>
      <c r="E133" s="917"/>
      <c r="F133" s="917"/>
      <c r="G133" s="917"/>
      <c r="H133" s="917"/>
      <c r="I133" s="917"/>
      <c r="J133" s="917"/>
      <c r="K133" s="917"/>
      <c r="L133" s="917"/>
      <c r="M133" s="917"/>
      <c r="N133" s="915"/>
      <c r="Q133" s="766" t="s">
        <v>1476</v>
      </c>
      <c r="R133">
        <v>1441.3980000000001</v>
      </c>
      <c r="S133">
        <v>673.61599999999999</v>
      </c>
      <c r="T133">
        <v>0</v>
      </c>
      <c r="U133">
        <v>0</v>
      </c>
      <c r="V133">
        <v>0</v>
      </c>
      <c r="W133" s="765">
        <f t="shared" ref="W133:W141" si="9">SUM(R133:V133)</f>
        <v>2115.0140000000001</v>
      </c>
    </row>
    <row r="134" spans="1:23" ht="13.5" outlineLevel="1" x14ac:dyDescent="0.25">
      <c r="A134" s="349" t="s">
        <v>988</v>
      </c>
      <c r="B134" s="916" t="s">
        <v>1630</v>
      </c>
      <c r="C134" s="917"/>
      <c r="D134" s="917"/>
      <c r="E134" s="917"/>
      <c r="F134" s="917"/>
      <c r="G134" s="917"/>
      <c r="H134" s="914"/>
      <c r="I134" s="63" t="str">
        <f>VLOOKUP(B134,AA_Unitarios,'11'!$H$7,FALSE)</f>
        <v>M3</v>
      </c>
      <c r="J134" s="64">
        <f>+'15'!R42</f>
        <v>393.74077241544427</v>
      </c>
      <c r="K134" s="913">
        <f>VLOOKUP(B134,AA_Unitarios,'11'!$M$7,FALSE)</f>
        <v>223952.40350096428</v>
      </c>
      <c r="L134" s="914"/>
      <c r="M134" s="913">
        <f t="shared" ref="M134:M135" si="10">ROUND(J134*K134,2)</f>
        <v>88179192.340000004</v>
      </c>
      <c r="N134" s="915"/>
      <c r="Q134" s="766" t="s">
        <v>1477</v>
      </c>
      <c r="R134">
        <v>2118.3620000000001</v>
      </c>
      <c r="S134">
        <v>2148.9849999999997</v>
      </c>
      <c r="T134">
        <v>0</v>
      </c>
      <c r="U134">
        <v>0</v>
      </c>
      <c r="V134">
        <v>0</v>
      </c>
      <c r="W134" s="765">
        <f t="shared" si="9"/>
        <v>4267.3469999999998</v>
      </c>
    </row>
    <row r="135" spans="1:23" ht="13.5" customHeight="1" outlineLevel="1" x14ac:dyDescent="0.25">
      <c r="A135" s="351" t="s">
        <v>1633</v>
      </c>
      <c r="B135" s="916" t="s">
        <v>1631</v>
      </c>
      <c r="C135" s="917"/>
      <c r="D135" s="917"/>
      <c r="E135" s="917"/>
      <c r="F135" s="917"/>
      <c r="G135" s="917"/>
      <c r="H135" s="914"/>
      <c r="I135" s="63" t="str">
        <f>VLOOKUP(B135,AA_Unitarios,'11'!$H$7,FALSE)</f>
        <v>M3</v>
      </c>
      <c r="J135" s="64">
        <f>+'15'!X42</f>
        <v>507.50000000000006</v>
      </c>
      <c r="K135" s="913">
        <f>+VLOOKUP(B135,AA_Unitarios,'11'!$M$7,FALSE)</f>
        <v>171919.902632218</v>
      </c>
      <c r="L135" s="914"/>
      <c r="M135" s="913">
        <f t="shared" si="10"/>
        <v>87249350.590000004</v>
      </c>
      <c r="N135" s="915"/>
      <c r="Q135" s="766" t="s">
        <v>1478</v>
      </c>
      <c r="R135">
        <v>1473.3170000000014</v>
      </c>
      <c r="S135">
        <v>1387.6970000000001</v>
      </c>
      <c r="T135">
        <v>0</v>
      </c>
      <c r="U135">
        <v>0</v>
      </c>
      <c r="V135">
        <v>0</v>
      </c>
      <c r="W135" s="765">
        <f t="shared" si="9"/>
        <v>2861.0140000000015</v>
      </c>
    </row>
    <row r="136" spans="1:23" ht="13.5" outlineLevel="1" x14ac:dyDescent="0.25">
      <c r="A136" s="360" t="s">
        <v>979</v>
      </c>
      <c r="B136" s="937" t="s">
        <v>52</v>
      </c>
      <c r="C136" s="917"/>
      <c r="D136" s="917"/>
      <c r="E136" s="917"/>
      <c r="F136" s="917"/>
      <c r="G136" s="917"/>
      <c r="H136" s="917"/>
      <c r="I136" s="917"/>
      <c r="J136" s="917"/>
      <c r="K136" s="917"/>
      <c r="L136" s="917"/>
      <c r="M136" s="917"/>
      <c r="N136" s="915"/>
      <c r="T136">
        <v>0</v>
      </c>
      <c r="U136">
        <v>0</v>
      </c>
      <c r="V136">
        <v>0</v>
      </c>
      <c r="W136" s="765">
        <f t="shared" ref="W136:W137" si="11">SUM(R136:V136)</f>
        <v>0</v>
      </c>
    </row>
    <row r="137" spans="1:23" ht="27" customHeight="1" outlineLevel="1" x14ac:dyDescent="0.25">
      <c r="A137" s="349" t="s">
        <v>980</v>
      </c>
      <c r="B137" s="916" t="str">
        <f>UNITARIOS!A334</f>
        <v>EXCAVACION MANUAL A TODO FACTOR 0 A  5 M DE PROFUNDIDAD</v>
      </c>
      <c r="C137" s="917"/>
      <c r="D137" s="917"/>
      <c r="E137" s="917"/>
      <c r="F137" s="917"/>
      <c r="G137" s="917"/>
      <c r="H137" s="914"/>
      <c r="I137" s="63" t="str">
        <f>UNITARIOS!D337</f>
        <v>M3</v>
      </c>
      <c r="J137" s="64">
        <f>+'15'!O25+'15'!O42+'15'!O126</f>
        <v>3380.6694482849448</v>
      </c>
      <c r="K137" s="913">
        <f>UNITARIOS!F337</f>
        <v>63154.621693800007</v>
      </c>
      <c r="L137" s="914"/>
      <c r="M137" s="913">
        <f>ROUND(J137*K137,2)</f>
        <v>213504900.08000001</v>
      </c>
      <c r="N137" s="915"/>
      <c r="Q137" t="s">
        <v>1455</v>
      </c>
      <c r="R137" s="767">
        <f>+'15'!I14</f>
        <v>0</v>
      </c>
      <c r="S137" s="767"/>
      <c r="T137">
        <v>0</v>
      </c>
      <c r="U137">
        <v>0</v>
      </c>
      <c r="V137">
        <v>0</v>
      </c>
      <c r="W137" s="765">
        <f t="shared" si="11"/>
        <v>0</v>
      </c>
    </row>
    <row r="138" spans="1:23" ht="13.5" outlineLevel="1" x14ac:dyDescent="0.25">
      <c r="A138" s="360" t="s">
        <v>979</v>
      </c>
      <c r="B138" s="937" t="s">
        <v>52</v>
      </c>
      <c r="C138" s="917"/>
      <c r="D138" s="917"/>
      <c r="E138" s="917"/>
      <c r="F138" s="917"/>
      <c r="G138" s="917"/>
      <c r="H138" s="917"/>
      <c r="I138" s="917"/>
      <c r="J138" s="917"/>
      <c r="K138" s="917"/>
      <c r="L138" s="917"/>
      <c r="M138" s="917"/>
      <c r="N138" s="915"/>
      <c r="T138">
        <v>0</v>
      </c>
      <c r="U138">
        <v>0</v>
      </c>
      <c r="V138">
        <v>0</v>
      </c>
      <c r="W138" s="765">
        <f t="shared" si="9"/>
        <v>0</v>
      </c>
    </row>
    <row r="139" spans="1:23" ht="27" customHeight="1" outlineLevel="1" x14ac:dyDescent="0.25">
      <c r="A139" s="349" t="s">
        <v>980</v>
      </c>
      <c r="B139" s="916" t="s">
        <v>1674</v>
      </c>
      <c r="C139" s="917"/>
      <c r="D139" s="917"/>
      <c r="E139" s="917"/>
      <c r="F139" s="917"/>
      <c r="G139" s="917"/>
      <c r="H139" s="914"/>
      <c r="I139" s="63" t="str">
        <f>VLOOKUP(B139,AA_Unitarios,'11'!$H$7,FALSE)</f>
        <v>M3</v>
      </c>
      <c r="J139" s="64">
        <f>+'15'!U25+'15'!U42+'15'!U126</f>
        <v>1012.3486125218205</v>
      </c>
      <c r="K139" s="913">
        <f>+VLOOKUP(B139,AA_Unitarios,'11'!$M$7,FALSE)</f>
        <v>241471.21856195002</v>
      </c>
      <c r="L139" s="914"/>
      <c r="M139" s="913">
        <f t="shared" ref="M139:M141" si="12">ROUND(J139*K139,2)</f>
        <v>244453053.08000001</v>
      </c>
      <c r="N139" s="915"/>
      <c r="Q139" t="s">
        <v>1455</v>
      </c>
      <c r="R139" s="767">
        <f>+'15'!I16</f>
        <v>3281.1731034620366</v>
      </c>
      <c r="S139" s="767"/>
      <c r="T139">
        <v>0</v>
      </c>
      <c r="U139">
        <v>0</v>
      </c>
      <c r="V139">
        <v>0</v>
      </c>
      <c r="W139" s="765">
        <f t="shared" si="9"/>
        <v>3281.1731034620366</v>
      </c>
    </row>
    <row r="140" spans="1:23" ht="40.5" customHeight="1" outlineLevel="1" x14ac:dyDescent="0.25">
      <c r="A140" s="349" t="s">
        <v>981</v>
      </c>
      <c r="B140" s="916" t="s">
        <v>1675</v>
      </c>
      <c r="C140" s="917"/>
      <c r="D140" s="917"/>
      <c r="E140" s="917"/>
      <c r="F140" s="917"/>
      <c r="G140" s="917"/>
      <c r="H140" s="914"/>
      <c r="I140" s="63" t="str">
        <f>VLOOKUP(B140,AA_Unitarios,'11'!$H$7,FALSE)</f>
        <v>M3</v>
      </c>
      <c r="J140" s="64">
        <f>+'15'!V25</f>
        <v>63.406400000000012</v>
      </c>
      <c r="K140" s="913">
        <f>+VLOOKUP(B140,AA_Unitarios,'11'!$M$7,FALSE)</f>
        <v>268777.23373475333</v>
      </c>
      <c r="L140" s="914"/>
      <c r="M140" s="913">
        <f t="shared" si="12"/>
        <v>17042196.789999999</v>
      </c>
      <c r="N140" s="915"/>
      <c r="Q140" t="s">
        <v>1456</v>
      </c>
      <c r="R140" s="767">
        <v>2694.204999999999</v>
      </c>
      <c r="S140" s="767"/>
      <c r="T140">
        <v>0</v>
      </c>
      <c r="U140">
        <v>0</v>
      </c>
      <c r="V140">
        <v>0</v>
      </c>
      <c r="W140" s="765">
        <f t="shared" si="9"/>
        <v>2694.204999999999</v>
      </c>
    </row>
    <row r="141" spans="1:23" ht="40.5" customHeight="1" outlineLevel="1" x14ac:dyDescent="0.25">
      <c r="A141" s="349" t="s">
        <v>982</v>
      </c>
      <c r="B141" s="916" t="s">
        <v>1676</v>
      </c>
      <c r="C141" s="917"/>
      <c r="D141" s="917"/>
      <c r="E141" s="917"/>
      <c r="F141" s="917"/>
      <c r="G141" s="917"/>
      <c r="H141" s="914"/>
      <c r="I141" s="63" t="str">
        <f>VLOOKUP(B141,AA_Unitarios,'11'!$H$7,FALSE)</f>
        <v>M3</v>
      </c>
      <c r="J141" s="64">
        <f>+'15'!W25+'15'!W42+'15'!W126</f>
        <v>2919.6690689733614</v>
      </c>
      <c r="K141" s="913">
        <f>+VLOOKUP(B141,AA_Unitarios,'11'!$M$7,FALSE)</f>
        <v>36873.321021598778</v>
      </c>
      <c r="L141" s="914"/>
      <c r="M141" s="913">
        <f t="shared" si="12"/>
        <v>107657894.86</v>
      </c>
      <c r="N141" s="915"/>
      <c r="Q141" t="s">
        <v>852</v>
      </c>
      <c r="R141" s="767">
        <v>7727.2820000000002</v>
      </c>
      <c r="S141" s="767">
        <v>5969.8890000000001</v>
      </c>
      <c r="T141">
        <v>0</v>
      </c>
      <c r="U141">
        <v>0</v>
      </c>
      <c r="V141">
        <v>0</v>
      </c>
      <c r="W141" s="765">
        <f t="shared" si="9"/>
        <v>13697.171</v>
      </c>
    </row>
    <row r="142" spans="1:23" ht="13.5" outlineLevel="1" x14ac:dyDescent="0.25">
      <c r="A142" s="352" t="s">
        <v>983</v>
      </c>
      <c r="B142" s="934" t="s">
        <v>67</v>
      </c>
      <c r="C142" s="917"/>
      <c r="D142" s="917"/>
      <c r="E142" s="917"/>
      <c r="F142" s="917"/>
      <c r="G142" s="917"/>
      <c r="H142" s="917"/>
      <c r="I142" s="917"/>
      <c r="J142" s="917"/>
      <c r="K142" s="917"/>
      <c r="L142" s="917"/>
      <c r="M142" s="917"/>
      <c r="N142" s="915"/>
      <c r="Q142" t="s">
        <v>1457</v>
      </c>
    </row>
    <row r="143" spans="1:23" ht="36" customHeight="1" outlineLevel="1" x14ac:dyDescent="0.25">
      <c r="A143" s="351" t="s">
        <v>984</v>
      </c>
      <c r="B143" s="916" t="s">
        <v>1677</v>
      </c>
      <c r="C143" s="917"/>
      <c r="D143" s="917"/>
      <c r="E143" s="917"/>
      <c r="F143" s="917"/>
      <c r="G143" s="917"/>
      <c r="H143" s="914"/>
      <c r="I143" s="63" t="str">
        <f>VLOOKUP(B143,AA_Unitarios,'11'!$H$7,FALSE)</f>
        <v>UND</v>
      </c>
      <c r="J143" s="834">
        <f>+'17'!C155</f>
        <v>9</v>
      </c>
      <c r="K143" s="913">
        <f>VLOOKUP(B143,AA_Unitarios,'11'!$M$7,FALSE)</f>
        <v>931285.27301628003</v>
      </c>
      <c r="L143" s="914"/>
      <c r="M143" s="913">
        <f t="shared" ref="M143:M163" si="13">ROUND(J143*K143,2)</f>
        <v>8381567.46</v>
      </c>
      <c r="N143" s="915"/>
      <c r="Q143" t="s">
        <v>1458</v>
      </c>
    </row>
    <row r="144" spans="1:23" ht="13.5" outlineLevel="1" x14ac:dyDescent="0.25">
      <c r="A144" s="351" t="s">
        <v>1793</v>
      </c>
      <c r="B144" s="916" t="s">
        <v>1678</v>
      </c>
      <c r="C144" s="917"/>
      <c r="D144" s="917"/>
      <c r="E144" s="917"/>
      <c r="F144" s="917"/>
      <c r="G144" s="917"/>
      <c r="H144" s="914"/>
      <c r="I144" s="63" t="str">
        <f>VLOOKUP(B144,AA_Unitarios,'11'!$H$7,FALSE)</f>
        <v>UND</v>
      </c>
      <c r="J144" s="67">
        <f>+'17'!C167</f>
        <v>5</v>
      </c>
      <c r="K144" s="913">
        <f>+VLOOKUP(B144,AA_Unitarios,'11'!$M$7,FALSE)</f>
        <v>2183237.4650814002</v>
      </c>
      <c r="L144" s="914"/>
      <c r="M144" s="913">
        <f t="shared" si="13"/>
        <v>10916187.33</v>
      </c>
      <c r="N144" s="915"/>
      <c r="Q144" s="765" t="s">
        <v>1462</v>
      </c>
      <c r="R144" s="767" t="e">
        <f>#REF!-#REF!</f>
        <v>#REF!</v>
      </c>
      <c r="S144" s="767" t="e">
        <f>#REF!-#REF!</f>
        <v>#REF!</v>
      </c>
      <c r="T144">
        <v>0</v>
      </c>
      <c r="U144">
        <v>0</v>
      </c>
      <c r="V144">
        <v>0</v>
      </c>
      <c r="W144" s="765" t="e">
        <f t="shared" ref="W144:W151" si="14">SUM(R144:V144)</f>
        <v>#REF!</v>
      </c>
    </row>
    <row r="145" spans="1:23" ht="13.5" outlineLevel="1" x14ac:dyDescent="0.25">
      <c r="A145" s="351" t="s">
        <v>1794</v>
      </c>
      <c r="B145" s="916" t="s">
        <v>1679</v>
      </c>
      <c r="C145" s="917"/>
      <c r="D145" s="917"/>
      <c r="E145" s="917"/>
      <c r="F145" s="917"/>
      <c r="G145" s="917"/>
      <c r="H145" s="914"/>
      <c r="I145" s="63" t="str">
        <f>VLOOKUP(B145,AA_Unitarios,'11'!$H$7,FALSE)</f>
        <v>UND</v>
      </c>
      <c r="J145" s="67">
        <f>+'17'!C168</f>
        <v>1</v>
      </c>
      <c r="K145" s="913">
        <f>+VLOOKUP(B145,AA_Unitarios,'11'!$M$7,FALSE)</f>
        <v>6362076.9247035012</v>
      </c>
      <c r="L145" s="914"/>
      <c r="M145" s="913">
        <f t="shared" si="13"/>
        <v>6362076.9199999999</v>
      </c>
      <c r="N145" s="915"/>
      <c r="Q145" s="765" t="s">
        <v>1460</v>
      </c>
      <c r="R145" s="767" t="e">
        <f>#REF!*0.05*R139</f>
        <v>#REF!</v>
      </c>
      <c r="S145" s="767" t="e">
        <f>#REF!*0.05*S139</f>
        <v>#REF!</v>
      </c>
      <c r="T145">
        <v>0</v>
      </c>
      <c r="U145">
        <v>0</v>
      </c>
      <c r="V145">
        <v>0</v>
      </c>
      <c r="W145" s="765" t="e">
        <f t="shared" si="14"/>
        <v>#REF!</v>
      </c>
    </row>
    <row r="146" spans="1:23" ht="27" customHeight="1" outlineLevel="1" x14ac:dyDescent="0.25">
      <c r="A146" s="351" t="s">
        <v>1795</v>
      </c>
      <c r="B146" s="916" t="s">
        <v>1680</v>
      </c>
      <c r="C146" s="917"/>
      <c r="D146" s="917"/>
      <c r="E146" s="917"/>
      <c r="F146" s="917"/>
      <c r="G146" s="917"/>
      <c r="H146" s="914"/>
      <c r="I146" s="63" t="str">
        <f>VLOOKUP(B146,AA_Unitarios,'11'!$H$7,FALSE)</f>
        <v>UND</v>
      </c>
      <c r="J146" s="67">
        <f>+'17'!C184</f>
        <v>7</v>
      </c>
      <c r="K146" s="913">
        <f>+VLOOKUP(B146,AA_Unitarios,'11'!$M$7,FALSE)</f>
        <v>18509880.093159001</v>
      </c>
      <c r="L146" s="914"/>
      <c r="M146" s="913">
        <f t="shared" si="13"/>
        <v>129569160.65000001</v>
      </c>
      <c r="N146" s="915"/>
      <c r="Q146" s="765" t="s">
        <v>1463</v>
      </c>
      <c r="R146" s="767" t="e">
        <f>#REF!*R139*0.1</f>
        <v>#REF!</v>
      </c>
      <c r="S146" s="767" t="e">
        <f>#REF!*S139*0.1</f>
        <v>#REF!</v>
      </c>
      <c r="T146">
        <v>0</v>
      </c>
      <c r="U146">
        <v>0</v>
      </c>
      <c r="V146">
        <v>0</v>
      </c>
      <c r="W146" s="765" t="e">
        <f t="shared" si="14"/>
        <v>#REF!</v>
      </c>
    </row>
    <row r="147" spans="1:23" ht="27" customHeight="1" outlineLevel="1" x14ac:dyDescent="0.25">
      <c r="A147" s="351" t="s">
        <v>1796</v>
      </c>
      <c r="B147" s="916" t="s">
        <v>1681</v>
      </c>
      <c r="C147" s="917"/>
      <c r="D147" s="917"/>
      <c r="E147" s="917"/>
      <c r="F147" s="917"/>
      <c r="G147" s="917"/>
      <c r="H147" s="914"/>
      <c r="I147" s="63" t="str">
        <f>VLOOKUP(B147,AA_Unitarios,'11'!$H$7,FALSE)</f>
        <v>UND</v>
      </c>
      <c r="J147" s="110">
        <f>+'17'!C222</f>
        <v>24</v>
      </c>
      <c r="K147" s="913">
        <f>+VLOOKUP(B147,AA_Unitarios,'11'!$M$7,FALSE)</f>
        <v>4893073.7301628003</v>
      </c>
      <c r="L147" s="914"/>
      <c r="M147" s="913">
        <f t="shared" si="13"/>
        <v>117433769.52</v>
      </c>
      <c r="N147" s="915"/>
      <c r="Q147" s="765" t="s">
        <v>1464</v>
      </c>
      <c r="R147" s="767" t="e">
        <f>#REF!-R145-R146</f>
        <v>#REF!</v>
      </c>
      <c r="S147" s="767" t="e">
        <f>#REF!-S145-S146</f>
        <v>#REF!</v>
      </c>
      <c r="T147">
        <v>0</v>
      </c>
      <c r="U147">
        <v>0</v>
      </c>
      <c r="V147">
        <v>0</v>
      </c>
      <c r="W147" s="765" t="e">
        <f t="shared" si="14"/>
        <v>#REF!</v>
      </c>
    </row>
    <row r="148" spans="1:23" ht="27" customHeight="1" outlineLevel="1" x14ac:dyDescent="0.25">
      <c r="A148" s="351" t="s">
        <v>1797</v>
      </c>
      <c r="B148" s="916" t="s">
        <v>1682</v>
      </c>
      <c r="C148" s="917"/>
      <c r="D148" s="917"/>
      <c r="E148" s="917"/>
      <c r="F148" s="917"/>
      <c r="G148" s="917"/>
      <c r="H148" s="914"/>
      <c r="I148" s="63" t="str">
        <f>VLOOKUP(B148,AA_Unitarios,'11'!$H$7,FALSE)</f>
        <v>UND</v>
      </c>
      <c r="J148" s="110">
        <f>+'17'!C223</f>
        <v>3</v>
      </c>
      <c r="K148" s="913">
        <f>+VLOOKUP(B148,AA_Unitarios,'11'!$M$7,FALSE)</f>
        <v>6267344.9921628004</v>
      </c>
      <c r="L148" s="914"/>
      <c r="M148" s="913">
        <f t="shared" si="13"/>
        <v>18802034.98</v>
      </c>
      <c r="N148" s="915"/>
      <c r="Q148" s="765" t="s">
        <v>1464</v>
      </c>
      <c r="R148" s="767" t="e">
        <f>#REF!-R146-R147</f>
        <v>#REF!</v>
      </c>
      <c r="S148" s="767" t="e">
        <f>#REF!-S146-S147</f>
        <v>#REF!</v>
      </c>
      <c r="T148">
        <v>0</v>
      </c>
      <c r="U148">
        <v>0</v>
      </c>
      <c r="V148">
        <v>0</v>
      </c>
      <c r="W148" s="765" t="e">
        <f t="shared" ref="W148" si="15">SUM(R148:V148)</f>
        <v>#REF!</v>
      </c>
    </row>
    <row r="149" spans="1:23" ht="27" customHeight="1" outlineLevel="1" x14ac:dyDescent="0.25">
      <c r="A149" s="351" t="s">
        <v>1938</v>
      </c>
      <c r="B149" s="916" t="s">
        <v>1684</v>
      </c>
      <c r="C149" s="917"/>
      <c r="D149" s="917"/>
      <c r="E149" s="917"/>
      <c r="F149" s="917"/>
      <c r="G149" s="917"/>
      <c r="H149" s="914"/>
      <c r="I149" s="63" t="str">
        <f>VLOOKUP(B149,AA_Unitarios,'11'!$H$7,FALSE)</f>
        <v>UND</v>
      </c>
      <c r="J149" s="64">
        <f>+'18'!N6</f>
        <v>7</v>
      </c>
      <c r="K149" s="913">
        <f>+VLOOKUP(B149,AA_Unitarios,'11'!$M$7,FALSE)</f>
        <v>1118912.33365665</v>
      </c>
      <c r="L149" s="914"/>
      <c r="M149" s="913">
        <f t="shared" si="13"/>
        <v>7832386.3399999999</v>
      </c>
      <c r="N149" s="915"/>
      <c r="Q149" s="765" t="s">
        <v>1465</v>
      </c>
      <c r="R149">
        <v>68</v>
      </c>
      <c r="S149">
        <v>42</v>
      </c>
      <c r="T149">
        <v>0</v>
      </c>
      <c r="U149">
        <v>0</v>
      </c>
      <c r="V149">
        <v>0</v>
      </c>
      <c r="W149" s="765">
        <f t="shared" si="14"/>
        <v>110</v>
      </c>
    </row>
    <row r="150" spans="1:23" ht="27" customHeight="1" outlineLevel="1" x14ac:dyDescent="0.25">
      <c r="A150" s="351" t="s">
        <v>1939</v>
      </c>
      <c r="B150" s="916" t="s">
        <v>1685</v>
      </c>
      <c r="C150" s="917"/>
      <c r="D150" s="917"/>
      <c r="E150" s="917"/>
      <c r="F150" s="917"/>
      <c r="G150" s="917"/>
      <c r="H150" s="914"/>
      <c r="I150" s="63" t="str">
        <f>VLOOKUP(B150,AA_Unitarios,'11'!$H$7,FALSE)</f>
        <v>UND</v>
      </c>
      <c r="J150" s="64">
        <f>+'18'!F17</f>
        <v>36</v>
      </c>
      <c r="K150" s="913">
        <f>+VLOOKUP(B150,AA_Unitarios,'11'!$M$7,FALSE)</f>
        <v>989491.25457081257</v>
      </c>
      <c r="L150" s="914"/>
      <c r="M150" s="913">
        <f t="shared" si="13"/>
        <v>35621685.159999996</v>
      </c>
      <c r="N150" s="915"/>
      <c r="Q150" t="s">
        <v>1466</v>
      </c>
      <c r="R150">
        <v>11</v>
      </c>
      <c r="S150">
        <v>11</v>
      </c>
      <c r="T150">
        <v>0</v>
      </c>
      <c r="U150">
        <v>0</v>
      </c>
      <c r="V150">
        <v>0</v>
      </c>
      <c r="W150" s="765">
        <f t="shared" si="14"/>
        <v>22</v>
      </c>
    </row>
    <row r="151" spans="1:23" ht="27" customHeight="1" outlineLevel="1" x14ac:dyDescent="0.25">
      <c r="A151" s="351" t="s">
        <v>1940</v>
      </c>
      <c r="B151" s="916" t="s">
        <v>1686</v>
      </c>
      <c r="C151" s="917"/>
      <c r="D151" s="917"/>
      <c r="E151" s="917"/>
      <c r="F151" s="917"/>
      <c r="G151" s="917"/>
      <c r="H151" s="914"/>
      <c r="I151" s="63" t="str">
        <f>VLOOKUP(B151,AA_Unitarios,'11'!$H$7,FALSE)</f>
        <v>UND</v>
      </c>
      <c r="J151" s="64">
        <f>+'18'!J28</f>
        <v>6</v>
      </c>
      <c r="K151" s="913">
        <f>+VLOOKUP(B151,AA_Unitarios,'11'!$M$7,FALSE)</f>
        <v>1200221.4440223151</v>
      </c>
      <c r="L151" s="914"/>
      <c r="M151" s="913">
        <f t="shared" si="13"/>
        <v>7201328.6600000001</v>
      </c>
      <c r="N151" s="915"/>
      <c r="Q151" t="s">
        <v>1467</v>
      </c>
      <c r="R151">
        <v>26</v>
      </c>
      <c r="S151">
        <v>46</v>
      </c>
      <c r="T151">
        <v>0</v>
      </c>
      <c r="U151">
        <v>0</v>
      </c>
      <c r="V151">
        <v>0</v>
      </c>
      <c r="W151" s="765">
        <f t="shared" si="14"/>
        <v>72</v>
      </c>
    </row>
    <row r="152" spans="1:23" ht="27" customHeight="1" outlineLevel="1" x14ac:dyDescent="0.25">
      <c r="A152" s="351" t="s">
        <v>1941</v>
      </c>
      <c r="B152" s="916" t="s">
        <v>1687</v>
      </c>
      <c r="C152" s="917"/>
      <c r="D152" s="917"/>
      <c r="E152" s="917"/>
      <c r="F152" s="917"/>
      <c r="G152" s="917"/>
      <c r="H152" s="914"/>
      <c r="I152" s="63" t="str">
        <f>VLOOKUP(B152,AA_Unitarios,'11'!$H$7,FALSE)</f>
        <v>UND</v>
      </c>
      <c r="J152" s="64">
        <f>+'17'!G8</f>
        <v>1</v>
      </c>
      <c r="K152" s="913">
        <f>+VLOOKUP(B152,AA_Unitarios,'11'!$M$7,FALSE)</f>
        <v>4320873.530162801</v>
      </c>
      <c r="L152" s="914"/>
      <c r="M152" s="913">
        <f t="shared" si="13"/>
        <v>4320873.53</v>
      </c>
      <c r="N152" s="915"/>
      <c r="Q152" t="s">
        <v>1467</v>
      </c>
      <c r="R152">
        <v>26</v>
      </c>
      <c r="S152">
        <v>46</v>
      </c>
      <c r="T152">
        <v>0</v>
      </c>
      <c r="U152">
        <v>0</v>
      </c>
      <c r="V152">
        <v>0</v>
      </c>
      <c r="W152" s="765">
        <f t="shared" ref="W152:W162" si="16">SUM(R152:V152)</f>
        <v>72</v>
      </c>
    </row>
    <row r="153" spans="1:23" ht="27" customHeight="1" outlineLevel="1" x14ac:dyDescent="0.25">
      <c r="A153" s="351" t="s">
        <v>1942</v>
      </c>
      <c r="B153" s="916" t="s">
        <v>1688</v>
      </c>
      <c r="C153" s="917"/>
      <c r="D153" s="917"/>
      <c r="E153" s="917"/>
      <c r="F153" s="917"/>
      <c r="G153" s="917"/>
      <c r="H153" s="914"/>
      <c r="I153" s="63" t="str">
        <f>VLOOKUP(B153,AA_Unitarios,'11'!$H$7,FALSE)</f>
        <v>UND</v>
      </c>
      <c r="J153" s="67">
        <f>+'17'!E8</f>
        <v>15</v>
      </c>
      <c r="K153" s="913">
        <f>+VLOOKUP(B153,AA_Unitarios,'11'!$M$7,FALSE)</f>
        <v>787825.88561950007</v>
      </c>
      <c r="L153" s="914"/>
      <c r="M153" s="913">
        <f t="shared" si="13"/>
        <v>11817388.279999999</v>
      </c>
      <c r="N153" s="915"/>
      <c r="Q153" t="s">
        <v>1467</v>
      </c>
      <c r="R153">
        <v>26</v>
      </c>
      <c r="S153">
        <v>46</v>
      </c>
      <c r="T153">
        <v>0</v>
      </c>
      <c r="U153">
        <v>0</v>
      </c>
      <c r="V153">
        <v>0</v>
      </c>
      <c r="W153" s="765">
        <f t="shared" si="16"/>
        <v>72</v>
      </c>
    </row>
    <row r="154" spans="1:23" ht="27" customHeight="1" outlineLevel="1" x14ac:dyDescent="0.25">
      <c r="A154" s="351" t="s">
        <v>1943</v>
      </c>
      <c r="B154" s="916" t="s">
        <v>1689</v>
      </c>
      <c r="C154" s="917"/>
      <c r="D154" s="917"/>
      <c r="E154" s="917"/>
      <c r="F154" s="917"/>
      <c r="G154" s="917"/>
      <c r="H154" s="914"/>
      <c r="I154" s="63" t="str">
        <f>VLOOKUP(B154,AA_Unitarios,'11'!$H$7,FALSE)</f>
        <v>UND</v>
      </c>
      <c r="J154" s="67">
        <f>+'17'!F8</f>
        <v>1</v>
      </c>
      <c r="K154" s="913">
        <f>+VLOOKUP(B154,AA_Unitarios,'11'!$M$7,FALSE)</f>
        <v>577883.80209072493</v>
      </c>
      <c r="L154" s="914"/>
      <c r="M154" s="913">
        <f t="shared" si="13"/>
        <v>577883.80000000005</v>
      </c>
      <c r="N154" s="915"/>
      <c r="Q154" t="s">
        <v>1467</v>
      </c>
      <c r="R154">
        <v>26</v>
      </c>
      <c r="S154">
        <v>46</v>
      </c>
      <c r="T154">
        <v>0</v>
      </c>
      <c r="U154">
        <v>0</v>
      </c>
      <c r="V154">
        <v>0</v>
      </c>
      <c r="W154" s="765">
        <f t="shared" si="16"/>
        <v>72</v>
      </c>
    </row>
    <row r="155" spans="1:23" ht="27" customHeight="1" outlineLevel="1" x14ac:dyDescent="0.25">
      <c r="A155" s="351" t="s">
        <v>1944</v>
      </c>
      <c r="B155" s="916" t="s">
        <v>1690</v>
      </c>
      <c r="C155" s="917"/>
      <c r="D155" s="917"/>
      <c r="E155" s="917"/>
      <c r="F155" s="917"/>
      <c r="G155" s="917"/>
      <c r="H155" s="914"/>
      <c r="I155" s="63" t="str">
        <f>VLOOKUP(B155,AA_Unitarios,'11'!$H$7,FALSE)</f>
        <v>M3</v>
      </c>
      <c r="J155" s="67">
        <f>+'17'!D103</f>
        <v>1</v>
      </c>
      <c r="K155" s="913">
        <f>+VLOOKUP(B155,AA_Unitarios,'11'!$M$7,FALSE)</f>
        <v>4828171.2301628003</v>
      </c>
      <c r="L155" s="914"/>
      <c r="M155" s="913">
        <f t="shared" si="13"/>
        <v>4828171.2300000004</v>
      </c>
      <c r="N155" s="915"/>
      <c r="Q155" t="s">
        <v>1467</v>
      </c>
      <c r="R155">
        <v>26</v>
      </c>
      <c r="S155">
        <v>46</v>
      </c>
      <c r="T155">
        <v>0</v>
      </c>
      <c r="U155">
        <v>0</v>
      </c>
      <c r="V155">
        <v>0</v>
      </c>
      <c r="W155" s="765">
        <f t="shared" si="16"/>
        <v>72</v>
      </c>
    </row>
    <row r="156" spans="1:23" ht="27" customHeight="1" outlineLevel="1" x14ac:dyDescent="0.25">
      <c r="A156" s="351" t="s">
        <v>1945</v>
      </c>
      <c r="B156" s="916" t="s">
        <v>1691</v>
      </c>
      <c r="C156" s="917"/>
      <c r="D156" s="917"/>
      <c r="E156" s="917"/>
      <c r="F156" s="917"/>
      <c r="G156" s="917"/>
      <c r="H156" s="914"/>
      <c r="I156" s="63" t="str">
        <f>VLOOKUP(B156,AA_Unitarios,'11'!$H$7,FALSE)</f>
        <v>UND</v>
      </c>
      <c r="J156" s="67">
        <f>+'17'!D104</f>
        <v>1</v>
      </c>
      <c r="K156" s="913">
        <f>+VLOOKUP(B156,AA_Unitarios,'11'!$M$7,FALSE)</f>
        <v>5634103.6867752001</v>
      </c>
      <c r="L156" s="914"/>
      <c r="M156" s="913">
        <f t="shared" si="13"/>
        <v>5634103.6900000004</v>
      </c>
      <c r="N156" s="915"/>
      <c r="Q156" t="s">
        <v>1467</v>
      </c>
      <c r="R156">
        <v>26</v>
      </c>
      <c r="S156">
        <v>46</v>
      </c>
      <c r="T156">
        <v>0</v>
      </c>
      <c r="U156">
        <v>0</v>
      </c>
      <c r="V156">
        <v>0</v>
      </c>
      <c r="W156" s="765">
        <f t="shared" ref="W156" si="17">SUM(R156:V156)</f>
        <v>72</v>
      </c>
    </row>
    <row r="157" spans="1:23" ht="27" customHeight="1" outlineLevel="1" x14ac:dyDescent="0.25">
      <c r="A157" s="351" t="s">
        <v>1946</v>
      </c>
      <c r="B157" s="916" t="s">
        <v>1692</v>
      </c>
      <c r="C157" s="917"/>
      <c r="D157" s="917"/>
      <c r="E157" s="917"/>
      <c r="F157" s="917"/>
      <c r="G157" s="917"/>
      <c r="H157" s="914"/>
      <c r="I157" s="63" t="str">
        <f>VLOOKUP(B157,AA_Unitarios,'11'!$H$7,FALSE)</f>
        <v>UND</v>
      </c>
      <c r="J157" s="67">
        <f>+'17'!D105</f>
        <v>9</v>
      </c>
      <c r="K157" s="913">
        <f>+VLOOKUP(B157,AA_Unitarios,'11'!$M$7,FALSE)</f>
        <v>234487.96627034998</v>
      </c>
      <c r="L157" s="914"/>
      <c r="M157" s="913">
        <f t="shared" si="13"/>
        <v>2110391.7000000002</v>
      </c>
      <c r="N157" s="915"/>
      <c r="Q157" t="s">
        <v>1467</v>
      </c>
      <c r="R157">
        <v>26</v>
      </c>
      <c r="S157">
        <v>46</v>
      </c>
      <c r="T157">
        <v>0</v>
      </c>
      <c r="U157">
        <v>0</v>
      </c>
      <c r="V157">
        <v>0</v>
      </c>
      <c r="W157" s="765">
        <f t="shared" si="16"/>
        <v>72</v>
      </c>
    </row>
    <row r="158" spans="1:23" ht="27" customHeight="1" outlineLevel="1" x14ac:dyDescent="0.25">
      <c r="A158" s="351" t="s">
        <v>1947</v>
      </c>
      <c r="B158" s="916" t="s">
        <v>1693</v>
      </c>
      <c r="C158" s="917"/>
      <c r="D158" s="917"/>
      <c r="E158" s="917"/>
      <c r="F158" s="917"/>
      <c r="G158" s="917"/>
      <c r="H158" s="914"/>
      <c r="I158" s="63" t="str">
        <f>VLOOKUP(B158,AA_Unitarios,'11'!$H$7,FALSE)</f>
        <v>UND</v>
      </c>
      <c r="J158" s="834">
        <f>+'17'!D106</f>
        <v>9</v>
      </c>
      <c r="K158" s="913">
        <f>+VLOOKUP(B158,AA_Unitarios,'11'!$M$7,FALSE)</f>
        <v>223168.53905959538</v>
      </c>
      <c r="L158" s="914"/>
      <c r="M158" s="913">
        <f t="shared" si="13"/>
        <v>2008516.85</v>
      </c>
      <c r="N158" s="915"/>
      <c r="Q158" t="s">
        <v>1467</v>
      </c>
      <c r="R158">
        <v>26</v>
      </c>
      <c r="S158">
        <v>46</v>
      </c>
      <c r="T158">
        <v>0</v>
      </c>
      <c r="U158">
        <v>0</v>
      </c>
      <c r="V158">
        <v>0</v>
      </c>
      <c r="W158" s="765">
        <f t="shared" si="16"/>
        <v>72</v>
      </c>
    </row>
    <row r="159" spans="1:23" ht="27" customHeight="1" outlineLevel="1" x14ac:dyDescent="0.25">
      <c r="A159" s="351" t="s">
        <v>1948</v>
      </c>
      <c r="B159" s="916" t="s">
        <v>1696</v>
      </c>
      <c r="C159" s="917"/>
      <c r="D159" s="917"/>
      <c r="E159" s="917"/>
      <c r="F159" s="917"/>
      <c r="G159" s="917"/>
      <c r="H159" s="914"/>
      <c r="I159" s="63" t="str">
        <f>VLOOKUP(B159,AA_Unitarios,'11'!$H$7,FALSE)</f>
        <v>UND</v>
      </c>
      <c r="J159" s="67">
        <f>+'17'!H8</f>
        <v>31</v>
      </c>
      <c r="K159" s="913">
        <f>+VLOOKUP(B159,AA_Unitarios,'11'!$M$7,FALSE)</f>
        <v>305360.15952442004</v>
      </c>
      <c r="L159" s="914"/>
      <c r="M159" s="913">
        <f t="shared" si="13"/>
        <v>9466164.9499999993</v>
      </c>
      <c r="N159" s="915"/>
      <c r="Q159" t="s">
        <v>1467</v>
      </c>
      <c r="R159">
        <v>26</v>
      </c>
      <c r="S159">
        <v>46</v>
      </c>
      <c r="T159">
        <v>0</v>
      </c>
      <c r="U159">
        <v>0</v>
      </c>
      <c r="V159">
        <v>0</v>
      </c>
      <c r="W159" s="765">
        <f t="shared" si="16"/>
        <v>72</v>
      </c>
    </row>
    <row r="160" spans="1:23" ht="27" customHeight="1" outlineLevel="1" x14ac:dyDescent="0.25">
      <c r="A160" s="351" t="s">
        <v>1949</v>
      </c>
      <c r="B160" s="916" t="s">
        <v>1697</v>
      </c>
      <c r="C160" s="917"/>
      <c r="D160" s="917"/>
      <c r="E160" s="917"/>
      <c r="F160" s="917"/>
      <c r="G160" s="917"/>
      <c r="H160" s="914"/>
      <c r="I160" s="63" t="str">
        <f>VLOOKUP(B160,AA_Unitarios,'11'!$H$7,FALSE)</f>
        <v>UND</v>
      </c>
      <c r="J160" s="67">
        <f>+'17'!D8</f>
        <v>10</v>
      </c>
      <c r="K160" s="913">
        <f>+VLOOKUP(B160,AA_Unitarios,'11'!$M$7,FALSE)</f>
        <v>151551.07638924502</v>
      </c>
      <c r="L160" s="914"/>
      <c r="M160" s="913">
        <f t="shared" si="13"/>
        <v>1515510.76</v>
      </c>
      <c r="N160" s="915"/>
      <c r="Q160" t="s">
        <v>1467</v>
      </c>
      <c r="R160">
        <v>26</v>
      </c>
      <c r="S160">
        <v>46</v>
      </c>
      <c r="T160">
        <v>0</v>
      </c>
      <c r="U160">
        <v>0</v>
      </c>
      <c r="V160">
        <v>0</v>
      </c>
      <c r="W160" s="765">
        <f t="shared" si="16"/>
        <v>72</v>
      </c>
    </row>
    <row r="161" spans="1:23" ht="27" customHeight="1" outlineLevel="1" x14ac:dyDescent="0.25">
      <c r="A161" s="351" t="s">
        <v>1950</v>
      </c>
      <c r="B161" s="916" t="s">
        <v>1698</v>
      </c>
      <c r="C161" s="917"/>
      <c r="D161" s="917"/>
      <c r="E161" s="917"/>
      <c r="F161" s="917"/>
      <c r="G161" s="917"/>
      <c r="H161" s="914"/>
      <c r="I161" s="63" t="str">
        <f>VLOOKUP(B161,AA_Unitarios,'11'!$H$7,FALSE)</f>
        <v>UND</v>
      </c>
      <c r="J161" s="67">
        <f>+'17'!C131</f>
        <v>2</v>
      </c>
      <c r="K161" s="913">
        <f>+VLOOKUP(B161,AA_Unitarios,'11'!$M$7,FALSE)</f>
        <v>17092504.338631801</v>
      </c>
      <c r="L161" s="914"/>
      <c r="M161" s="913">
        <f t="shared" si="13"/>
        <v>34185008.68</v>
      </c>
      <c r="N161" s="915"/>
      <c r="Q161" t="s">
        <v>1467</v>
      </c>
      <c r="R161">
        <v>26</v>
      </c>
      <c r="S161">
        <v>46</v>
      </c>
      <c r="T161">
        <v>0</v>
      </c>
      <c r="U161">
        <v>0</v>
      </c>
      <c r="V161">
        <v>0</v>
      </c>
      <c r="W161" s="765">
        <f t="shared" si="16"/>
        <v>72</v>
      </c>
    </row>
    <row r="162" spans="1:23" ht="27" customHeight="1" outlineLevel="1" x14ac:dyDescent="0.25">
      <c r="A162" s="351" t="s">
        <v>1951</v>
      </c>
      <c r="B162" s="916" t="s">
        <v>1699</v>
      </c>
      <c r="C162" s="917"/>
      <c r="D162" s="917"/>
      <c r="E162" s="917"/>
      <c r="F162" s="917"/>
      <c r="G162" s="917"/>
      <c r="H162" s="914"/>
      <c r="I162" s="63" t="str">
        <f>VLOOKUP(B162,AA_Unitarios,'11'!$H$7,FALSE)</f>
        <v>UND</v>
      </c>
      <c r="J162" s="67">
        <f>+'17'!C132</f>
        <v>1</v>
      </c>
      <c r="K162" s="913">
        <f>+VLOOKUP(B162,AA_Unitarios,'11'!$M$7,FALSE)</f>
        <v>21810345.6841725</v>
      </c>
      <c r="L162" s="914"/>
      <c r="M162" s="913">
        <f t="shared" si="13"/>
        <v>21810345.68</v>
      </c>
      <c r="N162" s="915"/>
      <c r="Q162" t="s">
        <v>1467</v>
      </c>
      <c r="R162">
        <v>26</v>
      </c>
      <c r="S162">
        <v>46</v>
      </c>
      <c r="T162">
        <v>0</v>
      </c>
      <c r="U162">
        <v>0</v>
      </c>
      <c r="V162">
        <v>0</v>
      </c>
      <c r="W162" s="765">
        <f t="shared" si="16"/>
        <v>72</v>
      </c>
    </row>
    <row r="163" spans="1:23" ht="27" customHeight="1" outlineLevel="1" x14ac:dyDescent="0.25">
      <c r="A163" s="351" t="s">
        <v>1952</v>
      </c>
      <c r="B163" s="916" t="s">
        <v>1700</v>
      </c>
      <c r="C163" s="917"/>
      <c r="D163" s="917"/>
      <c r="E163" s="917"/>
      <c r="F163" s="917"/>
      <c r="G163" s="917"/>
      <c r="H163" s="914"/>
      <c r="I163" s="63" t="str">
        <f>VLOOKUP(B163,AA_Unitarios,'11'!$H$7,FALSE)</f>
        <v>UND</v>
      </c>
      <c r="J163" s="67">
        <f>+'17'!C133</f>
        <v>1</v>
      </c>
      <c r="K163" s="913">
        <f>+VLOOKUP(B163,AA_Unitarios,'11'!$M$7,FALSE)</f>
        <v>11467307.771172501</v>
      </c>
      <c r="L163" s="914"/>
      <c r="M163" s="913">
        <f t="shared" si="13"/>
        <v>11467307.77</v>
      </c>
      <c r="N163" s="915"/>
      <c r="Q163" t="s">
        <v>1467</v>
      </c>
      <c r="R163">
        <v>26</v>
      </c>
      <c r="S163">
        <v>46</v>
      </c>
      <c r="T163">
        <v>0</v>
      </c>
      <c r="U163">
        <v>0</v>
      </c>
      <c r="V163">
        <v>0</v>
      </c>
      <c r="W163" s="765">
        <f t="shared" ref="W163:W173" si="18">SUM(R163:V163)</f>
        <v>72</v>
      </c>
    </row>
    <row r="164" spans="1:23" ht="13.5" outlineLevel="1" x14ac:dyDescent="0.25">
      <c r="A164" s="352" t="s">
        <v>985</v>
      </c>
      <c r="B164" s="918" t="s">
        <v>1798</v>
      </c>
      <c r="C164" s="917"/>
      <c r="D164" s="917"/>
      <c r="E164" s="917"/>
      <c r="F164" s="917"/>
      <c r="G164" s="917"/>
      <c r="H164" s="917"/>
      <c r="I164" s="917"/>
      <c r="J164" s="917"/>
      <c r="K164" s="917"/>
      <c r="L164" s="917"/>
      <c r="M164" s="917"/>
      <c r="N164" s="915"/>
      <c r="Q164" t="s">
        <v>1467</v>
      </c>
      <c r="R164">
        <v>26</v>
      </c>
      <c r="S164">
        <v>46</v>
      </c>
      <c r="T164">
        <v>0</v>
      </c>
      <c r="U164">
        <v>0</v>
      </c>
      <c r="V164">
        <v>0</v>
      </c>
      <c r="W164" s="765">
        <f t="shared" si="18"/>
        <v>72</v>
      </c>
    </row>
    <row r="165" spans="1:23" ht="13.5" customHeight="1" outlineLevel="1" x14ac:dyDescent="0.25">
      <c r="A165" s="351" t="s">
        <v>986</v>
      </c>
      <c r="B165" s="916" t="s">
        <v>1683</v>
      </c>
      <c r="C165" s="917"/>
      <c r="D165" s="917"/>
      <c r="E165" s="917"/>
      <c r="F165" s="917"/>
      <c r="G165" s="917"/>
      <c r="H165" s="914"/>
      <c r="I165" s="63" t="str">
        <f>VLOOKUP(B165,AA_Unitarios,'11'!$H$7,FALSE)</f>
        <v>UND</v>
      </c>
      <c r="J165" s="366">
        <f>+'15'!K16</f>
        <v>328.12</v>
      </c>
      <c r="K165" s="913">
        <f>+VLOOKUP(B165,AA_Unitarios,'11'!$M$7,FALSE)</f>
        <v>921608.6792996201</v>
      </c>
      <c r="L165" s="914"/>
      <c r="M165" s="913">
        <f>ROUND(J165*K165,2)</f>
        <v>302398239.85000002</v>
      </c>
      <c r="N165" s="915"/>
      <c r="Q165" t="s">
        <v>1467</v>
      </c>
      <c r="R165">
        <v>26</v>
      </c>
      <c r="S165">
        <v>46</v>
      </c>
      <c r="T165">
        <v>0</v>
      </c>
      <c r="U165">
        <v>0</v>
      </c>
      <c r="V165">
        <v>0</v>
      </c>
      <c r="W165" s="765">
        <f t="shared" si="18"/>
        <v>72</v>
      </c>
    </row>
    <row r="166" spans="1:23" ht="13.5" outlineLevel="1" x14ac:dyDescent="0.25">
      <c r="A166" s="352" t="s">
        <v>987</v>
      </c>
      <c r="B166" s="918" t="s">
        <v>1799</v>
      </c>
      <c r="C166" s="917"/>
      <c r="D166" s="917"/>
      <c r="E166" s="917"/>
      <c r="F166" s="917"/>
      <c r="G166" s="917"/>
      <c r="H166" s="917"/>
      <c r="I166" s="917"/>
      <c r="J166" s="917"/>
      <c r="K166" s="917"/>
      <c r="L166" s="917"/>
      <c r="M166" s="917"/>
      <c r="N166" s="915"/>
      <c r="Q166" t="s">
        <v>1471</v>
      </c>
      <c r="R166">
        <v>10</v>
      </c>
      <c r="S166">
        <v>4</v>
      </c>
      <c r="T166">
        <v>0</v>
      </c>
      <c r="U166">
        <v>0</v>
      </c>
      <c r="V166">
        <v>0</v>
      </c>
      <c r="W166" s="765">
        <f t="shared" si="18"/>
        <v>14</v>
      </c>
    </row>
    <row r="167" spans="1:23" ht="29.25" customHeight="1" outlineLevel="1" x14ac:dyDescent="0.25">
      <c r="A167" s="351" t="s">
        <v>1446</v>
      </c>
      <c r="B167" s="919" t="s">
        <v>1701</v>
      </c>
      <c r="C167" s="917"/>
      <c r="D167" s="917"/>
      <c r="E167" s="917"/>
      <c r="F167" s="917"/>
      <c r="G167" s="917"/>
      <c r="H167" s="914"/>
      <c r="I167" s="63" t="str">
        <f>VLOOKUP(B167,AA_Unitarios,'11'!$H$7,FALSE)</f>
        <v>M3</v>
      </c>
      <c r="J167" s="366">
        <f>+'15'!Y42</f>
        <v>354.3666951739001</v>
      </c>
      <c r="K167" s="913">
        <f>+VLOOKUP(B167,AA_Unitarios,'11'!$M$7,FALSE)</f>
        <v>1704141.8641956165</v>
      </c>
      <c r="L167" s="914"/>
      <c r="M167" s="913">
        <f t="shared" ref="M167:M168" si="19">ROUND(J167*K167,2)</f>
        <v>603891120.51999998</v>
      </c>
      <c r="N167" s="915"/>
      <c r="Q167" t="s">
        <v>1472</v>
      </c>
      <c r="R167">
        <v>47</v>
      </c>
      <c r="S167">
        <v>28</v>
      </c>
      <c r="T167">
        <v>0</v>
      </c>
      <c r="U167">
        <v>0</v>
      </c>
      <c r="V167">
        <v>0</v>
      </c>
      <c r="W167" s="765">
        <f t="shared" si="18"/>
        <v>75</v>
      </c>
    </row>
    <row r="168" spans="1:23" ht="13.5" outlineLevel="1" x14ac:dyDescent="0.25">
      <c r="A168" s="351" t="s">
        <v>1447</v>
      </c>
      <c r="B168" s="919" t="s">
        <v>1702</v>
      </c>
      <c r="C168" s="917"/>
      <c r="D168" s="917"/>
      <c r="E168" s="917"/>
      <c r="F168" s="917"/>
      <c r="G168" s="917"/>
      <c r="H168" s="914"/>
      <c r="I168" s="63" t="str">
        <f>VLOOKUP(B168,AA_Unitarios,'11'!$H$7,FALSE)</f>
        <v>M3</v>
      </c>
      <c r="J168" s="366">
        <f>+'15'!Z42</f>
        <v>328.2000000000001</v>
      </c>
      <c r="K168" s="913">
        <f>+VLOOKUP(B168,AA_Unitarios,'11'!$M$7,FALSE)</f>
        <v>186214.95568585</v>
      </c>
      <c r="L168" s="914"/>
      <c r="M168" s="913">
        <f t="shared" si="19"/>
        <v>61115748.460000001</v>
      </c>
      <c r="N168" s="915"/>
      <c r="Q168" s="764" t="s">
        <v>1474</v>
      </c>
      <c r="R168">
        <v>5</v>
      </c>
      <c r="S168">
        <v>5</v>
      </c>
      <c r="T168">
        <v>0</v>
      </c>
      <c r="U168">
        <v>0</v>
      </c>
      <c r="V168">
        <v>0</v>
      </c>
      <c r="W168" s="765">
        <f t="shared" si="18"/>
        <v>10</v>
      </c>
    </row>
    <row r="169" spans="1:23" ht="13.5" outlineLevel="1" x14ac:dyDescent="0.25">
      <c r="A169" s="352" t="s">
        <v>987</v>
      </c>
      <c r="B169" s="918" t="s">
        <v>950</v>
      </c>
      <c r="C169" s="917"/>
      <c r="D169" s="917"/>
      <c r="E169" s="917"/>
      <c r="F169" s="917"/>
      <c r="G169" s="917"/>
      <c r="H169" s="917"/>
      <c r="I169" s="917"/>
      <c r="J169" s="917"/>
      <c r="K169" s="917"/>
      <c r="L169" s="917"/>
      <c r="M169" s="917"/>
      <c r="N169" s="915"/>
      <c r="T169">
        <v>0</v>
      </c>
      <c r="U169">
        <v>0</v>
      </c>
      <c r="V169">
        <v>0</v>
      </c>
      <c r="W169" s="765">
        <f t="shared" si="18"/>
        <v>0</v>
      </c>
    </row>
    <row r="170" spans="1:23" ht="13.5" outlineLevel="1" x14ac:dyDescent="0.25">
      <c r="A170" s="351" t="s">
        <v>1446</v>
      </c>
      <c r="B170" s="919" t="s">
        <v>1751</v>
      </c>
      <c r="C170" s="917"/>
      <c r="D170" s="917"/>
      <c r="E170" s="917"/>
      <c r="F170" s="917"/>
      <c r="G170" s="917"/>
      <c r="H170" s="914"/>
      <c r="I170" s="63" t="str">
        <f>VLOOKUP(B170,AA_Unitarios,'11'!$H$7,FALSE)</f>
        <v>ML</v>
      </c>
      <c r="J170" s="866">
        <f>+'15'!I16</f>
        <v>3281.1731034620366</v>
      </c>
      <c r="K170" s="913">
        <f>+VLOOKUP(B170,AA_Unitarios,'11'!$M$7,FALSE)</f>
        <v>12281.691178621173</v>
      </c>
      <c r="L170" s="914"/>
      <c r="M170" s="913">
        <f t="shared" ref="M170:M171" si="20">ROUND(J170*K170,2)</f>
        <v>40298354.759999998</v>
      </c>
      <c r="N170" s="915"/>
      <c r="Q170" s="765" t="s">
        <v>1475</v>
      </c>
      <c r="R170">
        <v>9</v>
      </c>
      <c r="S170">
        <v>4</v>
      </c>
      <c r="T170">
        <v>0</v>
      </c>
      <c r="U170">
        <v>0</v>
      </c>
      <c r="V170">
        <v>0</v>
      </c>
      <c r="W170" s="765">
        <f t="shared" si="18"/>
        <v>13</v>
      </c>
    </row>
    <row r="171" spans="1:23" ht="13.5" outlineLevel="1" x14ac:dyDescent="0.25">
      <c r="A171" s="351" t="s">
        <v>1447</v>
      </c>
      <c r="B171" s="919" t="s">
        <v>1753</v>
      </c>
      <c r="C171" s="917"/>
      <c r="D171" s="917"/>
      <c r="E171" s="917"/>
      <c r="F171" s="917"/>
      <c r="G171" s="917"/>
      <c r="H171" s="914"/>
      <c r="I171" s="63" t="str">
        <f>VLOOKUP(B171,AA_Unitarios,'11'!$H$7,FALSE)</f>
        <v>ML</v>
      </c>
      <c r="J171" s="866">
        <f>+'15'!D13</f>
        <v>396.29</v>
      </c>
      <c r="K171" s="913">
        <f>+VLOOKUP(B171,AA_Unitarios,'11'!$M$7,FALSE)</f>
        <v>23621.208074329272</v>
      </c>
      <c r="L171" s="914"/>
      <c r="M171" s="913">
        <f t="shared" si="20"/>
        <v>9360848.5500000007</v>
      </c>
      <c r="N171" s="915"/>
      <c r="Q171" s="764" t="s">
        <v>1474</v>
      </c>
      <c r="R171">
        <v>5</v>
      </c>
      <c r="S171">
        <v>5</v>
      </c>
      <c r="T171">
        <v>0</v>
      </c>
      <c r="U171">
        <v>0</v>
      </c>
      <c r="V171">
        <v>0</v>
      </c>
      <c r="W171" s="765">
        <f t="shared" si="18"/>
        <v>10</v>
      </c>
    </row>
    <row r="172" spans="1:23" ht="13.5" outlineLevel="1" x14ac:dyDescent="0.25">
      <c r="A172" s="352" t="s">
        <v>1173</v>
      </c>
      <c r="B172" s="918" t="s">
        <v>949</v>
      </c>
      <c r="C172" s="917"/>
      <c r="D172" s="917"/>
      <c r="E172" s="917"/>
      <c r="F172" s="917"/>
      <c r="G172" s="917"/>
      <c r="H172" s="917"/>
      <c r="I172" s="917"/>
      <c r="J172" s="917"/>
      <c r="K172" s="917"/>
      <c r="L172" s="917"/>
      <c r="M172" s="917"/>
      <c r="N172" s="915"/>
      <c r="T172">
        <v>0</v>
      </c>
      <c r="U172">
        <v>0</v>
      </c>
      <c r="V172">
        <v>0</v>
      </c>
      <c r="W172" s="765">
        <f t="shared" si="18"/>
        <v>0</v>
      </c>
    </row>
    <row r="173" spans="1:23" ht="13.5" outlineLevel="1" x14ac:dyDescent="0.25">
      <c r="A173" s="351" t="s">
        <v>1446</v>
      </c>
      <c r="B173" s="919" t="s">
        <v>1754</v>
      </c>
      <c r="C173" s="917"/>
      <c r="D173" s="917"/>
      <c r="E173" s="917"/>
      <c r="F173" s="917"/>
      <c r="G173" s="917"/>
      <c r="H173" s="914"/>
      <c r="I173" s="63" t="str">
        <f>VLOOKUP(B173,AA_Unitarios,'11'!$H$7,FALSE)</f>
        <v>ML</v>
      </c>
      <c r="J173" s="366">
        <f>+'15'!I16</f>
        <v>3281.1731034620366</v>
      </c>
      <c r="K173" s="913">
        <f>+VLOOKUP(B173,AA_Unitarios,'11'!$M$7,FALSE)</f>
        <v>20483.039999999997</v>
      </c>
      <c r="L173" s="914"/>
      <c r="M173" s="913">
        <f t="shared" ref="M173:M174" si="21">ROUND(J173*K173,2)</f>
        <v>67208399.930000007</v>
      </c>
      <c r="N173" s="915"/>
      <c r="Q173" s="765" t="s">
        <v>1475</v>
      </c>
      <c r="R173">
        <v>9</v>
      </c>
      <c r="S173">
        <v>4</v>
      </c>
      <c r="T173">
        <v>0</v>
      </c>
      <c r="U173">
        <v>0</v>
      </c>
      <c r="V173">
        <v>0</v>
      </c>
      <c r="W173" s="765">
        <f t="shared" si="18"/>
        <v>13</v>
      </c>
    </row>
    <row r="174" spans="1:23" ht="13.5" outlineLevel="1" x14ac:dyDescent="0.25">
      <c r="A174" s="351" t="s">
        <v>1447</v>
      </c>
      <c r="B174" s="919" t="s">
        <v>1756</v>
      </c>
      <c r="C174" s="917"/>
      <c r="D174" s="917"/>
      <c r="E174" s="917"/>
      <c r="F174" s="917"/>
      <c r="G174" s="917"/>
      <c r="H174" s="914"/>
      <c r="I174" s="63" t="str">
        <f>VLOOKUP(B174,AA_Unitarios,'11'!$H$7,FALSE)</f>
        <v>ML</v>
      </c>
      <c r="J174" s="366">
        <f>+'15'!D13</f>
        <v>396.29</v>
      </c>
      <c r="K174" s="913">
        <f>+VLOOKUP(B174,AA_Unitarios,'11'!$M$7,FALSE)</f>
        <v>316866</v>
      </c>
      <c r="L174" s="914"/>
      <c r="M174" s="913">
        <f t="shared" si="21"/>
        <v>125570827.14</v>
      </c>
      <c r="N174" s="915"/>
    </row>
    <row r="175" spans="1:23" ht="13.15" customHeight="1" outlineLevel="1" x14ac:dyDescent="0.25">
      <c r="A175" s="350" t="s">
        <v>97</v>
      </c>
      <c r="B175" s="918" t="s">
        <v>1161</v>
      </c>
      <c r="C175" s="917"/>
      <c r="D175" s="917"/>
      <c r="E175" s="917"/>
      <c r="F175" s="917"/>
      <c r="G175" s="917"/>
      <c r="H175" s="917"/>
      <c r="I175" s="917"/>
      <c r="J175" s="917"/>
      <c r="K175" s="917"/>
      <c r="L175" s="917"/>
      <c r="M175" s="917"/>
      <c r="N175" s="915"/>
      <c r="T175">
        <v>0</v>
      </c>
      <c r="U175">
        <v>0</v>
      </c>
      <c r="V175">
        <v>0</v>
      </c>
      <c r="W175" s="765">
        <f>SUM(R175:V175)</f>
        <v>0</v>
      </c>
    </row>
    <row r="176" spans="1:23" ht="27" customHeight="1" outlineLevel="1" x14ac:dyDescent="0.25">
      <c r="A176" s="351" t="s">
        <v>98</v>
      </c>
      <c r="B176" s="919" t="s">
        <v>1703</v>
      </c>
      <c r="C176" s="917"/>
      <c r="D176" s="917"/>
      <c r="E176" s="917"/>
      <c r="F176" s="917"/>
      <c r="G176" s="917"/>
      <c r="H176" s="914"/>
      <c r="I176" s="63" t="str">
        <f>VLOOKUP(B176,AA_Unitarios,'11'!$H$7,FALSE)</f>
        <v>M3</v>
      </c>
      <c r="J176" s="64">
        <f>+J134+J135+460.98</f>
        <v>1362.2207724154443</v>
      </c>
      <c r="K176" s="935">
        <f>VLOOKUP(B176,AA_Unitarios,'11'!$M$7,FALSE)</f>
        <v>22815</v>
      </c>
      <c r="L176" s="936"/>
      <c r="M176" s="913">
        <f t="shared" ref="M176:M177" si="22">ROUND(J176*K176,2)</f>
        <v>31079066.920000002</v>
      </c>
      <c r="N176" s="915"/>
      <c r="Q176" s="765" t="s">
        <v>1475</v>
      </c>
      <c r="R176">
        <v>9</v>
      </c>
      <c r="S176">
        <v>4</v>
      </c>
      <c r="T176">
        <v>0</v>
      </c>
      <c r="U176">
        <v>0</v>
      </c>
      <c r="V176">
        <v>0</v>
      </c>
      <c r="W176" s="765">
        <f>SUM(R176:V176)</f>
        <v>13</v>
      </c>
    </row>
    <row r="177" spans="1:23" ht="27" customHeight="1" outlineLevel="1" x14ac:dyDescent="0.25">
      <c r="A177" s="351" t="s">
        <v>98</v>
      </c>
      <c r="B177" s="919" t="s">
        <v>1704</v>
      </c>
      <c r="C177" s="917"/>
      <c r="D177" s="917"/>
      <c r="E177" s="917"/>
      <c r="F177" s="917"/>
      <c r="G177" s="917"/>
      <c r="H177" s="914"/>
      <c r="I177" s="63" t="str">
        <f>VLOOKUP(B177,AA_Unitarios,'11'!$H$7,FALSE)</f>
        <v>ML</v>
      </c>
      <c r="J177" s="64">
        <f>+'15'!C20</f>
        <v>3677.46</v>
      </c>
      <c r="K177" s="935">
        <f>VLOOKUP(B177,AA_Unitarios,'11'!$M$7,FALSE)</f>
        <v>7434.8672785139997</v>
      </c>
      <c r="L177" s="936"/>
      <c r="M177" s="913">
        <f t="shared" si="22"/>
        <v>27341427.02</v>
      </c>
      <c r="N177" s="915"/>
      <c r="Q177" s="765" t="s">
        <v>1475</v>
      </c>
      <c r="R177">
        <v>9</v>
      </c>
      <c r="S177">
        <v>4</v>
      </c>
      <c r="T177">
        <v>0</v>
      </c>
      <c r="U177">
        <v>0</v>
      </c>
      <c r="V177">
        <v>0</v>
      </c>
      <c r="W177" s="765">
        <f>SUM(R177:V177)</f>
        <v>13</v>
      </c>
    </row>
    <row r="178" spans="1:23" ht="13.5" x14ac:dyDescent="0.25">
      <c r="A178" s="344"/>
      <c r="B178" s="353"/>
      <c r="C178" s="354"/>
      <c r="D178" s="354"/>
      <c r="E178" s="354"/>
      <c r="F178" s="354"/>
      <c r="G178" s="354"/>
      <c r="H178" s="354"/>
      <c r="I178" s="354"/>
      <c r="J178" s="354"/>
      <c r="K178" s="354"/>
      <c r="L178" s="354"/>
      <c r="M178" s="354"/>
      <c r="N178" s="355"/>
    </row>
    <row r="179" spans="1:23" ht="13.5" x14ac:dyDescent="0.25">
      <c r="A179" s="357"/>
      <c r="B179" s="358"/>
      <c r="C179" s="356"/>
      <c r="D179" s="356"/>
      <c r="E179" s="356"/>
      <c r="F179" s="356"/>
      <c r="G179" s="955" t="s">
        <v>120</v>
      </c>
      <c r="H179" s="917"/>
      <c r="I179" s="914"/>
      <c r="J179" s="4" t="s">
        <v>11</v>
      </c>
      <c r="K179" s="955" t="s">
        <v>121</v>
      </c>
      <c r="L179" s="914"/>
      <c r="M179" s="955" t="s">
        <v>122</v>
      </c>
      <c r="N179" s="915"/>
    </row>
    <row r="180" spans="1:23" ht="13.5" x14ac:dyDescent="0.25">
      <c r="A180" s="367"/>
      <c r="B180" s="345"/>
      <c r="C180" s="354"/>
      <c r="D180" s="354"/>
      <c r="E180" s="354"/>
      <c r="F180" s="354"/>
      <c r="G180" s="956" t="s">
        <v>37</v>
      </c>
      <c r="H180" s="917"/>
      <c r="I180" s="914"/>
      <c r="J180" s="68">
        <f>M180/$M$188</f>
        <v>2.9940262331422569E-2</v>
      </c>
      <c r="K180" s="913">
        <f>VLOOKUP(G180,AA_Presupuesto,4,FALSE)</f>
        <v>0</v>
      </c>
      <c r="L180" s="914"/>
      <c r="M180" s="913">
        <f t="shared" ref="M180:M187" si="23">VLOOKUP(G180,AA_Presupuesto,6,FALSE)</f>
        <v>135928994.75</v>
      </c>
      <c r="N180" s="915"/>
    </row>
    <row r="181" spans="1:23" ht="13.5" x14ac:dyDescent="0.25">
      <c r="A181" s="367"/>
      <c r="B181" s="345"/>
      <c r="C181" s="354"/>
      <c r="D181" s="354"/>
      <c r="E181" s="354"/>
      <c r="F181" s="354"/>
      <c r="G181" s="956" t="s">
        <v>75</v>
      </c>
      <c r="H181" s="917"/>
      <c r="I181" s="914"/>
      <c r="J181" s="68">
        <f t="shared" ref="J181:J187" si="24">M181/$M$188</f>
        <v>0.10361858418059321</v>
      </c>
      <c r="K181" s="913">
        <f t="shared" ref="K181:K187" si="25">VLOOKUP(G181,AA_Presupuesto,4,FALSE)</f>
        <v>0</v>
      </c>
      <c r="L181" s="914"/>
      <c r="M181" s="913">
        <f t="shared" si="23"/>
        <v>470429077.38</v>
      </c>
      <c r="N181" s="970"/>
    </row>
    <row r="182" spans="1:23" ht="13.5" x14ac:dyDescent="0.25">
      <c r="A182" s="367"/>
      <c r="B182" s="345"/>
      <c r="C182" s="354"/>
      <c r="D182" s="354"/>
      <c r="E182" s="354"/>
      <c r="F182" s="354"/>
      <c r="G182" s="922" t="s">
        <v>1860</v>
      </c>
      <c r="H182" s="917"/>
      <c r="I182" s="914"/>
      <c r="J182" s="68">
        <f t="shared" si="24"/>
        <v>9.7548829539428276E-4</v>
      </c>
      <c r="K182" s="913">
        <f>VLOOKUP(G182,AA_Presupuesto,4,FALSE)</f>
        <v>0</v>
      </c>
      <c r="L182" s="914"/>
      <c r="M182" s="913">
        <f t="shared" si="23"/>
        <v>4428723.5</v>
      </c>
      <c r="N182" s="915"/>
    </row>
    <row r="183" spans="1:23" ht="13.5" x14ac:dyDescent="0.25">
      <c r="A183" s="367"/>
      <c r="B183" s="345"/>
      <c r="C183" s="354"/>
      <c r="D183" s="354"/>
      <c r="E183" s="354"/>
      <c r="F183" s="354"/>
      <c r="G183" s="922" t="s">
        <v>975</v>
      </c>
      <c r="H183" s="917"/>
      <c r="I183" s="914"/>
      <c r="J183" s="68">
        <f t="shared" si="24"/>
        <v>7.8785461618374519E-2</v>
      </c>
      <c r="K183" s="913">
        <f t="shared" si="25"/>
        <v>0</v>
      </c>
      <c r="L183" s="914"/>
      <c r="M183" s="913">
        <f t="shared" si="23"/>
        <v>357686531.94</v>
      </c>
      <c r="N183" s="915"/>
    </row>
    <row r="184" spans="1:23" ht="13.5" x14ac:dyDescent="0.25">
      <c r="A184" s="367"/>
      <c r="B184" s="345"/>
      <c r="C184" s="354"/>
      <c r="D184" s="354"/>
      <c r="E184" s="354"/>
      <c r="F184" s="354"/>
      <c r="G184" s="922" t="s">
        <v>971</v>
      </c>
      <c r="H184" s="917"/>
      <c r="I184" s="914"/>
      <c r="J184" s="68">
        <f t="shared" si="24"/>
        <v>0.25240772122933913</v>
      </c>
      <c r="K184" s="913">
        <f t="shared" si="25"/>
        <v>0</v>
      </c>
      <c r="L184" s="914"/>
      <c r="M184" s="913">
        <f t="shared" si="23"/>
        <v>1145932772.2</v>
      </c>
      <c r="N184" s="915"/>
    </row>
    <row r="185" spans="1:23" ht="13.5" x14ac:dyDescent="0.25">
      <c r="A185" s="367"/>
      <c r="B185" s="345"/>
      <c r="C185" s="354"/>
      <c r="D185" s="354"/>
      <c r="E185" s="354"/>
      <c r="F185" s="354"/>
      <c r="G185" s="922" t="s">
        <v>972</v>
      </c>
      <c r="H185" s="917"/>
      <c r="I185" s="914"/>
      <c r="J185" s="68">
        <f t="shared" si="24"/>
        <v>0</v>
      </c>
      <c r="K185" s="913">
        <f t="shared" si="25"/>
        <v>0</v>
      </c>
      <c r="L185" s="914"/>
      <c r="M185" s="913">
        <f t="shared" si="23"/>
        <v>0</v>
      </c>
      <c r="N185" s="915"/>
    </row>
    <row r="186" spans="1:23" ht="13.5" x14ac:dyDescent="0.25">
      <c r="A186" s="367"/>
      <c r="B186" s="345"/>
      <c r="C186" s="354"/>
      <c r="D186" s="354"/>
      <c r="E186" s="354"/>
      <c r="F186" s="354"/>
      <c r="G186" s="922" t="s">
        <v>973</v>
      </c>
      <c r="H186" s="917"/>
      <c r="I186" s="914"/>
      <c r="J186" s="68">
        <f t="shared" si="24"/>
        <v>0</v>
      </c>
      <c r="K186" s="913">
        <f t="shared" si="25"/>
        <v>0</v>
      </c>
      <c r="L186" s="914"/>
      <c r="M186" s="913">
        <f t="shared" si="23"/>
        <v>0</v>
      </c>
      <c r="N186" s="915"/>
    </row>
    <row r="187" spans="1:23" ht="13.5" x14ac:dyDescent="0.25">
      <c r="A187" s="367"/>
      <c r="B187" s="345"/>
      <c r="C187" s="354"/>
      <c r="D187" s="354"/>
      <c r="E187" s="354"/>
      <c r="F187" s="354"/>
      <c r="G187" s="922" t="s">
        <v>974</v>
      </c>
      <c r="H187" s="917"/>
      <c r="I187" s="914"/>
      <c r="J187" s="68">
        <f t="shared" si="24"/>
        <v>0.53427248234487645</v>
      </c>
      <c r="K187" s="913">
        <f t="shared" si="25"/>
        <v>192779227.06999999</v>
      </c>
      <c r="L187" s="914"/>
      <c r="M187" s="913">
        <f t="shared" si="23"/>
        <v>2425600705.96</v>
      </c>
      <c r="N187" s="915"/>
    </row>
    <row r="188" spans="1:23" ht="14.25" customHeight="1" x14ac:dyDescent="0.25">
      <c r="A188" s="367"/>
      <c r="B188" s="345"/>
      <c r="C188" s="346"/>
      <c r="D188" s="354"/>
      <c r="E188" s="354"/>
      <c r="F188" s="354"/>
      <c r="G188" s="354"/>
      <c r="H188" s="354"/>
      <c r="I188" s="76"/>
      <c r="J188" s="962" t="s">
        <v>2056</v>
      </c>
      <c r="K188" s="958"/>
      <c r="L188" s="959"/>
      <c r="M188" s="961">
        <f>ROUND(SUM(M180:N187),2)</f>
        <v>4540006805.7299995</v>
      </c>
      <c r="N188" s="915"/>
    </row>
    <row r="189" spans="1:23" ht="14.25" customHeight="1" x14ac:dyDescent="0.25">
      <c r="A189" s="367"/>
      <c r="B189" s="345"/>
      <c r="C189" s="346"/>
      <c r="D189" s="354"/>
      <c r="E189" s="354"/>
      <c r="F189" s="354"/>
      <c r="G189" s="907">
        <f>M189/1.3</f>
        <v>3492312927.4846148</v>
      </c>
      <c r="H189" s="346"/>
      <c r="I189" s="76"/>
      <c r="J189" s="962" t="s">
        <v>2062</v>
      </c>
      <c r="K189" s="958"/>
      <c r="L189" s="959"/>
      <c r="M189" s="920">
        <f>M188</f>
        <v>4540006805.7299995</v>
      </c>
      <c r="N189" s="921"/>
    </row>
    <row r="190" spans="1:23" ht="14.25" hidden="1" customHeight="1" x14ac:dyDescent="0.25">
      <c r="A190" s="367"/>
      <c r="B190" s="345"/>
      <c r="C190" s="346"/>
      <c r="D190" s="354"/>
      <c r="E190" s="354"/>
      <c r="F190" s="354"/>
      <c r="G190" s="346"/>
      <c r="H190" s="346"/>
      <c r="I190" s="76"/>
      <c r="J190" s="957" t="s">
        <v>855</v>
      </c>
      <c r="K190" s="959"/>
      <c r="L190" s="69">
        <f>ROUND(M190/M189,2)</f>
        <v>0.1</v>
      </c>
      <c r="M190" s="964">
        <f>M189*10%</f>
        <v>454000680.57299995</v>
      </c>
      <c r="N190" s="915"/>
    </row>
    <row r="191" spans="1:23" ht="14.25" customHeight="1" x14ac:dyDescent="0.25">
      <c r="A191" s="367"/>
      <c r="B191" s="345"/>
      <c r="C191" s="346"/>
      <c r="D191" s="354"/>
      <c r="E191" s="354"/>
      <c r="F191" s="354"/>
      <c r="G191" s="908">
        <f>G189*0.25</f>
        <v>873078231.87115371</v>
      </c>
      <c r="H191" s="354"/>
      <c r="I191" s="76"/>
      <c r="J191" s="957" t="s">
        <v>857</v>
      </c>
      <c r="K191" s="958"/>
      <c r="L191" s="959"/>
      <c r="M191" s="964">
        <f>SUM(K180:L187)</f>
        <v>192779227.06999999</v>
      </c>
      <c r="N191" s="915"/>
    </row>
    <row r="192" spans="1:23" ht="24" customHeight="1" x14ac:dyDescent="0.25">
      <c r="A192" s="367"/>
      <c r="B192" s="345"/>
      <c r="C192" s="346"/>
      <c r="D192" s="354"/>
      <c r="E192" s="354"/>
      <c r="F192" s="354"/>
      <c r="G192" s="910">
        <f>G189*0.05</f>
        <v>174615646.37423074</v>
      </c>
      <c r="H192" s="76"/>
      <c r="I192" s="76"/>
      <c r="J192" s="962" t="s">
        <v>2058</v>
      </c>
      <c r="K192" s="959"/>
      <c r="L192" s="68">
        <f>M192/M191</f>
        <v>9.9999999999999992E-2</v>
      </c>
      <c r="M192" s="964">
        <f>M191*10%</f>
        <v>19277922.706999999</v>
      </c>
      <c r="N192" s="915"/>
      <c r="P192" s="878">
        <f>M189+M193</f>
        <v>4752063955.5099993</v>
      </c>
      <c r="Q192" t="s">
        <v>2048</v>
      </c>
    </row>
    <row r="193" spans="1:16" ht="14.25" customHeight="1" x14ac:dyDescent="0.25">
      <c r="A193" s="367"/>
      <c r="B193" s="345"/>
      <c r="C193" s="346"/>
      <c r="D193" s="354"/>
      <c r="E193" s="354"/>
      <c r="F193" s="354"/>
      <c r="G193" s="354"/>
      <c r="H193" s="346"/>
      <c r="I193" s="76"/>
      <c r="J193" s="957" t="s">
        <v>124</v>
      </c>
      <c r="K193" s="958"/>
      <c r="L193" s="959"/>
      <c r="M193" s="920">
        <f>ROUND(SUM(M191:N192),2)</f>
        <v>212057149.78</v>
      </c>
      <c r="N193" s="921"/>
      <c r="P193" s="878"/>
    </row>
    <row r="194" spans="1:16" ht="14.25" thickBot="1" x14ac:dyDescent="0.3">
      <c r="A194" s="367"/>
      <c r="B194" s="345"/>
      <c r="C194" s="346"/>
      <c r="D194" s="354"/>
      <c r="E194" s="354"/>
      <c r="F194" s="354"/>
      <c r="G194" s="354"/>
      <c r="H194" s="346"/>
      <c r="I194" s="76"/>
      <c r="J194" s="923" t="s">
        <v>2063</v>
      </c>
      <c r="K194" s="924"/>
      <c r="L194" s="925"/>
      <c r="M194" s="905"/>
      <c r="N194" s="906">
        <f>+M193+M189</f>
        <v>4752063955.5099993</v>
      </c>
    </row>
    <row r="195" spans="1:16" ht="14.25" hidden="1" customHeight="1" x14ac:dyDescent="0.25">
      <c r="A195" s="367"/>
      <c r="B195" s="345"/>
      <c r="C195" s="346"/>
      <c r="D195" s="354"/>
      <c r="E195" s="354"/>
      <c r="F195" s="354"/>
      <c r="G195" s="354"/>
      <c r="H195" s="346"/>
      <c r="I195" s="76"/>
      <c r="J195" s="965" t="s">
        <v>856</v>
      </c>
      <c r="K195" s="966"/>
      <c r="L195" s="904">
        <f>M195/M193</f>
        <v>1.9090811152559478E-2</v>
      </c>
      <c r="M195" s="963">
        <v>4048343</v>
      </c>
      <c r="N195" s="954"/>
    </row>
    <row r="196" spans="1:16" ht="18" customHeight="1" x14ac:dyDescent="0.25">
      <c r="A196" s="344"/>
      <c r="B196" s="353"/>
      <c r="C196" s="354"/>
      <c r="D196" s="354"/>
      <c r="E196" s="354"/>
      <c r="F196" s="354"/>
      <c r="G196" s="354"/>
      <c r="H196" s="354"/>
      <c r="I196" s="76"/>
      <c r="J196" s="76"/>
      <c r="K196" s="76"/>
      <c r="L196" s="76"/>
      <c r="M196" s="354"/>
      <c r="N196" s="355"/>
    </row>
    <row r="197" spans="1:16" ht="13.15" hidden="1" customHeight="1" x14ac:dyDescent="0.25">
      <c r="A197" s="344"/>
      <c r="B197" s="353"/>
      <c r="C197" s="354"/>
      <c r="D197" s="354"/>
      <c r="E197" s="354"/>
      <c r="F197" s="354"/>
      <c r="G197" s="354"/>
      <c r="H197" s="354"/>
      <c r="I197" s="76"/>
      <c r="J197" s="957" t="s">
        <v>861</v>
      </c>
      <c r="K197" s="958"/>
      <c r="L197" s="959"/>
      <c r="M197" s="960"/>
      <c r="N197" s="915"/>
    </row>
    <row r="198" spans="1:16" ht="18" hidden="1" customHeight="1" x14ac:dyDescent="0.25">
      <c r="A198" s="344"/>
      <c r="B198" s="353"/>
      <c r="C198" s="354"/>
      <c r="D198" s="354"/>
      <c r="E198" s="354"/>
      <c r="F198" s="354"/>
      <c r="G198" s="354"/>
      <c r="H198" s="354"/>
      <c r="I198" s="76"/>
      <c r="J198" s="76"/>
      <c r="K198" s="76"/>
      <c r="L198" s="76"/>
      <c r="M198" s="354"/>
      <c r="N198" s="355"/>
    </row>
    <row r="199" spans="1:16" ht="18" hidden="1" customHeight="1" x14ac:dyDescent="0.25">
      <c r="A199" s="344"/>
      <c r="B199" s="353"/>
      <c r="C199" s="354"/>
      <c r="D199" s="354"/>
      <c r="E199" s="354"/>
      <c r="F199" s="354"/>
      <c r="G199" s="354"/>
      <c r="H199" s="354"/>
      <c r="I199" s="76"/>
      <c r="J199" s="957" t="s">
        <v>201</v>
      </c>
      <c r="K199" s="958"/>
      <c r="L199" s="959"/>
      <c r="M199" s="960">
        <f>ROUND(M189+M190+M193+M195+M197,2)</f>
        <v>5210112979.0799999</v>
      </c>
      <c r="N199" s="915"/>
    </row>
    <row r="200" spans="1:16" ht="18.75" hidden="1" customHeight="1" thickBot="1" x14ac:dyDescent="0.3">
      <c r="A200" s="344"/>
      <c r="B200" s="353"/>
      <c r="C200" s="354"/>
      <c r="D200" s="354"/>
      <c r="E200" s="354"/>
      <c r="F200" s="354"/>
      <c r="G200" s="354"/>
      <c r="H200" s="354"/>
      <c r="I200" s="354"/>
      <c r="J200" s="369"/>
      <c r="K200" s="354"/>
      <c r="L200" s="354"/>
      <c r="M200" s="354"/>
      <c r="N200" s="355"/>
    </row>
    <row r="201" spans="1:16" ht="13.5" hidden="1" customHeight="1" x14ac:dyDescent="0.25">
      <c r="A201" s="344"/>
      <c r="B201" s="353"/>
      <c r="C201" s="354"/>
      <c r="D201" s="354"/>
      <c r="E201" s="354"/>
      <c r="F201" s="354"/>
      <c r="G201" s="354"/>
      <c r="H201" s="354"/>
      <c r="I201" s="76"/>
      <c r="J201" s="957" t="s">
        <v>853</v>
      </c>
      <c r="K201" s="959"/>
      <c r="L201" s="370">
        <v>0.04</v>
      </c>
      <c r="M201" s="960">
        <v>215775446</v>
      </c>
      <c r="N201" s="915"/>
    </row>
    <row r="202" spans="1:16" ht="13.5" hidden="1" x14ac:dyDescent="0.25">
      <c r="A202" s="367"/>
      <c r="B202" s="345"/>
      <c r="C202" s="346"/>
      <c r="D202" s="346"/>
      <c r="E202" s="354"/>
      <c r="F202" s="354"/>
      <c r="G202" s="354"/>
      <c r="H202" s="346"/>
      <c r="I202" s="76"/>
      <c r="J202" s="76"/>
      <c r="K202" s="346"/>
      <c r="L202" s="346"/>
      <c r="M202" s="346"/>
      <c r="N202" s="763"/>
    </row>
    <row r="203" spans="1:16" ht="13.5" hidden="1" x14ac:dyDescent="0.25">
      <c r="A203" s="371"/>
      <c r="B203" s="345"/>
      <c r="C203" s="346"/>
      <c r="D203" s="76"/>
      <c r="E203" s="76"/>
      <c r="F203" s="76"/>
      <c r="G203" s="76"/>
      <c r="H203" s="372"/>
      <c r="I203" s="76"/>
      <c r="J203" s="957" t="s">
        <v>125</v>
      </c>
      <c r="K203" s="958"/>
      <c r="L203" s="959"/>
      <c r="M203" s="960">
        <f>ROUND(M201+M199,2)</f>
        <v>5425888425.0799999</v>
      </c>
      <c r="N203" s="967"/>
      <c r="P203" s="143"/>
    </row>
    <row r="204" spans="1:16" ht="13.5" x14ac:dyDescent="0.25">
      <c r="A204" s="371"/>
      <c r="B204" s="345"/>
      <c r="C204" s="346"/>
      <c r="D204" s="76"/>
      <c r="E204" s="76"/>
      <c r="F204" s="76"/>
      <c r="G204" s="76"/>
      <c r="H204" s="372"/>
      <c r="I204" s="76"/>
      <c r="J204" s="881"/>
      <c r="K204" s="881"/>
      <c r="L204" s="881"/>
      <c r="M204" s="879"/>
      <c r="N204" s="880"/>
      <c r="P204" s="143"/>
    </row>
    <row r="205" spans="1:16" ht="33" customHeight="1" x14ac:dyDescent="0.25">
      <c r="A205" s="988" t="s">
        <v>2052</v>
      </c>
      <c r="B205" s="988"/>
      <c r="C205" s="988"/>
      <c r="D205" s="988"/>
      <c r="E205" s="988"/>
      <c r="F205" s="988"/>
      <c r="G205" s="988"/>
      <c r="H205" s="884"/>
      <c r="I205" s="989" t="s">
        <v>76</v>
      </c>
      <c r="J205" s="989"/>
      <c r="K205" s="989"/>
      <c r="L205" s="885"/>
      <c r="M205" s="886" t="s">
        <v>2049</v>
      </c>
      <c r="N205" s="880"/>
      <c r="P205" s="143"/>
    </row>
    <row r="206" spans="1:16" ht="16.5" x14ac:dyDescent="0.25">
      <c r="A206" s="887"/>
      <c r="B206" s="888"/>
      <c r="C206" s="887"/>
      <c r="D206" s="889"/>
      <c r="E206" s="889"/>
      <c r="F206" s="889"/>
      <c r="G206" s="889"/>
      <c r="H206" s="890"/>
      <c r="I206" s="876"/>
      <c r="J206" s="891"/>
      <c r="K206" s="891"/>
      <c r="L206" s="891"/>
      <c r="M206" s="892"/>
      <c r="N206" s="880"/>
      <c r="P206" s="143"/>
    </row>
    <row r="207" spans="1:16" ht="48.75" customHeight="1" x14ac:dyDescent="0.25">
      <c r="A207" s="988" t="s">
        <v>2051</v>
      </c>
      <c r="B207" s="990"/>
      <c r="C207" s="990"/>
      <c r="D207" s="990"/>
      <c r="E207" s="990"/>
      <c r="F207" s="990"/>
      <c r="G207" s="990"/>
      <c r="H207" s="890"/>
      <c r="I207" s="989" t="s">
        <v>123</v>
      </c>
      <c r="J207" s="989"/>
      <c r="K207" s="900" t="s">
        <v>127</v>
      </c>
      <c r="L207" s="891"/>
      <c r="M207" s="901">
        <v>0.25</v>
      </c>
      <c r="N207" s="880"/>
      <c r="P207" s="143"/>
    </row>
    <row r="208" spans="1:16" ht="16.5" x14ac:dyDescent="0.25">
      <c r="A208" s="894"/>
      <c r="B208" s="895"/>
      <c r="C208" s="894"/>
      <c r="D208" s="896"/>
      <c r="E208" s="896"/>
      <c r="F208" s="896"/>
      <c r="G208" s="896"/>
      <c r="H208" s="890"/>
      <c r="I208" s="993" t="s">
        <v>2057</v>
      </c>
      <c r="J208" s="993"/>
      <c r="K208" s="893" t="s">
        <v>2054</v>
      </c>
      <c r="L208" s="891"/>
      <c r="M208" s="901">
        <v>0.02</v>
      </c>
      <c r="N208" s="880"/>
      <c r="P208" s="143"/>
    </row>
    <row r="209" spans="1:16" ht="24.75" customHeight="1" x14ac:dyDescent="0.2">
      <c r="A209" s="992" t="s">
        <v>2059</v>
      </c>
      <c r="B209" s="992"/>
      <c r="C209" s="992"/>
      <c r="D209" s="992"/>
      <c r="E209" s="992"/>
      <c r="F209" s="992"/>
      <c r="G209" s="992"/>
      <c r="H209" s="876"/>
      <c r="I209" s="989" t="s">
        <v>2053</v>
      </c>
      <c r="J209" s="989"/>
      <c r="K209" s="893" t="s">
        <v>2055</v>
      </c>
      <c r="L209" s="876"/>
      <c r="M209" s="902">
        <v>0.03</v>
      </c>
      <c r="N209" s="338"/>
    </row>
    <row r="210" spans="1:16" ht="15" x14ac:dyDescent="0.25">
      <c r="A210" s="896"/>
      <c r="B210" s="896"/>
      <c r="C210" s="896"/>
      <c r="D210" s="896"/>
      <c r="E210" s="896"/>
      <c r="F210" s="896"/>
      <c r="G210" s="896"/>
      <c r="H210" s="876"/>
      <c r="I210" s="994" t="s">
        <v>2050</v>
      </c>
      <c r="J210" s="994"/>
      <c r="K210" s="897"/>
      <c r="L210" s="877"/>
      <c r="M210" s="903">
        <f>SUM(M207:M209)</f>
        <v>0.30000000000000004</v>
      </c>
      <c r="N210" s="882"/>
      <c r="P210" s="143"/>
    </row>
    <row r="211" spans="1:16" ht="33.75" customHeight="1" x14ac:dyDescent="0.2">
      <c r="A211" s="991" t="s">
        <v>2060</v>
      </c>
      <c r="B211" s="991"/>
      <c r="C211" s="991"/>
      <c r="D211" s="991"/>
      <c r="E211" s="991"/>
      <c r="F211" s="991"/>
      <c r="G211" s="991"/>
      <c r="H211" s="876"/>
      <c r="I211" s="876"/>
      <c r="J211" s="876"/>
      <c r="K211" s="876"/>
      <c r="L211" s="876"/>
      <c r="M211" s="898"/>
      <c r="N211" s="883"/>
    </row>
    <row r="212" spans="1:16" ht="13.5" x14ac:dyDescent="0.25">
      <c r="A212" s="337"/>
      <c r="B212" s="76"/>
      <c r="C212" s="76"/>
      <c r="D212" s="76"/>
      <c r="E212" s="76"/>
      <c r="F212" s="76"/>
      <c r="G212" s="76"/>
      <c r="H212" s="76"/>
      <c r="I212" s="76"/>
      <c r="J212" s="76"/>
      <c r="K212" s="76"/>
      <c r="L212" s="76"/>
      <c r="M212" s="968"/>
      <c r="N212" s="969"/>
      <c r="P212" s="123"/>
    </row>
    <row r="213" spans="1:16" x14ac:dyDescent="0.2">
      <c r="A213" s="337"/>
      <c r="B213" s="76"/>
      <c r="C213" s="76"/>
      <c r="D213" s="76"/>
      <c r="E213" s="76"/>
      <c r="F213" s="76"/>
      <c r="G213" s="76"/>
      <c r="H213" s="76"/>
      <c r="I213" s="76"/>
      <c r="J213" s="76"/>
      <c r="K213" s="76"/>
      <c r="L213" s="76"/>
      <c r="M213" s="833"/>
      <c r="N213" s="338"/>
    </row>
    <row r="214" spans="1:16" x14ac:dyDescent="0.2">
      <c r="A214" s="337"/>
      <c r="B214" s="76"/>
      <c r="C214" s="76"/>
      <c r="D214" s="76"/>
      <c r="E214" s="76"/>
      <c r="F214" s="76"/>
      <c r="G214" s="76"/>
      <c r="H214" s="76"/>
      <c r="I214" s="76"/>
      <c r="J214" s="76"/>
      <c r="K214" s="76"/>
      <c r="L214" s="76"/>
      <c r="M214" s="76"/>
      <c r="N214" s="338"/>
    </row>
    <row r="215" spans="1:16" x14ac:dyDescent="0.2">
      <c r="A215" s="337"/>
      <c r="B215" s="76"/>
      <c r="C215" s="76"/>
      <c r="D215" s="76"/>
      <c r="E215" s="76"/>
      <c r="F215" s="76"/>
      <c r="G215" s="76"/>
      <c r="H215" s="76"/>
      <c r="I215" s="76"/>
      <c r="J215" s="76"/>
      <c r="K215" s="76"/>
      <c r="L215" s="76"/>
      <c r="M215" s="76"/>
      <c r="N215" s="338"/>
    </row>
    <row r="216" spans="1:16" x14ac:dyDescent="0.2">
      <c r="A216" s="337"/>
      <c r="B216" s="76"/>
      <c r="C216" s="76"/>
      <c r="D216" s="76"/>
      <c r="E216" s="76"/>
      <c r="F216" s="76"/>
      <c r="G216" s="76"/>
      <c r="H216" s="76"/>
      <c r="I216" s="76"/>
      <c r="J216" s="76"/>
      <c r="K216" s="76"/>
      <c r="L216" s="76"/>
      <c r="M216" s="76"/>
      <c r="N216" s="338"/>
    </row>
    <row r="217" spans="1:16" ht="14.25" thickBot="1" x14ac:dyDescent="0.3">
      <c r="A217" s="337"/>
      <c r="B217" s="328"/>
      <c r="C217" s="328"/>
      <c r="D217" s="328"/>
      <c r="E217" s="328"/>
      <c r="F217" s="76"/>
      <c r="G217" s="76"/>
      <c r="H217" s="330"/>
      <c r="I217" s="330"/>
      <c r="J217" s="330"/>
      <c r="K217" s="330"/>
      <c r="L217" s="76"/>
      <c r="M217" s="76"/>
      <c r="N217" s="338"/>
    </row>
    <row r="218" spans="1:16" ht="14.25" thickTop="1" x14ac:dyDescent="0.2">
      <c r="A218" s="337"/>
      <c r="B218" s="912" t="s">
        <v>1961</v>
      </c>
      <c r="C218" s="912"/>
      <c r="D218" s="912"/>
      <c r="E218" s="912"/>
      <c r="F218" s="76"/>
      <c r="G218" s="76"/>
      <c r="H218" s="912" t="s">
        <v>1964</v>
      </c>
      <c r="I218" s="942"/>
      <c r="J218" s="942"/>
      <c r="K218" s="942"/>
      <c r="L218" s="76"/>
      <c r="M218" s="76"/>
      <c r="N218" s="338"/>
    </row>
    <row r="219" spans="1:16" ht="13.5" x14ac:dyDescent="0.25">
      <c r="A219" s="337"/>
      <c r="B219" s="926" t="s">
        <v>1962</v>
      </c>
      <c r="C219" s="927"/>
      <c r="D219" s="927"/>
      <c r="E219" s="927"/>
      <c r="F219" s="76"/>
      <c r="G219" s="76"/>
      <c r="H219" s="938" t="s">
        <v>1965</v>
      </c>
      <c r="I219" s="939"/>
      <c r="J219" s="939"/>
      <c r="K219" s="939"/>
      <c r="L219" s="76"/>
      <c r="M219" s="76"/>
      <c r="N219" s="338"/>
    </row>
    <row r="220" spans="1:16" ht="13.5" x14ac:dyDescent="0.25">
      <c r="A220" s="337"/>
      <c r="B220" s="926" t="s">
        <v>1963</v>
      </c>
      <c r="C220" s="927"/>
      <c r="D220" s="927"/>
      <c r="E220" s="927"/>
      <c r="F220" s="76"/>
      <c r="G220" s="76"/>
      <c r="H220" s="938" t="s">
        <v>1966</v>
      </c>
      <c r="I220" s="939"/>
      <c r="J220" s="939"/>
      <c r="K220" s="939"/>
      <c r="L220" s="76"/>
      <c r="M220" s="76"/>
      <c r="N220" s="338"/>
    </row>
    <row r="221" spans="1:16" ht="13.5" thickBot="1" x14ac:dyDescent="0.25">
      <c r="A221" s="341"/>
      <c r="B221" s="342"/>
      <c r="C221" s="342"/>
      <c r="D221" s="342"/>
      <c r="E221" s="342"/>
      <c r="F221" s="342"/>
      <c r="G221" s="342"/>
      <c r="H221" s="342"/>
      <c r="I221" s="342"/>
      <c r="J221" s="342"/>
      <c r="K221" s="342"/>
      <c r="L221" s="342"/>
      <c r="M221" s="342"/>
      <c r="N221" s="343"/>
    </row>
  </sheetData>
  <mergeCells count="466">
    <mergeCell ref="A205:G205"/>
    <mergeCell ref="I205:K205"/>
    <mergeCell ref="A207:G207"/>
    <mergeCell ref="A211:G211"/>
    <mergeCell ref="A209:G209"/>
    <mergeCell ref="I207:J207"/>
    <mergeCell ref="I208:J208"/>
    <mergeCell ref="I209:J209"/>
    <mergeCell ref="I210:J210"/>
    <mergeCell ref="M85:N85"/>
    <mergeCell ref="M93:N93"/>
    <mergeCell ref="K93:L93"/>
    <mergeCell ref="K88:L88"/>
    <mergeCell ref="M88:N88"/>
    <mergeCell ref="B86:H86"/>
    <mergeCell ref="M86:N86"/>
    <mergeCell ref="M87:N87"/>
    <mergeCell ref="B77:N77"/>
    <mergeCell ref="B49:H49"/>
    <mergeCell ref="K49:L49"/>
    <mergeCell ref="M49:N49"/>
    <mergeCell ref="B82:H82"/>
    <mergeCell ref="K82:L82"/>
    <mergeCell ref="A4:N4"/>
    <mergeCell ref="K76:L76"/>
    <mergeCell ref="B75:N75"/>
    <mergeCell ref="B76:H76"/>
    <mergeCell ref="B79:H79"/>
    <mergeCell ref="K79:L79"/>
    <mergeCell ref="K74:L74"/>
    <mergeCell ref="K69:L69"/>
    <mergeCell ref="K70:L70"/>
    <mergeCell ref="K80:L80"/>
    <mergeCell ref="K81:L81"/>
    <mergeCell ref="B47:H47"/>
    <mergeCell ref="K47:L47"/>
    <mergeCell ref="M47:N47"/>
    <mergeCell ref="B56:H56"/>
    <mergeCell ref="K56:L56"/>
    <mergeCell ref="M56:N56"/>
    <mergeCell ref="H69:J69"/>
    <mergeCell ref="B65:N65"/>
    <mergeCell ref="K159:L159"/>
    <mergeCell ref="M159:N159"/>
    <mergeCell ref="B162:H162"/>
    <mergeCell ref="K162:L162"/>
    <mergeCell ref="M162:N162"/>
    <mergeCell ref="M122:N122"/>
    <mergeCell ref="B134:H134"/>
    <mergeCell ref="K134:L134"/>
    <mergeCell ref="M134:N134"/>
    <mergeCell ref="B128:N128"/>
    <mergeCell ref="B160:H160"/>
    <mergeCell ref="M160:N160"/>
    <mergeCell ref="B161:H161"/>
    <mergeCell ref="K152:L152"/>
    <mergeCell ref="K161:L161"/>
    <mergeCell ref="M161:N161"/>
    <mergeCell ref="K160:L160"/>
    <mergeCell ref="B139:H139"/>
    <mergeCell ref="K139:L139"/>
    <mergeCell ref="K144:L144"/>
    <mergeCell ref="M144:N144"/>
    <mergeCell ref="B140:H140"/>
    <mergeCell ref="K98:L98"/>
    <mergeCell ref="M98:N98"/>
    <mergeCell ref="B100:H100"/>
    <mergeCell ref="B72:H72"/>
    <mergeCell ref="B78:H78"/>
    <mergeCell ref="K117:L117"/>
    <mergeCell ref="M117:N117"/>
    <mergeCell ref="K126:L126"/>
    <mergeCell ref="M126:N126"/>
    <mergeCell ref="K85:L85"/>
    <mergeCell ref="B84:H84"/>
    <mergeCell ref="K84:L84"/>
    <mergeCell ref="M80:N80"/>
    <mergeCell ref="M81:N81"/>
    <mergeCell ref="B81:H81"/>
    <mergeCell ref="B83:H83"/>
    <mergeCell ref="K83:L83"/>
    <mergeCell ref="M83:N83"/>
    <mergeCell ref="M74:N74"/>
    <mergeCell ref="B80:H80"/>
    <mergeCell ref="M72:N72"/>
    <mergeCell ref="M79:N79"/>
    <mergeCell ref="B74:H74"/>
    <mergeCell ref="K114:L114"/>
    <mergeCell ref="K163:L163"/>
    <mergeCell ref="M163:N163"/>
    <mergeCell ref="B159:H159"/>
    <mergeCell ref="A3:N3"/>
    <mergeCell ref="A5:N5"/>
    <mergeCell ref="A6:N6"/>
    <mergeCell ref="A7:N7"/>
    <mergeCell ref="A8:N9"/>
    <mergeCell ref="A10:N10"/>
    <mergeCell ref="M91:N91"/>
    <mergeCell ref="K94:L94"/>
    <mergeCell ref="M94:N94"/>
    <mergeCell ref="A94:H94"/>
    <mergeCell ref="H93:J93"/>
    <mergeCell ref="M84:N84"/>
    <mergeCell ref="B85:H85"/>
    <mergeCell ref="M82:N82"/>
    <mergeCell ref="K78:L78"/>
    <mergeCell ref="M78:N78"/>
    <mergeCell ref="M76:N76"/>
    <mergeCell ref="B114:H114"/>
    <mergeCell ref="H122:J122"/>
    <mergeCell ref="K122:L122"/>
    <mergeCell ref="M69:N69"/>
    <mergeCell ref="B220:E220"/>
    <mergeCell ref="B137:H137"/>
    <mergeCell ref="K137:L137"/>
    <mergeCell ref="M137:N137"/>
    <mergeCell ref="B148:H148"/>
    <mergeCell ref="K148:L148"/>
    <mergeCell ref="M148:N148"/>
    <mergeCell ref="B156:H156"/>
    <mergeCell ref="K156:L156"/>
    <mergeCell ref="M156:N156"/>
    <mergeCell ref="B155:H155"/>
    <mergeCell ref="K155:L155"/>
    <mergeCell ref="M155:N155"/>
    <mergeCell ref="M146:N146"/>
    <mergeCell ref="B168:H168"/>
    <mergeCell ref="K168:L168"/>
    <mergeCell ref="M212:N212"/>
    <mergeCell ref="G181:I181"/>
    <mergeCell ref="K181:L181"/>
    <mergeCell ref="M181:N181"/>
    <mergeCell ref="G182:I182"/>
    <mergeCell ref="K187:L187"/>
    <mergeCell ref="M187:N187"/>
    <mergeCell ref="B165:H165"/>
    <mergeCell ref="K170:L170"/>
    <mergeCell ref="G186:I186"/>
    <mergeCell ref="G183:I183"/>
    <mergeCell ref="M180:N180"/>
    <mergeCell ref="B173:H173"/>
    <mergeCell ref="M182:N182"/>
    <mergeCell ref="K183:L183"/>
    <mergeCell ref="K165:L165"/>
    <mergeCell ref="M203:N203"/>
    <mergeCell ref="K182:L182"/>
    <mergeCell ref="J199:L199"/>
    <mergeCell ref="M170:N170"/>
    <mergeCell ref="M189:N189"/>
    <mergeCell ref="M190:N190"/>
    <mergeCell ref="M191:N191"/>
    <mergeCell ref="M184:N184"/>
    <mergeCell ref="K186:L186"/>
    <mergeCell ref="M186:N186"/>
    <mergeCell ref="J189:L189"/>
    <mergeCell ref="J192:K192"/>
    <mergeCell ref="M171:N171"/>
    <mergeCell ref="K171:L171"/>
    <mergeCell ref="K177:L177"/>
    <mergeCell ref="M177:N177"/>
    <mergeCell ref="M168:N168"/>
    <mergeCell ref="K184:L184"/>
    <mergeCell ref="K179:L179"/>
    <mergeCell ref="K180:L180"/>
    <mergeCell ref="B164:N164"/>
    <mergeCell ref="B163:H163"/>
    <mergeCell ref="J203:L203"/>
    <mergeCell ref="K174:L174"/>
    <mergeCell ref="M174:N174"/>
    <mergeCell ref="J197:L197"/>
    <mergeCell ref="M197:N197"/>
    <mergeCell ref="M188:N188"/>
    <mergeCell ref="J188:L188"/>
    <mergeCell ref="M201:N201"/>
    <mergeCell ref="M199:N199"/>
    <mergeCell ref="M195:N195"/>
    <mergeCell ref="M183:N183"/>
    <mergeCell ref="M179:N179"/>
    <mergeCell ref="J201:K201"/>
    <mergeCell ref="M192:N192"/>
    <mergeCell ref="J195:K195"/>
    <mergeCell ref="J190:K190"/>
    <mergeCell ref="J191:L191"/>
    <mergeCell ref="J193:L193"/>
    <mergeCell ref="K185:L185"/>
    <mergeCell ref="B175:N175"/>
    <mergeCell ref="B176:H176"/>
    <mergeCell ref="G184:I184"/>
    <mergeCell ref="G179:I179"/>
    <mergeCell ref="G180:I180"/>
    <mergeCell ref="B174:H174"/>
    <mergeCell ref="K173:L173"/>
    <mergeCell ref="M173:N173"/>
    <mergeCell ref="B172:N172"/>
    <mergeCell ref="M176:N176"/>
    <mergeCell ref="K86:L86"/>
    <mergeCell ref="K87:L87"/>
    <mergeCell ref="B87:H87"/>
    <mergeCell ref="B88:H88"/>
    <mergeCell ref="B89:N89"/>
    <mergeCell ref="B90:H90"/>
    <mergeCell ref="K90:L90"/>
    <mergeCell ref="M90:N90"/>
    <mergeCell ref="B105:H105"/>
    <mergeCell ref="B91:H91"/>
    <mergeCell ref="K91:L91"/>
    <mergeCell ref="K141:L141"/>
    <mergeCell ref="M141:N141"/>
    <mergeCell ref="K118:L118"/>
    <mergeCell ref="M140:N140"/>
    <mergeCell ref="K120:L120"/>
    <mergeCell ref="M120:N120"/>
    <mergeCell ref="M112:N112"/>
    <mergeCell ref="M113:N113"/>
    <mergeCell ref="B99:N99"/>
    <mergeCell ref="M108:N108"/>
    <mergeCell ref="M139:N139"/>
    <mergeCell ref="B66:H66"/>
    <mergeCell ref="K66:L66"/>
    <mergeCell ref="M66:N66"/>
    <mergeCell ref="B71:N71"/>
    <mergeCell ref="M96:N96"/>
    <mergeCell ref="B97:N97"/>
    <mergeCell ref="B98:H98"/>
    <mergeCell ref="K135:L135"/>
    <mergeCell ref="B138:N138"/>
    <mergeCell ref="B112:H112"/>
    <mergeCell ref="K115:L115"/>
    <mergeCell ref="M114:N114"/>
    <mergeCell ref="B113:H113"/>
    <mergeCell ref="M111:N111"/>
    <mergeCell ref="K112:L112"/>
    <mergeCell ref="B111:H111"/>
    <mergeCell ref="B117:H117"/>
    <mergeCell ref="M109:N109"/>
    <mergeCell ref="M110:N110"/>
    <mergeCell ref="B110:H110"/>
    <mergeCell ref="B106:H106"/>
    <mergeCell ref="B109:H109"/>
    <mergeCell ref="B104:H104"/>
    <mergeCell ref="B115:H115"/>
    <mergeCell ref="K62:L62"/>
    <mergeCell ref="K72:L72"/>
    <mergeCell ref="B73:N73"/>
    <mergeCell ref="K53:L53"/>
    <mergeCell ref="M53:N53"/>
    <mergeCell ref="M62:N62"/>
    <mergeCell ref="B55:H55"/>
    <mergeCell ref="K55:L55"/>
    <mergeCell ref="M55:N55"/>
    <mergeCell ref="B57:H57"/>
    <mergeCell ref="K57:L57"/>
    <mergeCell ref="M57:N57"/>
    <mergeCell ref="K59:L59"/>
    <mergeCell ref="M59:N59"/>
    <mergeCell ref="B60:H60"/>
    <mergeCell ref="K60:L60"/>
    <mergeCell ref="M60:N60"/>
    <mergeCell ref="K64:L64"/>
    <mergeCell ref="M64:N64"/>
    <mergeCell ref="B61:N61"/>
    <mergeCell ref="B62:H62"/>
    <mergeCell ref="B58:N58"/>
    <mergeCell ref="B59:H59"/>
    <mergeCell ref="A70:H70"/>
    <mergeCell ref="B51:H51"/>
    <mergeCell ref="K51:L51"/>
    <mergeCell ref="M51:N51"/>
    <mergeCell ref="B52:H52"/>
    <mergeCell ref="K52:L52"/>
    <mergeCell ref="M52:N52"/>
    <mergeCell ref="B53:H53"/>
    <mergeCell ref="B54:H54"/>
    <mergeCell ref="K54:L54"/>
    <mergeCell ref="M54:N54"/>
    <mergeCell ref="K45:L45"/>
    <mergeCell ref="B50:H50"/>
    <mergeCell ref="K50:L50"/>
    <mergeCell ref="M50:N50"/>
    <mergeCell ref="B38:N38"/>
    <mergeCell ref="B39:H39"/>
    <mergeCell ref="K39:L39"/>
    <mergeCell ref="M39:N39"/>
    <mergeCell ref="K48:L48"/>
    <mergeCell ref="M48:N48"/>
    <mergeCell ref="B44:N44"/>
    <mergeCell ref="B48:H48"/>
    <mergeCell ref="M43:N43"/>
    <mergeCell ref="K43:L43"/>
    <mergeCell ref="B43:H43"/>
    <mergeCell ref="B41:H41"/>
    <mergeCell ref="B40:N40"/>
    <mergeCell ref="K41:L41"/>
    <mergeCell ref="M41:N41"/>
    <mergeCell ref="M45:N45"/>
    <mergeCell ref="B45:H45"/>
    <mergeCell ref="B46:H46"/>
    <mergeCell ref="K46:L46"/>
    <mergeCell ref="M46:N46"/>
    <mergeCell ref="B30:H30"/>
    <mergeCell ref="B32:H32"/>
    <mergeCell ref="B28:H28"/>
    <mergeCell ref="K28:L28"/>
    <mergeCell ref="M28:N28"/>
    <mergeCell ref="B27:H27"/>
    <mergeCell ref="B29:H29"/>
    <mergeCell ref="K37:L37"/>
    <mergeCell ref="M37:N37"/>
    <mergeCell ref="K34:L34"/>
    <mergeCell ref="M34:N34"/>
    <mergeCell ref="A35:H35"/>
    <mergeCell ref="K35:L35"/>
    <mergeCell ref="M35:N35"/>
    <mergeCell ref="B36:N36"/>
    <mergeCell ref="M29:N29"/>
    <mergeCell ref="K29:L29"/>
    <mergeCell ref="K30:L30"/>
    <mergeCell ref="K27:L27"/>
    <mergeCell ref="K32:L32"/>
    <mergeCell ref="A12:L14"/>
    <mergeCell ref="M12:N12"/>
    <mergeCell ref="M13:N14"/>
    <mergeCell ref="K15:L15"/>
    <mergeCell ref="M15:N15"/>
    <mergeCell ref="K16:L16"/>
    <mergeCell ref="M16:N16"/>
    <mergeCell ref="A16:H16"/>
    <mergeCell ref="B17:N17"/>
    <mergeCell ref="B19:N19"/>
    <mergeCell ref="B22:H22"/>
    <mergeCell ref="K20:L20"/>
    <mergeCell ref="M20:N20"/>
    <mergeCell ref="B20:H20"/>
    <mergeCell ref="B23:H23"/>
    <mergeCell ref="K23:L23"/>
    <mergeCell ref="M23:N23"/>
    <mergeCell ref="B21:N21"/>
    <mergeCell ref="B25:H25"/>
    <mergeCell ref="K25:L25"/>
    <mergeCell ref="M25:N25"/>
    <mergeCell ref="K100:L100"/>
    <mergeCell ref="B18:H18"/>
    <mergeCell ref="K18:L18"/>
    <mergeCell ref="M18:N18"/>
    <mergeCell ref="H218:K218"/>
    <mergeCell ref="H219:K219"/>
    <mergeCell ref="B107:H107"/>
    <mergeCell ref="B108:H108"/>
    <mergeCell ref="K105:L105"/>
    <mergeCell ref="M105:N105"/>
    <mergeCell ref="K106:L106"/>
    <mergeCell ref="M106:N106"/>
    <mergeCell ref="K107:L107"/>
    <mergeCell ref="M107:N107"/>
    <mergeCell ref="K108:L108"/>
    <mergeCell ref="K96:L96"/>
    <mergeCell ref="B102:H102"/>
    <mergeCell ref="K102:L102"/>
    <mergeCell ref="M102:N102"/>
    <mergeCell ref="M100:N100"/>
    <mergeCell ref="B96:H96"/>
    <mergeCell ref="H220:K220"/>
    <mergeCell ref="K110:L110"/>
    <mergeCell ref="A127:H127"/>
    <mergeCell ref="K127:L127"/>
    <mergeCell ref="M127:N127"/>
    <mergeCell ref="B116:N116"/>
    <mergeCell ref="B118:H118"/>
    <mergeCell ref="K22:L22"/>
    <mergeCell ref="M22:N22"/>
    <mergeCell ref="B31:N31"/>
    <mergeCell ref="B24:N24"/>
    <mergeCell ref="B42:N42"/>
    <mergeCell ref="M32:N32"/>
    <mergeCell ref="M30:N30"/>
    <mergeCell ref="M27:N27"/>
    <mergeCell ref="B26:N26"/>
    <mergeCell ref="B37:H37"/>
    <mergeCell ref="M70:N70"/>
    <mergeCell ref="K109:L109"/>
    <mergeCell ref="B95:N95"/>
    <mergeCell ref="B103:N103"/>
    <mergeCell ref="K104:L104"/>
    <mergeCell ref="M104:N104"/>
    <mergeCell ref="B101:N101"/>
    <mergeCell ref="M115:N115"/>
    <mergeCell ref="K113:L113"/>
    <mergeCell ref="M118:N118"/>
    <mergeCell ref="B129:H129"/>
    <mergeCell ref="K129:L129"/>
    <mergeCell ref="M129:N129"/>
    <mergeCell ref="B136:N136"/>
    <mergeCell ref="B119:N119"/>
    <mergeCell ref="B120:H120"/>
    <mergeCell ref="K111:L111"/>
    <mergeCell ref="M135:N135"/>
    <mergeCell ref="B135:H135"/>
    <mergeCell ref="K143:L143"/>
    <mergeCell ref="M143:N143"/>
    <mergeCell ref="B143:H143"/>
    <mergeCell ref="M152:N152"/>
    <mergeCell ref="B152:H152"/>
    <mergeCell ref="K140:L140"/>
    <mergeCell ref="M147:N147"/>
    <mergeCell ref="K151:L151"/>
    <mergeCell ref="M145:N145"/>
    <mergeCell ref="M151:N151"/>
    <mergeCell ref="K149:L149"/>
    <mergeCell ref="M149:N149"/>
    <mergeCell ref="B146:H146"/>
    <mergeCell ref="K146:L146"/>
    <mergeCell ref="B144:H144"/>
    <mergeCell ref="B145:H145"/>
    <mergeCell ref="K147:L147"/>
    <mergeCell ref="B147:H147"/>
    <mergeCell ref="B151:H151"/>
    <mergeCell ref="B149:H149"/>
    <mergeCell ref="B150:H150"/>
    <mergeCell ref="B219:E219"/>
    <mergeCell ref="H124:J124"/>
    <mergeCell ref="K124:L124"/>
    <mergeCell ref="M124:N124"/>
    <mergeCell ref="B130:H130"/>
    <mergeCell ref="K130:L130"/>
    <mergeCell ref="M130:N130"/>
    <mergeCell ref="B131:H131"/>
    <mergeCell ref="K131:L131"/>
    <mergeCell ref="M131:N131"/>
    <mergeCell ref="H126:J126"/>
    <mergeCell ref="B133:N133"/>
    <mergeCell ref="B132:H132"/>
    <mergeCell ref="K132:L132"/>
    <mergeCell ref="M132:N132"/>
    <mergeCell ref="B141:H141"/>
    <mergeCell ref="B142:N142"/>
    <mergeCell ref="K145:L145"/>
    <mergeCell ref="K176:L176"/>
    <mergeCell ref="M185:N185"/>
    <mergeCell ref="K150:L150"/>
    <mergeCell ref="M150:N150"/>
    <mergeCell ref="K157:L157"/>
    <mergeCell ref="M157:N157"/>
    <mergeCell ref="B218:E218"/>
    <mergeCell ref="K153:L153"/>
    <mergeCell ref="M153:N153"/>
    <mergeCell ref="B154:H154"/>
    <mergeCell ref="K154:L154"/>
    <mergeCell ref="B157:H157"/>
    <mergeCell ref="B158:H158"/>
    <mergeCell ref="K158:L158"/>
    <mergeCell ref="M158:N158"/>
    <mergeCell ref="M154:N154"/>
    <mergeCell ref="B166:N166"/>
    <mergeCell ref="B167:H167"/>
    <mergeCell ref="K167:L167"/>
    <mergeCell ref="M167:N167"/>
    <mergeCell ref="B169:N169"/>
    <mergeCell ref="M165:N165"/>
    <mergeCell ref="B153:H153"/>
    <mergeCell ref="M193:N193"/>
    <mergeCell ref="G185:I185"/>
    <mergeCell ref="G187:I187"/>
    <mergeCell ref="B171:H171"/>
    <mergeCell ref="B170:H170"/>
    <mergeCell ref="B177:H177"/>
    <mergeCell ref="J194:L194"/>
  </mergeCells>
  <phoneticPr fontId="39" type="noConversion"/>
  <conditionalFormatting sqref="J180:J187">
    <cfRule type="colorScale" priority="627">
      <colorScale>
        <cfvo type="min"/>
        <cfvo type="percentile" val="50"/>
        <cfvo type="max"/>
        <color rgb="FF63BE7B"/>
        <color rgb="FFFFEB84"/>
        <color rgb="FFF8696B"/>
      </colorScale>
    </cfRule>
  </conditionalFormatting>
  <conditionalFormatting sqref="B206 B178:B204 B12:B57 B121:B176 B90:B118 B59:B88 B208 B212:B1048576 B210">
    <cfRule type="duplicateValues" dxfId="1416" priority="5"/>
  </conditionalFormatting>
  <conditionalFormatting sqref="B177">
    <cfRule type="duplicateValues" dxfId="1415" priority="4"/>
  </conditionalFormatting>
  <conditionalFormatting sqref="B119:B120">
    <cfRule type="duplicateValues" dxfId="1414" priority="3"/>
  </conditionalFormatting>
  <conditionalFormatting sqref="B89">
    <cfRule type="duplicateValues" dxfId="1413" priority="2"/>
  </conditionalFormatting>
  <conditionalFormatting sqref="B58">
    <cfRule type="duplicateValues" dxfId="1412" priority="1"/>
  </conditionalFormatting>
  <dataValidations count="1">
    <dataValidation allowBlank="1" showErrorMessage="1" sqref="B116:N116 B89:N89 B58:N58" xr:uid="{00000000-0002-0000-0100-000001000000}"/>
  </dataValidations>
  <printOptions horizontalCentered="1" verticalCentered="1"/>
  <pageMargins left="0.7" right="0.7" top="0.75" bottom="0.75" header="0.3" footer="0.3"/>
  <pageSetup scale="52" fitToHeight="0" orientation="portrait" r:id="rId1"/>
  <rowBreaks count="2" manualBreakCount="2">
    <brk id="42" max="16383" man="1"/>
    <brk id="168" max="16383" man="1"/>
  </rowBreaks>
  <drawing r:id="rId2"/>
  <extLst>
    <ext xmlns:x14="http://schemas.microsoft.com/office/spreadsheetml/2009/9/main" uri="{CCE6A557-97BC-4b89-ADB6-D9C93CAAB3DF}">
      <x14:dataValidations xmlns:xm="http://schemas.microsoft.com/office/excel/2006/main" count="3">
        <x14:dataValidation type="list" allowBlank="1" showErrorMessage="1" xr:uid="{00000000-0002-0000-0100-000003000000}">
          <x14:formula1>
            <xm:f>'11'!$B$10:$B$100</xm:f>
          </x14:formula1>
          <xm:sqref>K167:K168 I165 I170:I171 I167:I168 K173:K174 K170:K171 I173:I174 K165</xm:sqref>
        </x14:dataValidation>
        <x14:dataValidation type="list" allowBlank="1" showErrorMessage="1" xr:uid="{00000000-0002-0000-0100-000002000000}">
          <x14:formula1>
            <xm:f>'11'!$B$9:$B$1399</xm:f>
          </x14:formula1>
          <xm:sqref>B18:H18 B66:H66 B72:H72 B43:H43 B25:H25 B100:H100 B20:H20 B98:H98 B102:H102 B74:H74 B62:H62 B41:H41 B22:H23 B139:H141 B45:H57 B90:H91 B27:H30 B32:H32 B37:H37 B39:H39 B59:H60 B76:H76 B78:H88 B96:H96 B104:H115 B129:H132 B173:H174 B137:H137 B143:H163 B170:H171 B165:H165 B167:H168 B134:H135 B176:H177 B120:H120</xm:sqref>
        </x14:dataValidation>
        <x14:dataValidation type="list" allowBlank="1" showErrorMessage="1" xr:uid="{00000000-0002-0000-0100-000007000000}">
          <x14:formula1>
            <xm:f>'11'!$B$10:$B$1249</xm:f>
          </x14:formula1>
          <xm:sqref>B117:B118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6C38-C95E-4A51-811D-34A5DBC2D709}">
  <dimension ref="A1:W216"/>
  <sheetViews>
    <sheetView topLeftCell="A180" workbookViewId="0">
      <selection activeCell="P193" sqref="P193"/>
    </sheetView>
  </sheetViews>
  <sheetFormatPr baseColWidth="10" defaultRowHeight="12.75" outlineLevelRow="1" x14ac:dyDescent="0.2"/>
  <cols>
    <col min="13" max="13" width="16.5703125" bestFit="1" customWidth="1"/>
    <col min="14" max="14" width="17.5703125" bestFit="1" customWidth="1"/>
    <col min="15" max="15" width="3.7109375" customWidth="1"/>
    <col min="16" max="16" width="18.7109375" customWidth="1"/>
    <col min="17" max="17" width="16.7109375" bestFit="1" customWidth="1"/>
  </cols>
  <sheetData>
    <row r="1" spans="1:14" ht="13.5" thickBot="1" x14ac:dyDescent="0.25"/>
    <row r="2" spans="1:14" ht="16.5" thickTop="1" x14ac:dyDescent="0.25">
      <c r="A2" s="871"/>
      <c r="B2" s="872"/>
      <c r="C2" s="873"/>
      <c r="D2" s="872"/>
      <c r="E2" s="872"/>
      <c r="F2" s="872"/>
      <c r="G2" s="872"/>
      <c r="H2" s="872"/>
      <c r="I2" s="872"/>
      <c r="J2" s="874"/>
      <c r="K2" s="874"/>
      <c r="L2" s="874"/>
      <c r="M2" s="874"/>
      <c r="N2" s="875"/>
    </row>
    <row r="3" spans="1:14" ht="15.75" customHeight="1" x14ac:dyDescent="0.2">
      <c r="A3" s="971" t="s">
        <v>2041</v>
      </c>
      <c r="B3" s="972"/>
      <c r="C3" s="972"/>
      <c r="D3" s="972"/>
      <c r="E3" s="972"/>
      <c r="F3" s="972"/>
      <c r="G3" s="972"/>
      <c r="H3" s="972"/>
      <c r="I3" s="972"/>
      <c r="J3" s="972"/>
      <c r="K3" s="972"/>
      <c r="L3" s="972"/>
      <c r="M3" s="972"/>
      <c r="N3" s="973"/>
    </row>
    <row r="4" spans="1:14" ht="16.5" customHeight="1" x14ac:dyDescent="0.2">
      <c r="A4" s="983" t="s">
        <v>2042</v>
      </c>
      <c r="B4" s="984"/>
      <c r="C4" s="984"/>
      <c r="D4" s="984"/>
      <c r="E4" s="984"/>
      <c r="F4" s="984"/>
      <c r="G4" s="984"/>
      <c r="H4" s="984"/>
      <c r="I4" s="984"/>
      <c r="J4" s="984"/>
      <c r="K4" s="984"/>
      <c r="L4" s="984"/>
      <c r="M4" s="984"/>
      <c r="N4" s="985"/>
    </row>
    <row r="5" spans="1:14" x14ac:dyDescent="0.2">
      <c r="A5" s="974" t="s">
        <v>2043</v>
      </c>
      <c r="B5" s="975"/>
      <c r="C5" s="975"/>
      <c r="D5" s="975"/>
      <c r="E5" s="975"/>
      <c r="F5" s="975"/>
      <c r="G5" s="975"/>
      <c r="H5" s="975"/>
      <c r="I5" s="975"/>
      <c r="J5" s="975"/>
      <c r="K5" s="975"/>
      <c r="L5" s="975"/>
      <c r="M5" s="975"/>
      <c r="N5" s="976"/>
    </row>
    <row r="6" spans="1:14" x14ac:dyDescent="0.2">
      <c r="A6" s="977" t="s">
        <v>2044</v>
      </c>
      <c r="B6" s="978"/>
      <c r="C6" s="978"/>
      <c r="D6" s="978"/>
      <c r="E6" s="978"/>
      <c r="F6" s="978"/>
      <c r="G6" s="978"/>
      <c r="H6" s="978"/>
      <c r="I6" s="978"/>
      <c r="J6" s="978"/>
      <c r="K6" s="978"/>
      <c r="L6" s="978"/>
      <c r="M6" s="978"/>
      <c r="N6" s="979"/>
    </row>
    <row r="7" spans="1:14" x14ac:dyDescent="0.2">
      <c r="A7" s="977" t="s">
        <v>1480</v>
      </c>
      <c r="B7" s="978"/>
      <c r="C7" s="978"/>
      <c r="D7" s="978"/>
      <c r="E7" s="978"/>
      <c r="F7" s="978"/>
      <c r="G7" s="978"/>
      <c r="H7" s="978"/>
      <c r="I7" s="978"/>
      <c r="J7" s="978"/>
      <c r="K7" s="978"/>
      <c r="L7" s="978"/>
      <c r="M7" s="978"/>
      <c r="N7" s="979"/>
    </row>
    <row r="8" spans="1:14" ht="12.75" customHeight="1" x14ac:dyDescent="0.2">
      <c r="A8" s="980" t="s">
        <v>2045</v>
      </c>
      <c r="B8" s="981"/>
      <c r="C8" s="981"/>
      <c r="D8" s="981"/>
      <c r="E8" s="981"/>
      <c r="F8" s="981"/>
      <c r="G8" s="981"/>
      <c r="H8" s="981"/>
      <c r="I8" s="981"/>
      <c r="J8" s="981"/>
      <c r="K8" s="981"/>
      <c r="L8" s="981"/>
      <c r="M8" s="981"/>
      <c r="N8" s="982"/>
    </row>
    <row r="9" spans="1:14" ht="32.25" customHeight="1" x14ac:dyDescent="0.2">
      <c r="A9" s="980"/>
      <c r="B9" s="981"/>
      <c r="C9" s="981"/>
      <c r="D9" s="981"/>
      <c r="E9" s="981"/>
      <c r="F9" s="981"/>
      <c r="G9" s="981"/>
      <c r="H9" s="981"/>
      <c r="I9" s="981"/>
      <c r="J9" s="981"/>
      <c r="K9" s="981"/>
      <c r="L9" s="981"/>
      <c r="M9" s="981"/>
      <c r="N9" s="982"/>
    </row>
    <row r="10" spans="1:14" ht="31.5" customHeight="1" x14ac:dyDescent="0.2">
      <c r="A10" s="980" t="s">
        <v>2046</v>
      </c>
      <c r="B10" s="981"/>
      <c r="C10" s="981"/>
      <c r="D10" s="981"/>
      <c r="E10" s="981"/>
      <c r="F10" s="981"/>
      <c r="G10" s="981"/>
      <c r="H10" s="981"/>
      <c r="I10" s="981"/>
      <c r="J10" s="981"/>
      <c r="K10" s="981"/>
      <c r="L10" s="981"/>
      <c r="M10" s="981"/>
      <c r="N10" s="982"/>
    </row>
    <row r="11" spans="1:14" ht="13.5" thickBot="1" x14ac:dyDescent="0.25">
      <c r="A11" s="868"/>
      <c r="B11" s="869"/>
      <c r="C11" s="869"/>
      <c r="D11" s="869"/>
      <c r="E11" s="869"/>
      <c r="F11" s="869"/>
      <c r="G11" s="869"/>
      <c r="H11" s="869"/>
      <c r="I11" s="869"/>
      <c r="J11" s="869"/>
      <c r="K11" s="869"/>
      <c r="L11" s="869"/>
      <c r="M11" s="869"/>
      <c r="N11" s="870"/>
    </row>
    <row r="12" spans="1:14" ht="13.5" x14ac:dyDescent="0.25">
      <c r="A12" s="943" t="str">
        <f>Indice!$B$2</f>
        <v>CONSTRUCCIÓN DE LA FASE 1 DEL PLAN MAESTRO DE ACUEDUCTO DEL MUNICIPIO DE ÍQUIRA, HUILA</v>
      </c>
      <c r="B12" s="944"/>
      <c r="C12" s="944"/>
      <c r="D12" s="944"/>
      <c r="E12" s="944"/>
      <c r="F12" s="944"/>
      <c r="G12" s="944"/>
      <c r="H12" s="944"/>
      <c r="I12" s="944"/>
      <c r="J12" s="944"/>
      <c r="K12" s="944"/>
      <c r="L12" s="945"/>
      <c r="M12" s="949" t="s">
        <v>0</v>
      </c>
      <c r="N12" s="950"/>
    </row>
    <row r="13" spans="1:14" x14ac:dyDescent="0.2">
      <c r="A13" s="946"/>
      <c r="B13" s="947"/>
      <c r="C13" s="947"/>
      <c r="D13" s="947"/>
      <c r="E13" s="947"/>
      <c r="F13" s="947"/>
      <c r="G13" s="947"/>
      <c r="H13" s="947"/>
      <c r="I13" s="947"/>
      <c r="J13" s="947"/>
      <c r="K13" s="947"/>
      <c r="L13" s="948"/>
      <c r="M13" s="951">
        <f>Indice!$Q$3</f>
        <v>46195</v>
      </c>
      <c r="N13" s="952"/>
    </row>
    <row r="14" spans="1:14" x14ac:dyDescent="0.2">
      <c r="A14" s="946"/>
      <c r="B14" s="947"/>
      <c r="C14" s="947"/>
      <c r="D14" s="947"/>
      <c r="E14" s="947"/>
      <c r="F14" s="947"/>
      <c r="G14" s="947"/>
      <c r="H14" s="947"/>
      <c r="I14" s="947"/>
      <c r="J14" s="947"/>
      <c r="K14" s="947"/>
      <c r="L14" s="948"/>
      <c r="M14" s="953"/>
      <c r="N14" s="954"/>
    </row>
    <row r="15" spans="1:14" ht="13.5" x14ac:dyDescent="0.25">
      <c r="A15" s="344"/>
      <c r="B15" s="345"/>
      <c r="C15" s="346"/>
      <c r="D15" s="346"/>
      <c r="E15" s="346"/>
      <c r="F15" s="346"/>
      <c r="G15" s="346"/>
      <c r="H15" s="65" t="s">
        <v>37</v>
      </c>
      <c r="I15" s="347"/>
      <c r="J15" s="347"/>
      <c r="K15" s="930">
        <v>0</v>
      </c>
      <c r="L15" s="914"/>
      <c r="M15" s="930">
        <f>ROUND((SUM(M18:M32)-K15),2)</f>
        <v>135928994.75</v>
      </c>
      <c r="N15" s="915"/>
    </row>
    <row r="16" spans="1:14" ht="13.5" outlineLevel="1" x14ac:dyDescent="0.25">
      <c r="A16" s="940" t="s">
        <v>38</v>
      </c>
      <c r="B16" s="917"/>
      <c r="C16" s="917"/>
      <c r="D16" s="917"/>
      <c r="E16" s="917"/>
      <c r="F16" s="917"/>
      <c r="G16" s="917"/>
      <c r="H16" s="914"/>
      <c r="I16" s="66" t="s">
        <v>39</v>
      </c>
      <c r="J16" s="66" t="s">
        <v>40</v>
      </c>
      <c r="K16" s="941" t="s">
        <v>41</v>
      </c>
      <c r="L16" s="914"/>
      <c r="M16" s="941" t="s">
        <v>42</v>
      </c>
      <c r="N16" s="915"/>
    </row>
    <row r="17" spans="1:14" ht="13.5" outlineLevel="1" x14ac:dyDescent="0.25">
      <c r="A17" s="348" t="s">
        <v>43</v>
      </c>
      <c r="B17" s="934" t="s">
        <v>44</v>
      </c>
      <c r="C17" s="917"/>
      <c r="D17" s="917"/>
      <c r="E17" s="917"/>
      <c r="F17" s="917"/>
      <c r="G17" s="917"/>
      <c r="H17" s="917"/>
      <c r="I17" s="917"/>
      <c r="J17" s="917"/>
      <c r="K17" s="917"/>
      <c r="L17" s="917"/>
      <c r="M17" s="917"/>
      <c r="N17" s="915"/>
    </row>
    <row r="18" spans="1:14" ht="27" customHeight="1" outlineLevel="1" x14ac:dyDescent="0.25">
      <c r="A18" s="349" t="s">
        <v>45</v>
      </c>
      <c r="B18" s="916" t="s">
        <v>1622</v>
      </c>
      <c r="C18" s="917"/>
      <c r="D18" s="917"/>
      <c r="E18" s="917"/>
      <c r="F18" s="917"/>
      <c r="G18" s="917"/>
      <c r="H18" s="914"/>
      <c r="I18" s="63" t="str">
        <f>VLOOKUP(B18,AA_Unitarios,'11'!$H$7,FALSE)</f>
        <v>M2</v>
      </c>
      <c r="J18" s="64">
        <f>'14'!$H$5</f>
        <v>228.875</v>
      </c>
      <c r="K18" s="913">
        <f>UNITARIOS!F45</f>
        <v>11175.461164172608</v>
      </c>
      <c r="L18" s="914"/>
      <c r="M18" s="913">
        <f>ROUND(J18*K18,2)</f>
        <v>2557783.67</v>
      </c>
      <c r="N18" s="915"/>
    </row>
    <row r="19" spans="1:14" ht="13.5" outlineLevel="1" x14ac:dyDescent="0.25">
      <c r="A19" s="348" t="s">
        <v>48</v>
      </c>
      <c r="B19" s="918" t="s">
        <v>1629</v>
      </c>
      <c r="C19" s="917"/>
      <c r="D19" s="917"/>
      <c r="E19" s="917"/>
      <c r="F19" s="917"/>
      <c r="G19" s="917"/>
      <c r="H19" s="917"/>
      <c r="I19" s="917"/>
      <c r="J19" s="917"/>
      <c r="K19" s="917"/>
      <c r="L19" s="917"/>
      <c r="M19" s="917"/>
      <c r="N19" s="915"/>
    </row>
    <row r="20" spans="1:14" ht="13.5" outlineLevel="1" x14ac:dyDescent="0.25">
      <c r="A20" s="349" t="s">
        <v>49</v>
      </c>
      <c r="B20" s="916" t="s">
        <v>1632</v>
      </c>
      <c r="C20" s="917"/>
      <c r="D20" s="917"/>
      <c r="E20" s="917"/>
      <c r="F20" s="917"/>
      <c r="G20" s="917"/>
      <c r="H20" s="914"/>
      <c r="I20" s="63" t="str">
        <f>VLOOKUP(B20,AA_Unitarios,'11'!$H$7,FALSE)</f>
        <v>M3</v>
      </c>
      <c r="J20" s="64">
        <f>+'14'!$H$16</f>
        <v>14.483999999999998</v>
      </c>
      <c r="K20" s="913">
        <f>UNITARIOS!F296</f>
        <v>245717.08617601037</v>
      </c>
      <c r="L20" s="914"/>
      <c r="M20" s="913">
        <f>ROUND(J20*K20,2)</f>
        <v>3558966.28</v>
      </c>
      <c r="N20" s="915"/>
    </row>
    <row r="21" spans="1:14" ht="13.5" outlineLevel="1" x14ac:dyDescent="0.25">
      <c r="A21" s="350" t="s">
        <v>51</v>
      </c>
      <c r="B21" s="918" t="s">
        <v>909</v>
      </c>
      <c r="C21" s="917"/>
      <c r="D21" s="917"/>
      <c r="E21" s="917"/>
      <c r="F21" s="917"/>
      <c r="G21" s="917"/>
      <c r="H21" s="917"/>
      <c r="I21" s="917"/>
      <c r="J21" s="917"/>
      <c r="K21" s="917"/>
      <c r="L21" s="917"/>
      <c r="M21" s="917"/>
      <c r="N21" s="915"/>
    </row>
    <row r="22" spans="1:14" ht="13.5" outlineLevel="1" x14ac:dyDescent="0.25">
      <c r="A22" s="351" t="s">
        <v>53</v>
      </c>
      <c r="B22" s="919" t="s">
        <v>1705</v>
      </c>
      <c r="C22" s="917"/>
      <c r="D22" s="917"/>
      <c r="E22" s="917"/>
      <c r="F22" s="917"/>
      <c r="G22" s="917"/>
      <c r="H22" s="914"/>
      <c r="I22" s="63" t="str">
        <f>VLOOKUP(B22,AA_Unitarios,'11'!$H$7,FALSE)</f>
        <v>M3</v>
      </c>
      <c r="J22" s="64">
        <f>+'14'!H27</f>
        <v>1.286</v>
      </c>
      <c r="K22" s="913">
        <f>UNITARIOS!F1705</f>
        <v>847135.90853784618</v>
      </c>
      <c r="L22" s="914"/>
      <c r="M22" s="913">
        <f t="shared" ref="M22:M23" si="0">ROUND(J22*K22,2)</f>
        <v>1089416.78</v>
      </c>
      <c r="N22" s="915"/>
    </row>
    <row r="23" spans="1:14" ht="13.5" outlineLevel="1" x14ac:dyDescent="0.25">
      <c r="A23" s="351" t="s">
        <v>55</v>
      </c>
      <c r="B23" s="919" t="s">
        <v>1706</v>
      </c>
      <c r="C23" s="917"/>
      <c r="D23" s="917"/>
      <c r="E23" s="917"/>
      <c r="F23" s="917"/>
      <c r="G23" s="917"/>
      <c r="H23" s="914"/>
      <c r="I23" s="63" t="str">
        <f>VLOOKUP(B23,AA_Unitarios,'11'!$H$7,FALSE)</f>
        <v>M3</v>
      </c>
      <c r="J23" s="64">
        <f>+'14'!H38</f>
        <v>15.34</v>
      </c>
      <c r="K23" s="913">
        <f>VLOOKUP(B23,AA_Unitarios,'11'!$M$7,FALSE)</f>
        <v>1784263.7533028442</v>
      </c>
      <c r="L23" s="914"/>
      <c r="M23" s="913">
        <f t="shared" si="0"/>
        <v>27370605.98</v>
      </c>
      <c r="N23" s="915"/>
    </row>
    <row r="24" spans="1:14" ht="13.5" outlineLevel="1" x14ac:dyDescent="0.25">
      <c r="A24" s="350" t="s">
        <v>56</v>
      </c>
      <c r="B24" s="918" t="s">
        <v>951</v>
      </c>
      <c r="C24" s="917"/>
      <c r="D24" s="917"/>
      <c r="E24" s="917"/>
      <c r="F24" s="917"/>
      <c r="G24" s="917"/>
      <c r="H24" s="917"/>
      <c r="I24" s="917"/>
      <c r="J24" s="917"/>
      <c r="K24" s="917"/>
      <c r="L24" s="917"/>
      <c r="M24" s="917"/>
      <c r="N24" s="915"/>
    </row>
    <row r="25" spans="1:14" ht="13.5" outlineLevel="1" x14ac:dyDescent="0.25">
      <c r="A25" s="351" t="s">
        <v>57</v>
      </c>
      <c r="B25" s="919" t="s">
        <v>1707</v>
      </c>
      <c r="C25" s="917"/>
      <c r="D25" s="917"/>
      <c r="E25" s="917"/>
      <c r="F25" s="917"/>
      <c r="G25" s="917"/>
      <c r="H25" s="914"/>
      <c r="I25" s="63" t="str">
        <f>VLOOKUP(B25,AA_Unitarios,'11'!$H$7,FALSE)</f>
        <v>KG</v>
      </c>
      <c r="J25" s="64">
        <f>+'14'!H49</f>
        <v>8535</v>
      </c>
      <c r="K25" s="913">
        <f>UNITARIOS!F1789</f>
        <v>8972.5357280975004</v>
      </c>
      <c r="L25" s="914"/>
      <c r="M25" s="913">
        <f>ROUND(J25*K25,2)</f>
        <v>76580592.439999998</v>
      </c>
      <c r="N25" s="915"/>
    </row>
    <row r="26" spans="1:14" ht="13.5" outlineLevel="1" x14ac:dyDescent="0.25">
      <c r="A26" s="350" t="s">
        <v>63</v>
      </c>
      <c r="B26" s="934" t="s">
        <v>67</v>
      </c>
      <c r="C26" s="917"/>
      <c r="D26" s="917"/>
      <c r="E26" s="917"/>
      <c r="F26" s="917"/>
      <c r="G26" s="917"/>
      <c r="H26" s="917"/>
      <c r="I26" s="917"/>
      <c r="J26" s="917"/>
      <c r="K26" s="917"/>
      <c r="L26" s="917"/>
      <c r="M26" s="917"/>
      <c r="N26" s="915"/>
    </row>
    <row r="27" spans="1:14" ht="27" customHeight="1" outlineLevel="1" x14ac:dyDescent="0.25">
      <c r="A27" s="351" t="s">
        <v>64</v>
      </c>
      <c r="B27" s="919" t="s">
        <v>1708</v>
      </c>
      <c r="C27" s="917"/>
      <c r="D27" s="917"/>
      <c r="E27" s="917"/>
      <c r="F27" s="917"/>
      <c r="G27" s="917"/>
      <c r="H27" s="914"/>
      <c r="I27" s="63" t="str">
        <f>VLOOKUP(B27,AA_Unitarios,'11'!$H$7,FALSE)</f>
        <v>UND</v>
      </c>
      <c r="J27" s="64">
        <f>+'14'!H60</f>
        <v>7</v>
      </c>
      <c r="K27" s="913">
        <f>VLOOKUP(B27,AA_Unitarios,'11'!$M$7,FALSE)</f>
        <v>164364.38650813999</v>
      </c>
      <c r="L27" s="914"/>
      <c r="M27" s="913">
        <f t="shared" ref="M27:M30" si="1">ROUND(J27*K27,2)</f>
        <v>1150550.71</v>
      </c>
      <c r="N27" s="915"/>
    </row>
    <row r="28" spans="1:14" ht="13.5" outlineLevel="1" x14ac:dyDescent="0.25">
      <c r="A28" s="351" t="s">
        <v>65</v>
      </c>
      <c r="B28" s="919" t="s">
        <v>1709</v>
      </c>
      <c r="C28" s="917"/>
      <c r="D28" s="917"/>
      <c r="E28" s="917"/>
      <c r="F28" s="917"/>
      <c r="G28" s="917"/>
      <c r="H28" s="914"/>
      <c r="I28" s="63" t="str">
        <f>VLOOKUP(B28,AA_Unitarios,'11'!$H$7,FALSE)</f>
        <v>UND</v>
      </c>
      <c r="J28" s="64">
        <f>+'14'!H71</f>
        <v>1</v>
      </c>
      <c r="K28" s="913">
        <f>VLOOKUP(B28,AA_Unitarios,'11'!$M$7,FALSE)</f>
        <v>18416006.6456769</v>
      </c>
      <c r="L28" s="914"/>
      <c r="M28" s="913">
        <f t="shared" si="1"/>
        <v>18416006.649999999</v>
      </c>
      <c r="N28" s="915"/>
    </row>
    <row r="29" spans="1:14" ht="13.5" outlineLevel="1" x14ac:dyDescent="0.25">
      <c r="A29" s="351" t="s">
        <v>1757</v>
      </c>
      <c r="B29" s="919" t="s">
        <v>1710</v>
      </c>
      <c r="C29" s="917"/>
      <c r="D29" s="917"/>
      <c r="E29" s="917"/>
      <c r="F29" s="917"/>
      <c r="G29" s="917"/>
      <c r="H29" s="914"/>
      <c r="I29" s="63" t="str">
        <f>VLOOKUP(B29,AA_Unitarios,'11'!$H$7,FALSE)</f>
        <v>UND</v>
      </c>
      <c r="J29" s="64">
        <f>+'14'!$H$82</f>
        <v>1</v>
      </c>
      <c r="K29" s="913">
        <f>VLOOKUP(B29,AA_Unitarios,'11'!$M$7,FALSE)</f>
        <v>557473.79773653753</v>
      </c>
      <c r="L29" s="914"/>
      <c r="M29" s="913">
        <f t="shared" si="1"/>
        <v>557473.80000000005</v>
      </c>
      <c r="N29" s="915"/>
    </row>
    <row r="30" spans="1:14" ht="13.5" outlineLevel="1" x14ac:dyDescent="0.25">
      <c r="A30" s="351" t="s">
        <v>1758</v>
      </c>
      <c r="B30" s="919" t="s">
        <v>1711</v>
      </c>
      <c r="C30" s="917"/>
      <c r="D30" s="917"/>
      <c r="E30" s="917"/>
      <c r="F30" s="917"/>
      <c r="G30" s="917"/>
      <c r="H30" s="914"/>
      <c r="I30" s="63" t="str">
        <f>VLOOKUP(B30,AA_Unitarios,'11'!$H$7,FALSE)</f>
        <v>UND</v>
      </c>
      <c r="J30" s="64">
        <f>+'14'!H93</f>
        <v>1</v>
      </c>
      <c r="K30" s="913">
        <f>VLOOKUP(B30,AA_Unitarios,'11'!$M$7,FALSE)</f>
        <v>4317145.9849523893</v>
      </c>
      <c r="L30" s="914"/>
      <c r="M30" s="913">
        <f t="shared" si="1"/>
        <v>4317145.9800000004</v>
      </c>
      <c r="N30" s="915"/>
    </row>
    <row r="31" spans="1:14" ht="13.5" outlineLevel="1" x14ac:dyDescent="0.25">
      <c r="A31" s="350" t="s">
        <v>66</v>
      </c>
      <c r="B31" s="918" t="s">
        <v>1161</v>
      </c>
      <c r="C31" s="917"/>
      <c r="D31" s="917"/>
      <c r="E31" s="917"/>
      <c r="F31" s="917"/>
      <c r="G31" s="917"/>
      <c r="H31" s="917"/>
      <c r="I31" s="917"/>
      <c r="J31" s="917"/>
      <c r="K31" s="917"/>
      <c r="L31" s="917"/>
      <c r="M31" s="917"/>
      <c r="N31" s="915"/>
    </row>
    <row r="32" spans="1:14" ht="13.5" outlineLevel="1" x14ac:dyDescent="0.25">
      <c r="A32" s="351" t="s">
        <v>68</v>
      </c>
      <c r="B32" s="919" t="s">
        <v>1703</v>
      </c>
      <c r="C32" s="917"/>
      <c r="D32" s="917"/>
      <c r="E32" s="917"/>
      <c r="F32" s="917"/>
      <c r="G32" s="917"/>
      <c r="H32" s="914"/>
      <c r="I32" s="63" t="str">
        <f>VLOOKUP(B32,AA_Unitarios,'11'!$H$7,FALSE)</f>
        <v>M3</v>
      </c>
      <c r="J32" s="64">
        <f>+J20</f>
        <v>14.483999999999998</v>
      </c>
      <c r="K32" s="913">
        <f>VLOOKUP(B32,AA_Unitarios,'11'!$M$7,FALSE)</f>
        <v>22815</v>
      </c>
      <c r="L32" s="914"/>
      <c r="M32" s="913">
        <f>ROUND(J32*K32,2)</f>
        <v>330452.46000000002</v>
      </c>
      <c r="N32" s="915"/>
    </row>
    <row r="33" spans="1:14" ht="13.5" x14ac:dyDescent="0.25">
      <c r="A33" s="344"/>
      <c r="B33" s="353"/>
      <c r="C33" s="354"/>
      <c r="D33" s="354"/>
      <c r="E33" s="354"/>
      <c r="F33" s="354"/>
      <c r="G33" s="354"/>
      <c r="H33" s="354"/>
      <c r="I33" s="354"/>
      <c r="J33" s="354"/>
      <c r="K33" s="354"/>
      <c r="L33" s="354"/>
      <c r="M33" s="354"/>
      <c r="N33" s="355"/>
    </row>
    <row r="34" spans="1:14" ht="13.5" x14ac:dyDescent="0.25">
      <c r="A34" s="344"/>
      <c r="B34" s="353"/>
      <c r="C34" s="354"/>
      <c r="D34" s="354"/>
      <c r="E34" s="354"/>
      <c r="F34" s="356"/>
      <c r="G34" s="356"/>
      <c r="H34" s="65" t="s">
        <v>75</v>
      </c>
      <c r="I34" s="347"/>
      <c r="J34" s="347"/>
      <c r="K34" s="930">
        <v>0</v>
      </c>
      <c r="L34" s="914"/>
      <c r="M34" s="930">
        <f>ROUND((SUM(M37:M62)-K34),2)</f>
        <v>470429077.38</v>
      </c>
      <c r="N34" s="915"/>
    </row>
    <row r="35" spans="1:14" ht="13.5" outlineLevel="1" x14ac:dyDescent="0.25">
      <c r="A35" s="940" t="s">
        <v>76</v>
      </c>
      <c r="B35" s="917"/>
      <c r="C35" s="917"/>
      <c r="D35" s="917"/>
      <c r="E35" s="917"/>
      <c r="F35" s="917"/>
      <c r="G35" s="917"/>
      <c r="H35" s="914"/>
      <c r="I35" s="66" t="s">
        <v>77</v>
      </c>
      <c r="J35" s="66" t="s">
        <v>40</v>
      </c>
      <c r="K35" s="941" t="s">
        <v>78</v>
      </c>
      <c r="L35" s="914"/>
      <c r="M35" s="941" t="s">
        <v>42</v>
      </c>
      <c r="N35" s="915"/>
    </row>
    <row r="36" spans="1:14" ht="13.5" outlineLevel="1" x14ac:dyDescent="0.25">
      <c r="A36" s="348" t="s">
        <v>79</v>
      </c>
      <c r="B36" s="934" t="s">
        <v>44</v>
      </c>
      <c r="C36" s="917"/>
      <c r="D36" s="917"/>
      <c r="E36" s="917"/>
      <c r="F36" s="917"/>
      <c r="G36" s="917"/>
      <c r="H36" s="917"/>
      <c r="I36" s="917"/>
      <c r="J36" s="917"/>
      <c r="K36" s="917"/>
      <c r="L36" s="917"/>
      <c r="M36" s="917"/>
      <c r="N36" s="915"/>
    </row>
    <row r="37" spans="1:14" ht="27" customHeight="1" outlineLevel="1" x14ac:dyDescent="0.25">
      <c r="A37" s="349" t="s">
        <v>80</v>
      </c>
      <c r="B37" s="916" t="s">
        <v>1622</v>
      </c>
      <c r="C37" s="917"/>
      <c r="D37" s="917"/>
      <c r="E37" s="917"/>
      <c r="F37" s="917"/>
      <c r="G37" s="917"/>
      <c r="H37" s="914"/>
      <c r="I37" s="63" t="str">
        <f>VLOOKUP(B37,AA_Unitarios,'11'!$H$7,FALSE)</f>
        <v>M2</v>
      </c>
      <c r="J37" s="64">
        <f>'14'!L5</f>
        <v>279.31799999999998</v>
      </c>
      <c r="K37" s="913">
        <f>VLOOKUP(B37,AA_Unitarios,'11'!$M$7,FALSE)</f>
        <v>11175.461164172608</v>
      </c>
      <c r="L37" s="914"/>
      <c r="M37" s="913">
        <f>ROUND(J37*K37,2)</f>
        <v>3121507.46</v>
      </c>
      <c r="N37" s="915"/>
    </row>
    <row r="38" spans="1:14" ht="13.5" outlineLevel="1" x14ac:dyDescent="0.25">
      <c r="A38" s="348" t="s">
        <v>81</v>
      </c>
      <c r="B38" s="918" t="s">
        <v>1629</v>
      </c>
      <c r="C38" s="917"/>
      <c r="D38" s="917"/>
      <c r="E38" s="917"/>
      <c r="F38" s="917"/>
      <c r="G38" s="917"/>
      <c r="H38" s="917"/>
      <c r="I38" s="917"/>
      <c r="J38" s="917"/>
      <c r="K38" s="917"/>
      <c r="L38" s="917"/>
      <c r="M38" s="917"/>
      <c r="N38" s="915"/>
    </row>
    <row r="39" spans="1:14" ht="13.5" outlineLevel="1" x14ac:dyDescent="0.25">
      <c r="A39" s="349" t="s">
        <v>82</v>
      </c>
      <c r="B39" s="916" t="s">
        <v>1632</v>
      </c>
      <c r="C39" s="917"/>
      <c r="D39" s="917"/>
      <c r="E39" s="917"/>
      <c r="F39" s="917"/>
      <c r="G39" s="917"/>
      <c r="H39" s="914"/>
      <c r="I39" s="63" t="str">
        <f>VLOOKUP(B39,AA_Unitarios,'11'!$H$7,FALSE)</f>
        <v>M3</v>
      </c>
      <c r="J39" s="64">
        <f>+'14'!L16</f>
        <v>14.353999999999999</v>
      </c>
      <c r="K39" s="913">
        <f>VLOOKUP(B39,AA_Unitarios,'11'!$M$7,FALSE)</f>
        <v>245717.08617601037</v>
      </c>
      <c r="L39" s="914"/>
      <c r="M39" s="913">
        <f>ROUND(J39*K39,2)</f>
        <v>3527023.05</v>
      </c>
      <c r="N39" s="915"/>
    </row>
    <row r="40" spans="1:14" ht="13.5" outlineLevel="1" x14ac:dyDescent="0.25">
      <c r="A40" s="350" t="s">
        <v>85</v>
      </c>
      <c r="B40" s="918" t="s">
        <v>909</v>
      </c>
      <c r="C40" s="917"/>
      <c r="D40" s="917"/>
      <c r="E40" s="917"/>
      <c r="F40" s="917"/>
      <c r="G40" s="917"/>
      <c r="H40" s="917"/>
      <c r="I40" s="917"/>
      <c r="J40" s="917"/>
      <c r="K40" s="917"/>
      <c r="L40" s="917"/>
      <c r="M40" s="917"/>
      <c r="N40" s="915"/>
    </row>
    <row r="41" spans="1:14" ht="13.5" customHeight="1" outlineLevel="1" x14ac:dyDescent="0.25">
      <c r="A41" s="351" t="s">
        <v>86</v>
      </c>
      <c r="B41" s="919" t="s">
        <v>1706</v>
      </c>
      <c r="C41" s="917"/>
      <c r="D41" s="917"/>
      <c r="E41" s="917"/>
      <c r="F41" s="917"/>
      <c r="G41" s="917"/>
      <c r="H41" s="914"/>
      <c r="I41" s="63" t="str">
        <f>VLOOKUP(B41,AA_Unitarios,'11'!$H$7,FALSE)</f>
        <v>M3</v>
      </c>
      <c r="J41" s="64">
        <f>+'14'!L38</f>
        <v>84.04</v>
      </c>
      <c r="K41" s="913">
        <f>VLOOKUP(B41,AA_Unitarios,'11'!$M$7,FALSE)</f>
        <v>1784263.7533028442</v>
      </c>
      <c r="L41" s="914"/>
      <c r="M41" s="913">
        <f>ROUND(J41*K41,2)</f>
        <v>149949525.83000001</v>
      </c>
      <c r="N41" s="915"/>
    </row>
    <row r="42" spans="1:14" ht="13.5" outlineLevel="1" x14ac:dyDescent="0.25">
      <c r="A42" s="350" t="s">
        <v>88</v>
      </c>
      <c r="B42" s="918" t="s">
        <v>951</v>
      </c>
      <c r="C42" s="917"/>
      <c r="D42" s="917"/>
      <c r="E42" s="917"/>
      <c r="F42" s="917"/>
      <c r="G42" s="917"/>
      <c r="H42" s="917"/>
      <c r="I42" s="917"/>
      <c r="J42" s="917"/>
      <c r="K42" s="917"/>
      <c r="L42" s="917"/>
      <c r="M42" s="917"/>
      <c r="N42" s="915"/>
    </row>
    <row r="43" spans="1:14" ht="13.5" outlineLevel="1" x14ac:dyDescent="0.25">
      <c r="A43" s="351" t="s">
        <v>89</v>
      </c>
      <c r="B43" s="919" t="s">
        <v>1707</v>
      </c>
      <c r="C43" s="917"/>
      <c r="D43" s="917"/>
      <c r="E43" s="917"/>
      <c r="F43" s="917"/>
      <c r="G43" s="917"/>
      <c r="H43" s="914"/>
      <c r="I43" s="63" t="str">
        <f>VLOOKUP(B43,AA_Unitarios,'11'!$H$7,FALSE)</f>
        <v>KG</v>
      </c>
      <c r="J43" s="64">
        <f>+'14'!L49</f>
        <v>13782.45</v>
      </c>
      <c r="K43" s="913">
        <f>VLOOKUP(B43,AA_Unitarios,'11'!$M$7,FALSE)</f>
        <v>8972.5357280975004</v>
      </c>
      <c r="L43" s="914"/>
      <c r="M43" s="913">
        <f>ROUND(J43*K43,2)</f>
        <v>123663525.05</v>
      </c>
      <c r="N43" s="915"/>
    </row>
    <row r="44" spans="1:14" ht="13.5" outlineLevel="1" x14ac:dyDescent="0.25">
      <c r="A44" s="350" t="s">
        <v>94</v>
      </c>
      <c r="B44" s="934" t="s">
        <v>67</v>
      </c>
      <c r="C44" s="917"/>
      <c r="D44" s="917"/>
      <c r="E44" s="917"/>
      <c r="F44" s="917"/>
      <c r="G44" s="917"/>
      <c r="H44" s="917"/>
      <c r="I44" s="917"/>
      <c r="J44" s="917"/>
      <c r="K44" s="917"/>
      <c r="L44" s="917"/>
      <c r="M44" s="917"/>
      <c r="N44" s="915"/>
    </row>
    <row r="45" spans="1:14" ht="27" customHeight="1" outlineLevel="1" x14ac:dyDescent="0.25">
      <c r="A45" s="351" t="s">
        <v>831</v>
      </c>
      <c r="B45" s="919" t="s">
        <v>1712</v>
      </c>
      <c r="C45" s="917"/>
      <c r="D45" s="917"/>
      <c r="E45" s="917"/>
      <c r="F45" s="917"/>
      <c r="G45" s="917"/>
      <c r="H45" s="914"/>
      <c r="I45" s="63" t="str">
        <f>VLOOKUP(B45,AA_Unitarios,'11'!$H$7,FALSE)</f>
        <v>UND</v>
      </c>
      <c r="J45" s="64">
        <f>+'14'!L104</f>
        <v>1</v>
      </c>
      <c r="K45" s="913">
        <f>VLOOKUP(B45,AA_Unitarios,'11'!$M$7,FALSE)</f>
        <v>9204797.1907125004</v>
      </c>
      <c r="L45" s="914"/>
      <c r="M45" s="913">
        <f t="shared" ref="M45:M57" si="2">ROUND(J45*K45,2)</f>
        <v>9204797.1899999995</v>
      </c>
      <c r="N45" s="915"/>
    </row>
    <row r="46" spans="1:14" ht="13.5" outlineLevel="1" x14ac:dyDescent="0.25">
      <c r="A46" s="351" t="s">
        <v>832</v>
      </c>
      <c r="B46" s="919" t="s">
        <v>1713</v>
      </c>
      <c r="C46" s="917"/>
      <c r="D46" s="917"/>
      <c r="E46" s="917"/>
      <c r="F46" s="917"/>
      <c r="G46" s="917"/>
      <c r="H46" s="914"/>
      <c r="I46" s="63" t="str">
        <f>VLOOKUP(B46,AA_Unitarios,'11'!$H$7,FALSE)</f>
        <v>UND</v>
      </c>
      <c r="J46" s="64">
        <f>+'14'!L116</f>
        <v>1</v>
      </c>
      <c r="K46" s="913">
        <f>VLOOKUP(B46,AA_Unitarios,'11'!$M$7,FALSE)</f>
        <v>2990384.0953723751</v>
      </c>
      <c r="L46" s="914"/>
      <c r="M46" s="913">
        <f t="shared" si="2"/>
        <v>2990384.1</v>
      </c>
      <c r="N46" s="915"/>
    </row>
    <row r="47" spans="1:14" ht="13.5" outlineLevel="1" x14ac:dyDescent="0.25">
      <c r="A47" s="351" t="s">
        <v>1759</v>
      </c>
      <c r="B47" s="919" t="s">
        <v>1714</v>
      </c>
      <c r="C47" s="917"/>
      <c r="D47" s="917"/>
      <c r="E47" s="917"/>
      <c r="F47" s="917"/>
      <c r="G47" s="917"/>
      <c r="H47" s="914"/>
      <c r="I47" s="63" t="str">
        <f>VLOOKUP(B47,AA_Unitarios,'11'!$H$7,FALSE)</f>
        <v>UND</v>
      </c>
      <c r="J47" s="64">
        <f>+'14'!L126</f>
        <v>2</v>
      </c>
      <c r="K47" s="913">
        <f>VLOOKUP(B47,AA_Unitarios,'11'!$M$7,FALSE)</f>
        <v>2250501.0393417501</v>
      </c>
      <c r="L47" s="914"/>
      <c r="M47" s="913">
        <f t="shared" si="2"/>
        <v>4501002.08</v>
      </c>
      <c r="N47" s="915"/>
    </row>
    <row r="48" spans="1:14" ht="13.5" outlineLevel="1" x14ac:dyDescent="0.25">
      <c r="A48" s="351" t="s">
        <v>1760</v>
      </c>
      <c r="B48" s="919" t="s">
        <v>1716</v>
      </c>
      <c r="C48" s="917"/>
      <c r="D48" s="917"/>
      <c r="E48" s="917"/>
      <c r="F48" s="917"/>
      <c r="G48" s="917"/>
      <c r="H48" s="914"/>
      <c r="I48" s="63" t="str">
        <f>VLOOKUP(B48,AA_Unitarios,'11'!$H$7,FALSE)</f>
        <v>UND</v>
      </c>
      <c r="J48" s="64">
        <f>+'14'!L138</f>
        <v>4</v>
      </c>
      <c r="K48" s="913">
        <f>VLOOKUP(B48,AA_Unitarios,'11'!$M$7,FALSE)</f>
        <v>1334080.3590944374</v>
      </c>
      <c r="L48" s="914"/>
      <c r="M48" s="913">
        <f t="shared" si="2"/>
        <v>5336321.4400000004</v>
      </c>
      <c r="N48" s="915"/>
    </row>
    <row r="49" spans="1:14" ht="13.5" outlineLevel="1" x14ac:dyDescent="0.25">
      <c r="A49" s="351" t="s">
        <v>1761</v>
      </c>
      <c r="B49" s="919" t="s">
        <v>1717</v>
      </c>
      <c r="C49" s="917"/>
      <c r="D49" s="917"/>
      <c r="E49" s="917"/>
      <c r="F49" s="917"/>
      <c r="G49" s="917"/>
      <c r="H49" s="914"/>
      <c r="I49" s="63" t="str">
        <f>VLOOKUP(B49,AA_Unitarios,'11'!$H$7,FALSE)</f>
        <v>UND</v>
      </c>
      <c r="J49" s="64">
        <f>+'14'!L148</f>
        <v>6</v>
      </c>
      <c r="K49" s="913">
        <f>VLOOKUP(B49,AA_Unitarios,'11'!$M$7,FALSE)</f>
        <v>1341141.403734925</v>
      </c>
      <c r="L49" s="914"/>
      <c r="M49" s="913">
        <f t="shared" si="2"/>
        <v>8046848.4199999999</v>
      </c>
      <c r="N49" s="915"/>
    </row>
    <row r="50" spans="1:14" ht="27" customHeight="1" outlineLevel="1" x14ac:dyDescent="0.25">
      <c r="A50" s="351" t="s">
        <v>1762</v>
      </c>
      <c r="B50" s="919" t="s">
        <v>1718</v>
      </c>
      <c r="C50" s="917"/>
      <c r="D50" s="917"/>
      <c r="E50" s="917"/>
      <c r="F50" s="917"/>
      <c r="G50" s="917"/>
      <c r="H50" s="914"/>
      <c r="I50" s="63" t="str">
        <f>VLOOKUP(B50,AA_Unitarios,'11'!$H$7,FALSE)</f>
        <v>UND</v>
      </c>
      <c r="J50" s="64">
        <f>+'14'!L159</f>
        <v>3</v>
      </c>
      <c r="K50" s="913">
        <f>VLOOKUP(B50,AA_Unitarios,'11'!$M$7,FALSE)</f>
        <v>2372664.0371239004</v>
      </c>
      <c r="L50" s="914"/>
      <c r="M50" s="913">
        <f t="shared" si="2"/>
        <v>7117992.1100000003</v>
      </c>
      <c r="N50" s="915"/>
    </row>
    <row r="51" spans="1:14" ht="13.5" outlineLevel="1" x14ac:dyDescent="0.25">
      <c r="A51" s="351" t="s">
        <v>1763</v>
      </c>
      <c r="B51" s="919" t="s">
        <v>1719</v>
      </c>
      <c r="C51" s="917"/>
      <c r="D51" s="917"/>
      <c r="E51" s="917"/>
      <c r="F51" s="917"/>
      <c r="G51" s="917"/>
      <c r="H51" s="914"/>
      <c r="I51" s="63" t="str">
        <f>VLOOKUP(B51,AA_Unitarios,'11'!$H$7,FALSE)</f>
        <v>UND</v>
      </c>
      <c r="J51" s="64">
        <f>+'14'!L170</f>
        <v>2</v>
      </c>
      <c r="K51" s="913">
        <f>VLOOKUP(B51,AA_Unitarios,'11'!$M$7,FALSE)</f>
        <v>1406913.8051191983</v>
      </c>
      <c r="L51" s="914"/>
      <c r="M51" s="913">
        <f t="shared" si="2"/>
        <v>2813827.61</v>
      </c>
      <c r="N51" s="915"/>
    </row>
    <row r="52" spans="1:14" ht="13.5" outlineLevel="1" x14ac:dyDescent="0.25">
      <c r="A52" s="351" t="s">
        <v>1764</v>
      </c>
      <c r="B52" s="919" t="s">
        <v>1720</v>
      </c>
      <c r="C52" s="917"/>
      <c r="D52" s="917"/>
      <c r="E52" s="917"/>
      <c r="F52" s="917"/>
      <c r="G52" s="917"/>
      <c r="H52" s="914"/>
      <c r="I52" s="63" t="str">
        <f>VLOOKUP(B52,AA_Unitarios,'11'!$H$7,FALSE)</f>
        <v>UND</v>
      </c>
      <c r="J52" s="64">
        <f>+'14'!L181</f>
        <v>2</v>
      </c>
      <c r="K52" s="913">
        <f>VLOOKUP(B52,AA_Unitarios,'11'!$M$7,FALSE)</f>
        <v>1225670.9970469249</v>
      </c>
      <c r="L52" s="914"/>
      <c r="M52" s="913">
        <f t="shared" si="2"/>
        <v>2451341.9900000002</v>
      </c>
      <c r="N52" s="915"/>
    </row>
    <row r="53" spans="1:14" ht="13.5" outlineLevel="1" x14ac:dyDescent="0.25">
      <c r="A53" s="351" t="s">
        <v>1765</v>
      </c>
      <c r="B53" s="919" t="s">
        <v>1721</v>
      </c>
      <c r="C53" s="917"/>
      <c r="D53" s="917"/>
      <c r="E53" s="917"/>
      <c r="F53" s="917"/>
      <c r="G53" s="917"/>
      <c r="H53" s="914"/>
      <c r="I53" s="63" t="str">
        <f>VLOOKUP(B53,AA_Unitarios,'11'!$H$7,FALSE)</f>
        <v>UND</v>
      </c>
      <c r="J53" s="64">
        <f>+'14'!L192</f>
        <v>6</v>
      </c>
      <c r="K53" s="913">
        <f>VLOOKUP(B53,AA_Unitarios,'11'!$M$7,FALSE)</f>
        <v>700100.31811492506</v>
      </c>
      <c r="L53" s="914"/>
      <c r="M53" s="913">
        <f t="shared" si="2"/>
        <v>4200601.91</v>
      </c>
      <c r="N53" s="915"/>
    </row>
    <row r="54" spans="1:14" ht="13.5" outlineLevel="1" x14ac:dyDescent="0.25">
      <c r="A54" s="351" t="s">
        <v>1766</v>
      </c>
      <c r="B54" s="919" t="s">
        <v>1722</v>
      </c>
      <c r="C54" s="917"/>
      <c r="D54" s="917"/>
      <c r="E54" s="917"/>
      <c r="F54" s="917"/>
      <c r="G54" s="917"/>
      <c r="H54" s="914"/>
      <c r="I54" s="63" t="str">
        <f>VLOOKUP(B54,AA_Unitarios,'11'!$H$7,FALSE)</f>
        <v>UND</v>
      </c>
      <c r="J54" s="64">
        <f>+'14'!L203</f>
        <v>10</v>
      </c>
      <c r="K54" s="913">
        <f>VLOOKUP(B54,AA_Unitarios,'11'!$M$7,FALSE)</f>
        <v>700571.30811492517</v>
      </c>
      <c r="L54" s="914"/>
      <c r="M54" s="913">
        <f t="shared" si="2"/>
        <v>7005713.0800000001</v>
      </c>
      <c r="N54" s="915"/>
    </row>
    <row r="55" spans="1:14" ht="27" customHeight="1" outlineLevel="1" x14ac:dyDescent="0.25">
      <c r="A55" s="351" t="s">
        <v>1767</v>
      </c>
      <c r="B55" s="919" t="s">
        <v>1724</v>
      </c>
      <c r="C55" s="917"/>
      <c r="D55" s="917"/>
      <c r="E55" s="917"/>
      <c r="F55" s="917"/>
      <c r="G55" s="917"/>
      <c r="H55" s="914"/>
      <c r="I55" s="63" t="str">
        <f>VLOOKUP(B55,AA_Unitarios,'11'!$H$7,FALSE)</f>
        <v>UND</v>
      </c>
      <c r="J55" s="64">
        <f>+'14'!L214</f>
        <v>16.8</v>
      </c>
      <c r="K55" s="913">
        <f>VLOOKUP(B55,AA_Unitarios,'11'!$M$7,FALSE)</f>
        <v>191548.38248341251</v>
      </c>
      <c r="L55" s="914"/>
      <c r="M55" s="913">
        <f t="shared" si="2"/>
        <v>3218012.83</v>
      </c>
      <c r="N55" s="915"/>
    </row>
    <row r="56" spans="1:14" ht="27" customHeight="1" outlineLevel="1" x14ac:dyDescent="0.25">
      <c r="A56" s="351" t="s">
        <v>1768</v>
      </c>
      <c r="B56" s="919" t="s">
        <v>1725</v>
      </c>
      <c r="C56" s="917"/>
      <c r="D56" s="917"/>
      <c r="E56" s="917"/>
      <c r="F56" s="917"/>
      <c r="G56" s="917"/>
      <c r="H56" s="914"/>
      <c r="I56" s="63" t="str">
        <f>VLOOKUP(B56,AA_Unitarios,'11'!$H$7,FALSE)</f>
        <v>UND</v>
      </c>
      <c r="J56" s="64">
        <f>+'14'!L225</f>
        <v>6</v>
      </c>
      <c r="K56" s="913">
        <f>VLOOKUP(B56,AA_Unitarios,'11'!$M$7,FALSE)</f>
        <v>189227.88248341251</v>
      </c>
      <c r="L56" s="914"/>
      <c r="M56" s="913">
        <f t="shared" si="2"/>
        <v>1135367.29</v>
      </c>
      <c r="N56" s="915"/>
    </row>
    <row r="57" spans="1:14" ht="27" customHeight="1" outlineLevel="1" x14ac:dyDescent="0.25">
      <c r="A57" s="351" t="s">
        <v>1769</v>
      </c>
      <c r="B57" s="919" t="s">
        <v>1737</v>
      </c>
      <c r="C57" s="917"/>
      <c r="D57" s="917"/>
      <c r="E57" s="917"/>
      <c r="F57" s="917"/>
      <c r="G57" s="917"/>
      <c r="H57" s="914"/>
      <c r="I57" s="63" t="str">
        <f>VLOOKUP(B57,AA_Unitarios,'11'!$H$7,FALSE)</f>
        <v>M2</v>
      </c>
      <c r="J57" s="64">
        <f>+'14'!L236</f>
        <v>280</v>
      </c>
      <c r="K57" s="913">
        <f>VLOOKUP(B57,AA_Unitarios,'11'!$M$7,FALSE)</f>
        <v>397308.63684672874</v>
      </c>
      <c r="L57" s="914"/>
      <c r="M57" s="913">
        <f t="shared" si="2"/>
        <v>111246418.31999999</v>
      </c>
      <c r="N57" s="915"/>
    </row>
    <row r="58" spans="1:14" ht="13.5" outlineLevel="1" x14ac:dyDescent="0.25">
      <c r="A58" s="352" t="s">
        <v>95</v>
      </c>
      <c r="B58" s="918" t="s">
        <v>2040</v>
      </c>
      <c r="C58" s="917"/>
      <c r="D58" s="917"/>
      <c r="E58" s="917"/>
      <c r="F58" s="917"/>
      <c r="G58" s="917"/>
      <c r="H58" s="917"/>
      <c r="I58" s="917"/>
      <c r="J58" s="917"/>
      <c r="K58" s="917"/>
      <c r="L58" s="917"/>
      <c r="M58" s="917"/>
      <c r="N58" s="915"/>
    </row>
    <row r="59" spans="1:14" ht="13.15" customHeight="1" outlineLevel="1" x14ac:dyDescent="0.25">
      <c r="A59" s="351" t="s">
        <v>1770</v>
      </c>
      <c r="B59" s="919" t="s">
        <v>1715</v>
      </c>
      <c r="C59" s="917"/>
      <c r="D59" s="917"/>
      <c r="E59" s="917"/>
      <c r="F59" s="917"/>
      <c r="G59" s="917"/>
      <c r="H59" s="914"/>
      <c r="I59" s="63" t="str">
        <f>VLOOKUP(B59,AA_Unitarios,'11'!$H$7,FALSE)</f>
        <v>ML</v>
      </c>
      <c r="J59" s="64">
        <f>+'14'!L247</f>
        <v>9</v>
      </c>
      <c r="K59" s="913">
        <f>VLOOKUP(B59,AA_Unitarios,'11'!$M$7,FALSE)</f>
        <v>428795.28986910416</v>
      </c>
      <c r="L59" s="914"/>
      <c r="M59" s="913">
        <f t="shared" ref="M59:M60" si="3">ROUND(J59*K59,2)</f>
        <v>3859157.61</v>
      </c>
      <c r="N59" s="915"/>
    </row>
    <row r="60" spans="1:14" ht="13.15" customHeight="1" outlineLevel="1" x14ac:dyDescent="0.25">
      <c r="A60" s="351" t="s">
        <v>1771</v>
      </c>
      <c r="B60" s="919" t="s">
        <v>1723</v>
      </c>
      <c r="C60" s="917"/>
      <c r="D60" s="917"/>
      <c r="E60" s="917"/>
      <c r="F60" s="917"/>
      <c r="G60" s="917"/>
      <c r="H60" s="914"/>
      <c r="I60" s="63" t="str">
        <f>VLOOKUP(B60,AA_Unitarios,'11'!$H$7,FALSE)</f>
        <v>ML</v>
      </c>
      <c r="J60" s="64">
        <f>+'14'!L258</f>
        <v>43.3</v>
      </c>
      <c r="K60" s="913">
        <f>VLOOKUP(B60,AA_Unitarios,'11'!$M$7,FALSE)</f>
        <v>385963.59117625834</v>
      </c>
      <c r="L60" s="914"/>
      <c r="M60" s="913">
        <f t="shared" si="3"/>
        <v>16712223.5</v>
      </c>
      <c r="N60" s="915"/>
    </row>
    <row r="61" spans="1:14" ht="13.15" customHeight="1" outlineLevel="1" x14ac:dyDescent="0.25">
      <c r="A61" s="350" t="s">
        <v>97</v>
      </c>
      <c r="B61" s="918" t="s">
        <v>1161</v>
      </c>
      <c r="C61" s="917"/>
      <c r="D61" s="917"/>
      <c r="E61" s="917"/>
      <c r="F61" s="917"/>
      <c r="G61" s="917"/>
      <c r="H61" s="917"/>
      <c r="I61" s="917"/>
      <c r="J61" s="917"/>
      <c r="K61" s="917"/>
      <c r="L61" s="917"/>
      <c r="M61" s="917"/>
      <c r="N61" s="915"/>
    </row>
    <row r="62" spans="1:14" ht="13.5" outlineLevel="1" x14ac:dyDescent="0.25">
      <c r="A62" s="351" t="s">
        <v>98</v>
      </c>
      <c r="B62" s="919" t="s">
        <v>1703</v>
      </c>
      <c r="C62" s="917"/>
      <c r="D62" s="917"/>
      <c r="E62" s="917"/>
      <c r="F62" s="917"/>
      <c r="G62" s="917"/>
      <c r="H62" s="914"/>
      <c r="I62" s="63" t="str">
        <f>VLOOKUP(B62,AA_Unitarios,'11'!$H$7,FALSE)</f>
        <v>M3</v>
      </c>
      <c r="J62" s="64">
        <f>+J39</f>
        <v>14.353999999999999</v>
      </c>
      <c r="K62" s="935">
        <f>VLOOKUP(B62,AA_Unitarios,'11'!$M$7,FALSE)</f>
        <v>22815</v>
      </c>
      <c r="L62" s="936"/>
      <c r="M62" s="913">
        <f>ROUND(J62*K62,2)</f>
        <v>327486.51</v>
      </c>
      <c r="N62" s="915"/>
    </row>
    <row r="63" spans="1:14" ht="13.5" x14ac:dyDescent="0.2">
      <c r="A63" s="357"/>
      <c r="B63" s="358"/>
      <c r="C63" s="356"/>
      <c r="D63" s="356"/>
      <c r="E63" s="356"/>
      <c r="F63" s="356"/>
      <c r="G63" s="356"/>
      <c r="H63" s="356"/>
      <c r="I63" s="356"/>
      <c r="J63" s="356"/>
      <c r="K63" s="356"/>
      <c r="L63" s="356"/>
      <c r="M63" s="356"/>
      <c r="N63" s="359"/>
    </row>
    <row r="64" spans="1:14" ht="13.5" x14ac:dyDescent="0.25">
      <c r="A64" s="344"/>
      <c r="B64" s="345"/>
      <c r="C64" s="346"/>
      <c r="D64" s="346"/>
      <c r="E64" s="346"/>
      <c r="F64" s="356"/>
      <c r="G64" s="346"/>
      <c r="H64" s="786" t="s">
        <v>1860</v>
      </c>
      <c r="I64" s="347"/>
      <c r="J64" s="347"/>
      <c r="K64" s="930">
        <v>0</v>
      </c>
      <c r="L64" s="914"/>
      <c r="M64" s="930">
        <f>ROUND((SUM(M66)-K64),2)</f>
        <v>4428723.5</v>
      </c>
      <c r="N64" s="915"/>
    </row>
    <row r="65" spans="1:14" ht="13.5" outlineLevel="1" x14ac:dyDescent="0.25">
      <c r="A65" s="350" t="s">
        <v>916</v>
      </c>
      <c r="B65" s="934" t="s">
        <v>44</v>
      </c>
      <c r="C65" s="917"/>
      <c r="D65" s="917"/>
      <c r="E65" s="917"/>
      <c r="F65" s="917"/>
      <c r="G65" s="917"/>
      <c r="H65" s="917"/>
      <c r="I65" s="917"/>
      <c r="J65" s="917"/>
      <c r="K65" s="917"/>
      <c r="L65" s="917"/>
      <c r="M65" s="917"/>
      <c r="N65" s="915"/>
    </row>
    <row r="66" spans="1:14" ht="13.5" outlineLevel="1" x14ac:dyDescent="0.25">
      <c r="A66" s="351" t="s">
        <v>917</v>
      </c>
      <c r="B66" s="916" t="s">
        <v>1606</v>
      </c>
      <c r="C66" s="931"/>
      <c r="D66" s="931"/>
      <c r="E66" s="931"/>
      <c r="F66" s="931"/>
      <c r="G66" s="931"/>
      <c r="H66" s="932"/>
      <c r="I66" s="63" t="str">
        <f>VLOOKUP(B66,AA_Unitarios,'11'!$H$7,FALSE)</f>
        <v>ML</v>
      </c>
      <c r="J66" s="64">
        <f>+'15'!D13</f>
        <v>396.29</v>
      </c>
      <c r="K66" s="913">
        <f>VLOOKUP(B66,AA_Unitarios,'11'!$M$7,FALSE)</f>
        <v>11175.461164172608</v>
      </c>
      <c r="L66" s="914"/>
      <c r="M66" s="913">
        <f>ROUND(J66*K66,2)</f>
        <v>4428723.5</v>
      </c>
      <c r="N66" s="915"/>
    </row>
    <row r="67" spans="1:14" ht="13.5" x14ac:dyDescent="0.2">
      <c r="A67" s="357"/>
      <c r="B67" s="362"/>
      <c r="C67" s="363"/>
      <c r="D67" s="363"/>
      <c r="E67" s="363"/>
      <c r="F67" s="363"/>
      <c r="G67" s="363"/>
      <c r="H67" s="363"/>
      <c r="I67" s="356"/>
      <c r="J67" s="356"/>
      <c r="K67" s="356"/>
      <c r="L67" s="356"/>
      <c r="M67" s="356"/>
      <c r="N67" s="359"/>
    </row>
    <row r="68" spans="1:14" ht="13.5" x14ac:dyDescent="0.2">
      <c r="A68" s="357"/>
      <c r="B68" s="362"/>
      <c r="C68" s="363"/>
      <c r="D68" s="363"/>
      <c r="E68" s="363"/>
      <c r="F68" s="363"/>
      <c r="G68" s="363"/>
      <c r="H68" s="363"/>
      <c r="I68" s="356"/>
      <c r="J68" s="356"/>
      <c r="K68" s="356"/>
      <c r="L68" s="356"/>
      <c r="M68" s="356"/>
      <c r="N68" s="359"/>
    </row>
    <row r="69" spans="1:14" ht="13.5" x14ac:dyDescent="0.25">
      <c r="A69" s="344"/>
      <c r="B69" s="345"/>
      <c r="C69" s="346"/>
      <c r="D69" s="346"/>
      <c r="E69" s="346"/>
      <c r="F69" s="356"/>
      <c r="G69" s="346"/>
      <c r="H69" s="922" t="s">
        <v>975</v>
      </c>
      <c r="I69" s="986"/>
      <c r="J69" s="987"/>
      <c r="K69" s="930"/>
      <c r="L69" s="914"/>
      <c r="M69" s="930">
        <f>ROUND((SUM(M72:M91)-K69),2)</f>
        <v>357686531.94</v>
      </c>
      <c r="N69" s="915"/>
    </row>
    <row r="70" spans="1:14" ht="13.5" outlineLevel="1" x14ac:dyDescent="0.25">
      <c r="A70" s="940" t="s">
        <v>76</v>
      </c>
      <c r="B70" s="917"/>
      <c r="C70" s="917"/>
      <c r="D70" s="917"/>
      <c r="E70" s="917"/>
      <c r="F70" s="917"/>
      <c r="G70" s="917"/>
      <c r="H70" s="914"/>
      <c r="I70" s="66" t="s">
        <v>77</v>
      </c>
      <c r="J70" s="66" t="s">
        <v>40</v>
      </c>
      <c r="K70" s="941" t="s">
        <v>78</v>
      </c>
      <c r="L70" s="914"/>
      <c r="M70" s="941" t="s">
        <v>42</v>
      </c>
      <c r="N70" s="915"/>
    </row>
    <row r="71" spans="1:14" ht="13.5" outlineLevel="1" x14ac:dyDescent="0.25">
      <c r="A71" s="352" t="s">
        <v>102</v>
      </c>
      <c r="B71" s="934" t="s">
        <v>44</v>
      </c>
      <c r="C71" s="917"/>
      <c r="D71" s="917"/>
      <c r="E71" s="917"/>
      <c r="F71" s="917"/>
      <c r="G71" s="917"/>
      <c r="H71" s="917"/>
      <c r="I71" s="917"/>
      <c r="J71" s="917"/>
      <c r="K71" s="917"/>
      <c r="L71" s="917"/>
      <c r="M71" s="917"/>
      <c r="N71" s="915"/>
    </row>
    <row r="72" spans="1:14" ht="13.5" customHeight="1" outlineLevel="1" x14ac:dyDescent="0.25">
      <c r="A72" s="351" t="s">
        <v>103</v>
      </c>
      <c r="B72" s="916" t="s">
        <v>1622</v>
      </c>
      <c r="C72" s="917"/>
      <c r="D72" s="917"/>
      <c r="E72" s="917"/>
      <c r="F72" s="917"/>
      <c r="G72" s="917"/>
      <c r="H72" s="914"/>
      <c r="I72" s="63" t="str">
        <f>VLOOKUP(B72,AA_Unitarios,'11'!$H$7,FALSE)</f>
        <v>M2</v>
      </c>
      <c r="J72" s="835">
        <f>'14'!$P$5</f>
        <v>542.92200000000003</v>
      </c>
      <c r="K72" s="913">
        <f>VLOOKUP(B72,AA_Unitarios,'11'!$M$7,FALSE)</f>
        <v>11175.461164172608</v>
      </c>
      <c r="L72" s="914"/>
      <c r="M72" s="913">
        <f>ROUND(J72*K72,2)</f>
        <v>6067403.7300000004</v>
      </c>
      <c r="N72" s="915"/>
    </row>
    <row r="73" spans="1:14" ht="13.5" outlineLevel="1" x14ac:dyDescent="0.25">
      <c r="A73" s="350" t="s">
        <v>104</v>
      </c>
      <c r="B73" s="918" t="s">
        <v>909</v>
      </c>
      <c r="C73" s="917"/>
      <c r="D73" s="917"/>
      <c r="E73" s="917"/>
      <c r="F73" s="917"/>
      <c r="G73" s="917"/>
      <c r="H73" s="917"/>
      <c r="I73" s="917"/>
      <c r="J73" s="917"/>
      <c r="K73" s="917"/>
      <c r="L73" s="917"/>
      <c r="M73" s="917"/>
      <c r="N73" s="915"/>
    </row>
    <row r="74" spans="1:14" ht="13.5" customHeight="1" outlineLevel="1" x14ac:dyDescent="0.25">
      <c r="A74" s="351" t="s">
        <v>105</v>
      </c>
      <c r="B74" s="919" t="s">
        <v>1706</v>
      </c>
      <c r="C74" s="917"/>
      <c r="D74" s="917"/>
      <c r="E74" s="917"/>
      <c r="F74" s="917"/>
      <c r="G74" s="917"/>
      <c r="H74" s="914"/>
      <c r="I74" s="63" t="str">
        <f>VLOOKUP(B74,AA_Unitarios,'11'!$H$7,FALSE)</f>
        <v>M3</v>
      </c>
      <c r="J74" s="835">
        <f>+'14'!P38</f>
        <v>17.27</v>
      </c>
      <c r="K74" s="913">
        <f>VLOOKUP(B74,AA_Unitarios,'11'!$M$7,FALSE)</f>
        <v>1784263.7533028442</v>
      </c>
      <c r="L74" s="914"/>
      <c r="M74" s="913">
        <f>ROUND(J74*K74,2)</f>
        <v>30814235.02</v>
      </c>
      <c r="N74" s="915"/>
    </row>
    <row r="75" spans="1:14" ht="13.5" outlineLevel="1" x14ac:dyDescent="0.25">
      <c r="A75" s="350" t="s">
        <v>106</v>
      </c>
      <c r="B75" s="918" t="s">
        <v>951</v>
      </c>
      <c r="C75" s="917"/>
      <c r="D75" s="917"/>
      <c r="E75" s="917"/>
      <c r="F75" s="917"/>
      <c r="G75" s="917"/>
      <c r="H75" s="917"/>
      <c r="I75" s="917"/>
      <c r="J75" s="917"/>
      <c r="K75" s="917"/>
      <c r="L75" s="917"/>
      <c r="M75" s="917"/>
      <c r="N75" s="915"/>
    </row>
    <row r="76" spans="1:14" ht="13.5" outlineLevel="1" x14ac:dyDescent="0.25">
      <c r="A76" s="351" t="s">
        <v>107</v>
      </c>
      <c r="B76" s="919" t="s">
        <v>1707</v>
      </c>
      <c r="C76" s="917"/>
      <c r="D76" s="917"/>
      <c r="E76" s="917"/>
      <c r="F76" s="917"/>
      <c r="G76" s="917"/>
      <c r="H76" s="914"/>
      <c r="I76" s="63" t="str">
        <f>VLOOKUP(B76,AA_Unitarios,'11'!$H$7,FALSE)</f>
        <v>KG</v>
      </c>
      <c r="J76" s="835">
        <f>+'14'!P49</f>
        <v>3515</v>
      </c>
      <c r="K76" s="913">
        <f>VLOOKUP(B76,AA_Unitarios,'11'!$M$7,FALSE)</f>
        <v>8972.5357280975004</v>
      </c>
      <c r="L76" s="914"/>
      <c r="M76" s="913">
        <f>ROUND(J76*K76,2)</f>
        <v>31538463.079999998</v>
      </c>
      <c r="N76" s="915"/>
    </row>
    <row r="77" spans="1:14" ht="13.5" outlineLevel="1" x14ac:dyDescent="0.25">
      <c r="A77" s="352" t="s">
        <v>108</v>
      </c>
      <c r="B77" s="934" t="s">
        <v>67</v>
      </c>
      <c r="C77" s="917"/>
      <c r="D77" s="917"/>
      <c r="E77" s="917"/>
      <c r="F77" s="917"/>
      <c r="G77" s="917"/>
      <c r="H77" s="917"/>
      <c r="I77" s="917"/>
      <c r="J77" s="917"/>
      <c r="K77" s="917"/>
      <c r="L77" s="917"/>
      <c r="M77" s="917"/>
      <c r="N77" s="915"/>
    </row>
    <row r="78" spans="1:14" ht="13.5" outlineLevel="1" x14ac:dyDescent="0.25">
      <c r="A78" s="361" t="s">
        <v>109</v>
      </c>
      <c r="B78" s="919" t="s">
        <v>1739</v>
      </c>
      <c r="C78" s="917"/>
      <c r="D78" s="917"/>
      <c r="E78" s="917"/>
      <c r="F78" s="917"/>
      <c r="G78" s="917"/>
      <c r="H78" s="914"/>
      <c r="I78" s="63" t="str">
        <f>VLOOKUP(B78,AA_Unitarios,'11'!$H$7,FALSE)</f>
        <v>UND</v>
      </c>
      <c r="J78" s="835">
        <f>+'14'!P269</f>
        <v>8</v>
      </c>
      <c r="K78" s="913">
        <f>+VLOOKUP(B78,AA_Unitarios,'11'!$M$7,FALSE)</f>
        <v>7650934.4219399001</v>
      </c>
      <c r="L78" s="914"/>
      <c r="M78" s="913">
        <f t="shared" ref="M78:M88" si="4">ROUND(J78*K78,2)</f>
        <v>61207475.380000003</v>
      </c>
      <c r="N78" s="915"/>
    </row>
    <row r="79" spans="1:14" ht="13.5" outlineLevel="1" x14ac:dyDescent="0.25">
      <c r="A79" s="361" t="s">
        <v>110</v>
      </c>
      <c r="B79" s="919" t="s">
        <v>1727</v>
      </c>
      <c r="C79" s="917"/>
      <c r="D79" s="917"/>
      <c r="E79" s="917"/>
      <c r="F79" s="917"/>
      <c r="G79" s="917"/>
      <c r="H79" s="914"/>
      <c r="I79" s="63" t="str">
        <f>VLOOKUP(B79,AA_Unitarios,'11'!$H$7,FALSE)</f>
        <v>UND</v>
      </c>
      <c r="J79" s="835">
        <f>+'14'!P280</f>
        <v>10</v>
      </c>
      <c r="K79" s="913">
        <f>+VLOOKUP(B79,AA_Unitarios,'11'!$M$7,FALSE)</f>
        <v>193878.13640487503</v>
      </c>
      <c r="L79" s="914"/>
      <c r="M79" s="913">
        <f t="shared" si="4"/>
        <v>1938781.36</v>
      </c>
      <c r="N79" s="915"/>
    </row>
    <row r="80" spans="1:14" ht="13.5" outlineLevel="1" x14ac:dyDescent="0.25">
      <c r="A80" s="361" t="s">
        <v>1772</v>
      </c>
      <c r="B80" s="919" t="s">
        <v>1742</v>
      </c>
      <c r="C80" s="917"/>
      <c r="D80" s="917"/>
      <c r="E80" s="917"/>
      <c r="F80" s="917"/>
      <c r="G80" s="917"/>
      <c r="H80" s="914"/>
      <c r="I80" s="63" t="str">
        <f>VLOOKUP(B80,AA_Unitarios,'11'!$H$7,FALSE)</f>
        <v>UND</v>
      </c>
      <c r="J80" s="64">
        <f>+'14'!P291</f>
        <v>7</v>
      </c>
      <c r="K80" s="913">
        <f>+VLOOKUP(B80,AA_Unitarios,'11'!$M$7,FALSE)</f>
        <v>263683.94549071253</v>
      </c>
      <c r="L80" s="914"/>
      <c r="M80" s="913">
        <f t="shared" si="4"/>
        <v>1845787.62</v>
      </c>
      <c r="N80" s="915"/>
    </row>
    <row r="81" spans="1:14" ht="13.5" outlineLevel="1" x14ac:dyDescent="0.25">
      <c r="A81" s="361" t="s">
        <v>1773</v>
      </c>
      <c r="B81" s="919" t="s">
        <v>1743</v>
      </c>
      <c r="C81" s="917"/>
      <c r="D81" s="917"/>
      <c r="E81" s="917"/>
      <c r="F81" s="917"/>
      <c r="G81" s="917"/>
      <c r="H81" s="914"/>
      <c r="I81" s="63" t="str">
        <f>VLOOKUP(B81,AA_Unitarios,'11'!$H$7,FALSE)</f>
        <v>M3</v>
      </c>
      <c r="J81" s="64">
        <f>+'14'!P302</f>
        <v>0.3</v>
      </c>
      <c r="K81" s="913">
        <f>+VLOOKUP(B81,AA_Unitarios,'11'!$M$7,FALSE)</f>
        <v>16057308.868535351</v>
      </c>
      <c r="L81" s="914"/>
      <c r="M81" s="913">
        <f t="shared" si="4"/>
        <v>4817192.66</v>
      </c>
      <c r="N81" s="915"/>
    </row>
    <row r="82" spans="1:14" ht="13.5" outlineLevel="1" x14ac:dyDescent="0.25">
      <c r="A82" s="361" t="s">
        <v>1774</v>
      </c>
      <c r="B82" s="919" t="s">
        <v>1744</v>
      </c>
      <c r="C82" s="917"/>
      <c r="D82" s="917"/>
      <c r="E82" s="917"/>
      <c r="F82" s="917"/>
      <c r="G82" s="917"/>
      <c r="H82" s="914"/>
      <c r="I82" s="63" t="str">
        <f>VLOOKUP(B82,AA_Unitarios,'11'!$H$7,FALSE)</f>
        <v>UND</v>
      </c>
      <c r="J82" s="64">
        <f>+'14'!P313</f>
        <v>10</v>
      </c>
      <c r="K82" s="913">
        <f>+VLOOKUP(B82,AA_Unitarios,'11'!$M$7,FALSE)</f>
        <v>974641.9176221001</v>
      </c>
      <c r="L82" s="914"/>
      <c r="M82" s="913">
        <f t="shared" si="4"/>
        <v>9746419.1799999997</v>
      </c>
      <c r="N82" s="915"/>
    </row>
    <row r="83" spans="1:14" ht="13.5" outlineLevel="1" x14ac:dyDescent="0.25">
      <c r="A83" s="361" t="s">
        <v>1775</v>
      </c>
      <c r="B83" s="919" t="s">
        <v>1745</v>
      </c>
      <c r="C83" s="917"/>
      <c r="D83" s="917"/>
      <c r="E83" s="917"/>
      <c r="F83" s="917"/>
      <c r="G83" s="917"/>
      <c r="H83" s="914"/>
      <c r="I83" s="63" t="str">
        <f>VLOOKUP(B83,AA_Unitarios,'11'!$H$7,FALSE)</f>
        <v>UND</v>
      </c>
      <c r="J83" s="64">
        <f>+'14'!P324</f>
        <v>53</v>
      </c>
      <c r="K83" s="913">
        <f>+VLOOKUP(B83,AA_Unitarios,'11'!$M$7,FALSE)</f>
        <v>3105394.3896579505</v>
      </c>
      <c r="L83" s="914"/>
      <c r="M83" s="913">
        <f t="shared" si="4"/>
        <v>164585902.65000001</v>
      </c>
      <c r="N83" s="915"/>
    </row>
    <row r="84" spans="1:14" ht="13.5" outlineLevel="1" x14ac:dyDescent="0.25">
      <c r="A84" s="361" t="s">
        <v>1776</v>
      </c>
      <c r="B84" s="919" t="s">
        <v>1746</v>
      </c>
      <c r="C84" s="917"/>
      <c r="D84" s="917"/>
      <c r="E84" s="917"/>
      <c r="F84" s="917"/>
      <c r="G84" s="917"/>
      <c r="H84" s="914"/>
      <c r="I84" s="63" t="str">
        <f>VLOOKUP(B84,AA_Unitarios,'11'!$H$7,FALSE)</f>
        <v>M3</v>
      </c>
      <c r="J84" s="64">
        <f>+'14'!P335</f>
        <v>151.19999999999999</v>
      </c>
      <c r="K84" s="913">
        <f>+VLOOKUP(B84,AA_Unitarios,'11'!$M$7,FALSE)</f>
        <v>27487.939052191756</v>
      </c>
      <c r="L84" s="914"/>
      <c r="M84" s="913">
        <f t="shared" si="4"/>
        <v>4156176.38</v>
      </c>
      <c r="N84" s="915"/>
    </row>
    <row r="85" spans="1:14" ht="13.5" outlineLevel="1" x14ac:dyDescent="0.25">
      <c r="A85" s="361" t="s">
        <v>1777</v>
      </c>
      <c r="B85" s="919" t="s">
        <v>1747</v>
      </c>
      <c r="C85" s="917"/>
      <c r="D85" s="917"/>
      <c r="E85" s="917"/>
      <c r="F85" s="917"/>
      <c r="G85" s="917"/>
      <c r="H85" s="914"/>
      <c r="I85" s="63" t="str">
        <f>VLOOKUP(B85,AA_Unitarios,'11'!$H$7,FALSE)</f>
        <v>M3</v>
      </c>
      <c r="J85" s="64">
        <f>+'14'!P347</f>
        <v>151.19999999999999</v>
      </c>
      <c r="K85" s="913">
        <f>+VLOOKUP(B85,AA_Unitarios,'11'!$M$7,FALSE)</f>
        <v>27487.939052191756</v>
      </c>
      <c r="L85" s="914"/>
      <c r="M85" s="913">
        <f t="shared" si="4"/>
        <v>4156176.38</v>
      </c>
      <c r="N85" s="915"/>
    </row>
    <row r="86" spans="1:14" ht="13.5" outlineLevel="1" x14ac:dyDescent="0.25">
      <c r="A86" s="361" t="s">
        <v>1778</v>
      </c>
      <c r="B86" s="919" t="s">
        <v>1748</v>
      </c>
      <c r="C86" s="917"/>
      <c r="D86" s="917"/>
      <c r="E86" s="917"/>
      <c r="F86" s="917"/>
      <c r="G86" s="917"/>
      <c r="H86" s="914"/>
      <c r="I86" s="63" t="str">
        <f>VLOOKUP(B86,AA_Unitarios,'11'!$H$7,FALSE)</f>
        <v>M3</v>
      </c>
      <c r="J86" s="64">
        <f>+'14'!P358</f>
        <v>151.19999999999999</v>
      </c>
      <c r="K86" s="913">
        <f>+VLOOKUP(B86,AA_Unitarios,'11'!$M$7,FALSE)</f>
        <v>27487.939052191756</v>
      </c>
      <c r="L86" s="914"/>
      <c r="M86" s="913">
        <f t="shared" si="4"/>
        <v>4156176.38</v>
      </c>
      <c r="N86" s="915"/>
    </row>
    <row r="87" spans="1:14" ht="13.5" outlineLevel="1" x14ac:dyDescent="0.25">
      <c r="A87" s="361" t="s">
        <v>1779</v>
      </c>
      <c r="B87" s="919" t="s">
        <v>1749</v>
      </c>
      <c r="C87" s="917"/>
      <c r="D87" s="917"/>
      <c r="E87" s="917"/>
      <c r="F87" s="917"/>
      <c r="G87" s="917"/>
      <c r="H87" s="914"/>
      <c r="I87" s="63" t="str">
        <f>VLOOKUP(B87,AA_Unitarios,'11'!$H$7,FALSE)</f>
        <v>M3</v>
      </c>
      <c r="J87" s="64">
        <f>+'14'!P369</f>
        <v>216</v>
      </c>
      <c r="K87" s="913">
        <f>+VLOOKUP(B87,AA_Unitarios,'11'!$M$7,FALSE)</f>
        <v>68457.439052191767</v>
      </c>
      <c r="L87" s="914"/>
      <c r="M87" s="913">
        <f t="shared" si="4"/>
        <v>14786806.84</v>
      </c>
      <c r="N87" s="915"/>
    </row>
    <row r="88" spans="1:14" ht="13.5" outlineLevel="1" x14ac:dyDescent="0.25">
      <c r="A88" s="361" t="s">
        <v>1780</v>
      </c>
      <c r="B88" s="919" t="s">
        <v>1750</v>
      </c>
      <c r="C88" s="917"/>
      <c r="D88" s="917"/>
      <c r="E88" s="917"/>
      <c r="F88" s="917"/>
      <c r="G88" s="917"/>
      <c r="H88" s="914"/>
      <c r="I88" s="63" t="str">
        <f>VLOOKUP(B88,AA_Unitarios,'11'!$H$7,FALSE)</f>
        <v>M3</v>
      </c>
      <c r="J88" s="64">
        <f>+'14'!P380</f>
        <v>240</v>
      </c>
      <c r="K88" s="913">
        <f>+VLOOKUP(B88,AA_Unitarios,'11'!$M$7,FALSE)</f>
        <v>27487.939052191763</v>
      </c>
      <c r="L88" s="914"/>
      <c r="M88" s="913">
        <f t="shared" si="4"/>
        <v>6597105.3700000001</v>
      </c>
      <c r="N88" s="915"/>
    </row>
    <row r="89" spans="1:14" ht="13.5" outlineLevel="1" x14ac:dyDescent="0.25">
      <c r="A89" s="352" t="s">
        <v>1173</v>
      </c>
      <c r="B89" s="918" t="s">
        <v>2040</v>
      </c>
      <c r="C89" s="917"/>
      <c r="D89" s="917"/>
      <c r="E89" s="917"/>
      <c r="F89" s="917"/>
      <c r="G89" s="917"/>
      <c r="H89" s="917"/>
      <c r="I89" s="917"/>
      <c r="J89" s="917"/>
      <c r="K89" s="917"/>
      <c r="L89" s="917"/>
      <c r="M89" s="917"/>
      <c r="N89" s="915"/>
    </row>
    <row r="90" spans="1:14" ht="13.5" outlineLevel="1" x14ac:dyDescent="0.25">
      <c r="A90" s="361" t="s">
        <v>1781</v>
      </c>
      <c r="B90" s="919" t="s">
        <v>1735</v>
      </c>
      <c r="C90" s="917"/>
      <c r="D90" s="917"/>
      <c r="E90" s="917"/>
      <c r="F90" s="917"/>
      <c r="G90" s="917"/>
      <c r="H90" s="914"/>
      <c r="I90" s="63" t="str">
        <f>VLOOKUP(B90,AA_Unitarios,'11'!$H$7,FALSE)</f>
        <v>ML</v>
      </c>
      <c r="J90" s="64">
        <f>+'14'!P393</f>
        <v>2</v>
      </c>
      <c r="K90" s="913">
        <f>+VLOOKUP(B90,AA_Unitarios,'11'!$M$7,FALSE)</f>
        <v>290743.66387957585</v>
      </c>
      <c r="L90" s="914"/>
      <c r="M90" s="913">
        <f t="shared" ref="M90:M91" si="5">ROUND(J90*K90,2)</f>
        <v>581487.32999999996</v>
      </c>
      <c r="N90" s="915"/>
    </row>
    <row r="91" spans="1:14" ht="13.5" outlineLevel="1" x14ac:dyDescent="0.25">
      <c r="A91" s="361" t="s">
        <v>1782</v>
      </c>
      <c r="B91" s="919" t="s">
        <v>1734</v>
      </c>
      <c r="C91" s="917"/>
      <c r="D91" s="917"/>
      <c r="E91" s="917"/>
      <c r="F91" s="917"/>
      <c r="G91" s="917"/>
      <c r="H91" s="914"/>
      <c r="I91" s="63" t="str">
        <f>VLOOKUP(B91,AA_Unitarios,'11'!$H$7,FALSE)</f>
        <v>ML</v>
      </c>
      <c r="J91" s="64">
        <f>+'14'!P402</f>
        <v>70</v>
      </c>
      <c r="K91" s="913">
        <f>+VLOOKUP(B91,AA_Unitarios,'11'!$M$7,FALSE)</f>
        <v>152727.75121290918</v>
      </c>
      <c r="L91" s="914"/>
      <c r="M91" s="913">
        <f t="shared" si="5"/>
        <v>10690942.58</v>
      </c>
      <c r="N91" s="915"/>
    </row>
    <row r="92" spans="1:14" ht="13.5" customHeight="1" x14ac:dyDescent="0.2">
      <c r="A92" s="337"/>
      <c r="B92" s="76"/>
      <c r="C92" s="76"/>
      <c r="D92" s="76"/>
      <c r="E92" s="76"/>
      <c r="F92" s="76"/>
      <c r="G92" s="76"/>
      <c r="H92" s="76"/>
      <c r="I92" s="76"/>
      <c r="J92" s="76"/>
      <c r="K92" s="76"/>
      <c r="L92" s="76"/>
      <c r="M92" s="76"/>
      <c r="N92" s="338"/>
    </row>
    <row r="93" spans="1:14" ht="13.5" x14ac:dyDescent="0.25">
      <c r="A93" s="364"/>
      <c r="B93" s="362"/>
      <c r="C93" s="363"/>
      <c r="D93" s="363"/>
      <c r="E93" s="356"/>
      <c r="F93" s="356"/>
      <c r="G93" s="356"/>
      <c r="H93" s="922" t="s">
        <v>971</v>
      </c>
      <c r="I93" s="928"/>
      <c r="J93" s="929"/>
      <c r="K93" s="930"/>
      <c r="L93" s="914"/>
      <c r="M93" s="930">
        <f>ROUND((SUM(M96:M120)-K93),2)</f>
        <v>1145932772.2</v>
      </c>
      <c r="N93" s="915"/>
    </row>
    <row r="94" spans="1:14" ht="13.5" outlineLevel="1" x14ac:dyDescent="0.25">
      <c r="A94" s="940" t="s">
        <v>76</v>
      </c>
      <c r="B94" s="917"/>
      <c r="C94" s="917"/>
      <c r="D94" s="917"/>
      <c r="E94" s="917"/>
      <c r="F94" s="917"/>
      <c r="G94" s="917"/>
      <c r="H94" s="914"/>
      <c r="I94" s="66" t="s">
        <v>77</v>
      </c>
      <c r="J94" s="66" t="s">
        <v>40</v>
      </c>
      <c r="K94" s="941" t="s">
        <v>78</v>
      </c>
      <c r="L94" s="914"/>
      <c r="M94" s="941" t="s">
        <v>42</v>
      </c>
      <c r="N94" s="915"/>
    </row>
    <row r="95" spans="1:14" ht="13.5" outlineLevel="1" x14ac:dyDescent="0.25">
      <c r="A95" s="350" t="s">
        <v>1174</v>
      </c>
      <c r="B95" s="934" t="s">
        <v>44</v>
      </c>
      <c r="C95" s="917"/>
      <c r="D95" s="917"/>
      <c r="E95" s="917"/>
      <c r="F95" s="917"/>
      <c r="G95" s="917"/>
      <c r="H95" s="917"/>
      <c r="I95" s="917"/>
      <c r="J95" s="917"/>
      <c r="K95" s="917"/>
      <c r="L95" s="917"/>
      <c r="M95" s="917"/>
      <c r="N95" s="915"/>
    </row>
    <row r="96" spans="1:14" ht="27" customHeight="1" outlineLevel="1" x14ac:dyDescent="0.25">
      <c r="A96" s="351" t="s">
        <v>1175</v>
      </c>
      <c r="B96" s="916" t="s">
        <v>1622</v>
      </c>
      <c r="C96" s="917"/>
      <c r="D96" s="917"/>
      <c r="E96" s="917"/>
      <c r="F96" s="917"/>
      <c r="G96" s="917"/>
      <c r="H96" s="914"/>
      <c r="I96" s="63" t="str">
        <f>VLOOKUP(B96,AA_Unitarios,'11'!$H$7,FALSE)</f>
        <v>M2</v>
      </c>
      <c r="J96" s="835">
        <f>'14'!$T$5</f>
        <v>568.17200000000003</v>
      </c>
      <c r="K96" s="913">
        <f>+VLOOKUP(B96,AA_Unitarios,'11'!$M$7,FALSE)</f>
        <v>11175.461164172608</v>
      </c>
      <c r="L96" s="914"/>
      <c r="M96" s="913">
        <f>ROUND(J96*K96,2)</f>
        <v>6349584.1200000001</v>
      </c>
      <c r="N96" s="915"/>
    </row>
    <row r="97" spans="1:14" ht="13.5" outlineLevel="1" x14ac:dyDescent="0.25">
      <c r="A97" s="350" t="s">
        <v>1176</v>
      </c>
      <c r="B97" s="933" t="s">
        <v>1629</v>
      </c>
      <c r="C97" s="917"/>
      <c r="D97" s="917"/>
      <c r="E97" s="917"/>
      <c r="F97" s="917"/>
      <c r="G97" s="917"/>
      <c r="H97" s="917"/>
      <c r="I97" s="917"/>
      <c r="J97" s="917"/>
      <c r="K97" s="917"/>
      <c r="L97" s="917"/>
      <c r="M97" s="917"/>
      <c r="N97" s="915"/>
    </row>
    <row r="98" spans="1:14" ht="27" customHeight="1" outlineLevel="1" x14ac:dyDescent="0.25">
      <c r="A98" s="351" t="s">
        <v>1194</v>
      </c>
      <c r="B98" s="916" t="s">
        <v>1632</v>
      </c>
      <c r="C98" s="917"/>
      <c r="D98" s="917"/>
      <c r="E98" s="917"/>
      <c r="F98" s="917"/>
      <c r="G98" s="917"/>
      <c r="H98" s="914"/>
      <c r="I98" s="63" t="str">
        <f>VLOOKUP(B98,AA_Unitarios,'11'!$H$7,FALSE)</f>
        <v>M3</v>
      </c>
      <c r="J98" s="835">
        <f>+'14'!T16</f>
        <v>64.564999999999984</v>
      </c>
      <c r="K98" s="913">
        <f>+VLOOKUP(B98,AA_Unitarios,'11'!$M$7,FALSE)</f>
        <v>245717.08617601037</v>
      </c>
      <c r="L98" s="914"/>
      <c r="M98" s="913">
        <f>ROUND(J98*K98,2)</f>
        <v>15864723.67</v>
      </c>
      <c r="N98" s="915"/>
    </row>
    <row r="99" spans="1:14" ht="13.5" outlineLevel="1" x14ac:dyDescent="0.25">
      <c r="A99" s="350" t="s">
        <v>1195</v>
      </c>
      <c r="B99" s="933" t="s">
        <v>909</v>
      </c>
      <c r="C99" s="917"/>
      <c r="D99" s="917"/>
      <c r="E99" s="917"/>
      <c r="F99" s="917"/>
      <c r="G99" s="917"/>
      <c r="H99" s="917"/>
      <c r="I99" s="917"/>
      <c r="J99" s="917"/>
      <c r="K99" s="917"/>
      <c r="L99" s="917"/>
      <c r="M99" s="917"/>
      <c r="N99" s="915"/>
    </row>
    <row r="100" spans="1:14" ht="13.5" customHeight="1" outlineLevel="1" x14ac:dyDescent="0.25">
      <c r="A100" s="351" t="s">
        <v>1196</v>
      </c>
      <c r="B100" s="919" t="s">
        <v>1706</v>
      </c>
      <c r="C100" s="917"/>
      <c r="D100" s="917"/>
      <c r="E100" s="917"/>
      <c r="F100" s="917"/>
      <c r="G100" s="917"/>
      <c r="H100" s="914"/>
      <c r="I100" s="63" t="str">
        <f>VLOOKUP(B100,AA_Unitarios,'11'!$H$7,FALSE)</f>
        <v>M3</v>
      </c>
      <c r="J100" s="835">
        <f>+'14'!T38</f>
        <v>279.33</v>
      </c>
      <c r="K100" s="913">
        <f>+VLOOKUP(B100,AA_Unitarios,'11'!$M$7,FALSE)</f>
        <v>1784263.7533028442</v>
      </c>
      <c r="L100" s="914"/>
      <c r="M100" s="913">
        <f>ROUND(J100*K100,2)</f>
        <v>498398394.20999998</v>
      </c>
      <c r="N100" s="915"/>
    </row>
    <row r="101" spans="1:14" ht="13.5" outlineLevel="1" x14ac:dyDescent="0.25">
      <c r="A101" s="350" t="s">
        <v>1197</v>
      </c>
      <c r="B101" s="918" t="s">
        <v>951</v>
      </c>
      <c r="C101" s="917"/>
      <c r="D101" s="917"/>
      <c r="E101" s="917"/>
      <c r="F101" s="917"/>
      <c r="G101" s="917"/>
      <c r="H101" s="917"/>
      <c r="I101" s="917"/>
      <c r="J101" s="917"/>
      <c r="K101" s="917"/>
      <c r="L101" s="917"/>
      <c r="M101" s="917"/>
      <c r="N101" s="915"/>
    </row>
    <row r="102" spans="1:14" ht="13.15" customHeight="1" outlineLevel="1" x14ac:dyDescent="0.25">
      <c r="A102" s="351" t="s">
        <v>1198</v>
      </c>
      <c r="B102" s="919" t="s">
        <v>1707</v>
      </c>
      <c r="C102" s="917"/>
      <c r="D102" s="917"/>
      <c r="E102" s="917"/>
      <c r="F102" s="917"/>
      <c r="G102" s="917"/>
      <c r="H102" s="914"/>
      <c r="I102" s="63" t="str">
        <f>VLOOKUP(B102,AA_Unitarios,'11'!$H$7,FALSE)</f>
        <v>KG</v>
      </c>
      <c r="J102" s="835">
        <f>+'14'!T49</f>
        <v>37427.61</v>
      </c>
      <c r="K102" s="913">
        <f>+VLOOKUP(B102,AA_Unitarios,'11'!$M$7,FALSE)</f>
        <v>8972.5357280975004</v>
      </c>
      <c r="L102" s="914"/>
      <c r="M102" s="913">
        <f>ROUND(J102*K102,2)</f>
        <v>335820567.94</v>
      </c>
      <c r="N102" s="915"/>
    </row>
    <row r="103" spans="1:14" ht="13.5" outlineLevel="1" x14ac:dyDescent="0.25">
      <c r="A103" s="350" t="s">
        <v>1200</v>
      </c>
      <c r="B103" s="937" t="s">
        <v>112</v>
      </c>
      <c r="C103" s="917"/>
      <c r="D103" s="917"/>
      <c r="E103" s="917"/>
      <c r="F103" s="917"/>
      <c r="G103" s="917"/>
      <c r="H103" s="917"/>
      <c r="I103" s="917"/>
      <c r="J103" s="917"/>
      <c r="K103" s="917"/>
      <c r="L103" s="917"/>
      <c r="M103" s="917"/>
      <c r="N103" s="915"/>
    </row>
    <row r="104" spans="1:14" ht="27" customHeight="1" outlineLevel="1" x14ac:dyDescent="0.25">
      <c r="A104" s="351" t="s">
        <v>1201</v>
      </c>
      <c r="B104" s="919" t="s">
        <v>1726</v>
      </c>
      <c r="C104" s="917"/>
      <c r="D104" s="917"/>
      <c r="E104" s="917"/>
      <c r="F104" s="917"/>
      <c r="G104" s="917"/>
      <c r="H104" s="914"/>
      <c r="I104" s="63" t="str">
        <f>VLOOKUP(B104,AA_Unitarios,'11'!$H$7,FALSE)</f>
        <v>UND</v>
      </c>
      <c r="J104" s="835">
        <f>+'14'!T413</f>
        <v>1</v>
      </c>
      <c r="K104" s="913">
        <f>+VLOOKUP(B104,AA_Unitarios,'11'!$M$7,FALSE)</f>
        <v>4259204.2220146246</v>
      </c>
      <c r="L104" s="914"/>
      <c r="M104" s="913">
        <f t="shared" ref="M104:M115" si="6">ROUND(J104*K104,2)</f>
        <v>4259204.22</v>
      </c>
      <c r="N104" s="915"/>
    </row>
    <row r="105" spans="1:14" ht="27" customHeight="1" outlineLevel="1" x14ac:dyDescent="0.25">
      <c r="A105" s="351" t="s">
        <v>1202</v>
      </c>
      <c r="B105" s="919" t="s">
        <v>1727</v>
      </c>
      <c r="C105" s="917"/>
      <c r="D105" s="917"/>
      <c r="E105" s="917"/>
      <c r="F105" s="917"/>
      <c r="G105" s="917"/>
      <c r="H105" s="914"/>
      <c r="I105" s="63" t="str">
        <f>VLOOKUP(B105,AA_Unitarios,'11'!$H$7,FALSE)</f>
        <v>UND</v>
      </c>
      <c r="J105" s="835">
        <f>+'14'!T280</f>
        <v>16</v>
      </c>
      <c r="K105" s="913">
        <f>+VLOOKUP(B105,AA_Unitarios,'11'!$M$7,FALSE)</f>
        <v>193878.13640487503</v>
      </c>
      <c r="L105" s="914"/>
      <c r="M105" s="913">
        <f t="shared" si="6"/>
        <v>3102050.18</v>
      </c>
      <c r="N105" s="915"/>
    </row>
    <row r="106" spans="1:14" ht="27" customHeight="1" outlineLevel="1" x14ac:dyDescent="0.25">
      <c r="A106" s="351" t="s">
        <v>1783</v>
      </c>
      <c r="B106" s="919" t="s">
        <v>1728</v>
      </c>
      <c r="C106" s="917"/>
      <c r="D106" s="917"/>
      <c r="E106" s="917"/>
      <c r="F106" s="917"/>
      <c r="G106" s="917"/>
      <c r="H106" s="914"/>
      <c r="I106" s="63" t="str">
        <f>VLOOKUP(B106,AA_Unitarios,'11'!$H$7,FALSE)</f>
        <v>UND</v>
      </c>
      <c r="J106" s="835">
        <f>+'14'!T424</f>
        <v>5</v>
      </c>
      <c r="K106" s="913">
        <f>+VLOOKUP(B106,AA_Unitarios,'11'!$M$7,FALSE)</f>
        <v>372738.80353563622</v>
      </c>
      <c r="L106" s="914"/>
      <c r="M106" s="913">
        <f t="shared" si="6"/>
        <v>1863694.02</v>
      </c>
      <c r="N106" s="915"/>
    </row>
    <row r="107" spans="1:14" ht="27" customHeight="1" outlineLevel="1" x14ac:dyDescent="0.25">
      <c r="A107" s="351" t="s">
        <v>1784</v>
      </c>
      <c r="B107" s="919" t="s">
        <v>1729</v>
      </c>
      <c r="C107" s="917"/>
      <c r="D107" s="917"/>
      <c r="E107" s="917"/>
      <c r="F107" s="917"/>
      <c r="G107" s="917"/>
      <c r="H107" s="914"/>
      <c r="I107" s="63" t="str">
        <f>VLOOKUP(B107,AA_Unitarios,'11'!$H$7,FALSE)</f>
        <v>UND</v>
      </c>
      <c r="J107" s="835">
        <f>+'14'!T435</f>
        <v>1</v>
      </c>
      <c r="K107" s="913">
        <f>+VLOOKUP(B107,AA_Unitarios,'11'!$M$7,FALSE)</f>
        <v>4060993.0007624249</v>
      </c>
      <c r="L107" s="914"/>
      <c r="M107" s="913">
        <f t="shared" si="6"/>
        <v>4060993</v>
      </c>
      <c r="N107" s="915"/>
    </row>
    <row r="108" spans="1:14" ht="27" customHeight="1" outlineLevel="1" x14ac:dyDescent="0.25">
      <c r="A108" s="351" t="s">
        <v>1785</v>
      </c>
      <c r="B108" s="919" t="s">
        <v>1730</v>
      </c>
      <c r="C108" s="917"/>
      <c r="D108" s="917"/>
      <c r="E108" s="917"/>
      <c r="F108" s="917"/>
      <c r="G108" s="917"/>
      <c r="H108" s="914"/>
      <c r="I108" s="63" t="str">
        <f>VLOOKUP(B108,AA_Unitarios,'11'!$H$7,FALSE)</f>
        <v>UND</v>
      </c>
      <c r="J108" s="835">
        <f>+'14'!T446</f>
        <v>1</v>
      </c>
      <c r="K108" s="913">
        <f>+VLOOKUP(B108,AA_Unitarios,'11'!$M$7,FALSE)</f>
        <v>15006102.2870213</v>
      </c>
      <c r="L108" s="914"/>
      <c r="M108" s="913">
        <f t="shared" si="6"/>
        <v>15006102.289999999</v>
      </c>
      <c r="N108" s="915"/>
    </row>
    <row r="109" spans="1:14" ht="27" customHeight="1" outlineLevel="1" x14ac:dyDescent="0.25">
      <c r="A109" s="351" t="s">
        <v>1786</v>
      </c>
      <c r="B109" s="919" t="s">
        <v>1731</v>
      </c>
      <c r="C109" s="917"/>
      <c r="D109" s="917"/>
      <c r="E109" s="917"/>
      <c r="F109" s="917"/>
      <c r="G109" s="917"/>
      <c r="H109" s="914"/>
      <c r="I109" s="63" t="str">
        <f>VLOOKUP(B109,AA_Unitarios,'11'!$H$7,FALSE)</f>
        <v>UND</v>
      </c>
      <c r="J109" s="835">
        <f>+'14'!T457</f>
        <v>3</v>
      </c>
      <c r="K109" s="913">
        <f>+VLOOKUP(B109,AA_Unitarios,'11'!$M$7,FALSE)</f>
        <v>1820476.2596258873</v>
      </c>
      <c r="L109" s="914"/>
      <c r="M109" s="913">
        <f t="shared" si="6"/>
        <v>5461428.7800000003</v>
      </c>
      <c r="N109" s="915"/>
    </row>
    <row r="110" spans="1:14" ht="27" customHeight="1" outlineLevel="1" x14ac:dyDescent="0.25">
      <c r="A110" s="351" t="s">
        <v>1787</v>
      </c>
      <c r="B110" s="919" t="s">
        <v>1732</v>
      </c>
      <c r="C110" s="917"/>
      <c r="D110" s="917"/>
      <c r="E110" s="917"/>
      <c r="F110" s="917"/>
      <c r="G110" s="917"/>
      <c r="H110" s="914"/>
      <c r="I110" s="63" t="str">
        <f>VLOOKUP(B110,AA_Unitarios,'11'!$H$7,FALSE)</f>
        <v>UND</v>
      </c>
      <c r="J110" s="835">
        <f>+'14'!T468</f>
        <v>8</v>
      </c>
      <c r="K110" s="913">
        <f>+VLOOKUP(B110,AA_Unitarios,'11'!$M$7,FALSE)</f>
        <v>629192.91432056797</v>
      </c>
      <c r="L110" s="914"/>
      <c r="M110" s="913">
        <f t="shared" si="6"/>
        <v>5033543.3099999996</v>
      </c>
      <c r="N110" s="915"/>
    </row>
    <row r="111" spans="1:14" ht="27" customHeight="1" outlineLevel="1" x14ac:dyDescent="0.25">
      <c r="A111" s="351" t="s">
        <v>1788</v>
      </c>
      <c r="B111" s="919" t="s">
        <v>1733</v>
      </c>
      <c r="C111" s="917"/>
      <c r="D111" s="917"/>
      <c r="E111" s="917"/>
      <c r="F111" s="917"/>
      <c r="G111" s="917"/>
      <c r="H111" s="914"/>
      <c r="I111" s="63" t="str">
        <f>VLOOKUP(B111,AA_Unitarios,'11'!$H$7,FALSE)</f>
        <v>UND</v>
      </c>
      <c r="J111" s="835">
        <f>+'14'!T479</f>
        <v>3</v>
      </c>
      <c r="K111" s="913">
        <f>+VLOOKUP(B111,AA_Unitarios,'11'!$M$7,FALSE)</f>
        <v>566353.68289308588</v>
      </c>
      <c r="L111" s="914"/>
      <c r="M111" s="913">
        <f t="shared" si="6"/>
        <v>1699061.05</v>
      </c>
      <c r="N111" s="915"/>
    </row>
    <row r="112" spans="1:14" ht="27" customHeight="1" outlineLevel="1" x14ac:dyDescent="0.25">
      <c r="A112" s="351" t="s">
        <v>1789</v>
      </c>
      <c r="B112" s="919" t="s">
        <v>1736</v>
      </c>
      <c r="C112" s="917"/>
      <c r="D112" s="917"/>
      <c r="E112" s="917"/>
      <c r="F112" s="917"/>
      <c r="G112" s="917"/>
      <c r="H112" s="914"/>
      <c r="I112" s="63" t="str">
        <f>VLOOKUP(B112,AA_Unitarios,'11'!$H$7,FALSE)</f>
        <v>UND</v>
      </c>
      <c r="J112" s="835">
        <f>+'14'!T490</f>
        <v>0.4</v>
      </c>
      <c r="K112" s="913">
        <f>+VLOOKUP(B112,AA_Unitarios,'11'!$M$7,FALSE)</f>
        <v>9706.7031156533758</v>
      </c>
      <c r="L112" s="914"/>
      <c r="M112" s="913">
        <f t="shared" si="6"/>
        <v>3882.68</v>
      </c>
      <c r="N112" s="915"/>
    </row>
    <row r="113" spans="1:14" ht="27" customHeight="1" outlineLevel="1" x14ac:dyDescent="0.25">
      <c r="A113" s="351" t="s">
        <v>1790</v>
      </c>
      <c r="B113" s="919" t="s">
        <v>1724</v>
      </c>
      <c r="C113" s="917"/>
      <c r="D113" s="917"/>
      <c r="E113" s="917"/>
      <c r="F113" s="917"/>
      <c r="G113" s="917"/>
      <c r="H113" s="914"/>
      <c r="I113" s="63" t="str">
        <f>VLOOKUP(B113,AA_Unitarios,'11'!$H$7,FALSE)</f>
        <v>UND</v>
      </c>
      <c r="J113" s="835">
        <f>+'14'!T214</f>
        <v>30.45</v>
      </c>
      <c r="K113" s="913">
        <f>+VLOOKUP(B113,AA_Unitarios,'11'!$M$7,FALSE)</f>
        <v>191548.38248341251</v>
      </c>
      <c r="L113" s="914"/>
      <c r="M113" s="913">
        <f t="shared" si="6"/>
        <v>5832648.25</v>
      </c>
      <c r="N113" s="915"/>
    </row>
    <row r="114" spans="1:14" ht="27" customHeight="1" outlineLevel="1" x14ac:dyDescent="0.25">
      <c r="A114" s="351" t="s">
        <v>1791</v>
      </c>
      <c r="B114" s="919" t="s">
        <v>1725</v>
      </c>
      <c r="C114" s="917"/>
      <c r="D114" s="917"/>
      <c r="E114" s="917"/>
      <c r="F114" s="917"/>
      <c r="G114" s="917"/>
      <c r="H114" s="914"/>
      <c r="I114" s="63" t="str">
        <f>VLOOKUP(B114,AA_Unitarios,'11'!$H$7,FALSE)</f>
        <v>UND</v>
      </c>
      <c r="J114" s="835">
        <f>+'14'!T225</f>
        <v>4</v>
      </c>
      <c r="K114" s="913">
        <f>+VLOOKUP(B114,AA_Unitarios,'11'!$M$7,FALSE)</f>
        <v>189227.88248341251</v>
      </c>
      <c r="L114" s="914"/>
      <c r="M114" s="913">
        <f t="shared" si="6"/>
        <v>756911.53</v>
      </c>
      <c r="N114" s="915"/>
    </row>
    <row r="115" spans="1:14" ht="27" customHeight="1" outlineLevel="1" x14ac:dyDescent="0.25">
      <c r="A115" s="351" t="s">
        <v>1792</v>
      </c>
      <c r="B115" s="919" t="s">
        <v>1737</v>
      </c>
      <c r="C115" s="917"/>
      <c r="D115" s="917"/>
      <c r="E115" s="917"/>
      <c r="F115" s="917"/>
      <c r="G115" s="917"/>
      <c r="H115" s="914"/>
      <c r="I115" s="63" t="str">
        <f>VLOOKUP(B115,AA_Unitarios,'11'!$H$7,FALSE)</f>
        <v>M2</v>
      </c>
      <c r="J115" s="835">
        <f>+'14'!T236</f>
        <v>570</v>
      </c>
      <c r="K115" s="913">
        <f>+VLOOKUP(B115,AA_Unitarios,'11'!$M$7,FALSE)</f>
        <v>397308.63684672874</v>
      </c>
      <c r="L115" s="914"/>
      <c r="M115" s="913">
        <f t="shared" si="6"/>
        <v>226465923</v>
      </c>
      <c r="N115" s="915"/>
    </row>
    <row r="116" spans="1:14" ht="13.5" outlineLevel="1" x14ac:dyDescent="0.25">
      <c r="A116" s="352" t="s">
        <v>1203</v>
      </c>
      <c r="B116" s="918" t="s">
        <v>2040</v>
      </c>
      <c r="C116" s="917"/>
      <c r="D116" s="917"/>
      <c r="E116" s="917"/>
      <c r="F116" s="917"/>
      <c r="G116" s="917"/>
      <c r="H116" s="917"/>
      <c r="I116" s="917"/>
      <c r="J116" s="917"/>
      <c r="K116" s="917"/>
      <c r="L116" s="917"/>
      <c r="M116" s="917"/>
      <c r="N116" s="915"/>
    </row>
    <row r="117" spans="1:14" ht="13.5" customHeight="1" outlineLevel="1" x14ac:dyDescent="0.25">
      <c r="A117" s="351" t="s">
        <v>1204</v>
      </c>
      <c r="B117" s="919" t="s">
        <v>1734</v>
      </c>
      <c r="C117" s="917"/>
      <c r="D117" s="917"/>
      <c r="E117" s="917"/>
      <c r="F117" s="917"/>
      <c r="G117" s="917"/>
      <c r="H117" s="914"/>
      <c r="I117" s="63" t="str">
        <f>VLOOKUP(B117,AA_Unitarios,'11'!$H$7,FALSE)</f>
        <v>ML</v>
      </c>
      <c r="J117" s="64">
        <f>+'14'!T402</f>
        <v>2.64</v>
      </c>
      <c r="K117" s="913">
        <f>+VLOOKUP(B117,AA_Unitarios,'11'!$M$7,FALSE)</f>
        <v>152727.75121290918</v>
      </c>
      <c r="L117" s="914"/>
      <c r="M117" s="913">
        <f t="shared" ref="M117:M118" si="7">ROUND(J117*K117,2)</f>
        <v>403201.26</v>
      </c>
      <c r="N117" s="915"/>
    </row>
    <row r="118" spans="1:14" ht="13.5" customHeight="1" outlineLevel="1" x14ac:dyDescent="0.25">
      <c r="A118" s="351" t="s">
        <v>1205</v>
      </c>
      <c r="B118" s="919" t="s">
        <v>1735</v>
      </c>
      <c r="C118" s="917"/>
      <c r="D118" s="917"/>
      <c r="E118" s="917"/>
      <c r="F118" s="917"/>
      <c r="G118" s="917"/>
      <c r="H118" s="914"/>
      <c r="I118" s="63" t="str">
        <f>VLOOKUP(B118,AA_Unitarios,'11'!$H$7,FALSE)</f>
        <v>ML</v>
      </c>
      <c r="J118" s="64">
        <f>+'14'!T391</f>
        <v>48.42</v>
      </c>
      <c r="K118" s="913">
        <f>+VLOOKUP(B118,AA_Unitarios,'11'!$M$7,FALSE)</f>
        <v>290743.66387957585</v>
      </c>
      <c r="L118" s="914"/>
      <c r="M118" s="913">
        <f t="shared" si="7"/>
        <v>14077808.210000001</v>
      </c>
      <c r="N118" s="915"/>
    </row>
    <row r="119" spans="1:14" ht="13.15" customHeight="1" outlineLevel="1" x14ac:dyDescent="0.25">
      <c r="A119" s="350" t="s">
        <v>1956</v>
      </c>
      <c r="B119" s="918" t="s">
        <v>1161</v>
      </c>
      <c r="C119" s="917"/>
      <c r="D119" s="917"/>
      <c r="E119" s="917"/>
      <c r="F119" s="917"/>
      <c r="G119" s="917"/>
      <c r="H119" s="917"/>
      <c r="I119" s="917"/>
      <c r="J119" s="917"/>
      <c r="K119" s="917"/>
      <c r="L119" s="917"/>
      <c r="M119" s="917"/>
      <c r="N119" s="915"/>
    </row>
    <row r="120" spans="1:14" ht="13.5" outlineLevel="1" x14ac:dyDescent="0.25">
      <c r="A120" s="351" t="s">
        <v>1957</v>
      </c>
      <c r="B120" s="919" t="s">
        <v>1703</v>
      </c>
      <c r="C120" s="917"/>
      <c r="D120" s="917"/>
      <c r="E120" s="917"/>
      <c r="F120" s="917"/>
      <c r="G120" s="917"/>
      <c r="H120" s="914"/>
      <c r="I120" s="63" t="str">
        <f>VLOOKUP(B120,AA_Unitarios,'11'!$H$7,FALSE)</f>
        <v>M3</v>
      </c>
      <c r="J120" s="64">
        <f>+J98</f>
        <v>64.564999999999984</v>
      </c>
      <c r="K120" s="935">
        <f>VLOOKUP(B120,AA_Unitarios,'11'!$M$7,FALSE)</f>
        <v>22815</v>
      </c>
      <c r="L120" s="936"/>
      <c r="M120" s="913">
        <f>ROUND(J120*K120,2)</f>
        <v>1473050.48</v>
      </c>
      <c r="N120" s="915"/>
    </row>
    <row r="121" spans="1:14" ht="13.5" customHeight="1" x14ac:dyDescent="0.2">
      <c r="A121" s="337"/>
      <c r="B121" s="76"/>
      <c r="C121" s="76"/>
      <c r="D121" s="76"/>
      <c r="E121" s="76"/>
      <c r="F121" s="76"/>
      <c r="G121" s="76"/>
      <c r="H121" s="76"/>
      <c r="I121" s="76"/>
      <c r="J121" s="76"/>
      <c r="K121" s="76"/>
      <c r="L121" s="76"/>
      <c r="M121" s="76"/>
      <c r="N121" s="338"/>
    </row>
    <row r="122" spans="1:14" ht="13.5" x14ac:dyDescent="0.25">
      <c r="A122" s="364"/>
      <c r="B122" s="362"/>
      <c r="C122" s="363"/>
      <c r="D122" s="363"/>
      <c r="E122" s="356"/>
      <c r="F122" s="356"/>
      <c r="G122" s="356"/>
      <c r="H122" s="922" t="s">
        <v>972</v>
      </c>
      <c r="I122" s="928"/>
      <c r="J122" s="929"/>
      <c r="K122" s="930"/>
      <c r="L122" s="914"/>
      <c r="M122" s="930"/>
      <c r="N122" s="915"/>
    </row>
    <row r="123" spans="1:14" ht="13.5" x14ac:dyDescent="0.25">
      <c r="A123" s="364"/>
      <c r="B123" s="362"/>
      <c r="C123" s="363"/>
      <c r="D123" s="363"/>
      <c r="E123" s="356"/>
      <c r="F123" s="354"/>
      <c r="G123" s="354"/>
      <c r="H123" s="354"/>
      <c r="I123" s="354"/>
      <c r="J123" s="354"/>
      <c r="K123" s="354"/>
      <c r="L123" s="354"/>
      <c r="M123" s="354"/>
      <c r="N123" s="355"/>
    </row>
    <row r="124" spans="1:14" ht="13.5" x14ac:dyDescent="0.25">
      <c r="A124" s="364"/>
      <c r="B124" s="362"/>
      <c r="C124" s="363"/>
      <c r="D124" s="363"/>
      <c r="E124" s="356"/>
      <c r="F124" s="356"/>
      <c r="G124" s="356"/>
      <c r="H124" s="922" t="s">
        <v>973</v>
      </c>
      <c r="I124" s="928"/>
      <c r="J124" s="929"/>
      <c r="K124" s="930">
        <v>0</v>
      </c>
      <c r="L124" s="914"/>
      <c r="M124" s="930"/>
      <c r="N124" s="915"/>
    </row>
    <row r="125" spans="1:14" ht="13.5" customHeight="1" x14ac:dyDescent="0.2">
      <c r="A125" s="337"/>
      <c r="B125" s="76"/>
      <c r="C125" s="76"/>
      <c r="D125" s="76"/>
      <c r="E125" s="76"/>
      <c r="F125" s="76"/>
      <c r="G125" s="76"/>
      <c r="H125" s="76"/>
      <c r="I125" s="76"/>
      <c r="J125" s="76"/>
      <c r="K125" s="76"/>
      <c r="L125" s="76"/>
      <c r="M125" s="76"/>
      <c r="N125" s="338"/>
    </row>
    <row r="126" spans="1:14" ht="13.5" x14ac:dyDescent="0.25">
      <c r="A126" s="364"/>
      <c r="B126" s="362"/>
      <c r="C126" s="363"/>
      <c r="D126" s="363"/>
      <c r="E126" s="356"/>
      <c r="F126" s="365"/>
      <c r="G126" s="354"/>
      <c r="H126" s="922" t="s">
        <v>974</v>
      </c>
      <c r="I126" s="928"/>
      <c r="J126" s="929"/>
      <c r="K126" s="930">
        <f>ROUND((SUM(M173:N174)),2)</f>
        <v>192779227.06999999</v>
      </c>
      <c r="L126" s="914"/>
      <c r="M126" s="930">
        <f>ROUND((SUM(M129:M177)-K126),2)</f>
        <v>2425600705.96</v>
      </c>
      <c r="N126" s="915"/>
    </row>
    <row r="127" spans="1:14" ht="13.5" outlineLevel="1" x14ac:dyDescent="0.25">
      <c r="A127" s="940" t="s">
        <v>76</v>
      </c>
      <c r="B127" s="917"/>
      <c r="C127" s="917"/>
      <c r="D127" s="917"/>
      <c r="E127" s="917"/>
      <c r="F127" s="917"/>
      <c r="G127" s="917"/>
      <c r="H127" s="914"/>
      <c r="I127" s="66" t="s">
        <v>77</v>
      </c>
      <c r="J127" s="66" t="s">
        <v>40</v>
      </c>
      <c r="K127" s="941" t="s">
        <v>78</v>
      </c>
      <c r="L127" s="914"/>
      <c r="M127" s="941" t="s">
        <v>42</v>
      </c>
      <c r="N127" s="915"/>
    </row>
    <row r="128" spans="1:14" ht="13.5" outlineLevel="1" x14ac:dyDescent="0.25">
      <c r="A128" s="360" t="s">
        <v>976</v>
      </c>
      <c r="B128" s="934" t="s">
        <v>44</v>
      </c>
      <c r="C128" s="917"/>
      <c r="D128" s="917"/>
      <c r="E128" s="917"/>
      <c r="F128" s="917"/>
      <c r="G128" s="917"/>
      <c r="H128" s="917"/>
      <c r="I128" s="917"/>
      <c r="J128" s="917"/>
      <c r="K128" s="917"/>
      <c r="L128" s="917"/>
      <c r="M128" s="917"/>
      <c r="N128" s="915"/>
    </row>
    <row r="129" spans="1:23" ht="13.5" customHeight="1" outlineLevel="1" x14ac:dyDescent="0.25">
      <c r="A129" s="349" t="s">
        <v>977</v>
      </c>
      <c r="B129" s="916" t="s">
        <v>1606</v>
      </c>
      <c r="C129" s="931"/>
      <c r="D129" s="931"/>
      <c r="E129" s="931"/>
      <c r="F129" s="931"/>
      <c r="G129" s="931"/>
      <c r="H129" s="932"/>
      <c r="I129" s="63" t="str">
        <f>VLOOKUP(B129,AA_Unitarios,'11'!$H$7,FALSE)</f>
        <v>ML</v>
      </c>
      <c r="J129" s="64">
        <f>+'15'!I16</f>
        <v>3281.1731034620366</v>
      </c>
      <c r="K129" s="913">
        <f>+VLOOKUP(B129,AA_Unitarios,'11'!$M$7,FALSE)</f>
        <v>11175.461164172608</v>
      </c>
      <c r="L129" s="914"/>
      <c r="M129" s="913">
        <f t="shared" ref="M129:M132" si="8">ROUND(J129*K129,2)</f>
        <v>36668622.590000004</v>
      </c>
      <c r="N129" s="915"/>
      <c r="Q129" t="s">
        <v>812</v>
      </c>
      <c r="R129">
        <v>1</v>
      </c>
      <c r="S129">
        <v>2</v>
      </c>
      <c r="T129">
        <v>3</v>
      </c>
      <c r="U129">
        <v>4</v>
      </c>
      <c r="V129">
        <v>5</v>
      </c>
      <c r="W129" s="765" t="s">
        <v>852</v>
      </c>
    </row>
    <row r="130" spans="1:23" ht="13.5" customHeight="1" outlineLevel="1" x14ac:dyDescent="0.25">
      <c r="A130" s="349" t="s">
        <v>1623</v>
      </c>
      <c r="B130" s="916" t="s">
        <v>1624</v>
      </c>
      <c r="C130" s="931"/>
      <c r="D130" s="931"/>
      <c r="E130" s="931"/>
      <c r="F130" s="931"/>
      <c r="G130" s="931"/>
      <c r="H130" s="932"/>
      <c r="I130" s="63" t="str">
        <f>VLOOKUP(B130,AA_Unitarios,'11'!$H$7,FALSE)</f>
        <v>M2</v>
      </c>
      <c r="J130" s="64">
        <f>+'15'!N25</f>
        <v>317.03200000000004</v>
      </c>
      <c r="K130" s="913">
        <f>+VLOOKUP(B130,AA_Unitarios,'11'!$M$7,FALSE)</f>
        <v>16332.803151446715</v>
      </c>
      <c r="L130" s="914"/>
      <c r="M130" s="913">
        <f t="shared" si="8"/>
        <v>5178021.25</v>
      </c>
      <c r="N130" s="915"/>
      <c r="W130" s="765"/>
    </row>
    <row r="131" spans="1:23" ht="13.5" customHeight="1" outlineLevel="1" x14ac:dyDescent="0.25">
      <c r="A131" s="349" t="s">
        <v>1627</v>
      </c>
      <c r="B131" s="916" t="s">
        <v>1625</v>
      </c>
      <c r="C131" s="931"/>
      <c r="D131" s="931"/>
      <c r="E131" s="931"/>
      <c r="F131" s="931"/>
      <c r="G131" s="931"/>
      <c r="H131" s="932"/>
      <c r="I131" s="63" t="str">
        <f>VLOOKUP(B131,AA_Unitarios,'11'!$H$7,FALSE)</f>
        <v>UND</v>
      </c>
      <c r="J131" s="64">
        <v>0</v>
      </c>
      <c r="K131" s="913">
        <f>+VLOOKUP(B131,AA_Unitarios,'11'!$M$7,FALSE)</f>
        <v>6251783.8568704464</v>
      </c>
      <c r="L131" s="914"/>
      <c r="M131" s="913">
        <f t="shared" si="8"/>
        <v>0</v>
      </c>
      <c r="N131" s="915"/>
      <c r="W131" s="765"/>
    </row>
    <row r="132" spans="1:23" ht="36.75" customHeight="1" outlineLevel="1" x14ac:dyDescent="0.25">
      <c r="A132" s="349" t="s">
        <v>1628</v>
      </c>
      <c r="B132" s="916" t="s">
        <v>1626</v>
      </c>
      <c r="C132" s="931"/>
      <c r="D132" s="931"/>
      <c r="E132" s="931"/>
      <c r="F132" s="931"/>
      <c r="G132" s="931"/>
      <c r="H132" s="932"/>
      <c r="I132" s="63" t="str">
        <f>VLOOKUP(B132,AA_Unitarios,'11'!$H$7,FALSE)</f>
        <v>ML/MES</v>
      </c>
      <c r="J132" s="64">
        <v>1000</v>
      </c>
      <c r="K132" s="913">
        <f>+VLOOKUP(B132,AA_Unitarios,'11'!$M$7,FALSE)</f>
        <v>98320.804359999136</v>
      </c>
      <c r="L132" s="914"/>
      <c r="M132" s="913">
        <f t="shared" si="8"/>
        <v>98320804.359999999</v>
      </c>
      <c r="N132" s="915"/>
      <c r="W132" s="765"/>
    </row>
    <row r="133" spans="1:23" ht="13.5" outlineLevel="1" x14ac:dyDescent="0.25">
      <c r="A133" s="360" t="s">
        <v>978</v>
      </c>
      <c r="B133" s="933" t="s">
        <v>1629</v>
      </c>
      <c r="C133" s="917"/>
      <c r="D133" s="917"/>
      <c r="E133" s="917"/>
      <c r="F133" s="917"/>
      <c r="G133" s="917"/>
      <c r="H133" s="917"/>
      <c r="I133" s="917"/>
      <c r="J133" s="917"/>
      <c r="K133" s="917"/>
      <c r="L133" s="917"/>
      <c r="M133" s="917"/>
      <c r="N133" s="915"/>
      <c r="Q133" s="766" t="s">
        <v>1476</v>
      </c>
      <c r="R133">
        <v>1441.3980000000001</v>
      </c>
      <c r="S133">
        <v>673.61599999999999</v>
      </c>
      <c r="T133">
        <v>0</v>
      </c>
      <c r="U133">
        <v>0</v>
      </c>
      <c r="V133">
        <v>0</v>
      </c>
      <c r="W133" s="765">
        <f t="shared" ref="W133:W141" si="9">SUM(R133:V133)</f>
        <v>2115.0140000000001</v>
      </c>
    </row>
    <row r="134" spans="1:23" ht="13.5" outlineLevel="1" x14ac:dyDescent="0.25">
      <c r="A134" s="349" t="s">
        <v>988</v>
      </c>
      <c r="B134" s="916" t="s">
        <v>1630</v>
      </c>
      <c r="C134" s="917"/>
      <c r="D134" s="917"/>
      <c r="E134" s="917"/>
      <c r="F134" s="917"/>
      <c r="G134" s="917"/>
      <c r="H134" s="914"/>
      <c r="I134" s="63" t="str">
        <f>VLOOKUP(B134,AA_Unitarios,'11'!$H$7,FALSE)</f>
        <v>M3</v>
      </c>
      <c r="J134" s="64">
        <f>+'15'!R42</f>
        <v>393.74077241544427</v>
      </c>
      <c r="K134" s="913">
        <f>VLOOKUP(B134,AA_Unitarios,'11'!$M$7,FALSE)</f>
        <v>223952.40350096428</v>
      </c>
      <c r="L134" s="914"/>
      <c r="M134" s="913">
        <f t="shared" ref="M134:M135" si="10">ROUND(J134*K134,2)</f>
        <v>88179192.340000004</v>
      </c>
      <c r="N134" s="915"/>
      <c r="Q134" s="766" t="s">
        <v>1477</v>
      </c>
      <c r="R134">
        <v>2118.3620000000001</v>
      </c>
      <c r="S134">
        <v>2148.9849999999997</v>
      </c>
      <c r="T134">
        <v>0</v>
      </c>
      <c r="U134">
        <v>0</v>
      </c>
      <c r="V134">
        <v>0</v>
      </c>
      <c r="W134" s="765">
        <f t="shared" si="9"/>
        <v>4267.3469999999998</v>
      </c>
    </row>
    <row r="135" spans="1:23" ht="13.5" customHeight="1" outlineLevel="1" x14ac:dyDescent="0.25">
      <c r="A135" s="351" t="s">
        <v>1633</v>
      </c>
      <c r="B135" s="916" t="s">
        <v>1631</v>
      </c>
      <c r="C135" s="917"/>
      <c r="D135" s="917"/>
      <c r="E135" s="917"/>
      <c r="F135" s="917"/>
      <c r="G135" s="917"/>
      <c r="H135" s="914"/>
      <c r="I135" s="63" t="str">
        <f>VLOOKUP(B135,AA_Unitarios,'11'!$H$7,FALSE)</f>
        <v>M3</v>
      </c>
      <c r="J135" s="64">
        <f>+'15'!X42</f>
        <v>507.50000000000006</v>
      </c>
      <c r="K135" s="913">
        <f>+VLOOKUP(B135,AA_Unitarios,'11'!$M$7,FALSE)</f>
        <v>171919.902632218</v>
      </c>
      <c r="L135" s="914"/>
      <c r="M135" s="913">
        <f t="shared" si="10"/>
        <v>87249350.590000004</v>
      </c>
      <c r="N135" s="915"/>
      <c r="Q135" s="766" t="s">
        <v>1478</v>
      </c>
      <c r="R135">
        <v>1473.3170000000014</v>
      </c>
      <c r="S135">
        <v>1387.6970000000001</v>
      </c>
      <c r="T135">
        <v>0</v>
      </c>
      <c r="U135">
        <v>0</v>
      </c>
      <c r="V135">
        <v>0</v>
      </c>
      <c r="W135" s="765">
        <f t="shared" si="9"/>
        <v>2861.0140000000015</v>
      </c>
    </row>
    <row r="136" spans="1:23" ht="13.5" outlineLevel="1" x14ac:dyDescent="0.25">
      <c r="A136" s="360" t="s">
        <v>979</v>
      </c>
      <c r="B136" s="937" t="s">
        <v>52</v>
      </c>
      <c r="C136" s="917"/>
      <c r="D136" s="917"/>
      <c r="E136" s="917"/>
      <c r="F136" s="917"/>
      <c r="G136" s="917"/>
      <c r="H136" s="917"/>
      <c r="I136" s="917"/>
      <c r="J136" s="917"/>
      <c r="K136" s="917"/>
      <c r="L136" s="917"/>
      <c r="M136" s="917"/>
      <c r="N136" s="915"/>
      <c r="T136">
        <v>0</v>
      </c>
      <c r="U136">
        <v>0</v>
      </c>
      <c r="V136">
        <v>0</v>
      </c>
      <c r="W136" s="765">
        <f t="shared" si="9"/>
        <v>0</v>
      </c>
    </row>
    <row r="137" spans="1:23" ht="27" customHeight="1" outlineLevel="1" x14ac:dyDescent="0.25">
      <c r="A137" s="349" t="s">
        <v>980</v>
      </c>
      <c r="B137" s="916" t="str">
        <f>UNITARIOS!A334</f>
        <v>EXCAVACION MANUAL A TODO FACTOR 0 A  5 M DE PROFUNDIDAD</v>
      </c>
      <c r="C137" s="917"/>
      <c r="D137" s="917"/>
      <c r="E137" s="917"/>
      <c r="F137" s="917"/>
      <c r="G137" s="917"/>
      <c r="H137" s="914"/>
      <c r="I137" s="63" t="str">
        <f>VLOOKUP(B137,AA_Unitarios,'11'!$H$7,FALSE)</f>
        <v>M3</v>
      </c>
      <c r="J137" s="64">
        <f>+'15'!O25+'15'!O42+'15'!O126</f>
        <v>3380.6694482849448</v>
      </c>
      <c r="K137" s="913">
        <f>+VLOOKUP(B137,AA_Unitarios,'11'!$M$7,FALSE)</f>
        <v>63154.621693800007</v>
      </c>
      <c r="L137" s="914"/>
      <c r="M137" s="913">
        <f>ROUND(J137*K137,2)</f>
        <v>213504900.08000001</v>
      </c>
      <c r="N137" s="915"/>
      <c r="Q137" t="s">
        <v>1455</v>
      </c>
      <c r="R137" s="767">
        <f>+'15'!I14</f>
        <v>0</v>
      </c>
      <c r="S137" s="767"/>
      <c r="T137">
        <v>0</v>
      </c>
      <c r="U137">
        <v>0</v>
      </c>
      <c r="V137">
        <v>0</v>
      </c>
      <c r="W137" s="765">
        <f t="shared" si="9"/>
        <v>0</v>
      </c>
    </row>
    <row r="138" spans="1:23" ht="13.5" outlineLevel="1" x14ac:dyDescent="0.25">
      <c r="A138" s="360" t="s">
        <v>979</v>
      </c>
      <c r="B138" s="937" t="s">
        <v>52</v>
      </c>
      <c r="C138" s="917"/>
      <c r="D138" s="917"/>
      <c r="E138" s="917"/>
      <c r="F138" s="917"/>
      <c r="G138" s="917"/>
      <c r="H138" s="917"/>
      <c r="I138" s="917"/>
      <c r="J138" s="917"/>
      <c r="K138" s="917"/>
      <c r="L138" s="917"/>
      <c r="M138" s="917"/>
      <c r="N138" s="915"/>
      <c r="T138">
        <v>0</v>
      </c>
      <c r="U138">
        <v>0</v>
      </c>
      <c r="V138">
        <v>0</v>
      </c>
      <c r="W138" s="765">
        <f t="shared" si="9"/>
        <v>0</v>
      </c>
    </row>
    <row r="139" spans="1:23" ht="27" customHeight="1" outlineLevel="1" x14ac:dyDescent="0.25">
      <c r="A139" s="349" t="s">
        <v>980</v>
      </c>
      <c r="B139" s="916" t="s">
        <v>1674</v>
      </c>
      <c r="C139" s="917"/>
      <c r="D139" s="917"/>
      <c r="E139" s="917"/>
      <c r="F139" s="917"/>
      <c r="G139" s="917"/>
      <c r="H139" s="914"/>
      <c r="I139" s="63" t="str">
        <f>VLOOKUP(B139,AA_Unitarios,'11'!$H$7,FALSE)</f>
        <v>M3</v>
      </c>
      <c r="J139" s="64">
        <f>+'15'!U25+'15'!U42+'15'!U126</f>
        <v>1012.3486125218205</v>
      </c>
      <c r="K139" s="913">
        <f>+VLOOKUP(B139,AA_Unitarios,'11'!$M$7,FALSE)</f>
        <v>241471.21856195002</v>
      </c>
      <c r="L139" s="914"/>
      <c r="M139" s="913">
        <f t="shared" ref="M139:M141" si="11">ROUND(J139*K139,2)</f>
        <v>244453053.08000001</v>
      </c>
      <c r="N139" s="915"/>
      <c r="Q139" t="s">
        <v>1455</v>
      </c>
      <c r="R139" s="767">
        <f>+'15'!I16</f>
        <v>3281.1731034620366</v>
      </c>
      <c r="S139" s="767"/>
      <c r="T139">
        <v>0</v>
      </c>
      <c r="U139">
        <v>0</v>
      </c>
      <c r="V139">
        <v>0</v>
      </c>
      <c r="W139" s="765">
        <f t="shared" si="9"/>
        <v>3281.1731034620366</v>
      </c>
    </row>
    <row r="140" spans="1:23" ht="40.5" customHeight="1" outlineLevel="1" x14ac:dyDescent="0.25">
      <c r="A140" s="349" t="s">
        <v>981</v>
      </c>
      <c r="B140" s="916" t="s">
        <v>1675</v>
      </c>
      <c r="C140" s="917"/>
      <c r="D140" s="917"/>
      <c r="E140" s="917"/>
      <c r="F140" s="917"/>
      <c r="G140" s="917"/>
      <c r="H140" s="914"/>
      <c r="I140" s="63" t="str">
        <f>VLOOKUP(B140,AA_Unitarios,'11'!$H$7,FALSE)</f>
        <v>M3</v>
      </c>
      <c r="J140" s="64">
        <f>+'15'!V25</f>
        <v>63.406400000000012</v>
      </c>
      <c r="K140" s="913">
        <f>+VLOOKUP(B140,AA_Unitarios,'11'!$M$7,FALSE)</f>
        <v>268777.23373475333</v>
      </c>
      <c r="L140" s="914"/>
      <c r="M140" s="913">
        <f t="shared" si="11"/>
        <v>17042196.789999999</v>
      </c>
      <c r="N140" s="915"/>
      <c r="Q140" t="s">
        <v>1456</v>
      </c>
      <c r="R140" s="767">
        <v>2694.204999999999</v>
      </c>
      <c r="S140" s="767"/>
      <c r="T140">
        <v>0</v>
      </c>
      <c r="U140">
        <v>0</v>
      </c>
      <c r="V140">
        <v>0</v>
      </c>
      <c r="W140" s="765">
        <f t="shared" si="9"/>
        <v>2694.204999999999</v>
      </c>
    </row>
    <row r="141" spans="1:23" ht="40.5" customHeight="1" outlineLevel="1" x14ac:dyDescent="0.25">
      <c r="A141" s="349" t="s">
        <v>982</v>
      </c>
      <c r="B141" s="916" t="s">
        <v>1676</v>
      </c>
      <c r="C141" s="917"/>
      <c r="D141" s="917"/>
      <c r="E141" s="917"/>
      <c r="F141" s="917"/>
      <c r="G141" s="917"/>
      <c r="H141" s="914"/>
      <c r="I141" s="63" t="str">
        <f>VLOOKUP(B141,AA_Unitarios,'11'!$H$7,FALSE)</f>
        <v>M3</v>
      </c>
      <c r="J141" s="64">
        <f>+'15'!W25+'15'!W42+'15'!W126</f>
        <v>2919.6690689733614</v>
      </c>
      <c r="K141" s="913">
        <f>+VLOOKUP(B141,AA_Unitarios,'11'!$M$7,FALSE)</f>
        <v>36873.321021598778</v>
      </c>
      <c r="L141" s="914"/>
      <c r="M141" s="913">
        <f t="shared" si="11"/>
        <v>107657894.86</v>
      </c>
      <c r="N141" s="915"/>
      <c r="Q141" t="s">
        <v>852</v>
      </c>
      <c r="R141" s="767">
        <v>7727.2820000000002</v>
      </c>
      <c r="S141" s="767">
        <v>5969.8890000000001</v>
      </c>
      <c r="T141">
        <v>0</v>
      </c>
      <c r="U141">
        <v>0</v>
      </c>
      <c r="V141">
        <v>0</v>
      </c>
      <c r="W141" s="765">
        <f t="shared" si="9"/>
        <v>13697.171</v>
      </c>
    </row>
    <row r="142" spans="1:23" ht="13.5" outlineLevel="1" x14ac:dyDescent="0.25">
      <c r="A142" s="352" t="s">
        <v>983</v>
      </c>
      <c r="B142" s="934" t="s">
        <v>67</v>
      </c>
      <c r="C142" s="917"/>
      <c r="D142" s="917"/>
      <c r="E142" s="917"/>
      <c r="F142" s="917"/>
      <c r="G142" s="917"/>
      <c r="H142" s="917"/>
      <c r="I142" s="917"/>
      <c r="J142" s="917"/>
      <c r="K142" s="917"/>
      <c r="L142" s="917"/>
      <c r="M142" s="917"/>
      <c r="N142" s="915"/>
      <c r="Q142" t="s">
        <v>1457</v>
      </c>
    </row>
    <row r="143" spans="1:23" ht="36" customHeight="1" outlineLevel="1" x14ac:dyDescent="0.25">
      <c r="A143" s="351" t="s">
        <v>984</v>
      </c>
      <c r="B143" s="916" t="s">
        <v>1677</v>
      </c>
      <c r="C143" s="917"/>
      <c r="D143" s="917"/>
      <c r="E143" s="917"/>
      <c r="F143" s="917"/>
      <c r="G143" s="917"/>
      <c r="H143" s="914"/>
      <c r="I143" s="63" t="str">
        <f>VLOOKUP(B143,AA_Unitarios,'11'!$H$7,FALSE)</f>
        <v>UND</v>
      </c>
      <c r="J143" s="834">
        <f>+'17'!C155</f>
        <v>9</v>
      </c>
      <c r="K143" s="913">
        <f>VLOOKUP(B143,AA_Unitarios,'11'!$M$7,FALSE)</f>
        <v>931285.27301628003</v>
      </c>
      <c r="L143" s="914"/>
      <c r="M143" s="913">
        <f t="shared" ref="M143:M163" si="12">ROUND(J143*K143,2)</f>
        <v>8381567.46</v>
      </c>
      <c r="N143" s="915"/>
      <c r="Q143" t="s">
        <v>1458</v>
      </c>
    </row>
    <row r="144" spans="1:23" ht="13.5" outlineLevel="1" x14ac:dyDescent="0.25">
      <c r="A144" s="351" t="s">
        <v>1793</v>
      </c>
      <c r="B144" s="916" t="s">
        <v>1678</v>
      </c>
      <c r="C144" s="917"/>
      <c r="D144" s="917"/>
      <c r="E144" s="917"/>
      <c r="F144" s="917"/>
      <c r="G144" s="917"/>
      <c r="H144" s="914"/>
      <c r="I144" s="63" t="str">
        <f>VLOOKUP(B144,AA_Unitarios,'11'!$H$7,FALSE)</f>
        <v>UND</v>
      </c>
      <c r="J144" s="67">
        <f>+'17'!C167</f>
        <v>5</v>
      </c>
      <c r="K144" s="913">
        <f>+VLOOKUP(B144,AA_Unitarios,'11'!$M$7,FALSE)</f>
        <v>2183237.4650814002</v>
      </c>
      <c r="L144" s="914"/>
      <c r="M144" s="913">
        <f t="shared" si="12"/>
        <v>10916187.33</v>
      </c>
      <c r="N144" s="915"/>
      <c r="Q144" s="765" t="s">
        <v>1462</v>
      </c>
      <c r="R144" s="767" t="e">
        <f>#REF!-#REF!</f>
        <v>#REF!</v>
      </c>
      <c r="S144" s="767" t="e">
        <f>#REF!-#REF!</f>
        <v>#REF!</v>
      </c>
      <c r="T144">
        <v>0</v>
      </c>
      <c r="U144">
        <v>0</v>
      </c>
      <c r="V144">
        <v>0</v>
      </c>
      <c r="W144" s="765" t="e">
        <f t="shared" ref="W144:W173" si="13">SUM(R144:V144)</f>
        <v>#REF!</v>
      </c>
    </row>
    <row r="145" spans="1:23" ht="13.5" outlineLevel="1" x14ac:dyDescent="0.25">
      <c r="A145" s="351" t="s">
        <v>1794</v>
      </c>
      <c r="B145" s="916" t="s">
        <v>1679</v>
      </c>
      <c r="C145" s="917"/>
      <c r="D145" s="917"/>
      <c r="E145" s="917"/>
      <c r="F145" s="917"/>
      <c r="G145" s="917"/>
      <c r="H145" s="914"/>
      <c r="I145" s="63" t="str">
        <f>VLOOKUP(B145,AA_Unitarios,'11'!$H$7,FALSE)</f>
        <v>UND</v>
      </c>
      <c r="J145" s="67">
        <f>+'17'!C168</f>
        <v>1</v>
      </c>
      <c r="K145" s="913">
        <f>+VLOOKUP(B145,AA_Unitarios,'11'!$M$7,FALSE)</f>
        <v>6362076.9247035012</v>
      </c>
      <c r="L145" s="914"/>
      <c r="M145" s="913">
        <f t="shared" si="12"/>
        <v>6362076.9199999999</v>
      </c>
      <c r="N145" s="915"/>
      <c r="Q145" s="765" t="s">
        <v>1460</v>
      </c>
      <c r="R145" s="767" t="e">
        <f>#REF!*0.05*R139</f>
        <v>#REF!</v>
      </c>
      <c r="S145" s="767" t="e">
        <f>#REF!*0.05*S139</f>
        <v>#REF!</v>
      </c>
      <c r="T145">
        <v>0</v>
      </c>
      <c r="U145">
        <v>0</v>
      </c>
      <c r="V145">
        <v>0</v>
      </c>
      <c r="W145" s="765" t="e">
        <f t="shared" si="13"/>
        <v>#REF!</v>
      </c>
    </row>
    <row r="146" spans="1:23" ht="27" customHeight="1" outlineLevel="1" x14ac:dyDescent="0.25">
      <c r="A146" s="351" t="s">
        <v>1795</v>
      </c>
      <c r="B146" s="916" t="s">
        <v>1680</v>
      </c>
      <c r="C146" s="917"/>
      <c r="D146" s="917"/>
      <c r="E146" s="917"/>
      <c r="F146" s="917"/>
      <c r="G146" s="917"/>
      <c r="H146" s="914"/>
      <c r="I146" s="63" t="str">
        <f>VLOOKUP(B146,AA_Unitarios,'11'!$H$7,FALSE)</f>
        <v>UND</v>
      </c>
      <c r="J146" s="67">
        <f>+'17'!C184</f>
        <v>7</v>
      </c>
      <c r="K146" s="913">
        <f>+VLOOKUP(B146,AA_Unitarios,'11'!$M$7,FALSE)</f>
        <v>18509880.093159001</v>
      </c>
      <c r="L146" s="914"/>
      <c r="M146" s="913">
        <f t="shared" si="12"/>
        <v>129569160.65000001</v>
      </c>
      <c r="N146" s="915"/>
      <c r="Q146" s="765" t="s">
        <v>1463</v>
      </c>
      <c r="R146" s="767" t="e">
        <f>#REF!*R139*0.1</f>
        <v>#REF!</v>
      </c>
      <c r="S146" s="767" t="e">
        <f>#REF!*S139*0.1</f>
        <v>#REF!</v>
      </c>
      <c r="T146">
        <v>0</v>
      </c>
      <c r="U146">
        <v>0</v>
      </c>
      <c r="V146">
        <v>0</v>
      </c>
      <c r="W146" s="765" t="e">
        <f t="shared" si="13"/>
        <v>#REF!</v>
      </c>
    </row>
    <row r="147" spans="1:23" ht="27" customHeight="1" outlineLevel="1" x14ac:dyDescent="0.25">
      <c r="A147" s="351" t="s">
        <v>1796</v>
      </c>
      <c r="B147" s="916" t="s">
        <v>1681</v>
      </c>
      <c r="C147" s="917"/>
      <c r="D147" s="917"/>
      <c r="E147" s="917"/>
      <c r="F147" s="917"/>
      <c r="G147" s="917"/>
      <c r="H147" s="914"/>
      <c r="I147" s="63" t="str">
        <f>VLOOKUP(B147,AA_Unitarios,'11'!$H$7,FALSE)</f>
        <v>UND</v>
      </c>
      <c r="J147" s="110">
        <f>+'17'!C222</f>
        <v>24</v>
      </c>
      <c r="K147" s="913">
        <f>+VLOOKUP(B147,AA_Unitarios,'11'!$M$7,FALSE)</f>
        <v>4893073.7301628003</v>
      </c>
      <c r="L147" s="914"/>
      <c r="M147" s="913">
        <f t="shared" si="12"/>
        <v>117433769.52</v>
      </c>
      <c r="N147" s="915"/>
      <c r="Q147" s="765" t="s">
        <v>1464</v>
      </c>
      <c r="R147" s="767" t="e">
        <f>#REF!-R145-R146</f>
        <v>#REF!</v>
      </c>
      <c r="S147" s="767" t="e">
        <f>#REF!-S145-S146</f>
        <v>#REF!</v>
      </c>
      <c r="T147">
        <v>0</v>
      </c>
      <c r="U147">
        <v>0</v>
      </c>
      <c r="V147">
        <v>0</v>
      </c>
      <c r="W147" s="765" t="e">
        <f t="shared" si="13"/>
        <v>#REF!</v>
      </c>
    </row>
    <row r="148" spans="1:23" ht="27" customHeight="1" outlineLevel="1" x14ac:dyDescent="0.25">
      <c r="A148" s="351" t="s">
        <v>1797</v>
      </c>
      <c r="B148" s="916" t="s">
        <v>1682</v>
      </c>
      <c r="C148" s="917"/>
      <c r="D148" s="917"/>
      <c r="E148" s="917"/>
      <c r="F148" s="917"/>
      <c r="G148" s="917"/>
      <c r="H148" s="914"/>
      <c r="I148" s="63" t="str">
        <f>VLOOKUP(B148,AA_Unitarios,'11'!$H$7,FALSE)</f>
        <v>UND</v>
      </c>
      <c r="J148" s="110">
        <f>+'17'!C223</f>
        <v>3</v>
      </c>
      <c r="K148" s="913">
        <f>+VLOOKUP(B148,AA_Unitarios,'11'!$M$7,FALSE)</f>
        <v>6267344.9921628004</v>
      </c>
      <c r="L148" s="914"/>
      <c r="M148" s="913">
        <f t="shared" si="12"/>
        <v>18802034.98</v>
      </c>
      <c r="N148" s="915"/>
      <c r="Q148" s="765" t="s">
        <v>1464</v>
      </c>
      <c r="R148" s="767" t="e">
        <f>#REF!-R146-R147</f>
        <v>#REF!</v>
      </c>
      <c r="S148" s="767" t="e">
        <f>#REF!-S146-S147</f>
        <v>#REF!</v>
      </c>
      <c r="T148">
        <v>0</v>
      </c>
      <c r="U148">
        <v>0</v>
      </c>
      <c r="V148">
        <v>0</v>
      </c>
      <c r="W148" s="765" t="e">
        <f t="shared" si="13"/>
        <v>#REF!</v>
      </c>
    </row>
    <row r="149" spans="1:23" ht="27" customHeight="1" outlineLevel="1" x14ac:dyDescent="0.25">
      <c r="A149" s="351" t="s">
        <v>1938</v>
      </c>
      <c r="B149" s="916" t="s">
        <v>1684</v>
      </c>
      <c r="C149" s="917"/>
      <c r="D149" s="917"/>
      <c r="E149" s="917"/>
      <c r="F149" s="917"/>
      <c r="G149" s="917"/>
      <c r="H149" s="914"/>
      <c r="I149" s="63" t="str">
        <f>VLOOKUP(B149,AA_Unitarios,'11'!$H$7,FALSE)</f>
        <v>UND</v>
      </c>
      <c r="J149" s="64">
        <f>+'18'!N6</f>
        <v>7</v>
      </c>
      <c r="K149" s="913">
        <f>+VLOOKUP(B149,AA_Unitarios,'11'!$M$7,FALSE)</f>
        <v>1118912.33365665</v>
      </c>
      <c r="L149" s="914"/>
      <c r="M149" s="913">
        <f t="shared" si="12"/>
        <v>7832386.3399999999</v>
      </c>
      <c r="N149" s="915"/>
      <c r="Q149" s="765" t="s">
        <v>1465</v>
      </c>
      <c r="R149">
        <v>68</v>
      </c>
      <c r="S149">
        <v>42</v>
      </c>
      <c r="T149">
        <v>0</v>
      </c>
      <c r="U149">
        <v>0</v>
      </c>
      <c r="V149">
        <v>0</v>
      </c>
      <c r="W149" s="765">
        <f t="shared" si="13"/>
        <v>110</v>
      </c>
    </row>
    <row r="150" spans="1:23" ht="27" customHeight="1" outlineLevel="1" x14ac:dyDescent="0.25">
      <c r="A150" s="351" t="s">
        <v>1939</v>
      </c>
      <c r="B150" s="916" t="s">
        <v>1685</v>
      </c>
      <c r="C150" s="917"/>
      <c r="D150" s="917"/>
      <c r="E150" s="917"/>
      <c r="F150" s="917"/>
      <c r="G150" s="917"/>
      <c r="H150" s="914"/>
      <c r="I150" s="63" t="str">
        <f>VLOOKUP(B150,AA_Unitarios,'11'!$H$7,FALSE)</f>
        <v>UND</v>
      </c>
      <c r="J150" s="64">
        <f>+'18'!F17</f>
        <v>36</v>
      </c>
      <c r="K150" s="913">
        <f>+VLOOKUP(B150,AA_Unitarios,'11'!$M$7,FALSE)</f>
        <v>989491.25457081257</v>
      </c>
      <c r="L150" s="914"/>
      <c r="M150" s="913">
        <f t="shared" si="12"/>
        <v>35621685.159999996</v>
      </c>
      <c r="N150" s="915"/>
      <c r="Q150" t="s">
        <v>1466</v>
      </c>
      <c r="R150">
        <v>11</v>
      </c>
      <c r="S150">
        <v>11</v>
      </c>
      <c r="T150">
        <v>0</v>
      </c>
      <c r="U150">
        <v>0</v>
      </c>
      <c r="V150">
        <v>0</v>
      </c>
      <c r="W150" s="765">
        <f t="shared" si="13"/>
        <v>22</v>
      </c>
    </row>
    <row r="151" spans="1:23" ht="27" customHeight="1" outlineLevel="1" x14ac:dyDescent="0.25">
      <c r="A151" s="351" t="s">
        <v>1940</v>
      </c>
      <c r="B151" s="916" t="s">
        <v>1686</v>
      </c>
      <c r="C151" s="917"/>
      <c r="D151" s="917"/>
      <c r="E151" s="917"/>
      <c r="F151" s="917"/>
      <c r="G151" s="917"/>
      <c r="H151" s="914"/>
      <c r="I151" s="63" t="str">
        <f>VLOOKUP(B151,AA_Unitarios,'11'!$H$7,FALSE)</f>
        <v>UND</v>
      </c>
      <c r="J151" s="64">
        <f>+'18'!J28</f>
        <v>6</v>
      </c>
      <c r="K151" s="913">
        <f>+VLOOKUP(B151,AA_Unitarios,'11'!$M$7,FALSE)</f>
        <v>1200221.4440223151</v>
      </c>
      <c r="L151" s="914"/>
      <c r="M151" s="913">
        <f t="shared" si="12"/>
        <v>7201328.6600000001</v>
      </c>
      <c r="N151" s="915"/>
      <c r="Q151" t="s">
        <v>1467</v>
      </c>
      <c r="R151">
        <v>26</v>
      </c>
      <c r="S151">
        <v>46</v>
      </c>
      <c r="T151">
        <v>0</v>
      </c>
      <c r="U151">
        <v>0</v>
      </c>
      <c r="V151">
        <v>0</v>
      </c>
      <c r="W151" s="765">
        <f t="shared" si="13"/>
        <v>72</v>
      </c>
    </row>
    <row r="152" spans="1:23" ht="27" customHeight="1" outlineLevel="1" x14ac:dyDescent="0.25">
      <c r="A152" s="351" t="s">
        <v>1941</v>
      </c>
      <c r="B152" s="916" t="s">
        <v>1687</v>
      </c>
      <c r="C152" s="917"/>
      <c r="D152" s="917"/>
      <c r="E152" s="917"/>
      <c r="F152" s="917"/>
      <c r="G152" s="917"/>
      <c r="H152" s="914"/>
      <c r="I152" s="63" t="str">
        <f>VLOOKUP(B152,AA_Unitarios,'11'!$H$7,FALSE)</f>
        <v>UND</v>
      </c>
      <c r="J152" s="64">
        <f>+'17'!G8</f>
        <v>1</v>
      </c>
      <c r="K152" s="913">
        <f>+VLOOKUP(B152,AA_Unitarios,'11'!$M$7,FALSE)</f>
        <v>4320873.530162801</v>
      </c>
      <c r="L152" s="914"/>
      <c r="M152" s="913">
        <f t="shared" si="12"/>
        <v>4320873.53</v>
      </c>
      <c r="N152" s="915"/>
      <c r="Q152" t="s">
        <v>1467</v>
      </c>
      <c r="R152">
        <v>26</v>
      </c>
      <c r="S152">
        <v>46</v>
      </c>
      <c r="T152">
        <v>0</v>
      </c>
      <c r="U152">
        <v>0</v>
      </c>
      <c r="V152">
        <v>0</v>
      </c>
      <c r="W152" s="765">
        <f t="shared" si="13"/>
        <v>72</v>
      </c>
    </row>
    <row r="153" spans="1:23" ht="27" customHeight="1" outlineLevel="1" x14ac:dyDescent="0.25">
      <c r="A153" s="351" t="s">
        <v>1942</v>
      </c>
      <c r="B153" s="916" t="s">
        <v>1688</v>
      </c>
      <c r="C153" s="917"/>
      <c r="D153" s="917"/>
      <c r="E153" s="917"/>
      <c r="F153" s="917"/>
      <c r="G153" s="917"/>
      <c r="H153" s="914"/>
      <c r="I153" s="63" t="str">
        <f>VLOOKUP(B153,AA_Unitarios,'11'!$H$7,FALSE)</f>
        <v>UND</v>
      </c>
      <c r="J153" s="67">
        <f>+'17'!E8</f>
        <v>15</v>
      </c>
      <c r="K153" s="913">
        <f>+VLOOKUP(B153,AA_Unitarios,'11'!$M$7,FALSE)</f>
        <v>787825.88561950007</v>
      </c>
      <c r="L153" s="914"/>
      <c r="M153" s="913">
        <f t="shared" si="12"/>
        <v>11817388.279999999</v>
      </c>
      <c r="N153" s="915"/>
      <c r="Q153" t="s">
        <v>1467</v>
      </c>
      <c r="R153">
        <v>26</v>
      </c>
      <c r="S153">
        <v>46</v>
      </c>
      <c r="T153">
        <v>0</v>
      </c>
      <c r="U153">
        <v>0</v>
      </c>
      <c r="V153">
        <v>0</v>
      </c>
      <c r="W153" s="765">
        <f t="shared" si="13"/>
        <v>72</v>
      </c>
    </row>
    <row r="154" spans="1:23" ht="27" customHeight="1" outlineLevel="1" x14ac:dyDescent="0.25">
      <c r="A154" s="351" t="s">
        <v>1943</v>
      </c>
      <c r="B154" s="916" t="s">
        <v>1689</v>
      </c>
      <c r="C154" s="917"/>
      <c r="D154" s="917"/>
      <c r="E154" s="917"/>
      <c r="F154" s="917"/>
      <c r="G154" s="917"/>
      <c r="H154" s="914"/>
      <c r="I154" s="63" t="str">
        <f>VLOOKUP(B154,AA_Unitarios,'11'!$H$7,FALSE)</f>
        <v>UND</v>
      </c>
      <c r="J154" s="67">
        <f>+'17'!F8</f>
        <v>1</v>
      </c>
      <c r="K154" s="913">
        <f>+VLOOKUP(B154,AA_Unitarios,'11'!$M$7,FALSE)</f>
        <v>577883.80209072493</v>
      </c>
      <c r="L154" s="914"/>
      <c r="M154" s="913">
        <f t="shared" si="12"/>
        <v>577883.80000000005</v>
      </c>
      <c r="N154" s="915"/>
      <c r="Q154" t="s">
        <v>1467</v>
      </c>
      <c r="R154">
        <v>26</v>
      </c>
      <c r="S154">
        <v>46</v>
      </c>
      <c r="T154">
        <v>0</v>
      </c>
      <c r="U154">
        <v>0</v>
      </c>
      <c r="V154">
        <v>0</v>
      </c>
      <c r="W154" s="765">
        <f t="shared" si="13"/>
        <v>72</v>
      </c>
    </row>
    <row r="155" spans="1:23" ht="27" customHeight="1" outlineLevel="1" x14ac:dyDescent="0.25">
      <c r="A155" s="351" t="s">
        <v>1944</v>
      </c>
      <c r="B155" s="916" t="s">
        <v>1690</v>
      </c>
      <c r="C155" s="917"/>
      <c r="D155" s="917"/>
      <c r="E155" s="917"/>
      <c r="F155" s="917"/>
      <c r="G155" s="917"/>
      <c r="H155" s="914"/>
      <c r="I155" s="63" t="str">
        <f>VLOOKUP(B155,AA_Unitarios,'11'!$H$7,FALSE)</f>
        <v>M3</v>
      </c>
      <c r="J155" s="67">
        <f>+'17'!D103</f>
        <v>1</v>
      </c>
      <c r="K155" s="913">
        <f>+VLOOKUP(B155,AA_Unitarios,'11'!$M$7,FALSE)</f>
        <v>4828171.2301628003</v>
      </c>
      <c r="L155" s="914"/>
      <c r="M155" s="913">
        <f t="shared" si="12"/>
        <v>4828171.2300000004</v>
      </c>
      <c r="N155" s="915"/>
      <c r="Q155" t="s">
        <v>1467</v>
      </c>
      <c r="R155">
        <v>26</v>
      </c>
      <c r="S155">
        <v>46</v>
      </c>
      <c r="T155">
        <v>0</v>
      </c>
      <c r="U155">
        <v>0</v>
      </c>
      <c r="V155">
        <v>0</v>
      </c>
      <c r="W155" s="765">
        <f t="shared" si="13"/>
        <v>72</v>
      </c>
    </row>
    <row r="156" spans="1:23" ht="27" customHeight="1" outlineLevel="1" x14ac:dyDescent="0.25">
      <c r="A156" s="351" t="s">
        <v>1945</v>
      </c>
      <c r="B156" s="916" t="s">
        <v>1691</v>
      </c>
      <c r="C156" s="917"/>
      <c r="D156" s="917"/>
      <c r="E156" s="917"/>
      <c r="F156" s="917"/>
      <c r="G156" s="917"/>
      <c r="H156" s="914"/>
      <c r="I156" s="63" t="str">
        <f>VLOOKUP(B156,AA_Unitarios,'11'!$H$7,FALSE)</f>
        <v>UND</v>
      </c>
      <c r="J156" s="67">
        <f>+'17'!D104</f>
        <v>1</v>
      </c>
      <c r="K156" s="913">
        <f>+VLOOKUP(B156,AA_Unitarios,'11'!$M$7,FALSE)</f>
        <v>5634103.6867752001</v>
      </c>
      <c r="L156" s="914"/>
      <c r="M156" s="913">
        <f t="shared" si="12"/>
        <v>5634103.6900000004</v>
      </c>
      <c r="N156" s="915"/>
      <c r="Q156" t="s">
        <v>1467</v>
      </c>
      <c r="R156">
        <v>26</v>
      </c>
      <c r="S156">
        <v>46</v>
      </c>
      <c r="T156">
        <v>0</v>
      </c>
      <c r="U156">
        <v>0</v>
      </c>
      <c r="V156">
        <v>0</v>
      </c>
      <c r="W156" s="765">
        <f t="shared" si="13"/>
        <v>72</v>
      </c>
    </row>
    <row r="157" spans="1:23" ht="27" customHeight="1" outlineLevel="1" x14ac:dyDescent="0.25">
      <c r="A157" s="351" t="s">
        <v>1946</v>
      </c>
      <c r="B157" s="916" t="s">
        <v>1692</v>
      </c>
      <c r="C157" s="917"/>
      <c r="D157" s="917"/>
      <c r="E157" s="917"/>
      <c r="F157" s="917"/>
      <c r="G157" s="917"/>
      <c r="H157" s="914"/>
      <c r="I157" s="63" t="str">
        <f>VLOOKUP(B157,AA_Unitarios,'11'!$H$7,FALSE)</f>
        <v>UND</v>
      </c>
      <c r="J157" s="67">
        <f>+'17'!D105</f>
        <v>9</v>
      </c>
      <c r="K157" s="913">
        <f>+VLOOKUP(B157,AA_Unitarios,'11'!$M$7,FALSE)</f>
        <v>234487.96627034998</v>
      </c>
      <c r="L157" s="914"/>
      <c r="M157" s="913">
        <f t="shared" si="12"/>
        <v>2110391.7000000002</v>
      </c>
      <c r="N157" s="915"/>
      <c r="Q157" t="s">
        <v>1467</v>
      </c>
      <c r="R157">
        <v>26</v>
      </c>
      <c r="S157">
        <v>46</v>
      </c>
      <c r="T157">
        <v>0</v>
      </c>
      <c r="U157">
        <v>0</v>
      </c>
      <c r="V157">
        <v>0</v>
      </c>
      <c r="W157" s="765">
        <f t="shared" si="13"/>
        <v>72</v>
      </c>
    </row>
    <row r="158" spans="1:23" ht="27" customHeight="1" outlineLevel="1" x14ac:dyDescent="0.25">
      <c r="A158" s="351" t="s">
        <v>1947</v>
      </c>
      <c r="B158" s="916" t="s">
        <v>1693</v>
      </c>
      <c r="C158" s="917"/>
      <c r="D158" s="917"/>
      <c r="E158" s="917"/>
      <c r="F158" s="917"/>
      <c r="G158" s="917"/>
      <c r="H158" s="914"/>
      <c r="I158" s="63" t="str">
        <f>VLOOKUP(B158,AA_Unitarios,'11'!$H$7,FALSE)</f>
        <v>UND</v>
      </c>
      <c r="J158" s="834">
        <f>+'17'!D106</f>
        <v>9</v>
      </c>
      <c r="K158" s="913">
        <f>+VLOOKUP(B158,AA_Unitarios,'11'!$M$7,FALSE)</f>
        <v>223168.53905959538</v>
      </c>
      <c r="L158" s="914"/>
      <c r="M158" s="913">
        <f t="shared" si="12"/>
        <v>2008516.85</v>
      </c>
      <c r="N158" s="915"/>
      <c r="Q158" t="s">
        <v>1467</v>
      </c>
      <c r="R158">
        <v>26</v>
      </c>
      <c r="S158">
        <v>46</v>
      </c>
      <c r="T158">
        <v>0</v>
      </c>
      <c r="U158">
        <v>0</v>
      </c>
      <c r="V158">
        <v>0</v>
      </c>
      <c r="W158" s="765">
        <f t="shared" si="13"/>
        <v>72</v>
      </c>
    </row>
    <row r="159" spans="1:23" ht="27" customHeight="1" outlineLevel="1" x14ac:dyDescent="0.25">
      <c r="A159" s="351" t="s">
        <v>1948</v>
      </c>
      <c r="B159" s="916" t="s">
        <v>1696</v>
      </c>
      <c r="C159" s="917"/>
      <c r="D159" s="917"/>
      <c r="E159" s="917"/>
      <c r="F159" s="917"/>
      <c r="G159" s="917"/>
      <c r="H159" s="914"/>
      <c r="I159" s="63" t="str">
        <f>VLOOKUP(B159,AA_Unitarios,'11'!$H$7,FALSE)</f>
        <v>UND</v>
      </c>
      <c r="J159" s="67">
        <f>+'17'!H8</f>
        <v>31</v>
      </c>
      <c r="K159" s="913">
        <f>+VLOOKUP(B159,AA_Unitarios,'11'!$M$7,FALSE)</f>
        <v>305360.15952442004</v>
      </c>
      <c r="L159" s="914"/>
      <c r="M159" s="913">
        <f t="shared" si="12"/>
        <v>9466164.9499999993</v>
      </c>
      <c r="N159" s="915"/>
      <c r="Q159" t="s">
        <v>1467</v>
      </c>
      <c r="R159">
        <v>26</v>
      </c>
      <c r="S159">
        <v>46</v>
      </c>
      <c r="T159">
        <v>0</v>
      </c>
      <c r="U159">
        <v>0</v>
      </c>
      <c r="V159">
        <v>0</v>
      </c>
      <c r="W159" s="765">
        <f t="shared" si="13"/>
        <v>72</v>
      </c>
    </row>
    <row r="160" spans="1:23" ht="27" customHeight="1" outlineLevel="1" x14ac:dyDescent="0.25">
      <c r="A160" s="351" t="s">
        <v>1949</v>
      </c>
      <c r="B160" s="916" t="s">
        <v>1697</v>
      </c>
      <c r="C160" s="917"/>
      <c r="D160" s="917"/>
      <c r="E160" s="917"/>
      <c r="F160" s="917"/>
      <c r="G160" s="917"/>
      <c r="H160" s="914"/>
      <c r="I160" s="63" t="str">
        <f>VLOOKUP(B160,AA_Unitarios,'11'!$H$7,FALSE)</f>
        <v>UND</v>
      </c>
      <c r="J160" s="67">
        <f>+'17'!D8</f>
        <v>10</v>
      </c>
      <c r="K160" s="913">
        <f>+VLOOKUP(B160,AA_Unitarios,'11'!$M$7,FALSE)</f>
        <v>151551.07638924502</v>
      </c>
      <c r="L160" s="914"/>
      <c r="M160" s="913">
        <f t="shared" si="12"/>
        <v>1515510.76</v>
      </c>
      <c r="N160" s="915"/>
      <c r="Q160" t="s">
        <v>1467</v>
      </c>
      <c r="R160">
        <v>26</v>
      </c>
      <c r="S160">
        <v>46</v>
      </c>
      <c r="T160">
        <v>0</v>
      </c>
      <c r="U160">
        <v>0</v>
      </c>
      <c r="V160">
        <v>0</v>
      </c>
      <c r="W160" s="765">
        <f t="shared" si="13"/>
        <v>72</v>
      </c>
    </row>
    <row r="161" spans="1:23" ht="27" customHeight="1" outlineLevel="1" x14ac:dyDescent="0.25">
      <c r="A161" s="351" t="s">
        <v>1950</v>
      </c>
      <c r="B161" s="916" t="s">
        <v>1698</v>
      </c>
      <c r="C161" s="917"/>
      <c r="D161" s="917"/>
      <c r="E161" s="917"/>
      <c r="F161" s="917"/>
      <c r="G161" s="917"/>
      <c r="H161" s="914"/>
      <c r="I161" s="63" t="str">
        <f>VLOOKUP(B161,AA_Unitarios,'11'!$H$7,FALSE)</f>
        <v>UND</v>
      </c>
      <c r="J161" s="67">
        <f>+'17'!C131</f>
        <v>2</v>
      </c>
      <c r="K161" s="913">
        <f>+VLOOKUP(B161,AA_Unitarios,'11'!$M$7,FALSE)</f>
        <v>17092504.338631801</v>
      </c>
      <c r="L161" s="914"/>
      <c r="M161" s="913">
        <f t="shared" si="12"/>
        <v>34185008.68</v>
      </c>
      <c r="N161" s="915"/>
      <c r="Q161" t="s">
        <v>1467</v>
      </c>
      <c r="R161">
        <v>26</v>
      </c>
      <c r="S161">
        <v>46</v>
      </c>
      <c r="T161">
        <v>0</v>
      </c>
      <c r="U161">
        <v>0</v>
      </c>
      <c r="V161">
        <v>0</v>
      </c>
      <c r="W161" s="765">
        <f t="shared" si="13"/>
        <v>72</v>
      </c>
    </row>
    <row r="162" spans="1:23" ht="27" customHeight="1" outlineLevel="1" x14ac:dyDescent="0.25">
      <c r="A162" s="351" t="s">
        <v>1951</v>
      </c>
      <c r="B162" s="916" t="s">
        <v>1699</v>
      </c>
      <c r="C162" s="917"/>
      <c r="D162" s="917"/>
      <c r="E162" s="917"/>
      <c r="F162" s="917"/>
      <c r="G162" s="917"/>
      <c r="H162" s="914"/>
      <c r="I162" s="63" t="str">
        <f>VLOOKUP(B162,AA_Unitarios,'11'!$H$7,FALSE)</f>
        <v>UND</v>
      </c>
      <c r="J162" s="67">
        <f>+'17'!C132</f>
        <v>1</v>
      </c>
      <c r="K162" s="913">
        <f>+VLOOKUP(B162,AA_Unitarios,'11'!$M$7,FALSE)</f>
        <v>21810345.6841725</v>
      </c>
      <c r="L162" s="914"/>
      <c r="M162" s="913">
        <f t="shared" si="12"/>
        <v>21810345.68</v>
      </c>
      <c r="N162" s="915"/>
      <c r="Q162" t="s">
        <v>1467</v>
      </c>
      <c r="R162">
        <v>26</v>
      </c>
      <c r="S162">
        <v>46</v>
      </c>
      <c r="T162">
        <v>0</v>
      </c>
      <c r="U162">
        <v>0</v>
      </c>
      <c r="V162">
        <v>0</v>
      </c>
      <c r="W162" s="765">
        <f t="shared" si="13"/>
        <v>72</v>
      </c>
    </row>
    <row r="163" spans="1:23" ht="27" customHeight="1" outlineLevel="1" x14ac:dyDescent="0.25">
      <c r="A163" s="351" t="s">
        <v>1952</v>
      </c>
      <c r="B163" s="916" t="s">
        <v>1700</v>
      </c>
      <c r="C163" s="917"/>
      <c r="D163" s="917"/>
      <c r="E163" s="917"/>
      <c r="F163" s="917"/>
      <c r="G163" s="917"/>
      <c r="H163" s="914"/>
      <c r="I163" s="63" t="str">
        <f>VLOOKUP(B163,AA_Unitarios,'11'!$H$7,FALSE)</f>
        <v>UND</v>
      </c>
      <c r="J163" s="67">
        <f>+'17'!C133</f>
        <v>1</v>
      </c>
      <c r="K163" s="913">
        <f>+VLOOKUP(B163,AA_Unitarios,'11'!$M$7,FALSE)</f>
        <v>11467307.771172501</v>
      </c>
      <c r="L163" s="914"/>
      <c r="M163" s="913">
        <f t="shared" si="12"/>
        <v>11467307.77</v>
      </c>
      <c r="N163" s="915"/>
      <c r="Q163" t="s">
        <v>1467</v>
      </c>
      <c r="R163">
        <v>26</v>
      </c>
      <c r="S163">
        <v>46</v>
      </c>
      <c r="T163">
        <v>0</v>
      </c>
      <c r="U163">
        <v>0</v>
      </c>
      <c r="V163">
        <v>0</v>
      </c>
      <c r="W163" s="765">
        <f t="shared" si="13"/>
        <v>72</v>
      </c>
    </row>
    <row r="164" spans="1:23" ht="13.5" outlineLevel="1" x14ac:dyDescent="0.25">
      <c r="A164" s="352" t="s">
        <v>985</v>
      </c>
      <c r="B164" s="918" t="s">
        <v>1798</v>
      </c>
      <c r="C164" s="917"/>
      <c r="D164" s="917"/>
      <c r="E164" s="917"/>
      <c r="F164" s="917"/>
      <c r="G164" s="917"/>
      <c r="H164" s="917"/>
      <c r="I164" s="917"/>
      <c r="J164" s="917"/>
      <c r="K164" s="917"/>
      <c r="L164" s="917"/>
      <c r="M164" s="917"/>
      <c r="N164" s="915"/>
      <c r="Q164" t="s">
        <v>1467</v>
      </c>
      <c r="R164">
        <v>26</v>
      </c>
      <c r="S164">
        <v>46</v>
      </c>
      <c r="T164">
        <v>0</v>
      </c>
      <c r="U164">
        <v>0</v>
      </c>
      <c r="V164">
        <v>0</v>
      </c>
      <c r="W164" s="765">
        <f t="shared" si="13"/>
        <v>72</v>
      </c>
    </row>
    <row r="165" spans="1:23" ht="13.5" customHeight="1" outlineLevel="1" x14ac:dyDescent="0.25">
      <c r="A165" s="351" t="s">
        <v>986</v>
      </c>
      <c r="B165" s="916" t="s">
        <v>1683</v>
      </c>
      <c r="C165" s="917"/>
      <c r="D165" s="917"/>
      <c r="E165" s="917"/>
      <c r="F165" s="917"/>
      <c r="G165" s="917"/>
      <c r="H165" s="914"/>
      <c r="I165" s="63" t="str">
        <f>VLOOKUP(B165,AA_Unitarios,'11'!$H$7,FALSE)</f>
        <v>UND</v>
      </c>
      <c r="J165" s="366">
        <f>+'15'!K16</f>
        <v>328.12</v>
      </c>
      <c r="K165" s="913">
        <f>+VLOOKUP(B165,AA_Unitarios,'11'!$M$7,FALSE)</f>
        <v>921608.6792996201</v>
      </c>
      <c r="L165" s="914"/>
      <c r="M165" s="913">
        <f>ROUND(J165*K165,2)</f>
        <v>302398239.85000002</v>
      </c>
      <c r="N165" s="915"/>
      <c r="Q165" t="s">
        <v>1467</v>
      </c>
      <c r="R165">
        <v>26</v>
      </c>
      <c r="S165">
        <v>46</v>
      </c>
      <c r="T165">
        <v>0</v>
      </c>
      <c r="U165">
        <v>0</v>
      </c>
      <c r="V165">
        <v>0</v>
      </c>
      <c r="W165" s="765">
        <f t="shared" si="13"/>
        <v>72</v>
      </c>
    </row>
    <row r="166" spans="1:23" ht="13.5" outlineLevel="1" x14ac:dyDescent="0.25">
      <c r="A166" s="352" t="s">
        <v>987</v>
      </c>
      <c r="B166" s="918" t="s">
        <v>1799</v>
      </c>
      <c r="C166" s="917"/>
      <c r="D166" s="917"/>
      <c r="E166" s="917"/>
      <c r="F166" s="917"/>
      <c r="G166" s="917"/>
      <c r="H166" s="917"/>
      <c r="I166" s="917"/>
      <c r="J166" s="917"/>
      <c r="K166" s="917"/>
      <c r="L166" s="917"/>
      <c r="M166" s="917"/>
      <c r="N166" s="915"/>
      <c r="Q166" t="s">
        <v>1471</v>
      </c>
      <c r="R166">
        <v>10</v>
      </c>
      <c r="S166">
        <v>4</v>
      </c>
      <c r="T166">
        <v>0</v>
      </c>
      <c r="U166">
        <v>0</v>
      </c>
      <c r="V166">
        <v>0</v>
      </c>
      <c r="W166" s="765">
        <f t="shared" si="13"/>
        <v>14</v>
      </c>
    </row>
    <row r="167" spans="1:23" ht="29.25" customHeight="1" outlineLevel="1" x14ac:dyDescent="0.25">
      <c r="A167" s="351" t="s">
        <v>1446</v>
      </c>
      <c r="B167" s="919" t="s">
        <v>1701</v>
      </c>
      <c r="C167" s="917"/>
      <c r="D167" s="917"/>
      <c r="E167" s="917"/>
      <c r="F167" s="917"/>
      <c r="G167" s="917"/>
      <c r="H167" s="914"/>
      <c r="I167" s="63" t="str">
        <f>VLOOKUP(B167,AA_Unitarios,'11'!$H$7,FALSE)</f>
        <v>M3</v>
      </c>
      <c r="J167" s="366">
        <f>+'15'!Y42</f>
        <v>354.3666951739001</v>
      </c>
      <c r="K167" s="913">
        <f>+VLOOKUP(B167,AA_Unitarios,'11'!$M$7,FALSE)</f>
        <v>1704141.8641956165</v>
      </c>
      <c r="L167" s="914"/>
      <c r="M167" s="913">
        <f t="shared" ref="M167:M168" si="14">ROUND(J167*K167,2)</f>
        <v>603891120.51999998</v>
      </c>
      <c r="N167" s="915"/>
      <c r="Q167" t="s">
        <v>1472</v>
      </c>
      <c r="R167">
        <v>47</v>
      </c>
      <c r="S167">
        <v>28</v>
      </c>
      <c r="T167">
        <v>0</v>
      </c>
      <c r="U167">
        <v>0</v>
      </c>
      <c r="V167">
        <v>0</v>
      </c>
      <c r="W167" s="765">
        <f t="shared" si="13"/>
        <v>75</v>
      </c>
    </row>
    <row r="168" spans="1:23" ht="13.5" outlineLevel="1" x14ac:dyDescent="0.25">
      <c r="A168" s="351" t="s">
        <v>1447</v>
      </c>
      <c r="B168" s="919" t="s">
        <v>1702</v>
      </c>
      <c r="C168" s="917"/>
      <c r="D168" s="917"/>
      <c r="E168" s="917"/>
      <c r="F168" s="917"/>
      <c r="G168" s="917"/>
      <c r="H168" s="914"/>
      <c r="I168" s="63" t="str">
        <f>VLOOKUP(B168,AA_Unitarios,'11'!$H$7,FALSE)</f>
        <v>M3</v>
      </c>
      <c r="J168" s="366">
        <f>+'15'!Z42</f>
        <v>328.2000000000001</v>
      </c>
      <c r="K168" s="913">
        <f>+VLOOKUP(B168,AA_Unitarios,'11'!$M$7,FALSE)</f>
        <v>186214.95568585</v>
      </c>
      <c r="L168" s="914"/>
      <c r="M168" s="913">
        <f t="shared" si="14"/>
        <v>61115748.460000001</v>
      </c>
      <c r="N168" s="915"/>
      <c r="Q168" s="764" t="s">
        <v>1474</v>
      </c>
      <c r="R168">
        <v>5</v>
      </c>
      <c r="S168">
        <v>5</v>
      </c>
      <c r="T168">
        <v>0</v>
      </c>
      <c r="U168">
        <v>0</v>
      </c>
      <c r="V168">
        <v>0</v>
      </c>
      <c r="W168" s="765">
        <f t="shared" si="13"/>
        <v>10</v>
      </c>
    </row>
    <row r="169" spans="1:23" ht="13.5" outlineLevel="1" x14ac:dyDescent="0.25">
      <c r="A169" s="352" t="s">
        <v>987</v>
      </c>
      <c r="B169" s="918" t="s">
        <v>950</v>
      </c>
      <c r="C169" s="917"/>
      <c r="D169" s="917"/>
      <c r="E169" s="917"/>
      <c r="F169" s="917"/>
      <c r="G169" s="917"/>
      <c r="H169" s="917"/>
      <c r="I169" s="917"/>
      <c r="J169" s="917"/>
      <c r="K169" s="917"/>
      <c r="L169" s="917"/>
      <c r="M169" s="917"/>
      <c r="N169" s="915"/>
      <c r="T169">
        <v>0</v>
      </c>
      <c r="U169">
        <v>0</v>
      </c>
      <c r="V169">
        <v>0</v>
      </c>
      <c r="W169" s="765">
        <f t="shared" si="13"/>
        <v>0</v>
      </c>
    </row>
    <row r="170" spans="1:23" ht="13.5" outlineLevel="1" x14ac:dyDescent="0.25">
      <c r="A170" s="351" t="s">
        <v>1446</v>
      </c>
      <c r="B170" s="919" t="s">
        <v>1751</v>
      </c>
      <c r="C170" s="917"/>
      <c r="D170" s="917"/>
      <c r="E170" s="917"/>
      <c r="F170" s="917"/>
      <c r="G170" s="917"/>
      <c r="H170" s="914"/>
      <c r="I170" s="63" t="str">
        <f>VLOOKUP(B170,AA_Unitarios,'11'!$H$7,FALSE)</f>
        <v>ML</v>
      </c>
      <c r="J170" s="866">
        <f>+'15'!I16</f>
        <v>3281.1731034620366</v>
      </c>
      <c r="K170" s="913">
        <f>+VLOOKUP(B170,AA_Unitarios,'11'!$M$7,FALSE)</f>
        <v>12281.691178621173</v>
      </c>
      <c r="L170" s="914"/>
      <c r="M170" s="913">
        <f t="shared" ref="M170:M171" si="15">ROUND(J170*K170,2)</f>
        <v>40298354.759999998</v>
      </c>
      <c r="N170" s="915"/>
      <c r="Q170" s="765" t="s">
        <v>1475</v>
      </c>
      <c r="R170">
        <v>9</v>
      </c>
      <c r="S170">
        <v>4</v>
      </c>
      <c r="T170">
        <v>0</v>
      </c>
      <c r="U170">
        <v>0</v>
      </c>
      <c r="V170">
        <v>0</v>
      </c>
      <c r="W170" s="765">
        <f t="shared" si="13"/>
        <v>13</v>
      </c>
    </row>
    <row r="171" spans="1:23" ht="13.5" outlineLevel="1" x14ac:dyDescent="0.25">
      <c r="A171" s="351" t="s">
        <v>1447</v>
      </c>
      <c r="B171" s="919" t="s">
        <v>1753</v>
      </c>
      <c r="C171" s="917"/>
      <c r="D171" s="917"/>
      <c r="E171" s="917"/>
      <c r="F171" s="917"/>
      <c r="G171" s="917"/>
      <c r="H171" s="914"/>
      <c r="I171" s="63" t="str">
        <f>VLOOKUP(B171,AA_Unitarios,'11'!$H$7,FALSE)</f>
        <v>ML</v>
      </c>
      <c r="J171" s="866">
        <f>+'15'!D13</f>
        <v>396.29</v>
      </c>
      <c r="K171" s="913">
        <f>+VLOOKUP(B171,AA_Unitarios,'11'!$M$7,FALSE)</f>
        <v>23621.208074329272</v>
      </c>
      <c r="L171" s="914"/>
      <c r="M171" s="913">
        <f t="shared" si="15"/>
        <v>9360848.5500000007</v>
      </c>
      <c r="N171" s="915"/>
      <c r="Q171" s="764" t="s">
        <v>1474</v>
      </c>
      <c r="R171">
        <v>5</v>
      </c>
      <c r="S171">
        <v>5</v>
      </c>
      <c r="T171">
        <v>0</v>
      </c>
      <c r="U171">
        <v>0</v>
      </c>
      <c r="V171">
        <v>0</v>
      </c>
      <c r="W171" s="765">
        <f t="shared" si="13"/>
        <v>10</v>
      </c>
    </row>
    <row r="172" spans="1:23" ht="13.5" outlineLevel="1" x14ac:dyDescent="0.25">
      <c r="A172" s="352" t="s">
        <v>1173</v>
      </c>
      <c r="B172" s="918" t="s">
        <v>949</v>
      </c>
      <c r="C172" s="917"/>
      <c r="D172" s="917"/>
      <c r="E172" s="917"/>
      <c r="F172" s="917"/>
      <c r="G172" s="917"/>
      <c r="H172" s="917"/>
      <c r="I172" s="917"/>
      <c r="J172" s="917"/>
      <c r="K172" s="917"/>
      <c r="L172" s="917"/>
      <c r="M172" s="917"/>
      <c r="N172" s="915"/>
      <c r="T172">
        <v>0</v>
      </c>
      <c r="U172">
        <v>0</v>
      </c>
      <c r="V172">
        <v>0</v>
      </c>
      <c r="W172" s="765">
        <f t="shared" si="13"/>
        <v>0</v>
      </c>
    </row>
    <row r="173" spans="1:23" ht="13.5" outlineLevel="1" x14ac:dyDescent="0.25">
      <c r="A173" s="351" t="s">
        <v>1446</v>
      </c>
      <c r="B173" s="919" t="s">
        <v>1754</v>
      </c>
      <c r="C173" s="917"/>
      <c r="D173" s="917"/>
      <c r="E173" s="917"/>
      <c r="F173" s="917"/>
      <c r="G173" s="917"/>
      <c r="H173" s="914"/>
      <c r="I173" s="63" t="str">
        <f>VLOOKUP(B173,AA_Unitarios,'11'!$H$7,FALSE)</f>
        <v>ML</v>
      </c>
      <c r="J173" s="366">
        <f>+'15'!I16</f>
        <v>3281.1731034620366</v>
      </c>
      <c r="K173" s="913">
        <f>+VLOOKUP(B173,AA_Unitarios,'11'!$M$7,FALSE)</f>
        <v>20483.039999999997</v>
      </c>
      <c r="L173" s="914"/>
      <c r="M173" s="913">
        <f t="shared" ref="M173:M174" si="16">ROUND(J173*K173,2)</f>
        <v>67208399.930000007</v>
      </c>
      <c r="N173" s="915"/>
      <c r="Q173" s="765" t="s">
        <v>1475</v>
      </c>
      <c r="R173">
        <v>9</v>
      </c>
      <c r="S173">
        <v>4</v>
      </c>
      <c r="T173">
        <v>0</v>
      </c>
      <c r="U173">
        <v>0</v>
      </c>
      <c r="V173">
        <v>0</v>
      </c>
      <c r="W173" s="765">
        <f t="shared" si="13"/>
        <v>13</v>
      </c>
    </row>
    <row r="174" spans="1:23" ht="13.5" outlineLevel="1" x14ac:dyDescent="0.25">
      <c r="A174" s="351" t="s">
        <v>1447</v>
      </c>
      <c r="B174" s="919" t="s">
        <v>1756</v>
      </c>
      <c r="C174" s="917"/>
      <c r="D174" s="917"/>
      <c r="E174" s="917"/>
      <c r="F174" s="917"/>
      <c r="G174" s="917"/>
      <c r="H174" s="914"/>
      <c r="I174" s="63" t="str">
        <f>VLOOKUP(B174,AA_Unitarios,'11'!$H$7,FALSE)</f>
        <v>ML</v>
      </c>
      <c r="J174" s="366">
        <f>+'15'!D13</f>
        <v>396.29</v>
      </c>
      <c r="K174" s="913">
        <f>+VLOOKUP(B174,AA_Unitarios,'11'!$M$7,FALSE)</f>
        <v>316866</v>
      </c>
      <c r="L174" s="914"/>
      <c r="M174" s="913">
        <f t="shared" si="16"/>
        <v>125570827.14</v>
      </c>
      <c r="N174" s="915"/>
    </row>
    <row r="175" spans="1:23" ht="13.15" customHeight="1" outlineLevel="1" x14ac:dyDescent="0.25">
      <c r="A175" s="350" t="s">
        <v>97</v>
      </c>
      <c r="B175" s="918" t="s">
        <v>1161</v>
      </c>
      <c r="C175" s="917"/>
      <c r="D175" s="917"/>
      <c r="E175" s="917"/>
      <c r="F175" s="917"/>
      <c r="G175" s="917"/>
      <c r="H175" s="917"/>
      <c r="I175" s="917"/>
      <c r="J175" s="917"/>
      <c r="K175" s="917"/>
      <c r="L175" s="917"/>
      <c r="M175" s="917"/>
      <c r="N175" s="915"/>
      <c r="T175">
        <v>0</v>
      </c>
      <c r="U175">
        <v>0</v>
      </c>
      <c r="V175">
        <v>0</v>
      </c>
      <c r="W175" s="765">
        <f>SUM(R175:V175)</f>
        <v>0</v>
      </c>
    </row>
    <row r="176" spans="1:23" ht="27" customHeight="1" outlineLevel="1" x14ac:dyDescent="0.25">
      <c r="A176" s="351" t="s">
        <v>98</v>
      </c>
      <c r="B176" s="919" t="s">
        <v>1703</v>
      </c>
      <c r="C176" s="917"/>
      <c r="D176" s="917"/>
      <c r="E176" s="917"/>
      <c r="F176" s="917"/>
      <c r="G176" s="917"/>
      <c r="H176" s="914"/>
      <c r="I176" s="63" t="str">
        <f>VLOOKUP(B176,AA_Unitarios,'11'!$H$7,FALSE)</f>
        <v>M3</v>
      </c>
      <c r="J176" s="64">
        <f>+J134+J135+460.98</f>
        <v>1362.2207724154443</v>
      </c>
      <c r="K176" s="935">
        <f>VLOOKUP(B176,AA_Unitarios,'11'!$M$7,FALSE)</f>
        <v>22815</v>
      </c>
      <c r="L176" s="936"/>
      <c r="M176" s="913">
        <f t="shared" ref="M176:M177" si="17">ROUND(J176*K176,2)</f>
        <v>31079066.920000002</v>
      </c>
      <c r="N176" s="915"/>
      <c r="Q176" s="765" t="s">
        <v>1475</v>
      </c>
      <c r="R176">
        <v>9</v>
      </c>
      <c r="S176">
        <v>4</v>
      </c>
      <c r="T176">
        <v>0</v>
      </c>
      <c r="U176">
        <v>0</v>
      </c>
      <c r="V176">
        <v>0</v>
      </c>
      <c r="W176" s="765">
        <f>SUM(R176:V176)</f>
        <v>13</v>
      </c>
    </row>
    <row r="177" spans="1:23" ht="27" customHeight="1" outlineLevel="1" x14ac:dyDescent="0.25">
      <c r="A177" s="351" t="s">
        <v>98</v>
      </c>
      <c r="B177" s="919" t="s">
        <v>1704</v>
      </c>
      <c r="C177" s="917"/>
      <c r="D177" s="917"/>
      <c r="E177" s="917"/>
      <c r="F177" s="917"/>
      <c r="G177" s="917"/>
      <c r="H177" s="914"/>
      <c r="I177" s="63" t="str">
        <f>VLOOKUP(B177,AA_Unitarios,'11'!$H$7,FALSE)</f>
        <v>ML</v>
      </c>
      <c r="J177" s="64">
        <f>+'15'!C20</f>
        <v>3677.46</v>
      </c>
      <c r="K177" s="935">
        <f>VLOOKUP(B177,AA_Unitarios,'11'!$M$7,FALSE)</f>
        <v>7434.8672785139997</v>
      </c>
      <c r="L177" s="936"/>
      <c r="M177" s="913">
        <f t="shared" si="17"/>
        <v>27341427.02</v>
      </c>
      <c r="N177" s="915"/>
      <c r="Q177" s="765" t="s">
        <v>1475</v>
      </c>
      <c r="R177">
        <v>9</v>
      </c>
      <c r="S177">
        <v>4</v>
      </c>
      <c r="T177">
        <v>0</v>
      </c>
      <c r="U177">
        <v>0</v>
      </c>
      <c r="V177">
        <v>0</v>
      </c>
      <c r="W177" s="765">
        <f>SUM(R177:V177)</f>
        <v>13</v>
      </c>
    </row>
    <row r="178" spans="1:23" ht="13.5" x14ac:dyDescent="0.25">
      <c r="A178" s="344"/>
      <c r="B178" s="353"/>
      <c r="C178" s="354"/>
      <c r="D178" s="354"/>
      <c r="E178" s="354"/>
      <c r="F178" s="354"/>
      <c r="G178" s="354"/>
      <c r="H178" s="354"/>
      <c r="I178" s="354"/>
      <c r="J178" s="354"/>
      <c r="K178" s="354"/>
      <c r="L178" s="354"/>
      <c r="M178" s="354"/>
      <c r="N178" s="355"/>
    </row>
    <row r="179" spans="1:23" ht="13.5" x14ac:dyDescent="0.25">
      <c r="A179" s="357"/>
      <c r="B179" s="358"/>
      <c r="C179" s="356"/>
      <c r="D179" s="356"/>
      <c r="E179" s="356"/>
      <c r="F179" s="356"/>
      <c r="G179" s="955" t="s">
        <v>120</v>
      </c>
      <c r="H179" s="917"/>
      <c r="I179" s="914"/>
      <c r="J179" s="4" t="s">
        <v>11</v>
      </c>
      <c r="K179" s="955" t="s">
        <v>121</v>
      </c>
      <c r="L179" s="914"/>
      <c r="M179" s="955" t="s">
        <v>122</v>
      </c>
      <c r="N179" s="915"/>
    </row>
    <row r="180" spans="1:23" ht="13.5" x14ac:dyDescent="0.25">
      <c r="A180" s="367"/>
      <c r="B180" s="345"/>
      <c r="C180" s="354"/>
      <c r="D180" s="354"/>
      <c r="E180" s="354"/>
      <c r="F180" s="354"/>
      <c r="G180" s="956" t="s">
        <v>37</v>
      </c>
      <c r="H180" s="917"/>
      <c r="I180" s="914"/>
      <c r="J180" s="68">
        <f>M180/$M$188</f>
        <v>2.9940262331422569E-2</v>
      </c>
      <c r="K180" s="913">
        <f>VLOOKUP(G180,AA_Presupuesto,4,FALSE)</f>
        <v>0</v>
      </c>
      <c r="L180" s="914"/>
      <c r="M180" s="913">
        <f t="shared" ref="M180:M187" si="18">VLOOKUP(G180,AA_Presupuesto,6,FALSE)</f>
        <v>135928994.75</v>
      </c>
      <c r="N180" s="915"/>
    </row>
    <row r="181" spans="1:23" ht="13.5" x14ac:dyDescent="0.25">
      <c r="A181" s="367"/>
      <c r="B181" s="345"/>
      <c r="C181" s="354"/>
      <c r="D181" s="354"/>
      <c r="E181" s="354"/>
      <c r="F181" s="354"/>
      <c r="G181" s="956" t="s">
        <v>75</v>
      </c>
      <c r="H181" s="917"/>
      <c r="I181" s="914"/>
      <c r="J181" s="68">
        <f t="shared" ref="J181:J187" si="19">M181/$M$188</f>
        <v>0.10361858418059321</v>
      </c>
      <c r="K181" s="913">
        <f t="shared" ref="K181:K187" si="20">VLOOKUP(G181,AA_Presupuesto,4,FALSE)</f>
        <v>0</v>
      </c>
      <c r="L181" s="914"/>
      <c r="M181" s="913">
        <f t="shared" si="18"/>
        <v>470429077.38</v>
      </c>
      <c r="N181" s="970"/>
    </row>
    <row r="182" spans="1:23" ht="13.5" x14ac:dyDescent="0.25">
      <c r="A182" s="367"/>
      <c r="B182" s="345"/>
      <c r="C182" s="354"/>
      <c r="D182" s="354"/>
      <c r="E182" s="354"/>
      <c r="F182" s="354"/>
      <c r="G182" s="922" t="s">
        <v>1860</v>
      </c>
      <c r="H182" s="917"/>
      <c r="I182" s="914"/>
      <c r="J182" s="68">
        <f t="shared" si="19"/>
        <v>9.7548829539428276E-4</v>
      </c>
      <c r="K182" s="913">
        <f>VLOOKUP(G182,AA_Presupuesto,4,FALSE)</f>
        <v>0</v>
      </c>
      <c r="L182" s="914"/>
      <c r="M182" s="913">
        <f t="shared" si="18"/>
        <v>4428723.5</v>
      </c>
      <c r="N182" s="915"/>
    </row>
    <row r="183" spans="1:23" ht="13.5" x14ac:dyDescent="0.25">
      <c r="A183" s="367"/>
      <c r="B183" s="345"/>
      <c r="C183" s="354"/>
      <c r="D183" s="354"/>
      <c r="E183" s="354"/>
      <c r="F183" s="354"/>
      <c r="G183" s="922" t="s">
        <v>975</v>
      </c>
      <c r="H183" s="917"/>
      <c r="I183" s="914"/>
      <c r="J183" s="68">
        <f t="shared" si="19"/>
        <v>7.8785461618374519E-2</v>
      </c>
      <c r="K183" s="913">
        <f t="shared" si="20"/>
        <v>0</v>
      </c>
      <c r="L183" s="914"/>
      <c r="M183" s="913">
        <f t="shared" si="18"/>
        <v>357686531.94</v>
      </c>
      <c r="N183" s="915"/>
    </row>
    <row r="184" spans="1:23" ht="13.5" x14ac:dyDescent="0.25">
      <c r="A184" s="367"/>
      <c r="B184" s="345"/>
      <c r="C184" s="354"/>
      <c r="D184" s="354"/>
      <c r="E184" s="354"/>
      <c r="F184" s="354"/>
      <c r="G184" s="922" t="s">
        <v>971</v>
      </c>
      <c r="H184" s="917"/>
      <c r="I184" s="914"/>
      <c r="J184" s="68">
        <f t="shared" si="19"/>
        <v>0.25240772122933913</v>
      </c>
      <c r="K184" s="913">
        <f t="shared" si="20"/>
        <v>0</v>
      </c>
      <c r="L184" s="914"/>
      <c r="M184" s="913">
        <f t="shared" si="18"/>
        <v>1145932772.2</v>
      </c>
      <c r="N184" s="915"/>
    </row>
    <row r="185" spans="1:23" ht="13.5" x14ac:dyDescent="0.25">
      <c r="A185" s="367"/>
      <c r="B185" s="345"/>
      <c r="C185" s="354"/>
      <c r="D185" s="354"/>
      <c r="E185" s="354"/>
      <c r="F185" s="354"/>
      <c r="G185" s="922" t="s">
        <v>972</v>
      </c>
      <c r="H185" s="917"/>
      <c r="I185" s="914"/>
      <c r="J185" s="68">
        <f t="shared" si="19"/>
        <v>0</v>
      </c>
      <c r="K185" s="913">
        <f t="shared" si="20"/>
        <v>0</v>
      </c>
      <c r="L185" s="914"/>
      <c r="M185" s="913">
        <f t="shared" si="18"/>
        <v>0</v>
      </c>
      <c r="N185" s="915"/>
    </row>
    <row r="186" spans="1:23" ht="13.5" x14ac:dyDescent="0.25">
      <c r="A186" s="367"/>
      <c r="B186" s="345"/>
      <c r="C186" s="354"/>
      <c r="D186" s="354"/>
      <c r="E186" s="354"/>
      <c r="F186" s="354"/>
      <c r="G186" s="922" t="s">
        <v>973</v>
      </c>
      <c r="H186" s="917"/>
      <c r="I186" s="914"/>
      <c r="J186" s="68">
        <f t="shared" si="19"/>
        <v>0</v>
      </c>
      <c r="K186" s="913">
        <f t="shared" si="20"/>
        <v>0</v>
      </c>
      <c r="L186" s="914"/>
      <c r="M186" s="913">
        <f t="shared" si="18"/>
        <v>0</v>
      </c>
      <c r="N186" s="915"/>
    </row>
    <row r="187" spans="1:23" ht="13.5" x14ac:dyDescent="0.25">
      <c r="A187" s="367"/>
      <c r="B187" s="345"/>
      <c r="C187" s="354"/>
      <c r="D187" s="354"/>
      <c r="E187" s="354"/>
      <c r="F187" s="354"/>
      <c r="G187" s="922" t="s">
        <v>974</v>
      </c>
      <c r="H187" s="917"/>
      <c r="I187" s="914"/>
      <c r="J187" s="68">
        <f t="shared" si="19"/>
        <v>0.53427248234487645</v>
      </c>
      <c r="K187" s="913">
        <f t="shared" si="20"/>
        <v>192779227.06999999</v>
      </c>
      <c r="L187" s="914"/>
      <c r="M187" s="913">
        <f t="shared" si="18"/>
        <v>2425600705.96</v>
      </c>
      <c r="N187" s="915"/>
    </row>
    <row r="188" spans="1:23" ht="14.25" customHeight="1" x14ac:dyDescent="0.25">
      <c r="A188" s="367"/>
      <c r="B188" s="345"/>
      <c r="C188" s="346"/>
      <c r="D188" s="354"/>
      <c r="E188" s="354"/>
      <c r="F188" s="354"/>
      <c r="G188" s="354"/>
      <c r="H188" s="354"/>
      <c r="I188" s="76"/>
      <c r="J188" s="957" t="s">
        <v>854</v>
      </c>
      <c r="K188" s="958"/>
      <c r="L188" s="959"/>
      <c r="M188" s="964">
        <f>ROUND(SUM(M180:N187),2)</f>
        <v>4540006805.7299995</v>
      </c>
      <c r="N188" s="915"/>
    </row>
    <row r="189" spans="1:23" ht="14.25" customHeight="1" x14ac:dyDescent="0.25">
      <c r="A189" s="367"/>
      <c r="B189" s="345"/>
      <c r="C189" s="346"/>
      <c r="D189" s="354"/>
      <c r="E189" s="354"/>
      <c r="F189" s="354"/>
      <c r="G189" s="346"/>
      <c r="H189" s="346"/>
      <c r="I189" s="76"/>
      <c r="J189" s="962" t="s">
        <v>2062</v>
      </c>
      <c r="K189" s="958"/>
      <c r="L189" s="959"/>
      <c r="M189" s="920">
        <f>M188</f>
        <v>4540006805.7299995</v>
      </c>
      <c r="N189" s="921"/>
    </row>
    <row r="190" spans="1:23" ht="14.25" customHeight="1" x14ac:dyDescent="0.25">
      <c r="A190" s="367"/>
      <c r="B190" s="345"/>
      <c r="C190" s="346"/>
      <c r="D190" s="354"/>
      <c r="E190" s="354"/>
      <c r="F190" s="354"/>
      <c r="G190" s="346"/>
      <c r="H190" s="346"/>
      <c r="I190" s="76"/>
      <c r="J190" s="957" t="s">
        <v>855</v>
      </c>
      <c r="K190" s="959"/>
      <c r="L190" s="69">
        <f>ROUND(M190/M189,2)</f>
        <v>0.1</v>
      </c>
      <c r="M190" s="964">
        <f>M189*10%</f>
        <v>454000680.57299995</v>
      </c>
      <c r="N190" s="915"/>
    </row>
    <row r="191" spans="1:23" ht="14.25" customHeight="1" x14ac:dyDescent="0.25">
      <c r="A191" s="367"/>
      <c r="B191" s="345"/>
      <c r="C191" s="346"/>
      <c r="D191" s="354"/>
      <c r="E191" s="354"/>
      <c r="F191" s="354"/>
      <c r="G191" s="354"/>
      <c r="H191" s="354"/>
      <c r="I191" s="76"/>
      <c r="J191" s="957" t="s">
        <v>857</v>
      </c>
      <c r="K191" s="958"/>
      <c r="L191" s="959"/>
      <c r="M191" s="964">
        <f>SUM(K180:L187)</f>
        <v>192779227.06999999</v>
      </c>
      <c r="N191" s="915"/>
    </row>
    <row r="192" spans="1:23" ht="14.25" customHeight="1" x14ac:dyDescent="0.25">
      <c r="A192" s="367"/>
      <c r="B192" s="345"/>
      <c r="C192" s="346"/>
      <c r="D192" s="354"/>
      <c r="E192" s="354"/>
      <c r="F192" s="354"/>
      <c r="G192" s="76"/>
      <c r="H192" s="76"/>
      <c r="I192" s="76"/>
      <c r="J192" s="957" t="s">
        <v>123</v>
      </c>
      <c r="K192" s="959"/>
      <c r="L192" s="68">
        <f>M192/M191</f>
        <v>9.9999999999999992E-2</v>
      </c>
      <c r="M192" s="964">
        <f>M191*0.1</f>
        <v>19277922.706999999</v>
      </c>
      <c r="N192" s="915"/>
      <c r="P192" s="878">
        <f>M189+K187</f>
        <v>4732786032.7999992</v>
      </c>
      <c r="Q192" t="s">
        <v>2048</v>
      </c>
    </row>
    <row r="193" spans="1:17" ht="14.25" customHeight="1" x14ac:dyDescent="0.25">
      <c r="A193" s="367"/>
      <c r="B193" s="345"/>
      <c r="C193" s="346"/>
      <c r="D193" s="354"/>
      <c r="E193" s="354"/>
      <c r="F193" s="354"/>
      <c r="G193" s="354"/>
      <c r="H193" s="346"/>
      <c r="I193" s="76"/>
      <c r="J193" s="957" t="s">
        <v>124</v>
      </c>
      <c r="K193" s="958"/>
      <c r="L193" s="959"/>
      <c r="M193" s="964">
        <f>ROUND(SUM(M191:N192),2)</f>
        <v>212057149.78</v>
      </c>
      <c r="N193" s="915"/>
      <c r="P193" s="878">
        <f>M190+M195</f>
        <v>462482966.57299995</v>
      </c>
      <c r="Q193" t="s">
        <v>2047</v>
      </c>
    </row>
    <row r="194" spans="1:17" ht="13.5" x14ac:dyDescent="0.25">
      <c r="A194" s="367"/>
      <c r="B194" s="345"/>
      <c r="C194" s="346"/>
      <c r="D194" s="354"/>
      <c r="E194" s="354"/>
      <c r="F194" s="354"/>
      <c r="G194" s="354"/>
      <c r="H194" s="346"/>
      <c r="I194" s="76"/>
      <c r="J194" s="368"/>
      <c r="K194" s="368"/>
      <c r="L194" s="368"/>
      <c r="M194" s="76"/>
      <c r="N194" s="899">
        <f>+M193+M189</f>
        <v>4752063955.5099993</v>
      </c>
    </row>
    <row r="195" spans="1:17" ht="14.25" customHeight="1" x14ac:dyDescent="0.25">
      <c r="A195" s="367"/>
      <c r="B195" s="345"/>
      <c r="C195" s="346"/>
      <c r="D195" s="354"/>
      <c r="E195" s="354"/>
      <c r="F195" s="354"/>
      <c r="G195" s="354"/>
      <c r="H195" s="346"/>
      <c r="I195" s="76"/>
      <c r="J195" s="957" t="s">
        <v>856</v>
      </c>
      <c r="K195" s="959"/>
      <c r="L195" s="68">
        <f>M195/M193</f>
        <v>4.000000004149825E-2</v>
      </c>
      <c r="M195" s="964">
        <v>8482286</v>
      </c>
      <c r="N195" s="915"/>
      <c r="P195" s="878">
        <f>M189+M193</f>
        <v>4752063955.5099993</v>
      </c>
    </row>
    <row r="196" spans="1:17" ht="13.5" x14ac:dyDescent="0.25">
      <c r="A196" s="344"/>
      <c r="B196" s="353"/>
      <c r="C196" s="354"/>
      <c r="D196" s="354"/>
      <c r="E196" s="354"/>
      <c r="F196" s="354"/>
      <c r="G196" s="354"/>
      <c r="H196" s="354"/>
      <c r="I196" s="76"/>
      <c r="J196" s="76"/>
      <c r="K196" s="76"/>
      <c r="L196" s="76"/>
      <c r="M196" s="354"/>
      <c r="N196" s="355"/>
    </row>
    <row r="197" spans="1:17" ht="13.15" customHeight="1" x14ac:dyDescent="0.25">
      <c r="A197" s="344"/>
      <c r="B197" s="353"/>
      <c r="C197" s="354"/>
      <c r="D197" s="354"/>
      <c r="E197" s="354"/>
      <c r="F197" s="354"/>
      <c r="G197" s="354"/>
      <c r="H197" s="354"/>
      <c r="I197" s="76"/>
      <c r="J197" s="957" t="s">
        <v>861</v>
      </c>
      <c r="K197" s="958"/>
      <c r="L197" s="959"/>
      <c r="M197" s="960"/>
      <c r="N197" s="915"/>
    </row>
    <row r="198" spans="1:17" ht="13.5" x14ac:dyDescent="0.25">
      <c r="A198" s="344"/>
      <c r="B198" s="353"/>
      <c r="C198" s="354"/>
      <c r="D198" s="354"/>
      <c r="E198" s="354"/>
      <c r="F198" s="354"/>
      <c r="G198" s="354"/>
      <c r="H198" s="354"/>
      <c r="I198" s="76"/>
      <c r="J198" s="76"/>
      <c r="K198" s="76"/>
      <c r="L198" s="76"/>
      <c r="M198" s="354"/>
      <c r="N198" s="355"/>
    </row>
    <row r="199" spans="1:17" ht="13.5" x14ac:dyDescent="0.25">
      <c r="A199" s="344"/>
      <c r="B199" s="353"/>
      <c r="C199" s="354"/>
      <c r="D199" s="354"/>
      <c r="E199" s="354"/>
      <c r="F199" s="354"/>
      <c r="G199" s="354"/>
      <c r="H199" s="354"/>
      <c r="I199" s="76"/>
      <c r="J199" s="957" t="s">
        <v>201</v>
      </c>
      <c r="K199" s="958"/>
      <c r="L199" s="959"/>
      <c r="M199" s="960">
        <f>ROUND(M189+M190+M193+M195+M197,2)</f>
        <v>5214546922.0799999</v>
      </c>
      <c r="N199" s="915"/>
    </row>
    <row r="200" spans="1:17" ht="13.5" x14ac:dyDescent="0.25">
      <c r="A200" s="344"/>
      <c r="B200" s="353"/>
      <c r="C200" s="354"/>
      <c r="D200" s="354"/>
      <c r="E200" s="354"/>
      <c r="F200" s="354"/>
      <c r="G200" s="354"/>
      <c r="H200" s="354"/>
      <c r="I200" s="354"/>
      <c r="J200" s="369"/>
      <c r="K200" s="354"/>
      <c r="L200" s="354"/>
      <c r="M200" s="354"/>
      <c r="N200" s="355"/>
    </row>
    <row r="201" spans="1:17" ht="13.5" customHeight="1" x14ac:dyDescent="0.25">
      <c r="A201" s="344"/>
      <c r="B201" s="353"/>
      <c r="C201" s="354"/>
      <c r="D201" s="354"/>
      <c r="E201" s="354"/>
      <c r="F201" s="354"/>
      <c r="G201" s="354"/>
      <c r="H201" s="354"/>
      <c r="I201" s="76"/>
      <c r="J201" s="957" t="s">
        <v>853</v>
      </c>
      <c r="K201" s="959"/>
      <c r="L201" s="370">
        <v>0.04</v>
      </c>
      <c r="M201" s="960">
        <v>215775446</v>
      </c>
      <c r="N201" s="915"/>
    </row>
    <row r="202" spans="1:17" ht="13.5" x14ac:dyDescent="0.25">
      <c r="A202" s="367"/>
      <c r="B202" s="345"/>
      <c r="C202" s="346"/>
      <c r="D202" s="346"/>
      <c r="E202" s="354"/>
      <c r="F202" s="354"/>
      <c r="G202" s="354"/>
      <c r="H202" s="346"/>
      <c r="I202" s="76"/>
      <c r="J202" s="76"/>
      <c r="K202" s="346"/>
      <c r="L202" s="346"/>
      <c r="M202" s="346"/>
      <c r="N202" s="763"/>
    </row>
    <row r="203" spans="1:17" ht="13.5" x14ac:dyDescent="0.25">
      <c r="A203" s="371"/>
      <c r="B203" s="345"/>
      <c r="C203" s="346"/>
      <c r="D203" s="76"/>
      <c r="E203" s="76"/>
      <c r="F203" s="76"/>
      <c r="G203" s="76"/>
      <c r="H203" s="372"/>
      <c r="I203" s="76"/>
      <c r="J203" s="957" t="s">
        <v>125</v>
      </c>
      <c r="K203" s="958"/>
      <c r="L203" s="959"/>
      <c r="M203" s="960">
        <f>ROUND(M201+M199,2)</f>
        <v>5430322368.0799999</v>
      </c>
      <c r="N203" s="967"/>
      <c r="P203" s="143"/>
    </row>
    <row r="204" spans="1:17" x14ac:dyDescent="0.2">
      <c r="A204" s="337"/>
      <c r="B204" s="76"/>
      <c r="C204" s="76"/>
      <c r="D204" s="76"/>
      <c r="E204" s="76"/>
      <c r="F204" s="76"/>
      <c r="G204" s="76"/>
      <c r="H204" s="76"/>
      <c r="I204" s="76"/>
      <c r="J204" s="76"/>
      <c r="K204" s="76"/>
      <c r="L204" s="76"/>
      <c r="M204" s="76"/>
      <c r="N204" s="338"/>
    </row>
    <row r="205" spans="1:17" ht="13.5" x14ac:dyDescent="0.25">
      <c r="A205" s="337"/>
      <c r="B205" s="76"/>
      <c r="C205" s="76"/>
      <c r="D205" s="76"/>
      <c r="E205" s="76"/>
      <c r="F205" s="76"/>
      <c r="G205" s="76"/>
      <c r="H205" s="76"/>
      <c r="I205" s="76"/>
      <c r="J205" s="78"/>
      <c r="K205" s="78"/>
      <c r="L205" s="78"/>
      <c r="M205" s="968"/>
      <c r="N205" s="969"/>
      <c r="P205" s="143"/>
    </row>
    <row r="206" spans="1:17" x14ac:dyDescent="0.2">
      <c r="A206" s="337"/>
      <c r="B206" s="76"/>
      <c r="C206" s="76"/>
      <c r="D206" s="76"/>
      <c r="E206" s="76"/>
      <c r="F206" s="76"/>
      <c r="G206" s="76"/>
      <c r="H206" s="76"/>
      <c r="I206" s="76"/>
      <c r="J206" s="76"/>
      <c r="K206" s="76"/>
      <c r="L206" s="76"/>
      <c r="M206" s="995"/>
      <c r="N206" s="996"/>
    </row>
    <row r="207" spans="1:17" ht="13.5" x14ac:dyDescent="0.25">
      <c r="A207" s="337"/>
      <c r="B207" s="76"/>
      <c r="C207" s="76"/>
      <c r="D207" s="76"/>
      <c r="E207" s="76"/>
      <c r="F207" s="76"/>
      <c r="G207" s="76"/>
      <c r="H207" s="76"/>
      <c r="I207" s="76"/>
      <c r="J207" s="76"/>
      <c r="K207" s="76"/>
      <c r="L207" s="76"/>
      <c r="M207" s="968"/>
      <c r="N207" s="969"/>
      <c r="P207" s="123"/>
    </row>
    <row r="208" spans="1:17" x14ac:dyDescent="0.2">
      <c r="A208" s="337"/>
      <c r="B208" s="76"/>
      <c r="C208" s="76"/>
      <c r="D208" s="76"/>
      <c r="E208" s="76"/>
      <c r="F208" s="76"/>
      <c r="G208" s="76"/>
      <c r="H208" s="76"/>
      <c r="I208" s="76"/>
      <c r="J208" s="76"/>
      <c r="K208" s="76"/>
      <c r="L208" s="76"/>
      <c r="M208" s="833"/>
      <c r="N208" s="338"/>
    </row>
    <row r="209" spans="1:14" x14ac:dyDescent="0.2">
      <c r="A209" s="337"/>
      <c r="B209" s="76"/>
      <c r="C209" s="76"/>
      <c r="D209" s="76"/>
      <c r="E209" s="76"/>
      <c r="F209" s="76"/>
      <c r="G209" s="76"/>
      <c r="H209" s="76"/>
      <c r="I209" s="76"/>
      <c r="J209" s="76"/>
      <c r="K209" s="76"/>
      <c r="L209" s="76"/>
      <c r="M209" s="76"/>
      <c r="N209" s="338"/>
    </row>
    <row r="210" spans="1:14" x14ac:dyDescent="0.2">
      <c r="A210" s="337"/>
      <c r="B210" s="76"/>
      <c r="C210" s="76"/>
      <c r="D210" s="76"/>
      <c r="E210" s="76"/>
      <c r="F210" s="76"/>
      <c r="G210" s="76"/>
      <c r="H210" s="76"/>
      <c r="I210" s="76"/>
      <c r="J210" s="76"/>
      <c r="K210" s="76"/>
      <c r="L210" s="76"/>
      <c r="M210" s="76"/>
      <c r="N210" s="338"/>
    </row>
    <row r="211" spans="1:14" x14ac:dyDescent="0.2">
      <c r="A211" s="337"/>
      <c r="B211" s="76"/>
      <c r="C211" s="76"/>
      <c r="D211" s="76"/>
      <c r="E211" s="76"/>
      <c r="F211" s="76"/>
      <c r="G211" s="76"/>
      <c r="H211" s="76"/>
      <c r="I211" s="76"/>
      <c r="J211" s="76"/>
      <c r="K211" s="76"/>
      <c r="L211" s="76"/>
      <c r="M211" s="76"/>
      <c r="N211" s="338"/>
    </row>
    <row r="212" spans="1:14" ht="14.25" thickBot="1" x14ac:dyDescent="0.3">
      <c r="A212" s="337"/>
      <c r="B212" s="328"/>
      <c r="C212" s="328"/>
      <c r="D212" s="328"/>
      <c r="E212" s="328"/>
      <c r="F212" s="76"/>
      <c r="G212" s="76"/>
      <c r="H212" s="330"/>
      <c r="I212" s="330"/>
      <c r="J212" s="330"/>
      <c r="K212" s="330"/>
      <c r="L212" s="76"/>
      <c r="M212" s="76"/>
      <c r="N212" s="338"/>
    </row>
    <row r="213" spans="1:14" ht="14.25" thickTop="1" x14ac:dyDescent="0.2">
      <c r="A213" s="337"/>
      <c r="B213" s="912" t="s">
        <v>1961</v>
      </c>
      <c r="C213" s="912"/>
      <c r="D213" s="912"/>
      <c r="E213" s="912"/>
      <c r="F213" s="76"/>
      <c r="G213" s="76"/>
      <c r="H213" s="912" t="s">
        <v>1964</v>
      </c>
      <c r="I213" s="942"/>
      <c r="J213" s="942"/>
      <c r="K213" s="942"/>
      <c r="L213" s="76"/>
      <c r="M213" s="76"/>
      <c r="N213" s="338"/>
    </row>
    <row r="214" spans="1:14" ht="13.5" x14ac:dyDescent="0.25">
      <c r="A214" s="337"/>
      <c r="B214" s="926" t="s">
        <v>1962</v>
      </c>
      <c r="C214" s="927"/>
      <c r="D214" s="927"/>
      <c r="E214" s="927"/>
      <c r="F214" s="76"/>
      <c r="G214" s="76"/>
      <c r="H214" s="938" t="s">
        <v>1965</v>
      </c>
      <c r="I214" s="939"/>
      <c r="J214" s="939"/>
      <c r="K214" s="939"/>
      <c r="L214" s="76"/>
      <c r="M214" s="76"/>
      <c r="N214" s="338"/>
    </row>
    <row r="215" spans="1:14" ht="13.5" x14ac:dyDescent="0.25">
      <c r="A215" s="337"/>
      <c r="B215" s="926" t="s">
        <v>1963</v>
      </c>
      <c r="C215" s="927"/>
      <c r="D215" s="927"/>
      <c r="E215" s="927"/>
      <c r="F215" s="76"/>
      <c r="G215" s="76"/>
      <c r="H215" s="938" t="s">
        <v>1966</v>
      </c>
      <c r="I215" s="939"/>
      <c r="J215" s="939"/>
      <c r="K215" s="939"/>
      <c r="L215" s="76"/>
      <c r="M215" s="76"/>
      <c r="N215" s="338"/>
    </row>
    <row r="216" spans="1:14" ht="13.5" thickBot="1" x14ac:dyDescent="0.25">
      <c r="A216" s="341"/>
      <c r="B216" s="342"/>
      <c r="C216" s="342"/>
      <c r="D216" s="342"/>
      <c r="E216" s="342"/>
      <c r="F216" s="342"/>
      <c r="G216" s="342"/>
      <c r="H216" s="342"/>
      <c r="I216" s="342"/>
      <c r="J216" s="342"/>
      <c r="K216" s="342"/>
      <c r="L216" s="342"/>
      <c r="M216" s="342"/>
      <c r="N216" s="343"/>
    </row>
  </sheetData>
  <mergeCells count="458">
    <mergeCell ref="A3:N3"/>
    <mergeCell ref="A4:N4"/>
    <mergeCell ref="A5:N5"/>
    <mergeCell ref="A6:N6"/>
    <mergeCell ref="A7:N7"/>
    <mergeCell ref="A8:N9"/>
    <mergeCell ref="A16:H16"/>
    <mergeCell ref="K16:L16"/>
    <mergeCell ref="M16:N16"/>
    <mergeCell ref="B17:N17"/>
    <mergeCell ref="B18:H18"/>
    <mergeCell ref="K18:L18"/>
    <mergeCell ref="M18:N18"/>
    <mergeCell ref="A10:N10"/>
    <mergeCell ref="A12:L14"/>
    <mergeCell ref="M12:N12"/>
    <mergeCell ref="M13:N14"/>
    <mergeCell ref="K15:L15"/>
    <mergeCell ref="M15:N15"/>
    <mergeCell ref="B23:H23"/>
    <mergeCell ref="K23:L23"/>
    <mergeCell ref="M23:N23"/>
    <mergeCell ref="B24:N24"/>
    <mergeCell ref="B25:H25"/>
    <mergeCell ref="K25:L25"/>
    <mergeCell ref="M25:N25"/>
    <mergeCell ref="B19:N19"/>
    <mergeCell ref="B20:H20"/>
    <mergeCell ref="K20:L20"/>
    <mergeCell ref="M20:N20"/>
    <mergeCell ref="B21:N21"/>
    <mergeCell ref="B22:H22"/>
    <mergeCell ref="K22:L22"/>
    <mergeCell ref="M22:N22"/>
    <mergeCell ref="B29:H29"/>
    <mergeCell ref="K29:L29"/>
    <mergeCell ref="M29:N29"/>
    <mergeCell ref="B30:H30"/>
    <mergeCell ref="K30:L30"/>
    <mergeCell ref="M30:N30"/>
    <mergeCell ref="B26:N26"/>
    <mergeCell ref="B27:H27"/>
    <mergeCell ref="K27:L27"/>
    <mergeCell ref="M27:N27"/>
    <mergeCell ref="B28:H28"/>
    <mergeCell ref="K28:L28"/>
    <mergeCell ref="M28:N28"/>
    <mergeCell ref="A35:H35"/>
    <mergeCell ref="K35:L35"/>
    <mergeCell ref="M35:N35"/>
    <mergeCell ref="B36:N36"/>
    <mergeCell ref="B37:H37"/>
    <mergeCell ref="K37:L37"/>
    <mergeCell ref="M37:N37"/>
    <mergeCell ref="B31:N31"/>
    <mergeCell ref="B32:H32"/>
    <mergeCell ref="K32:L32"/>
    <mergeCell ref="M32:N32"/>
    <mergeCell ref="K34:L34"/>
    <mergeCell ref="M34:N34"/>
    <mergeCell ref="B42:N42"/>
    <mergeCell ref="B43:H43"/>
    <mergeCell ref="K43:L43"/>
    <mergeCell ref="M43:N43"/>
    <mergeCell ref="B44:N44"/>
    <mergeCell ref="B45:H45"/>
    <mergeCell ref="K45:L45"/>
    <mergeCell ref="M45:N45"/>
    <mergeCell ref="B38:N38"/>
    <mergeCell ref="B39:H39"/>
    <mergeCell ref="K39:L39"/>
    <mergeCell ref="M39:N39"/>
    <mergeCell ref="B40:N40"/>
    <mergeCell ref="B41:H41"/>
    <mergeCell ref="K41:L41"/>
    <mergeCell ref="M41:N41"/>
    <mergeCell ref="B48:H48"/>
    <mergeCell ref="K48:L48"/>
    <mergeCell ref="M48:N48"/>
    <mergeCell ref="B49:H49"/>
    <mergeCell ref="K49:L49"/>
    <mergeCell ref="M49:N49"/>
    <mergeCell ref="B46:H46"/>
    <mergeCell ref="K46:L46"/>
    <mergeCell ref="M46:N46"/>
    <mergeCell ref="B47:H47"/>
    <mergeCell ref="K47:L47"/>
    <mergeCell ref="M47:N47"/>
    <mergeCell ref="B52:H52"/>
    <mergeCell ref="K52:L52"/>
    <mergeCell ref="M52:N52"/>
    <mergeCell ref="B53:H53"/>
    <mergeCell ref="K53:L53"/>
    <mergeCell ref="M53:N53"/>
    <mergeCell ref="B50:H50"/>
    <mergeCell ref="K50:L50"/>
    <mergeCell ref="M50:N50"/>
    <mergeCell ref="B51:H51"/>
    <mergeCell ref="K51:L51"/>
    <mergeCell ref="M51:N51"/>
    <mergeCell ref="B56:H56"/>
    <mergeCell ref="K56:L56"/>
    <mergeCell ref="M56:N56"/>
    <mergeCell ref="B57:H57"/>
    <mergeCell ref="K57:L57"/>
    <mergeCell ref="M57:N57"/>
    <mergeCell ref="B54:H54"/>
    <mergeCell ref="K54:L54"/>
    <mergeCell ref="M54:N54"/>
    <mergeCell ref="B55:H55"/>
    <mergeCell ref="K55:L55"/>
    <mergeCell ref="M55:N55"/>
    <mergeCell ref="B61:N61"/>
    <mergeCell ref="B62:H62"/>
    <mergeCell ref="K62:L62"/>
    <mergeCell ref="M62:N62"/>
    <mergeCell ref="K64:L64"/>
    <mergeCell ref="M64:N64"/>
    <mergeCell ref="B58:N58"/>
    <mergeCell ref="B59:H59"/>
    <mergeCell ref="K59:L59"/>
    <mergeCell ref="M59:N59"/>
    <mergeCell ref="B60:H60"/>
    <mergeCell ref="K60:L60"/>
    <mergeCell ref="M60:N60"/>
    <mergeCell ref="A70:H70"/>
    <mergeCell ref="K70:L70"/>
    <mergeCell ref="M70:N70"/>
    <mergeCell ref="B71:N71"/>
    <mergeCell ref="B72:H72"/>
    <mergeCell ref="K72:L72"/>
    <mergeCell ref="M72:N72"/>
    <mergeCell ref="B65:N65"/>
    <mergeCell ref="B66:H66"/>
    <mergeCell ref="K66:L66"/>
    <mergeCell ref="M66:N66"/>
    <mergeCell ref="H69:J69"/>
    <mergeCell ref="K69:L69"/>
    <mergeCell ref="M69:N69"/>
    <mergeCell ref="B77:N77"/>
    <mergeCell ref="B78:H78"/>
    <mergeCell ref="K78:L78"/>
    <mergeCell ref="M78:N78"/>
    <mergeCell ref="B79:H79"/>
    <mergeCell ref="K79:L79"/>
    <mergeCell ref="M79:N79"/>
    <mergeCell ref="B73:N73"/>
    <mergeCell ref="B74:H74"/>
    <mergeCell ref="K74:L74"/>
    <mergeCell ref="M74:N74"/>
    <mergeCell ref="B75:N75"/>
    <mergeCell ref="B76:H76"/>
    <mergeCell ref="K76:L76"/>
    <mergeCell ref="M76:N76"/>
    <mergeCell ref="B82:H82"/>
    <mergeCell ref="K82:L82"/>
    <mergeCell ref="M82:N82"/>
    <mergeCell ref="B83:H83"/>
    <mergeCell ref="K83:L83"/>
    <mergeCell ref="M83:N83"/>
    <mergeCell ref="B80:H80"/>
    <mergeCell ref="K80:L80"/>
    <mergeCell ref="M80:N80"/>
    <mergeCell ref="B81:H81"/>
    <mergeCell ref="K81:L81"/>
    <mergeCell ref="M81:N81"/>
    <mergeCell ref="B86:H86"/>
    <mergeCell ref="K86:L86"/>
    <mergeCell ref="M86:N86"/>
    <mergeCell ref="B87:H87"/>
    <mergeCell ref="K87:L87"/>
    <mergeCell ref="M87:N87"/>
    <mergeCell ref="B84:H84"/>
    <mergeCell ref="K84:L84"/>
    <mergeCell ref="M84:N84"/>
    <mergeCell ref="B85:H85"/>
    <mergeCell ref="K85:L85"/>
    <mergeCell ref="M85:N85"/>
    <mergeCell ref="B91:H91"/>
    <mergeCell ref="K91:L91"/>
    <mergeCell ref="M91:N91"/>
    <mergeCell ref="H93:J93"/>
    <mergeCell ref="K93:L93"/>
    <mergeCell ref="M93:N93"/>
    <mergeCell ref="B88:H88"/>
    <mergeCell ref="K88:L88"/>
    <mergeCell ref="M88:N88"/>
    <mergeCell ref="B89:N89"/>
    <mergeCell ref="B90:H90"/>
    <mergeCell ref="K90:L90"/>
    <mergeCell ref="M90:N90"/>
    <mergeCell ref="B97:N97"/>
    <mergeCell ref="B98:H98"/>
    <mergeCell ref="K98:L98"/>
    <mergeCell ref="M98:N98"/>
    <mergeCell ref="B99:N99"/>
    <mergeCell ref="B100:H100"/>
    <mergeCell ref="K100:L100"/>
    <mergeCell ref="M100:N100"/>
    <mergeCell ref="A94:H94"/>
    <mergeCell ref="K94:L94"/>
    <mergeCell ref="M94:N94"/>
    <mergeCell ref="B95:N95"/>
    <mergeCell ref="B96:H96"/>
    <mergeCell ref="K96:L96"/>
    <mergeCell ref="M96:N96"/>
    <mergeCell ref="B105:H105"/>
    <mergeCell ref="K105:L105"/>
    <mergeCell ref="M105:N105"/>
    <mergeCell ref="B106:H106"/>
    <mergeCell ref="K106:L106"/>
    <mergeCell ref="M106:N106"/>
    <mergeCell ref="B101:N101"/>
    <mergeCell ref="B102:H102"/>
    <mergeCell ref="K102:L102"/>
    <mergeCell ref="M102:N102"/>
    <mergeCell ref="B103:N103"/>
    <mergeCell ref="B104:H104"/>
    <mergeCell ref="K104:L104"/>
    <mergeCell ref="M104:N104"/>
    <mergeCell ref="B109:H109"/>
    <mergeCell ref="K109:L109"/>
    <mergeCell ref="M109:N109"/>
    <mergeCell ref="B110:H110"/>
    <mergeCell ref="K110:L110"/>
    <mergeCell ref="M110:N110"/>
    <mergeCell ref="B107:H107"/>
    <mergeCell ref="K107:L107"/>
    <mergeCell ref="M107:N107"/>
    <mergeCell ref="B108:H108"/>
    <mergeCell ref="K108:L108"/>
    <mergeCell ref="M108:N108"/>
    <mergeCell ref="B113:H113"/>
    <mergeCell ref="K113:L113"/>
    <mergeCell ref="M113:N113"/>
    <mergeCell ref="B114:H114"/>
    <mergeCell ref="K114:L114"/>
    <mergeCell ref="M114:N114"/>
    <mergeCell ref="B111:H111"/>
    <mergeCell ref="K111:L111"/>
    <mergeCell ref="M111:N111"/>
    <mergeCell ref="B112:H112"/>
    <mergeCell ref="K112:L112"/>
    <mergeCell ref="M112:N112"/>
    <mergeCell ref="B118:H118"/>
    <mergeCell ref="K118:L118"/>
    <mergeCell ref="M118:N118"/>
    <mergeCell ref="B119:N119"/>
    <mergeCell ref="B120:H120"/>
    <mergeCell ref="K120:L120"/>
    <mergeCell ref="M120:N120"/>
    <mergeCell ref="B115:H115"/>
    <mergeCell ref="K115:L115"/>
    <mergeCell ref="M115:N115"/>
    <mergeCell ref="B116:N116"/>
    <mergeCell ref="B117:H117"/>
    <mergeCell ref="K117:L117"/>
    <mergeCell ref="M117:N117"/>
    <mergeCell ref="H126:J126"/>
    <mergeCell ref="K126:L126"/>
    <mergeCell ref="M126:N126"/>
    <mergeCell ref="A127:H127"/>
    <mergeCell ref="K127:L127"/>
    <mergeCell ref="M127:N127"/>
    <mergeCell ref="H122:J122"/>
    <mergeCell ref="K122:L122"/>
    <mergeCell ref="M122:N122"/>
    <mergeCell ref="H124:J124"/>
    <mergeCell ref="K124:L124"/>
    <mergeCell ref="M124:N124"/>
    <mergeCell ref="B131:H131"/>
    <mergeCell ref="K131:L131"/>
    <mergeCell ref="M131:N131"/>
    <mergeCell ref="B132:H132"/>
    <mergeCell ref="K132:L132"/>
    <mergeCell ref="M132:N132"/>
    <mergeCell ref="B128:N128"/>
    <mergeCell ref="B129:H129"/>
    <mergeCell ref="K129:L129"/>
    <mergeCell ref="M129:N129"/>
    <mergeCell ref="B130:H130"/>
    <mergeCell ref="K130:L130"/>
    <mergeCell ref="M130:N130"/>
    <mergeCell ref="B136:N136"/>
    <mergeCell ref="B137:H137"/>
    <mergeCell ref="K137:L137"/>
    <mergeCell ref="M137:N137"/>
    <mergeCell ref="B138:N138"/>
    <mergeCell ref="B139:H139"/>
    <mergeCell ref="K139:L139"/>
    <mergeCell ref="M139:N139"/>
    <mergeCell ref="B133:N133"/>
    <mergeCell ref="B134:H134"/>
    <mergeCell ref="K134:L134"/>
    <mergeCell ref="M134:N134"/>
    <mergeCell ref="B135:H135"/>
    <mergeCell ref="K135:L135"/>
    <mergeCell ref="M135:N135"/>
    <mergeCell ref="B142:N142"/>
    <mergeCell ref="B143:H143"/>
    <mergeCell ref="K143:L143"/>
    <mergeCell ref="M143:N143"/>
    <mergeCell ref="B144:H144"/>
    <mergeCell ref="K144:L144"/>
    <mergeCell ref="M144:N144"/>
    <mergeCell ref="B140:H140"/>
    <mergeCell ref="K140:L140"/>
    <mergeCell ref="M140:N140"/>
    <mergeCell ref="B141:H141"/>
    <mergeCell ref="K141:L141"/>
    <mergeCell ref="M141:N141"/>
    <mergeCell ref="B147:H147"/>
    <mergeCell ref="K147:L147"/>
    <mergeCell ref="M147:N147"/>
    <mergeCell ref="B148:H148"/>
    <mergeCell ref="K148:L148"/>
    <mergeCell ref="M148:N148"/>
    <mergeCell ref="B145:H145"/>
    <mergeCell ref="K145:L145"/>
    <mergeCell ref="M145:N145"/>
    <mergeCell ref="B146:H146"/>
    <mergeCell ref="K146:L146"/>
    <mergeCell ref="M146:N146"/>
    <mergeCell ref="B151:H151"/>
    <mergeCell ref="K151:L151"/>
    <mergeCell ref="M151:N151"/>
    <mergeCell ref="B152:H152"/>
    <mergeCell ref="K152:L152"/>
    <mergeCell ref="M152:N152"/>
    <mergeCell ref="B149:H149"/>
    <mergeCell ref="K149:L149"/>
    <mergeCell ref="M149:N149"/>
    <mergeCell ref="B150:H150"/>
    <mergeCell ref="K150:L150"/>
    <mergeCell ref="M150:N150"/>
    <mergeCell ref="B155:H155"/>
    <mergeCell ref="K155:L155"/>
    <mergeCell ref="M155:N155"/>
    <mergeCell ref="B156:H156"/>
    <mergeCell ref="K156:L156"/>
    <mergeCell ref="M156:N156"/>
    <mergeCell ref="B153:H153"/>
    <mergeCell ref="K153:L153"/>
    <mergeCell ref="M153:N153"/>
    <mergeCell ref="B154:H154"/>
    <mergeCell ref="K154:L154"/>
    <mergeCell ref="M154:N154"/>
    <mergeCell ref="B159:H159"/>
    <mergeCell ref="K159:L159"/>
    <mergeCell ref="M159:N159"/>
    <mergeCell ref="B160:H160"/>
    <mergeCell ref="K160:L160"/>
    <mergeCell ref="M160:N160"/>
    <mergeCell ref="B157:H157"/>
    <mergeCell ref="K157:L157"/>
    <mergeCell ref="M157:N157"/>
    <mergeCell ref="B158:H158"/>
    <mergeCell ref="K158:L158"/>
    <mergeCell ref="M158:N158"/>
    <mergeCell ref="B163:H163"/>
    <mergeCell ref="K163:L163"/>
    <mergeCell ref="M163:N163"/>
    <mergeCell ref="B164:N164"/>
    <mergeCell ref="B165:H165"/>
    <mergeCell ref="K165:L165"/>
    <mergeCell ref="M165:N165"/>
    <mergeCell ref="B161:H161"/>
    <mergeCell ref="K161:L161"/>
    <mergeCell ref="M161:N161"/>
    <mergeCell ref="B162:H162"/>
    <mergeCell ref="K162:L162"/>
    <mergeCell ref="M162:N162"/>
    <mergeCell ref="B169:N169"/>
    <mergeCell ref="B170:H170"/>
    <mergeCell ref="K170:L170"/>
    <mergeCell ref="M170:N170"/>
    <mergeCell ref="B171:H171"/>
    <mergeCell ref="K171:L171"/>
    <mergeCell ref="M171:N171"/>
    <mergeCell ref="B166:N166"/>
    <mergeCell ref="B167:H167"/>
    <mergeCell ref="K167:L167"/>
    <mergeCell ref="M167:N167"/>
    <mergeCell ref="B168:H168"/>
    <mergeCell ref="K168:L168"/>
    <mergeCell ref="M168:N168"/>
    <mergeCell ref="B175:N175"/>
    <mergeCell ref="B176:H176"/>
    <mergeCell ref="K176:L176"/>
    <mergeCell ref="M176:N176"/>
    <mergeCell ref="B177:H177"/>
    <mergeCell ref="K177:L177"/>
    <mergeCell ref="M177:N177"/>
    <mergeCell ref="B172:N172"/>
    <mergeCell ref="B173:H173"/>
    <mergeCell ref="K173:L173"/>
    <mergeCell ref="M173:N173"/>
    <mergeCell ref="B174:H174"/>
    <mergeCell ref="K174:L174"/>
    <mergeCell ref="M174:N174"/>
    <mergeCell ref="G181:I181"/>
    <mergeCell ref="K181:L181"/>
    <mergeCell ref="M181:N181"/>
    <mergeCell ref="G182:I182"/>
    <mergeCell ref="K182:L182"/>
    <mergeCell ref="M182:N182"/>
    <mergeCell ref="G179:I179"/>
    <mergeCell ref="K179:L179"/>
    <mergeCell ref="M179:N179"/>
    <mergeCell ref="G180:I180"/>
    <mergeCell ref="K180:L180"/>
    <mergeCell ref="M180:N180"/>
    <mergeCell ref="G185:I185"/>
    <mergeCell ref="K185:L185"/>
    <mergeCell ref="M185:N185"/>
    <mergeCell ref="G186:I186"/>
    <mergeCell ref="K186:L186"/>
    <mergeCell ref="M186:N186"/>
    <mergeCell ref="G183:I183"/>
    <mergeCell ref="K183:L183"/>
    <mergeCell ref="M183:N183"/>
    <mergeCell ref="G184:I184"/>
    <mergeCell ref="K184:L184"/>
    <mergeCell ref="M184:N184"/>
    <mergeCell ref="J190:K190"/>
    <mergeCell ref="M190:N190"/>
    <mergeCell ref="J191:L191"/>
    <mergeCell ref="M191:N191"/>
    <mergeCell ref="J192:K192"/>
    <mergeCell ref="M192:N192"/>
    <mergeCell ref="G187:I187"/>
    <mergeCell ref="K187:L187"/>
    <mergeCell ref="M187:N187"/>
    <mergeCell ref="J188:L188"/>
    <mergeCell ref="M188:N188"/>
    <mergeCell ref="J189:L189"/>
    <mergeCell ref="M189:N189"/>
    <mergeCell ref="J199:L199"/>
    <mergeCell ref="M199:N199"/>
    <mergeCell ref="J201:K201"/>
    <mergeCell ref="M201:N201"/>
    <mergeCell ref="J203:L203"/>
    <mergeCell ref="M203:N203"/>
    <mergeCell ref="J193:L193"/>
    <mergeCell ref="M193:N193"/>
    <mergeCell ref="J195:K195"/>
    <mergeCell ref="M195:N195"/>
    <mergeCell ref="J197:L197"/>
    <mergeCell ref="M197:N197"/>
    <mergeCell ref="B215:E215"/>
    <mergeCell ref="H215:K215"/>
    <mergeCell ref="M205:N205"/>
    <mergeCell ref="M206:N206"/>
    <mergeCell ref="M207:N207"/>
    <mergeCell ref="B213:E213"/>
    <mergeCell ref="H213:K213"/>
    <mergeCell ref="B214:E214"/>
    <mergeCell ref="H214:K214"/>
  </mergeCells>
  <conditionalFormatting sqref="J180:J187">
    <cfRule type="colorScale" priority="6">
      <colorScale>
        <cfvo type="min"/>
        <cfvo type="percentile" val="50"/>
        <cfvo type="max"/>
        <color rgb="FF63BE7B"/>
        <color rgb="FFFFEB84"/>
        <color rgb="FFF8696B"/>
      </colorScale>
    </cfRule>
  </conditionalFormatting>
  <conditionalFormatting sqref="B178:B1048576 B12:B57 B121:B176 B90:B118 B59:B88">
    <cfRule type="duplicateValues" dxfId="1411" priority="5"/>
  </conditionalFormatting>
  <conditionalFormatting sqref="B177">
    <cfRule type="duplicateValues" dxfId="1410" priority="4"/>
  </conditionalFormatting>
  <conditionalFormatting sqref="B119:B120">
    <cfRule type="duplicateValues" dxfId="1409" priority="3"/>
  </conditionalFormatting>
  <conditionalFormatting sqref="B89">
    <cfRule type="duplicateValues" dxfId="1408" priority="2"/>
  </conditionalFormatting>
  <conditionalFormatting sqref="B58">
    <cfRule type="duplicateValues" dxfId="1407" priority="1"/>
  </conditionalFormatting>
  <dataValidations count="1">
    <dataValidation allowBlank="1" showErrorMessage="1" sqref="B116:N116 B89:N89 B58:N58" xr:uid="{FB1447CE-0C23-4CF6-8892-4A38FFB39CD1}"/>
  </dataValidation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showErrorMessage="1" xr:uid="{678776D5-8953-4F42-80E0-2E6FA812A6B7}">
          <x14:formula1>
            <xm:f>'11'!$B$10:$B$1249</xm:f>
          </x14:formula1>
          <xm:sqref>B117:B118</xm:sqref>
        </x14:dataValidation>
        <x14:dataValidation type="list" allowBlank="1" showErrorMessage="1" xr:uid="{9D4D5849-ABF9-46CA-9DCC-BEC94648F694}">
          <x14:formula1>
            <xm:f>'11'!$B$9:$B$1399</xm:f>
          </x14:formula1>
          <xm:sqref>B18:H18 B66:H66 B72:H72 B43:H43 B25:H25 B100:H100 B20:H20 B98:H98 B102:H102 B74:H74 B62:H62 B41:H41 B22:H23 B139:H141 B45:H57 B90:H91 B27:H30 B32:H32 B37:H37 B39:H39 B59:H60 B76:H76 B78:H88 B96:H96 B104:H115 B129:H132 B173:H174 B137:H137 B143:H163 B170:H171 B165:H165 B167:H168 B134:H135 B176:H177 B120:H120</xm:sqref>
        </x14:dataValidation>
        <x14:dataValidation type="list" allowBlank="1" showErrorMessage="1" xr:uid="{EC3B9ECF-B587-49E8-B9DD-FBB2B35BB057}">
          <x14:formula1>
            <xm:f>'11'!$B$10:$B$100</xm:f>
          </x14:formula1>
          <xm:sqref>K167:K168 I165 I170:I171 I167:I168 K173:K174 K170:K171 I173:I174 K165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9">
    <tabColor rgb="FF92D050"/>
  </sheetPr>
  <dimension ref="A1:O3887"/>
  <sheetViews>
    <sheetView view="pageBreakPreview" topLeftCell="A332" zoomScale="90" zoomScaleNormal="115" zoomScaleSheetLayoutView="90" workbookViewId="0">
      <selection activeCell="L372" sqref="L372"/>
    </sheetView>
  </sheetViews>
  <sheetFormatPr baseColWidth="10" defaultColWidth="12.7109375" defaultRowHeight="15" customHeight="1" x14ac:dyDescent="0.2"/>
  <cols>
    <col min="1" max="5" width="10.42578125" customWidth="1"/>
    <col min="6" max="6" width="14.7109375" customWidth="1"/>
    <col min="7" max="7" width="13" customWidth="1"/>
    <col min="8" max="8" width="14.85546875" customWidth="1"/>
    <col min="9" max="9" width="10.42578125" customWidth="1"/>
    <col min="10" max="10" width="16.42578125" customWidth="1"/>
    <col min="11" max="11" width="10.42578125" customWidth="1"/>
    <col min="12" max="12" width="11" customWidth="1"/>
    <col min="13" max="13" width="10.42578125" customWidth="1"/>
    <col min="14" max="14" width="18.140625" customWidth="1"/>
    <col min="15" max="15" width="15.42578125" customWidth="1"/>
  </cols>
  <sheetData>
    <row r="1" spans="1:15" ht="12.75" customHeight="1" x14ac:dyDescent="0.2">
      <c r="A1" s="1114" t="s">
        <v>1606</v>
      </c>
      <c r="B1" s="1108"/>
      <c r="C1" s="1108"/>
      <c r="D1" s="1108"/>
      <c r="E1" s="1108"/>
      <c r="F1" s="1108"/>
      <c r="G1" s="1108"/>
      <c r="H1" s="1108"/>
      <c r="I1" s="1108"/>
      <c r="J1" s="1108"/>
      <c r="K1" s="1108"/>
      <c r="L1" s="1108"/>
      <c r="M1" s="1108"/>
      <c r="N1" s="1109"/>
    </row>
    <row r="2" spans="1:15" ht="12.75" customHeight="1" x14ac:dyDescent="0.2">
      <c r="A2" s="1110"/>
      <c r="B2" s="1111"/>
      <c r="C2" s="1111"/>
      <c r="D2" s="1111"/>
      <c r="E2" s="1111"/>
      <c r="F2" s="1111"/>
      <c r="G2" s="1111"/>
      <c r="H2" s="1111"/>
      <c r="I2" s="1111"/>
      <c r="J2" s="1111"/>
      <c r="K2" s="1111"/>
      <c r="L2" s="1111"/>
      <c r="M2" s="1111"/>
      <c r="N2" s="1112"/>
      <c r="O2" s="867">
        <v>1.3</v>
      </c>
    </row>
    <row r="3" spans="1:15" ht="12.75" customHeight="1" x14ac:dyDescent="0.2">
      <c r="A3" s="16">
        <v>1</v>
      </c>
      <c r="B3" s="16">
        <v>2</v>
      </c>
      <c r="C3" s="16">
        <v>3</v>
      </c>
      <c r="D3" s="16">
        <v>4</v>
      </c>
      <c r="E3" s="16">
        <v>5</v>
      </c>
      <c r="F3" s="16">
        <v>6</v>
      </c>
      <c r="G3" s="16">
        <v>7</v>
      </c>
      <c r="H3" s="16">
        <v>8</v>
      </c>
      <c r="I3" s="16">
        <v>9</v>
      </c>
      <c r="J3" s="16">
        <v>10</v>
      </c>
      <c r="K3" s="16">
        <v>11</v>
      </c>
      <c r="L3" s="16">
        <v>12</v>
      </c>
      <c r="M3" s="16">
        <v>13</v>
      </c>
      <c r="N3" s="16">
        <v>14</v>
      </c>
    </row>
    <row r="4" spans="1:15" ht="12.75" customHeight="1" x14ac:dyDescent="0.3">
      <c r="A4" s="18" t="s">
        <v>290</v>
      </c>
      <c r="B4" s="19" t="str">
        <f>A1</f>
        <v>LOCALIZACIÓN Y REPLANTEO DE REDES</v>
      </c>
      <c r="C4" s="20" t="s">
        <v>382</v>
      </c>
      <c r="D4" s="127" t="s">
        <v>419</v>
      </c>
      <c r="E4" s="22" t="s">
        <v>125</v>
      </c>
      <c r="F4" s="23">
        <f>(H4+J4+L4+N4)*$O$2</f>
        <v>11175.461164172608</v>
      </c>
      <c r="G4" s="22" t="s">
        <v>285</v>
      </c>
      <c r="H4" s="24">
        <f>M22</f>
        <v>90.675360153383281</v>
      </c>
      <c r="I4" s="22" t="s">
        <v>383</v>
      </c>
      <c r="J4" s="25">
        <f>M13</f>
        <v>8250</v>
      </c>
      <c r="K4" s="22" t="s">
        <v>287</v>
      </c>
      <c r="L4" s="24">
        <f>M31</f>
        <v>0</v>
      </c>
      <c r="M4" s="22" t="s">
        <v>288</v>
      </c>
      <c r="N4" s="26">
        <f>M40</f>
        <v>255.83322767169926</v>
      </c>
    </row>
    <row r="5" spans="1:15" ht="12.75" customHeight="1" x14ac:dyDescent="0.25">
      <c r="A5" s="27"/>
      <c r="B5" s="27"/>
      <c r="C5" s="27"/>
      <c r="D5" s="27"/>
      <c r="E5" s="27"/>
      <c r="F5" s="27"/>
      <c r="G5" s="27"/>
      <c r="J5" s="27"/>
      <c r="K5" s="27"/>
      <c r="L5" s="27"/>
      <c r="M5" s="27"/>
      <c r="N5" s="27"/>
    </row>
    <row r="6" spans="1:15" ht="12.75" customHeight="1" x14ac:dyDescent="0.2">
      <c r="A6" s="1065" t="s">
        <v>384</v>
      </c>
      <c r="B6" s="1057"/>
      <c r="C6" s="1057"/>
      <c r="D6" s="1057"/>
      <c r="E6" s="1057"/>
      <c r="F6" s="1057"/>
      <c r="G6" s="1057"/>
      <c r="H6" s="1057"/>
      <c r="I6" s="1057"/>
      <c r="J6" s="1057"/>
      <c r="K6" s="1057"/>
      <c r="L6" s="1057"/>
      <c r="M6" s="1057"/>
      <c r="N6" s="1058"/>
    </row>
    <row r="7" spans="1:15" ht="12.75" customHeight="1" x14ac:dyDescent="0.2">
      <c r="A7" s="1066" t="s">
        <v>38</v>
      </c>
      <c r="B7" s="1057"/>
      <c r="C7" s="1057"/>
      <c r="D7" s="1057"/>
      <c r="E7" s="1057"/>
      <c r="F7" s="1057"/>
      <c r="G7" s="1058"/>
      <c r="H7" s="28" t="s">
        <v>39</v>
      </c>
      <c r="I7" s="1062" t="s">
        <v>385</v>
      </c>
      <c r="J7" s="1058"/>
      <c r="K7" s="1062" t="s">
        <v>132</v>
      </c>
      <c r="L7" s="1058"/>
      <c r="M7" s="1062" t="s">
        <v>386</v>
      </c>
      <c r="N7" s="1058"/>
    </row>
    <row r="8" spans="1:15" ht="12.75" customHeight="1" x14ac:dyDescent="0.2">
      <c r="A8" s="1061" t="s">
        <v>1502</v>
      </c>
      <c r="B8" s="1057"/>
      <c r="C8" s="1057"/>
      <c r="D8" s="1057"/>
      <c r="E8" s="1057"/>
      <c r="F8" s="1057"/>
      <c r="G8" s="1058"/>
      <c r="H8" s="9" t="str">
        <f>IF(A8="","",VLOOKUP(A8,AA_Materiales,7,FALSE))</f>
        <v>Unidad</v>
      </c>
      <c r="I8" s="1059">
        <f>IF(A8="","",VLOOKUP(A8,AA_Materiales,8,FALSE))</f>
        <v>3075</v>
      </c>
      <c r="J8" s="1058"/>
      <c r="K8" s="1060">
        <v>2.6</v>
      </c>
      <c r="L8" s="1058"/>
      <c r="M8" s="1059">
        <f>IF(A8="","",I8*K8)</f>
        <v>7995</v>
      </c>
      <c r="N8" s="1058"/>
    </row>
    <row r="9" spans="1:15" ht="12.75" customHeight="1" x14ac:dyDescent="0.2">
      <c r="A9" s="1061" t="s">
        <v>1503</v>
      </c>
      <c r="B9" s="1057"/>
      <c r="C9" s="1057"/>
      <c r="D9" s="1057"/>
      <c r="E9" s="1057"/>
      <c r="F9" s="1057"/>
      <c r="G9" s="1058"/>
      <c r="H9" s="9" t="str">
        <f>IF(A9="","",VLOOKUP(A9,AA_Materiales,7,FALSE))</f>
        <v>LB</v>
      </c>
      <c r="I9" s="1059">
        <f>IF(A9="","",VLOOKUP(A9,AA_Materiales,8,FALSE))</f>
        <v>5100</v>
      </c>
      <c r="J9" s="1058"/>
      <c r="K9" s="1070">
        <v>0.05</v>
      </c>
      <c r="L9" s="1071"/>
      <c r="M9" s="1059">
        <f>IF(A9="","",I9*K9)</f>
        <v>255</v>
      </c>
      <c r="N9" s="1058"/>
    </row>
    <row r="10" spans="1:15" ht="12.75" customHeight="1" x14ac:dyDescent="0.2">
      <c r="A10" s="1061"/>
      <c r="B10" s="1057"/>
      <c r="C10" s="1057"/>
      <c r="D10" s="1057"/>
      <c r="E10" s="1057"/>
      <c r="F10" s="1057"/>
      <c r="G10" s="1058"/>
      <c r="H10" s="9" t="str">
        <f>IF(A10="","",VLOOKUP(A10,AA_Materiales,7,FALSE))</f>
        <v/>
      </c>
      <c r="I10" s="1059" t="str">
        <f>IF(A10="","",VLOOKUP(A10,AA_Materiales,8,FALSE))</f>
        <v/>
      </c>
      <c r="J10" s="1058"/>
      <c r="K10" s="1070"/>
      <c r="L10" s="1071"/>
      <c r="M10" s="1059" t="str">
        <f>IF(A10="","",I10*K10)</f>
        <v/>
      </c>
      <c r="N10" s="1058"/>
    </row>
    <row r="11" spans="1:15" ht="12.75" customHeight="1" x14ac:dyDescent="0.2">
      <c r="A11" s="1061"/>
      <c r="B11" s="1057"/>
      <c r="C11" s="1057"/>
      <c r="D11" s="1057"/>
      <c r="E11" s="1057"/>
      <c r="F11" s="1057"/>
      <c r="G11" s="1058"/>
      <c r="H11" s="9" t="str">
        <f>IF(A11="","",VLOOKUP(A11,AA_Materiales,7,FALSE))</f>
        <v/>
      </c>
      <c r="I11" s="1059" t="str">
        <f>IF(A11="","",VLOOKUP(A11,AA_Materiales,8,FALSE))</f>
        <v/>
      </c>
      <c r="J11" s="1058"/>
      <c r="K11" s="1060"/>
      <c r="L11" s="1058"/>
      <c r="M11" s="1059" t="str">
        <f>IF(A11="","",I11*K11)</f>
        <v/>
      </c>
      <c r="N11" s="1058"/>
    </row>
    <row r="12" spans="1:15" ht="12.75" customHeight="1" x14ac:dyDescent="0.2">
      <c r="A12" s="1061"/>
      <c r="B12" s="1057"/>
      <c r="C12" s="1057"/>
      <c r="D12" s="1057"/>
      <c r="E12" s="1057"/>
      <c r="F12" s="1057"/>
      <c r="G12" s="1058"/>
      <c r="H12" s="9" t="str">
        <f>IF(A12="","",VLOOKUP(A12,AA_Materiales,7,FALSE))</f>
        <v/>
      </c>
      <c r="I12" s="1059" t="str">
        <f>IF(A12="","",VLOOKUP(A12,AA_Materiales,8,FALSE))</f>
        <v/>
      </c>
      <c r="J12" s="1058"/>
      <c r="K12" s="1060"/>
      <c r="L12" s="1058"/>
      <c r="M12" s="1059" t="str">
        <f>IF(A12="","",I12*K12)</f>
        <v/>
      </c>
      <c r="N12" s="1058"/>
    </row>
    <row r="13" spans="1:15" ht="12.75" customHeight="1" x14ac:dyDescent="0.25">
      <c r="A13" s="3"/>
      <c r="B13" s="3"/>
      <c r="C13" s="3"/>
      <c r="D13" s="3"/>
      <c r="E13" s="3"/>
      <c r="F13" s="3"/>
      <c r="G13" s="3"/>
      <c r="H13" s="3"/>
      <c r="I13" s="3"/>
      <c r="J13" s="3"/>
      <c r="K13" s="1066" t="s">
        <v>201</v>
      </c>
      <c r="L13" s="1058"/>
      <c r="M13" s="1059">
        <f>SUM(M8:N12)</f>
        <v>8250</v>
      </c>
      <c r="N13" s="1058"/>
    </row>
    <row r="14" spans="1:15" ht="12.75" customHeight="1" x14ac:dyDescent="0.25">
      <c r="A14" s="3"/>
      <c r="B14" s="3"/>
      <c r="C14" s="3"/>
      <c r="D14" s="3"/>
      <c r="E14" s="3"/>
      <c r="F14" s="3"/>
      <c r="G14" s="3"/>
      <c r="H14" s="3"/>
      <c r="I14" s="3"/>
      <c r="J14" s="3"/>
      <c r="K14" s="3"/>
      <c r="L14" s="3"/>
      <c r="M14" s="3"/>
      <c r="N14" s="3"/>
    </row>
    <row r="15" spans="1:15" ht="12.75" customHeight="1" x14ac:dyDescent="0.2">
      <c r="A15" s="1065" t="s">
        <v>390</v>
      </c>
      <c r="B15" s="1057"/>
      <c r="C15" s="1057"/>
      <c r="D15" s="1057"/>
      <c r="E15" s="1057"/>
      <c r="F15" s="1057"/>
      <c r="G15" s="1057"/>
      <c r="H15" s="1057"/>
      <c r="I15" s="1057"/>
      <c r="J15" s="1057"/>
      <c r="K15" s="1057"/>
      <c r="L15" s="1057"/>
      <c r="M15" s="1057"/>
      <c r="N15" s="1058"/>
    </row>
    <row r="16" spans="1:15" ht="12.75" customHeight="1" x14ac:dyDescent="0.2">
      <c r="A16" s="1066" t="s">
        <v>38</v>
      </c>
      <c r="B16" s="1057"/>
      <c r="C16" s="1057"/>
      <c r="D16" s="1057"/>
      <c r="E16" s="1057"/>
      <c r="F16" s="1057"/>
      <c r="G16" s="1058"/>
      <c r="H16" s="28" t="s">
        <v>39</v>
      </c>
      <c r="I16" s="1062" t="s">
        <v>385</v>
      </c>
      <c r="J16" s="1058"/>
      <c r="K16" s="1062" t="s">
        <v>132</v>
      </c>
      <c r="L16" s="1058"/>
      <c r="M16" s="1062" t="s">
        <v>386</v>
      </c>
      <c r="N16" s="1058"/>
    </row>
    <row r="17" spans="1:14" ht="12.75" customHeight="1" x14ac:dyDescent="0.2">
      <c r="A17" s="1061" t="s">
        <v>391</v>
      </c>
      <c r="B17" s="1057"/>
      <c r="C17" s="1057"/>
      <c r="D17" s="1057"/>
      <c r="E17" s="1057"/>
      <c r="F17" s="1057"/>
      <c r="G17" s="1058"/>
      <c r="H17" s="9" t="str">
        <f>IF(A17="","",VLOOKUP(A17,AA_Equipos,7,FALSE))</f>
        <v>% M.O.</v>
      </c>
      <c r="I17" s="1059">
        <f>M40</f>
        <v>255.83322767169926</v>
      </c>
      <c r="J17" s="1058"/>
      <c r="K17" s="1064">
        <v>0.05</v>
      </c>
      <c r="L17" s="1058"/>
      <c r="M17" s="1059">
        <f>IF(A17="","",I17*K17)</f>
        <v>12.791661383584964</v>
      </c>
      <c r="N17" s="1058"/>
    </row>
    <row r="18" spans="1:14" ht="12.75" customHeight="1" x14ac:dyDescent="0.2">
      <c r="A18" s="1056" t="s">
        <v>1608</v>
      </c>
      <c r="B18" s="1057"/>
      <c r="C18" s="1057"/>
      <c r="D18" s="1057"/>
      <c r="E18" s="1057"/>
      <c r="F18" s="1057"/>
      <c r="G18" s="1058"/>
      <c r="H18" s="9" t="str">
        <f>IF(A18="","",VLOOKUP(A18,AA_Equipos,7,FALSE))</f>
        <v>Hora</v>
      </c>
      <c r="I18" s="1059">
        <f>IF(A18="","",VLOOKUP(A18,AA_Equipos,8,FALSE))</f>
        <v>13863.2983810241</v>
      </c>
      <c r="J18" s="1058"/>
      <c r="K18" s="1060">
        <v>178</v>
      </c>
      <c r="L18" s="1083"/>
      <c r="M18" s="1059">
        <f>IF(A18="","",I18/K18)</f>
        <v>77.883698769798315</v>
      </c>
      <c r="N18" s="1058"/>
    </row>
    <row r="19" spans="1:14" ht="12.75" customHeight="1" x14ac:dyDescent="0.2">
      <c r="A19" s="1056"/>
      <c r="B19" s="1057"/>
      <c r="C19" s="1057"/>
      <c r="D19" s="1057"/>
      <c r="E19" s="1057"/>
      <c r="F19" s="1057"/>
      <c r="G19" s="1058"/>
      <c r="H19" s="9" t="str">
        <f>IF(A19="","",VLOOKUP(A19,AA_Equipos,7,FALSE))</f>
        <v/>
      </c>
      <c r="I19" s="1059" t="str">
        <f>IF(A19="","",VLOOKUP(A19,AA_Materiales,8,FALSE))</f>
        <v/>
      </c>
      <c r="J19" s="1058"/>
      <c r="K19" s="1060"/>
      <c r="L19" s="1058"/>
      <c r="M19" s="1059" t="str">
        <f>IF(A19="","",I19*K19)</f>
        <v/>
      </c>
      <c r="N19" s="1058"/>
    </row>
    <row r="20" spans="1:14" ht="12.75" customHeight="1" x14ac:dyDescent="0.2">
      <c r="A20" s="1056"/>
      <c r="B20" s="1057"/>
      <c r="C20" s="1057"/>
      <c r="D20" s="1057"/>
      <c r="E20" s="1057"/>
      <c r="F20" s="1057"/>
      <c r="G20" s="1058"/>
      <c r="H20" s="9" t="str">
        <f>IF(A20="","",VLOOKUP(A20,AA_Equipos,7,FALSE))</f>
        <v/>
      </c>
      <c r="I20" s="1059" t="str">
        <f>IF(A20="","",VLOOKUP(A20,AA_Materiales,8,FALSE))</f>
        <v/>
      </c>
      <c r="J20" s="1058"/>
      <c r="K20" s="1060"/>
      <c r="L20" s="1058"/>
      <c r="M20" s="1059" t="str">
        <f>IF(A20="","",I20*K20)</f>
        <v/>
      </c>
      <c r="N20" s="1058"/>
    </row>
    <row r="21" spans="1:14" ht="12.75" customHeight="1" x14ac:dyDescent="0.2">
      <c r="A21" s="1056"/>
      <c r="B21" s="1057"/>
      <c r="C21" s="1057"/>
      <c r="D21" s="1057"/>
      <c r="E21" s="1057"/>
      <c r="F21" s="1057"/>
      <c r="G21" s="1058"/>
      <c r="H21" s="9" t="str">
        <f>IF(A21="","",VLOOKUP(A21,AA_Equipos,7,FALSE))</f>
        <v/>
      </c>
      <c r="I21" s="1059" t="str">
        <f>IF(A21="","",VLOOKUP(A21,AA_Materiales,8,FALSE))</f>
        <v/>
      </c>
      <c r="J21" s="1058"/>
      <c r="K21" s="1060"/>
      <c r="L21" s="1058"/>
      <c r="M21" s="1059" t="str">
        <f>IF(A21="","",I21*K21)</f>
        <v/>
      </c>
      <c r="N21" s="1058"/>
    </row>
    <row r="22" spans="1:14" ht="12.75" customHeight="1" x14ac:dyDescent="0.25">
      <c r="A22" s="3"/>
      <c r="B22" s="3"/>
      <c r="C22" s="3"/>
      <c r="D22" s="3"/>
      <c r="E22" s="3"/>
      <c r="F22" s="3"/>
      <c r="G22" s="3"/>
      <c r="H22" s="3"/>
      <c r="I22" s="3"/>
      <c r="J22" s="3"/>
      <c r="K22" s="1066" t="s">
        <v>201</v>
      </c>
      <c r="L22" s="1058"/>
      <c r="M22" s="1059">
        <f>SUM(M17:N21)</f>
        <v>90.675360153383281</v>
      </c>
      <c r="N22" s="1058"/>
    </row>
    <row r="23" spans="1:14" ht="12.75" customHeight="1" x14ac:dyDescent="0.25">
      <c r="A23" s="3"/>
      <c r="B23" s="3"/>
      <c r="C23" s="3"/>
      <c r="D23" s="3"/>
      <c r="E23" s="3"/>
      <c r="F23" s="3"/>
      <c r="G23" s="3"/>
      <c r="H23" s="3"/>
      <c r="I23" s="3"/>
      <c r="J23" s="3"/>
      <c r="K23" s="3"/>
      <c r="L23" s="3"/>
      <c r="M23" s="3"/>
      <c r="N23" s="3"/>
    </row>
    <row r="24" spans="1:14" ht="12.75" customHeight="1" x14ac:dyDescent="0.2">
      <c r="A24" s="1065" t="s">
        <v>392</v>
      </c>
      <c r="B24" s="1057"/>
      <c r="C24" s="1057"/>
      <c r="D24" s="1057"/>
      <c r="E24" s="1057"/>
      <c r="F24" s="1057"/>
      <c r="G24" s="1057"/>
      <c r="H24" s="1057"/>
      <c r="I24" s="1057"/>
      <c r="J24" s="1057"/>
      <c r="K24" s="1057"/>
      <c r="L24" s="1057"/>
      <c r="M24" s="1057"/>
      <c r="N24" s="1058"/>
    </row>
    <row r="25" spans="1:14" ht="12.75" customHeight="1" x14ac:dyDescent="0.2">
      <c r="A25" s="1066" t="s">
        <v>38</v>
      </c>
      <c r="B25" s="1057"/>
      <c r="C25" s="1057"/>
      <c r="D25" s="1057"/>
      <c r="E25" s="1057"/>
      <c r="F25" s="1057"/>
      <c r="G25" s="1058"/>
      <c r="H25" s="28" t="s">
        <v>39</v>
      </c>
      <c r="I25" s="1062" t="s">
        <v>385</v>
      </c>
      <c r="J25" s="1058"/>
      <c r="K25" s="1062" t="s">
        <v>132</v>
      </c>
      <c r="L25" s="1058"/>
      <c r="M25" s="1062" t="s">
        <v>386</v>
      </c>
      <c r="N25" s="1058"/>
    </row>
    <row r="26" spans="1:14" ht="12.75" customHeight="1" x14ac:dyDescent="0.2">
      <c r="A26" s="1061"/>
      <c r="B26" s="1057"/>
      <c r="C26" s="1057"/>
      <c r="D26" s="1057"/>
      <c r="E26" s="1057"/>
      <c r="F26" s="1057"/>
      <c r="G26" s="1058"/>
      <c r="H26" s="9"/>
      <c r="I26" s="1059"/>
      <c r="J26" s="1058"/>
      <c r="K26" s="1064"/>
      <c r="L26" s="1058"/>
      <c r="M26" s="1059" t="str">
        <f>IF(A26="","",I26*K26)</f>
        <v/>
      </c>
      <c r="N26" s="1058"/>
    </row>
    <row r="27" spans="1:14" ht="12.75" customHeight="1" x14ac:dyDescent="0.2">
      <c r="A27" s="1056"/>
      <c r="B27" s="1057"/>
      <c r="C27" s="1057"/>
      <c r="D27" s="1057"/>
      <c r="E27" s="1057"/>
      <c r="F27" s="1057"/>
      <c r="G27" s="1058"/>
      <c r="H27" s="9"/>
      <c r="I27" s="1059"/>
      <c r="J27" s="1058"/>
      <c r="K27" s="1067"/>
      <c r="L27" s="1058"/>
      <c r="M27" s="1059" t="str">
        <f>IF(A27="","",I27*K27)</f>
        <v/>
      </c>
      <c r="N27" s="1058"/>
    </row>
    <row r="28" spans="1:14" ht="12.75" customHeight="1" x14ac:dyDescent="0.2">
      <c r="A28" s="1061"/>
      <c r="B28" s="1057"/>
      <c r="C28" s="1057"/>
      <c r="D28" s="1057"/>
      <c r="E28" s="1057"/>
      <c r="F28" s="1057"/>
      <c r="G28" s="1058"/>
      <c r="H28" s="9"/>
      <c r="I28" s="1059"/>
      <c r="J28" s="1058"/>
      <c r="K28" s="1060"/>
      <c r="L28" s="1058"/>
      <c r="M28" s="1059" t="str">
        <f>IF(A28="","",I28*K28)</f>
        <v/>
      </c>
      <c r="N28" s="1058"/>
    </row>
    <row r="29" spans="1:14" ht="12.75" customHeight="1" x14ac:dyDescent="0.2">
      <c r="A29" s="1061"/>
      <c r="B29" s="1057"/>
      <c r="C29" s="1057"/>
      <c r="D29" s="1057"/>
      <c r="E29" s="1057"/>
      <c r="F29" s="1057"/>
      <c r="G29" s="1058"/>
      <c r="H29" s="9"/>
      <c r="I29" s="1059"/>
      <c r="J29" s="1058"/>
      <c r="K29" s="1060"/>
      <c r="L29" s="1058"/>
      <c r="M29" s="1059" t="str">
        <f>IF(A29="","",I29*K29)</f>
        <v/>
      </c>
      <c r="N29" s="1058"/>
    </row>
    <row r="30" spans="1:14" ht="12.75" customHeight="1" x14ac:dyDescent="0.2">
      <c r="A30" s="1061"/>
      <c r="B30" s="1057"/>
      <c r="C30" s="1057"/>
      <c r="D30" s="1057"/>
      <c r="E30" s="1057"/>
      <c r="F30" s="1057"/>
      <c r="G30" s="1058"/>
      <c r="H30" s="9"/>
      <c r="I30" s="1059"/>
      <c r="J30" s="1058"/>
      <c r="K30" s="1060"/>
      <c r="L30" s="1058"/>
      <c r="M30" s="1059" t="str">
        <f>IF(A30="","",I30*K30)</f>
        <v/>
      </c>
      <c r="N30" s="1058"/>
    </row>
    <row r="31" spans="1:14" ht="12.75" customHeight="1" x14ac:dyDescent="0.25">
      <c r="A31" s="3"/>
      <c r="B31" s="3"/>
      <c r="C31" s="3"/>
      <c r="D31" s="3"/>
      <c r="E31" s="3"/>
      <c r="F31" s="3"/>
      <c r="G31" s="3"/>
      <c r="H31" s="3"/>
      <c r="I31" s="3"/>
      <c r="J31" s="3"/>
      <c r="K31" s="1066" t="s">
        <v>201</v>
      </c>
      <c r="L31" s="1058"/>
      <c r="M31" s="1059">
        <f>SUM(M26:N30)</f>
        <v>0</v>
      </c>
      <c r="N31" s="1058"/>
    </row>
    <row r="32" spans="1:14" ht="12.75" customHeight="1" x14ac:dyDescent="0.25">
      <c r="A32" s="3"/>
      <c r="B32" s="3"/>
      <c r="C32" s="3"/>
      <c r="D32" s="3"/>
      <c r="E32" s="3"/>
      <c r="F32" s="3"/>
      <c r="G32" s="3"/>
      <c r="H32" s="3"/>
      <c r="I32" s="3"/>
      <c r="J32" s="3"/>
      <c r="K32" s="3"/>
      <c r="L32" s="3"/>
      <c r="M32" s="3"/>
      <c r="N32" s="3"/>
    </row>
    <row r="33" spans="1:14" ht="12.75" customHeight="1" x14ac:dyDescent="0.2">
      <c r="A33" s="1065" t="s">
        <v>394</v>
      </c>
      <c r="B33" s="1057"/>
      <c r="C33" s="1057"/>
      <c r="D33" s="1057"/>
      <c r="E33" s="1057"/>
      <c r="F33" s="1057"/>
      <c r="G33" s="1057"/>
      <c r="H33" s="1057"/>
      <c r="I33" s="1057"/>
      <c r="J33" s="1057"/>
      <c r="K33" s="1057"/>
      <c r="L33" s="1057"/>
      <c r="M33" s="1057"/>
      <c r="N33" s="1058"/>
    </row>
    <row r="34" spans="1:14" ht="12.75" customHeight="1" x14ac:dyDescent="0.2">
      <c r="A34" s="1066" t="s">
        <v>38</v>
      </c>
      <c r="B34" s="1057"/>
      <c r="C34" s="1057"/>
      <c r="D34" s="1057"/>
      <c r="E34" s="1057"/>
      <c r="F34" s="1057"/>
      <c r="G34" s="1058"/>
      <c r="H34" s="28" t="s">
        <v>39</v>
      </c>
      <c r="I34" s="1062" t="s">
        <v>385</v>
      </c>
      <c r="J34" s="1058"/>
      <c r="K34" s="30" t="s">
        <v>193</v>
      </c>
      <c r="L34" s="31" t="s">
        <v>395</v>
      </c>
      <c r="M34" s="1062" t="s">
        <v>386</v>
      </c>
      <c r="N34" s="1058"/>
    </row>
    <row r="35" spans="1:14" ht="12.75" customHeight="1" x14ac:dyDescent="0.25">
      <c r="A35" s="1063" t="s">
        <v>400</v>
      </c>
      <c r="B35" s="1057"/>
      <c r="C35" s="1057"/>
      <c r="D35" s="1057"/>
      <c r="E35" s="1057"/>
      <c r="F35" s="1057"/>
      <c r="G35" s="1058"/>
      <c r="H35" s="9" t="str">
        <f>IF(A35="","",VLOOKUP(A35,AA_Cuadrillas,4,FALSE))</f>
        <v>Cuadrilla</v>
      </c>
      <c r="I35" s="1059">
        <f>IF(A35="","",VLOOKUP(A35,AA_Cuadrillas,5,FALSE))</f>
        <v>67118</v>
      </c>
      <c r="J35" s="1058"/>
      <c r="K35" s="1">
        <f>IF(A35="","",'06'!$J$3)</f>
        <v>1.7233500000000002</v>
      </c>
      <c r="L35" s="32">
        <v>2.2117928753654604E-3</v>
      </c>
      <c r="M35" s="1059">
        <f>IF(A35="","",I35*K35*L35)</f>
        <v>255.83322767169926</v>
      </c>
      <c r="N35" s="1058"/>
    </row>
    <row r="36" spans="1:14" ht="12.75" customHeight="1" x14ac:dyDescent="0.25">
      <c r="A36" s="1063"/>
      <c r="B36" s="1057"/>
      <c r="C36" s="1057"/>
      <c r="D36" s="1057"/>
      <c r="E36" s="1057"/>
      <c r="F36" s="1057"/>
      <c r="G36" s="1058"/>
      <c r="H36" s="9" t="str">
        <f>IF(A36="","",VLOOKUP(A36,AA_Cuadrillas,4,FALSE))</f>
        <v/>
      </c>
      <c r="I36" s="1059" t="str">
        <f>IF(A36="","",VLOOKUP(A36,AA_Cuadrillas,5,FALSE))</f>
        <v/>
      </c>
      <c r="J36" s="1058"/>
      <c r="K36" s="1" t="str">
        <f>IF(A36="","",'06'!$J$3)</f>
        <v/>
      </c>
      <c r="L36" s="1"/>
      <c r="M36" s="1059" t="str">
        <f>IF(A36="","",I36*K36*L36)</f>
        <v/>
      </c>
      <c r="N36" s="1058"/>
    </row>
    <row r="37" spans="1:14" ht="12.75" customHeight="1" x14ac:dyDescent="0.25">
      <c r="A37" s="1063"/>
      <c r="B37" s="1057"/>
      <c r="C37" s="1057"/>
      <c r="D37" s="1057"/>
      <c r="E37" s="1057"/>
      <c r="F37" s="1057"/>
      <c r="G37" s="1058"/>
      <c r="H37" s="9" t="str">
        <f>IF(A37="","",VLOOKUP(A37,AA_Cuadrillas,4,FALSE))</f>
        <v/>
      </c>
      <c r="I37" s="1059" t="str">
        <f>IF(A37="","",VLOOKUP(A37,AA_Cuadrillas,5,FALSE))</f>
        <v/>
      </c>
      <c r="J37" s="1058"/>
      <c r="K37" s="1" t="str">
        <f>IF(A37="","",'06'!$J$3)</f>
        <v/>
      </c>
      <c r="L37" s="10"/>
      <c r="M37" s="1059" t="str">
        <f>IF(A37="","",I37*K37*L37)</f>
        <v/>
      </c>
      <c r="N37" s="1058"/>
    </row>
    <row r="38" spans="1:14" ht="12.75" customHeight="1" x14ac:dyDescent="0.25">
      <c r="A38" s="1063"/>
      <c r="B38" s="1057"/>
      <c r="C38" s="1057"/>
      <c r="D38" s="1057"/>
      <c r="E38" s="1057"/>
      <c r="F38" s="1057"/>
      <c r="G38" s="1058"/>
      <c r="H38" s="9" t="str">
        <f>IF(A38="","",VLOOKUP(A38,AA_Cuadrillas,4,FALSE))</f>
        <v/>
      </c>
      <c r="I38" s="1059" t="str">
        <f>IF(A38="","",VLOOKUP(A38,AA_Cuadrillas,5,FALSE))</f>
        <v/>
      </c>
      <c r="J38" s="1058"/>
      <c r="K38" s="1" t="str">
        <f>IF(A38="","",'06'!$J$3)</f>
        <v/>
      </c>
      <c r="L38" s="10"/>
      <c r="M38" s="1059" t="str">
        <f>IF(A38="","",I38*K38*L38)</f>
        <v/>
      </c>
      <c r="N38" s="1058"/>
    </row>
    <row r="39" spans="1:14" ht="12.75" customHeight="1" x14ac:dyDescent="0.25">
      <c r="A39" s="1063"/>
      <c r="B39" s="1057"/>
      <c r="C39" s="1057"/>
      <c r="D39" s="1057"/>
      <c r="E39" s="1057"/>
      <c r="F39" s="1057"/>
      <c r="G39" s="1058"/>
      <c r="H39" s="9" t="str">
        <f>IF(A39="","",VLOOKUP(A39,AA_Cuadrillas,4,FALSE))</f>
        <v/>
      </c>
      <c r="I39" s="1059" t="str">
        <f>IF(A39="","",VLOOKUP(A39,AA_Cuadrillas,5,FALSE))</f>
        <v/>
      </c>
      <c r="J39" s="1058"/>
      <c r="K39" s="1" t="str">
        <f>IF(A39="","",'06'!$J$3)</f>
        <v/>
      </c>
      <c r="L39" s="10"/>
      <c r="M39" s="1059" t="str">
        <f>IF(A39="","",I39*K39*L39)</f>
        <v/>
      </c>
      <c r="N39" s="1058"/>
    </row>
    <row r="40" spans="1:14" ht="12.75" customHeight="1" x14ac:dyDescent="0.25">
      <c r="A40" s="3"/>
      <c r="B40" s="3"/>
      <c r="C40" s="3"/>
      <c r="D40" s="3"/>
      <c r="E40" s="3"/>
      <c r="F40" s="3"/>
      <c r="G40" s="3"/>
      <c r="H40" s="3"/>
      <c r="I40" s="3"/>
      <c r="J40" s="3"/>
      <c r="K40" s="1066" t="s">
        <v>201</v>
      </c>
      <c r="L40" s="1058"/>
      <c r="M40" s="1059">
        <f>SUM(M35:N39)</f>
        <v>255.83322767169926</v>
      </c>
      <c r="N40" s="1058"/>
    </row>
    <row r="41" spans="1:14" ht="12.75" customHeight="1" x14ac:dyDescent="0.25">
      <c r="A41" s="3"/>
      <c r="B41" s="3"/>
      <c r="C41" s="3"/>
      <c r="D41" s="3"/>
      <c r="E41" s="3"/>
      <c r="F41" s="3"/>
      <c r="G41" s="3"/>
      <c r="H41" s="3"/>
      <c r="I41" s="3"/>
      <c r="J41" s="3"/>
      <c r="K41" s="3"/>
      <c r="L41" s="3"/>
      <c r="M41" s="3"/>
      <c r="N41" s="3"/>
    </row>
    <row r="42" spans="1:14" ht="12.75" customHeight="1" x14ac:dyDescent="0.2">
      <c r="A42" s="1107" t="s">
        <v>1622</v>
      </c>
      <c r="B42" s="1108"/>
      <c r="C42" s="1108"/>
      <c r="D42" s="1108"/>
      <c r="E42" s="1108"/>
      <c r="F42" s="1108"/>
      <c r="G42" s="1108"/>
      <c r="H42" s="1108"/>
      <c r="I42" s="1108"/>
      <c r="J42" s="1108"/>
      <c r="K42" s="1108"/>
      <c r="L42" s="1108"/>
      <c r="M42" s="1108"/>
      <c r="N42" s="1109"/>
    </row>
    <row r="43" spans="1:14" ht="12.75" customHeight="1" x14ac:dyDescent="0.2">
      <c r="A43" s="1110"/>
      <c r="B43" s="1111"/>
      <c r="C43" s="1111"/>
      <c r="D43" s="1111"/>
      <c r="E43" s="1111"/>
      <c r="F43" s="1111"/>
      <c r="G43" s="1111"/>
      <c r="H43" s="1111"/>
      <c r="I43" s="1111"/>
      <c r="J43" s="1111"/>
      <c r="K43" s="1111"/>
      <c r="L43" s="1111"/>
      <c r="M43" s="1111"/>
      <c r="N43" s="1112"/>
    </row>
    <row r="44" spans="1:14" ht="12.75" customHeight="1" x14ac:dyDescent="0.2">
      <c r="A44" s="16">
        <v>1</v>
      </c>
      <c r="B44" s="16">
        <v>2</v>
      </c>
      <c r="C44" s="16">
        <v>3</v>
      </c>
      <c r="D44" s="16">
        <v>4</v>
      </c>
      <c r="E44" s="16">
        <v>5</v>
      </c>
      <c r="F44" s="16">
        <v>6</v>
      </c>
      <c r="G44" s="16">
        <v>7</v>
      </c>
      <c r="H44" s="16">
        <v>8</v>
      </c>
      <c r="I44" s="16">
        <v>9</v>
      </c>
      <c r="J44" s="16">
        <v>10</v>
      </c>
      <c r="K44" s="16">
        <v>11</v>
      </c>
      <c r="L44" s="16">
        <v>12</v>
      </c>
      <c r="M44" s="16">
        <v>13</v>
      </c>
      <c r="N44" s="16">
        <v>14</v>
      </c>
    </row>
    <row r="45" spans="1:14" ht="12.75" customHeight="1" x14ac:dyDescent="0.3">
      <c r="A45" s="18" t="s">
        <v>291</v>
      </c>
      <c r="B45" s="19" t="str">
        <f>A42</f>
        <v>LOCALIZACIÓN Y REPLANTEO DE ESTRUCTURAS (NO INCLUYE COMISIÓN TOPOGRÁFICA)</v>
      </c>
      <c r="C45" s="20" t="s">
        <v>382</v>
      </c>
      <c r="D45" s="21" t="s">
        <v>397</v>
      </c>
      <c r="E45" s="22" t="s">
        <v>125</v>
      </c>
      <c r="F45" s="23">
        <f>(H45+J45+L45+N45)*$O$2</f>
        <v>11175.461164172608</v>
      </c>
      <c r="G45" s="22" t="s">
        <v>285</v>
      </c>
      <c r="H45" s="24">
        <f>M63</f>
        <v>90.675360153383281</v>
      </c>
      <c r="I45" s="22" t="s">
        <v>383</v>
      </c>
      <c r="J45" s="25">
        <f>M54</f>
        <v>8250</v>
      </c>
      <c r="K45" s="22" t="s">
        <v>287</v>
      </c>
      <c r="L45" s="24">
        <f>M72</f>
        <v>0</v>
      </c>
      <c r="M45" s="22" t="s">
        <v>288</v>
      </c>
      <c r="N45" s="26">
        <f>M81</f>
        <v>255.83322767169926</v>
      </c>
    </row>
    <row r="46" spans="1:14" ht="12.75" customHeight="1" x14ac:dyDescent="0.25">
      <c r="A46" s="27"/>
      <c r="B46" s="27"/>
      <c r="C46" s="27"/>
      <c r="D46" s="27"/>
      <c r="E46" s="27"/>
      <c r="F46" s="27"/>
      <c r="G46" s="27"/>
      <c r="J46" s="27"/>
      <c r="K46" s="27"/>
      <c r="L46" s="27"/>
      <c r="M46" s="27"/>
      <c r="N46" s="27"/>
    </row>
    <row r="47" spans="1:14" ht="12.75" customHeight="1" x14ac:dyDescent="0.2">
      <c r="A47" s="1065" t="s">
        <v>384</v>
      </c>
      <c r="B47" s="1057"/>
      <c r="C47" s="1057"/>
      <c r="D47" s="1057"/>
      <c r="E47" s="1057"/>
      <c r="F47" s="1057"/>
      <c r="G47" s="1057"/>
      <c r="H47" s="1057"/>
      <c r="I47" s="1057"/>
      <c r="J47" s="1057"/>
      <c r="K47" s="1057"/>
      <c r="L47" s="1057"/>
      <c r="M47" s="1057"/>
      <c r="N47" s="1058"/>
    </row>
    <row r="48" spans="1:14" ht="12.75" customHeight="1" x14ac:dyDescent="0.2">
      <c r="A48" s="1066" t="s">
        <v>38</v>
      </c>
      <c r="B48" s="1057"/>
      <c r="C48" s="1057"/>
      <c r="D48" s="1057"/>
      <c r="E48" s="1057"/>
      <c r="F48" s="1057"/>
      <c r="G48" s="1058"/>
      <c r="H48" s="28" t="s">
        <v>39</v>
      </c>
      <c r="I48" s="1062" t="s">
        <v>385</v>
      </c>
      <c r="J48" s="1058"/>
      <c r="K48" s="1062" t="s">
        <v>132</v>
      </c>
      <c r="L48" s="1058"/>
      <c r="M48" s="1062" t="s">
        <v>386</v>
      </c>
      <c r="N48" s="1058"/>
    </row>
    <row r="49" spans="1:14" ht="12.75" customHeight="1" x14ac:dyDescent="0.2">
      <c r="A49" s="1061" t="s">
        <v>1502</v>
      </c>
      <c r="B49" s="1057"/>
      <c r="C49" s="1057"/>
      <c r="D49" s="1057"/>
      <c r="E49" s="1057"/>
      <c r="F49" s="1057"/>
      <c r="G49" s="1058"/>
      <c r="H49" s="9" t="str">
        <f>IF(A49="","",VLOOKUP(A49,AA_Materiales,7,FALSE))</f>
        <v>Unidad</v>
      </c>
      <c r="I49" s="1059">
        <f>IF(A49="","",VLOOKUP(A49,AA_Materiales,8,FALSE))</f>
        <v>3075</v>
      </c>
      <c r="J49" s="1058"/>
      <c r="K49" s="1060">
        <v>2.6</v>
      </c>
      <c r="L49" s="1058"/>
      <c r="M49" s="1059">
        <f>IF(A49="","",I49*K49)</f>
        <v>7995</v>
      </c>
      <c r="N49" s="1058"/>
    </row>
    <row r="50" spans="1:14" ht="12.75" customHeight="1" x14ac:dyDescent="0.2">
      <c r="A50" s="1061" t="s">
        <v>1503</v>
      </c>
      <c r="B50" s="1057"/>
      <c r="C50" s="1057"/>
      <c r="D50" s="1057"/>
      <c r="E50" s="1057"/>
      <c r="F50" s="1057"/>
      <c r="G50" s="1058"/>
      <c r="H50" s="9" t="str">
        <f>IF(A50="","",VLOOKUP(A50,AA_Materiales,7,FALSE))</f>
        <v>LB</v>
      </c>
      <c r="I50" s="1059">
        <f>IF(A50="","",VLOOKUP(A50,AA_Materiales,8,FALSE))</f>
        <v>5100</v>
      </c>
      <c r="J50" s="1058"/>
      <c r="K50" s="1070">
        <v>0.05</v>
      </c>
      <c r="L50" s="1071"/>
      <c r="M50" s="1059">
        <f>IF(A50="","",I50*K50)</f>
        <v>255</v>
      </c>
      <c r="N50" s="1058"/>
    </row>
    <row r="51" spans="1:14" ht="12.75" customHeight="1" x14ac:dyDescent="0.2">
      <c r="A51" s="1061"/>
      <c r="B51" s="1057"/>
      <c r="C51" s="1057"/>
      <c r="D51" s="1057"/>
      <c r="E51" s="1057"/>
      <c r="F51" s="1057"/>
      <c r="G51" s="1058"/>
      <c r="H51" s="9" t="str">
        <f>IF(A51="","",VLOOKUP(A51,AA_Materiales,7,FALSE))</f>
        <v/>
      </c>
      <c r="I51" s="1059" t="str">
        <f>IF(A51="","",VLOOKUP(A51,AA_Materiales,8,FALSE))</f>
        <v/>
      </c>
      <c r="J51" s="1058"/>
      <c r="K51" s="1060"/>
      <c r="L51" s="1058"/>
      <c r="M51" s="1059" t="str">
        <f>IF(A51="","",I51*K51)</f>
        <v/>
      </c>
      <c r="N51" s="1058"/>
    </row>
    <row r="52" spans="1:14" ht="12.75" customHeight="1" x14ac:dyDescent="0.2">
      <c r="A52" s="1061"/>
      <c r="B52" s="1057"/>
      <c r="C52" s="1057"/>
      <c r="D52" s="1057"/>
      <c r="E52" s="1057"/>
      <c r="F52" s="1057"/>
      <c r="G52" s="1058"/>
      <c r="H52" s="9" t="str">
        <f>IF(A52="","",VLOOKUP(A52,AA_Materiales,7,FALSE))</f>
        <v/>
      </c>
      <c r="I52" s="1059" t="str">
        <f>IF(A52="","",VLOOKUP(A52,AA_Materiales,8,FALSE))</f>
        <v/>
      </c>
      <c r="J52" s="1058"/>
      <c r="K52" s="1060"/>
      <c r="L52" s="1058"/>
      <c r="M52" s="1059" t="str">
        <f>IF(A52="","",I52*K52)</f>
        <v/>
      </c>
      <c r="N52" s="1058"/>
    </row>
    <row r="53" spans="1:14" ht="12.75" customHeight="1" x14ac:dyDescent="0.2">
      <c r="A53" s="1061"/>
      <c r="B53" s="1057"/>
      <c r="C53" s="1057"/>
      <c r="D53" s="1057"/>
      <c r="E53" s="1057"/>
      <c r="F53" s="1057"/>
      <c r="G53" s="1058"/>
      <c r="H53" s="9" t="str">
        <f>IF(A53="","",VLOOKUP(A53,AA_Materiales,7,FALSE))</f>
        <v/>
      </c>
      <c r="I53" s="1059" t="str">
        <f>IF(A53="","",VLOOKUP(A53,AA_Materiales,8,FALSE))</f>
        <v/>
      </c>
      <c r="J53" s="1058"/>
      <c r="K53" s="1060"/>
      <c r="L53" s="1058"/>
      <c r="M53" s="1059" t="str">
        <f>IF(A53="","",I53*K53)</f>
        <v/>
      </c>
      <c r="N53" s="1058"/>
    </row>
    <row r="54" spans="1:14" ht="12.75" customHeight="1" x14ac:dyDescent="0.25">
      <c r="A54" s="3"/>
      <c r="B54" s="3"/>
      <c r="C54" s="3"/>
      <c r="D54" s="3"/>
      <c r="E54" s="3"/>
      <c r="F54" s="3"/>
      <c r="G54" s="3"/>
      <c r="H54" s="3"/>
      <c r="I54" s="3"/>
      <c r="J54" s="3"/>
      <c r="K54" s="1066" t="s">
        <v>201</v>
      </c>
      <c r="L54" s="1058"/>
      <c r="M54" s="1059">
        <f>SUM(M49:N53)</f>
        <v>8250</v>
      </c>
      <c r="N54" s="1058"/>
    </row>
    <row r="55" spans="1:14" ht="12.75" customHeight="1" x14ac:dyDescent="0.25">
      <c r="A55" s="3"/>
      <c r="B55" s="3"/>
      <c r="C55" s="3"/>
      <c r="D55" s="3"/>
      <c r="E55" s="3"/>
      <c r="F55" s="3"/>
      <c r="G55" s="3"/>
      <c r="H55" s="3"/>
      <c r="I55" s="3"/>
      <c r="J55" s="3"/>
      <c r="K55" s="3"/>
      <c r="L55" s="3"/>
      <c r="M55" s="3"/>
      <c r="N55" s="3"/>
    </row>
    <row r="56" spans="1:14" ht="12.75" customHeight="1" x14ac:dyDescent="0.2">
      <c r="A56" s="1065" t="s">
        <v>390</v>
      </c>
      <c r="B56" s="1057"/>
      <c r="C56" s="1057"/>
      <c r="D56" s="1057"/>
      <c r="E56" s="1057"/>
      <c r="F56" s="1057"/>
      <c r="G56" s="1057"/>
      <c r="H56" s="1057"/>
      <c r="I56" s="1057"/>
      <c r="J56" s="1057"/>
      <c r="K56" s="1057"/>
      <c r="L56" s="1057"/>
      <c r="M56" s="1057"/>
      <c r="N56" s="1058"/>
    </row>
    <row r="57" spans="1:14" ht="12.75" customHeight="1" x14ac:dyDescent="0.2">
      <c r="A57" s="1066" t="s">
        <v>38</v>
      </c>
      <c r="B57" s="1057"/>
      <c r="C57" s="1057"/>
      <c r="D57" s="1057"/>
      <c r="E57" s="1057"/>
      <c r="F57" s="1057"/>
      <c r="G57" s="1058"/>
      <c r="H57" s="28" t="s">
        <v>39</v>
      </c>
      <c r="I57" s="1062" t="s">
        <v>385</v>
      </c>
      <c r="J57" s="1058"/>
      <c r="K57" s="1062" t="s">
        <v>132</v>
      </c>
      <c r="L57" s="1058"/>
      <c r="M57" s="1062" t="s">
        <v>386</v>
      </c>
      <c r="N57" s="1058"/>
    </row>
    <row r="58" spans="1:14" ht="12.75" customHeight="1" x14ac:dyDescent="0.2">
      <c r="A58" s="1061" t="s">
        <v>391</v>
      </c>
      <c r="B58" s="1057"/>
      <c r="C58" s="1057"/>
      <c r="D58" s="1057"/>
      <c r="E58" s="1057"/>
      <c r="F58" s="1057"/>
      <c r="G58" s="1058"/>
      <c r="H58" s="9" t="str">
        <f>IF(A58="","",VLOOKUP(A58,AA_Equipos,7,FALSE))</f>
        <v>% M.O.</v>
      </c>
      <c r="I58" s="1059">
        <f>M81</f>
        <v>255.83322767169926</v>
      </c>
      <c r="J58" s="1058"/>
      <c r="K58" s="1064">
        <v>0.05</v>
      </c>
      <c r="L58" s="1058"/>
      <c r="M58" s="1059">
        <f>IF(A58="","",I58*K58)</f>
        <v>12.791661383584964</v>
      </c>
      <c r="N58" s="1058"/>
    </row>
    <row r="59" spans="1:14" ht="12.75" customHeight="1" x14ac:dyDescent="0.2">
      <c r="A59" s="1056" t="s">
        <v>1608</v>
      </c>
      <c r="B59" s="1057"/>
      <c r="C59" s="1057"/>
      <c r="D59" s="1057"/>
      <c r="E59" s="1057"/>
      <c r="F59" s="1057"/>
      <c r="G59" s="1058"/>
      <c r="H59" s="9" t="str">
        <f>IF(A59="","",VLOOKUP(A59,AA_Equipos,7,FALSE))</f>
        <v>Hora</v>
      </c>
      <c r="I59" s="1059">
        <f>IF(A59="","",VLOOKUP(A59,AA_Equipos,8,FALSE))</f>
        <v>13863.2983810241</v>
      </c>
      <c r="J59" s="1058"/>
      <c r="K59" s="1060">
        <v>178</v>
      </c>
      <c r="L59" s="1083"/>
      <c r="M59" s="1059">
        <f>IF(A59="","",I59/K59)</f>
        <v>77.883698769798315</v>
      </c>
      <c r="N59" s="1058"/>
    </row>
    <row r="60" spans="1:14" ht="12.75" customHeight="1" x14ac:dyDescent="0.2">
      <c r="A60" s="1056"/>
      <c r="B60" s="1057"/>
      <c r="C60" s="1057"/>
      <c r="D60" s="1057"/>
      <c r="E60" s="1057"/>
      <c r="F60" s="1057"/>
      <c r="G60" s="1058"/>
      <c r="H60" s="9" t="str">
        <f>IF(A60="","",VLOOKUP(A60,AA_Equipos,7,FALSE))</f>
        <v/>
      </c>
      <c r="I60" s="1059" t="str">
        <f>IF(A60="","",VLOOKUP(A60,AA_Materiales,8,FALSE))</f>
        <v/>
      </c>
      <c r="J60" s="1058"/>
      <c r="K60" s="1060"/>
      <c r="L60" s="1058"/>
      <c r="M60" s="1059" t="str">
        <f>IF(A60="","",I60*K60)</f>
        <v/>
      </c>
      <c r="N60" s="1058"/>
    </row>
    <row r="61" spans="1:14" ht="12.75" customHeight="1" x14ac:dyDescent="0.2">
      <c r="A61" s="1056"/>
      <c r="B61" s="1057"/>
      <c r="C61" s="1057"/>
      <c r="D61" s="1057"/>
      <c r="E61" s="1057"/>
      <c r="F61" s="1057"/>
      <c r="G61" s="1058"/>
      <c r="H61" s="9" t="str">
        <f>IF(A61="","",VLOOKUP(A61,AA_Equipos,7,FALSE))</f>
        <v/>
      </c>
      <c r="I61" s="1059" t="str">
        <f>IF(A61="","",VLOOKUP(A61,AA_Materiales,8,FALSE))</f>
        <v/>
      </c>
      <c r="J61" s="1058"/>
      <c r="K61" s="1060"/>
      <c r="L61" s="1058"/>
      <c r="M61" s="1059" t="str">
        <f>IF(A61="","",I61*K61)</f>
        <v/>
      </c>
      <c r="N61" s="1058"/>
    </row>
    <row r="62" spans="1:14" ht="12.75" customHeight="1" x14ac:dyDescent="0.2">
      <c r="A62" s="1056"/>
      <c r="B62" s="1057"/>
      <c r="C62" s="1057"/>
      <c r="D62" s="1057"/>
      <c r="E62" s="1057"/>
      <c r="F62" s="1057"/>
      <c r="G62" s="1058"/>
      <c r="H62" s="9" t="str">
        <f>IF(A62="","",VLOOKUP(A62,AA_Equipos,7,FALSE))</f>
        <v/>
      </c>
      <c r="I62" s="1059" t="str">
        <f>IF(A62="","",VLOOKUP(A62,AA_Materiales,8,FALSE))</f>
        <v/>
      </c>
      <c r="J62" s="1058"/>
      <c r="K62" s="1060"/>
      <c r="L62" s="1058"/>
      <c r="M62" s="1059" t="str">
        <f>IF(A62="","",I62*K62)</f>
        <v/>
      </c>
      <c r="N62" s="1058"/>
    </row>
    <row r="63" spans="1:14" ht="12.75" customHeight="1" x14ac:dyDescent="0.25">
      <c r="A63" s="3"/>
      <c r="B63" s="3"/>
      <c r="C63" s="3"/>
      <c r="D63" s="3"/>
      <c r="E63" s="3"/>
      <c r="F63" s="3"/>
      <c r="G63" s="3"/>
      <c r="H63" s="3"/>
      <c r="I63" s="3"/>
      <c r="J63" s="3"/>
      <c r="K63" s="1066" t="s">
        <v>201</v>
      </c>
      <c r="L63" s="1058"/>
      <c r="M63" s="1059">
        <f>SUM(M58:N62)</f>
        <v>90.675360153383281</v>
      </c>
      <c r="N63" s="1058"/>
    </row>
    <row r="64" spans="1:14" ht="12.75" customHeight="1" x14ac:dyDescent="0.25">
      <c r="A64" s="3"/>
      <c r="B64" s="3"/>
      <c r="C64" s="3"/>
      <c r="D64" s="3"/>
      <c r="E64" s="3"/>
      <c r="F64" s="3"/>
      <c r="G64" s="3"/>
      <c r="H64" s="3"/>
      <c r="I64" s="3"/>
      <c r="J64" s="3"/>
      <c r="K64" s="3"/>
      <c r="L64" s="3"/>
      <c r="M64" s="3"/>
      <c r="N64" s="3"/>
    </row>
    <row r="65" spans="1:14" ht="12.75" customHeight="1" x14ac:dyDescent="0.2">
      <c r="A65" s="1065" t="s">
        <v>392</v>
      </c>
      <c r="B65" s="1057"/>
      <c r="C65" s="1057"/>
      <c r="D65" s="1057"/>
      <c r="E65" s="1057"/>
      <c r="F65" s="1057"/>
      <c r="G65" s="1057"/>
      <c r="H65" s="1057"/>
      <c r="I65" s="1057"/>
      <c r="J65" s="1057"/>
      <c r="K65" s="1057"/>
      <c r="L65" s="1057"/>
      <c r="M65" s="1057"/>
      <c r="N65" s="1058"/>
    </row>
    <row r="66" spans="1:14" ht="12.75" customHeight="1" x14ac:dyDescent="0.2">
      <c r="A66" s="1066" t="s">
        <v>38</v>
      </c>
      <c r="B66" s="1057"/>
      <c r="C66" s="1057"/>
      <c r="D66" s="1057"/>
      <c r="E66" s="1057"/>
      <c r="F66" s="1057"/>
      <c r="G66" s="1058"/>
      <c r="H66" s="28" t="s">
        <v>39</v>
      </c>
      <c r="I66" s="1062" t="s">
        <v>385</v>
      </c>
      <c r="J66" s="1058"/>
      <c r="K66" s="1062" t="s">
        <v>132</v>
      </c>
      <c r="L66" s="1058"/>
      <c r="M66" s="1062" t="s">
        <v>386</v>
      </c>
      <c r="N66" s="1058"/>
    </row>
    <row r="67" spans="1:14" ht="12.75" customHeight="1" x14ac:dyDescent="0.2">
      <c r="A67" s="1061" t="s">
        <v>393</v>
      </c>
      <c r="B67" s="1057"/>
      <c r="C67" s="1057"/>
      <c r="D67" s="1057"/>
      <c r="E67" s="1057"/>
      <c r="F67" s="1057"/>
      <c r="G67" s="1058"/>
      <c r="H67" s="9"/>
      <c r="I67" s="1059"/>
      <c r="J67" s="1058"/>
      <c r="K67" s="1064"/>
      <c r="L67" s="1058"/>
      <c r="M67" s="1059">
        <f>IF(A67="","",I67*K67)</f>
        <v>0</v>
      </c>
      <c r="N67" s="1058"/>
    </row>
    <row r="68" spans="1:14" ht="12.75" customHeight="1" x14ac:dyDescent="0.2">
      <c r="A68" s="1056"/>
      <c r="B68" s="1057"/>
      <c r="C68" s="1057"/>
      <c r="D68" s="1057"/>
      <c r="E68" s="1057"/>
      <c r="F68" s="1057"/>
      <c r="G68" s="1058"/>
      <c r="H68" s="9"/>
      <c r="I68" s="1059"/>
      <c r="J68" s="1058"/>
      <c r="K68" s="1067"/>
      <c r="L68" s="1058"/>
      <c r="M68" s="1059" t="str">
        <f>IF(A68="","",I68*K68)</f>
        <v/>
      </c>
      <c r="N68" s="1058"/>
    </row>
    <row r="69" spans="1:14" ht="12.75" customHeight="1" x14ac:dyDescent="0.2">
      <c r="A69" s="1061"/>
      <c r="B69" s="1057"/>
      <c r="C69" s="1057"/>
      <c r="D69" s="1057"/>
      <c r="E69" s="1057"/>
      <c r="F69" s="1057"/>
      <c r="G69" s="1058"/>
      <c r="H69" s="9"/>
      <c r="I69" s="1059"/>
      <c r="J69" s="1058"/>
      <c r="K69" s="1060"/>
      <c r="L69" s="1058"/>
      <c r="M69" s="1059" t="str">
        <f>IF(A69="","",I69*K69)</f>
        <v/>
      </c>
      <c r="N69" s="1058"/>
    </row>
    <row r="70" spans="1:14" ht="12.75" customHeight="1" x14ac:dyDescent="0.2">
      <c r="A70" s="1061"/>
      <c r="B70" s="1057"/>
      <c r="C70" s="1057"/>
      <c r="D70" s="1057"/>
      <c r="E70" s="1057"/>
      <c r="F70" s="1057"/>
      <c r="G70" s="1058"/>
      <c r="H70" s="9"/>
      <c r="I70" s="1059"/>
      <c r="J70" s="1058"/>
      <c r="K70" s="1060"/>
      <c r="L70" s="1058"/>
      <c r="M70" s="1059" t="str">
        <f>IF(A70="","",I70*K70)</f>
        <v/>
      </c>
      <c r="N70" s="1058"/>
    </row>
    <row r="71" spans="1:14" ht="12.75" customHeight="1" x14ac:dyDescent="0.2">
      <c r="A71" s="1061"/>
      <c r="B71" s="1057"/>
      <c r="C71" s="1057"/>
      <c r="D71" s="1057"/>
      <c r="E71" s="1057"/>
      <c r="F71" s="1057"/>
      <c r="G71" s="1058"/>
      <c r="H71" s="9"/>
      <c r="I71" s="1059"/>
      <c r="J71" s="1058"/>
      <c r="K71" s="1060"/>
      <c r="L71" s="1058"/>
      <c r="M71" s="1059" t="str">
        <f>IF(A71="","",I71*K71)</f>
        <v/>
      </c>
      <c r="N71" s="1058"/>
    </row>
    <row r="72" spans="1:14" ht="12.75" customHeight="1" x14ac:dyDescent="0.25">
      <c r="A72" s="3"/>
      <c r="B72" s="3"/>
      <c r="C72" s="3"/>
      <c r="D72" s="3"/>
      <c r="E72" s="3"/>
      <c r="F72" s="3"/>
      <c r="G72" s="3"/>
      <c r="H72" s="3"/>
      <c r="I72" s="3"/>
      <c r="J72" s="3"/>
      <c r="K72" s="1066" t="s">
        <v>201</v>
      </c>
      <c r="L72" s="1058"/>
      <c r="M72" s="1059">
        <f>SUM(M67:N71)</f>
        <v>0</v>
      </c>
      <c r="N72" s="1058"/>
    </row>
    <row r="73" spans="1:14" ht="12.75" customHeight="1" x14ac:dyDescent="0.25">
      <c r="A73" s="3"/>
      <c r="B73" s="3"/>
      <c r="C73" s="3"/>
      <c r="D73" s="3"/>
      <c r="E73" s="3"/>
      <c r="F73" s="3"/>
      <c r="G73" s="3"/>
      <c r="H73" s="3"/>
      <c r="I73" s="3"/>
      <c r="J73" s="3"/>
      <c r="K73" s="3"/>
      <c r="L73" s="3"/>
      <c r="M73" s="3"/>
      <c r="N73" s="3"/>
    </row>
    <row r="74" spans="1:14" ht="12.75" customHeight="1" x14ac:dyDescent="0.2">
      <c r="A74" s="1065" t="s">
        <v>394</v>
      </c>
      <c r="B74" s="1057"/>
      <c r="C74" s="1057"/>
      <c r="D74" s="1057"/>
      <c r="E74" s="1057"/>
      <c r="F74" s="1057"/>
      <c r="G74" s="1057"/>
      <c r="H74" s="1057"/>
      <c r="I74" s="1057"/>
      <c r="J74" s="1057"/>
      <c r="K74" s="1057"/>
      <c r="L74" s="1057"/>
      <c r="M74" s="1057"/>
      <c r="N74" s="1058"/>
    </row>
    <row r="75" spans="1:14" ht="12.75" customHeight="1" x14ac:dyDescent="0.2">
      <c r="A75" s="1066" t="s">
        <v>38</v>
      </c>
      <c r="B75" s="1057"/>
      <c r="C75" s="1057"/>
      <c r="D75" s="1057"/>
      <c r="E75" s="1057"/>
      <c r="F75" s="1057"/>
      <c r="G75" s="1058"/>
      <c r="H75" s="28" t="s">
        <v>39</v>
      </c>
      <c r="I75" s="1062" t="s">
        <v>385</v>
      </c>
      <c r="J75" s="1058"/>
      <c r="K75" s="30" t="s">
        <v>193</v>
      </c>
      <c r="L75" s="31" t="s">
        <v>395</v>
      </c>
      <c r="M75" s="1062" t="s">
        <v>386</v>
      </c>
      <c r="N75" s="1058"/>
    </row>
    <row r="76" spans="1:14" ht="12.75" customHeight="1" x14ac:dyDescent="0.25">
      <c r="A76" s="1063" t="s">
        <v>400</v>
      </c>
      <c r="B76" s="1057"/>
      <c r="C76" s="1057"/>
      <c r="D76" s="1057"/>
      <c r="E76" s="1057"/>
      <c r="F76" s="1057"/>
      <c r="G76" s="1058"/>
      <c r="H76" s="9" t="str">
        <f>IF(A76="","",VLOOKUP(A76,AA_Cuadrillas,4,FALSE))</f>
        <v>Cuadrilla</v>
      </c>
      <c r="I76" s="1059">
        <f>IF(A76="","",VLOOKUP(A76,AA_Cuadrillas,5,FALSE))</f>
        <v>67118</v>
      </c>
      <c r="J76" s="1058"/>
      <c r="K76" s="1">
        <f>IF(A76="","",'06'!$J$3)</f>
        <v>1.7233500000000002</v>
      </c>
      <c r="L76" s="32">
        <v>2.2117928753654604E-3</v>
      </c>
      <c r="M76" s="1059">
        <f>IF(A76="","",I76*K76*L76)</f>
        <v>255.83322767169926</v>
      </c>
      <c r="N76" s="1058"/>
    </row>
    <row r="77" spans="1:14" ht="12.75" customHeight="1" x14ac:dyDescent="0.25">
      <c r="A77" s="1063"/>
      <c r="B77" s="1057"/>
      <c r="C77" s="1057"/>
      <c r="D77" s="1057"/>
      <c r="E77" s="1057"/>
      <c r="F77" s="1057"/>
      <c r="G77" s="1058"/>
      <c r="H77" s="9" t="str">
        <f>IF(A77="","",VLOOKUP(A77,AA_Cuadrillas,4,FALSE))</f>
        <v/>
      </c>
      <c r="I77" s="1059" t="str">
        <f>IF(A77="","",VLOOKUP(A77,AA_Cuadrillas,5,FALSE))</f>
        <v/>
      </c>
      <c r="J77" s="1058"/>
      <c r="K77" s="1" t="str">
        <f>IF(A77="","",'06'!$J$3)</f>
        <v/>
      </c>
      <c r="L77" s="1"/>
      <c r="M77" s="1059" t="str">
        <f>IF(A77="","",I77*K77*L77)</f>
        <v/>
      </c>
      <c r="N77" s="1058"/>
    </row>
    <row r="78" spans="1:14" ht="12.75" customHeight="1" x14ac:dyDescent="0.25">
      <c r="A78" s="1063"/>
      <c r="B78" s="1057"/>
      <c r="C78" s="1057"/>
      <c r="D78" s="1057"/>
      <c r="E78" s="1057"/>
      <c r="F78" s="1057"/>
      <c r="G78" s="1058"/>
      <c r="H78" s="9" t="str">
        <f>IF(A78="","",VLOOKUP(A78,AA_Cuadrillas,4,FALSE))</f>
        <v/>
      </c>
      <c r="I78" s="1059" t="str">
        <f>IF(A78="","",VLOOKUP(A78,AA_Cuadrillas,5,FALSE))</f>
        <v/>
      </c>
      <c r="J78" s="1058"/>
      <c r="K78" s="1" t="str">
        <f>IF(A78="","",'06'!$J$3)</f>
        <v/>
      </c>
      <c r="L78" s="10"/>
      <c r="M78" s="1059" t="str">
        <f>IF(A78="","",I78*K78*L78)</f>
        <v/>
      </c>
      <c r="N78" s="1058"/>
    </row>
    <row r="79" spans="1:14" ht="12.75" customHeight="1" x14ac:dyDescent="0.25">
      <c r="A79" s="1063"/>
      <c r="B79" s="1057"/>
      <c r="C79" s="1057"/>
      <c r="D79" s="1057"/>
      <c r="E79" s="1057"/>
      <c r="F79" s="1057"/>
      <c r="G79" s="1058"/>
      <c r="H79" s="9" t="str">
        <f>IF(A79="","",VLOOKUP(A79,AA_Cuadrillas,4,FALSE))</f>
        <v/>
      </c>
      <c r="I79" s="1059" t="str">
        <f>IF(A79="","",VLOOKUP(A79,AA_Cuadrillas,5,FALSE))</f>
        <v/>
      </c>
      <c r="J79" s="1058"/>
      <c r="K79" s="1" t="str">
        <f>IF(A79="","",'06'!$J$3)</f>
        <v/>
      </c>
      <c r="L79" s="10"/>
      <c r="M79" s="1059" t="str">
        <f>IF(A79="","",I79*K79*L79)</f>
        <v/>
      </c>
      <c r="N79" s="1058"/>
    </row>
    <row r="80" spans="1:14" ht="12.75" customHeight="1" x14ac:dyDescent="0.25">
      <c r="A80" s="1063"/>
      <c r="B80" s="1057"/>
      <c r="C80" s="1057"/>
      <c r="D80" s="1057"/>
      <c r="E80" s="1057"/>
      <c r="F80" s="1057"/>
      <c r="G80" s="1058"/>
      <c r="H80" s="9" t="str">
        <f>IF(A80="","",VLOOKUP(A80,AA_Cuadrillas,4,FALSE))</f>
        <v/>
      </c>
      <c r="I80" s="1059" t="str">
        <f>IF(A80="","",VLOOKUP(A80,AA_Cuadrillas,5,FALSE))</f>
        <v/>
      </c>
      <c r="J80" s="1058"/>
      <c r="K80" s="1" t="str">
        <f>IF(A80="","",'06'!$J$3)</f>
        <v/>
      </c>
      <c r="L80" s="10"/>
      <c r="M80" s="1059" t="str">
        <f>IF(A80="","",I80*K80*L80)</f>
        <v/>
      </c>
      <c r="N80" s="1058"/>
    </row>
    <row r="81" spans="1:15" ht="12.75" customHeight="1" x14ac:dyDescent="0.25">
      <c r="A81" s="3"/>
      <c r="B81" s="3"/>
      <c r="C81" s="3"/>
      <c r="D81" s="3"/>
      <c r="E81" s="3"/>
      <c r="F81" s="3"/>
      <c r="G81" s="3"/>
      <c r="H81" s="3"/>
      <c r="I81" s="3"/>
      <c r="J81" s="3"/>
      <c r="K81" s="1066" t="s">
        <v>201</v>
      </c>
      <c r="L81" s="1058"/>
      <c r="M81" s="1059">
        <f>SUM(M76:N80)</f>
        <v>255.83322767169926</v>
      </c>
      <c r="N81" s="1058"/>
    </row>
    <row r="82" spans="1:15" ht="12.75" customHeight="1" x14ac:dyDescent="0.2"/>
    <row r="83" spans="1:15" ht="12.75" customHeight="1" x14ac:dyDescent="0.2">
      <c r="A83" s="1107" t="s">
        <v>1624</v>
      </c>
      <c r="B83" s="1108"/>
      <c r="C83" s="1108"/>
      <c r="D83" s="1108"/>
      <c r="E83" s="1108"/>
      <c r="F83" s="1108"/>
      <c r="G83" s="1108"/>
      <c r="H83" s="1108"/>
      <c r="I83" s="1108"/>
      <c r="J83" s="1108"/>
      <c r="K83" s="1108"/>
      <c r="L83" s="1108"/>
      <c r="M83" s="1108"/>
      <c r="N83" s="1109"/>
      <c r="O83" s="7"/>
    </row>
    <row r="84" spans="1:15" ht="12.75" customHeight="1" x14ac:dyDescent="0.2">
      <c r="A84" s="1110"/>
      <c r="B84" s="1111"/>
      <c r="C84" s="1111"/>
      <c r="D84" s="1111"/>
      <c r="E84" s="1111"/>
      <c r="F84" s="1111"/>
      <c r="G84" s="1111"/>
      <c r="H84" s="1111"/>
      <c r="I84" s="1111"/>
      <c r="J84" s="1111"/>
      <c r="K84" s="1111"/>
      <c r="L84" s="1111"/>
      <c r="M84" s="1111"/>
      <c r="N84" s="1112"/>
      <c r="O84" s="7"/>
    </row>
    <row r="85" spans="1:15" ht="12.75" customHeight="1" x14ac:dyDescent="0.2">
      <c r="A85" s="16"/>
      <c r="B85" s="16"/>
      <c r="C85" s="16"/>
      <c r="D85" s="16"/>
      <c r="E85" s="16"/>
      <c r="F85" s="16"/>
      <c r="G85" s="16"/>
      <c r="H85" s="16"/>
      <c r="I85" s="16"/>
      <c r="J85" s="16"/>
      <c r="K85" s="16"/>
      <c r="L85" s="16"/>
      <c r="M85" s="16"/>
      <c r="N85" s="16"/>
    </row>
    <row r="86" spans="1:15" ht="12.75" customHeight="1" x14ac:dyDescent="0.3">
      <c r="A86" s="18" t="s">
        <v>292</v>
      </c>
      <c r="B86" s="19" t="str">
        <f>A83</f>
        <v>DESCAPOTE MANUAL Y RETIRO E= 0.20 M APILE A 15 M</v>
      </c>
      <c r="C86" s="20" t="s">
        <v>382</v>
      </c>
      <c r="D86" s="127" t="s">
        <v>397</v>
      </c>
      <c r="E86" s="22" t="s">
        <v>125</v>
      </c>
      <c r="F86" s="26">
        <f>(H86+J86+L86+N86)*$O$2</f>
        <v>16332.803151446715</v>
      </c>
      <c r="G86" s="22" t="s">
        <v>285</v>
      </c>
      <c r="H86" s="26">
        <f>M104</f>
        <v>1791.4922929820882</v>
      </c>
      <c r="I86" s="22" t="s">
        <v>383</v>
      </c>
      <c r="J86" s="26">
        <f>M95</f>
        <v>0</v>
      </c>
      <c r="K86" s="22" t="s">
        <v>287</v>
      </c>
      <c r="L86" s="26">
        <f>M113</f>
        <v>0</v>
      </c>
      <c r="M86" s="22" t="s">
        <v>288</v>
      </c>
      <c r="N86" s="26">
        <f>M122</f>
        <v>10772.2024389</v>
      </c>
    </row>
    <row r="87" spans="1:15" ht="12.75" customHeight="1" x14ac:dyDescent="0.25">
      <c r="A87" s="27"/>
      <c r="B87" s="27"/>
      <c r="C87" s="27"/>
      <c r="D87" s="27"/>
      <c r="E87" s="27"/>
      <c r="F87" s="27"/>
      <c r="G87" s="27"/>
      <c r="J87" s="27"/>
      <c r="K87" s="27"/>
      <c r="L87" s="27"/>
      <c r="M87" s="27"/>
      <c r="N87" s="27"/>
    </row>
    <row r="88" spans="1:15" ht="12.75" customHeight="1" x14ac:dyDescent="0.2">
      <c r="A88" s="1065" t="s">
        <v>384</v>
      </c>
      <c r="B88" s="1057"/>
      <c r="C88" s="1057"/>
      <c r="D88" s="1057"/>
      <c r="E88" s="1057"/>
      <c r="F88" s="1057"/>
      <c r="G88" s="1057"/>
      <c r="H88" s="1057"/>
      <c r="I88" s="1057"/>
      <c r="J88" s="1057"/>
      <c r="K88" s="1057"/>
      <c r="L88" s="1057"/>
      <c r="M88" s="1057"/>
      <c r="N88" s="1058"/>
    </row>
    <row r="89" spans="1:15" ht="12.75" customHeight="1" x14ac:dyDescent="0.2">
      <c r="A89" s="1066" t="s">
        <v>38</v>
      </c>
      <c r="B89" s="1057"/>
      <c r="C89" s="1057"/>
      <c r="D89" s="1057"/>
      <c r="E89" s="1057"/>
      <c r="F89" s="1057"/>
      <c r="G89" s="1058"/>
      <c r="H89" s="28" t="s">
        <v>39</v>
      </c>
      <c r="I89" s="1062" t="s">
        <v>385</v>
      </c>
      <c r="J89" s="1058"/>
      <c r="K89" s="1062" t="s">
        <v>132</v>
      </c>
      <c r="L89" s="1058"/>
      <c r="M89" s="1062" t="s">
        <v>386</v>
      </c>
      <c r="N89" s="1058"/>
    </row>
    <row r="90" spans="1:15" ht="12.75" customHeight="1" x14ac:dyDescent="0.2">
      <c r="A90" s="1061"/>
      <c r="B90" s="1057"/>
      <c r="C90" s="1057"/>
      <c r="D90" s="1057"/>
      <c r="E90" s="1057"/>
      <c r="F90" s="1057"/>
      <c r="G90" s="1058"/>
      <c r="H90" s="9" t="str">
        <f>IF(A90="","",VLOOKUP(A90,AA_Materiales,7,FALSE))</f>
        <v/>
      </c>
      <c r="I90" s="1059" t="str">
        <f>IF(A90="","",VLOOKUP(A90,AA_Materiales,8,FALSE))</f>
        <v/>
      </c>
      <c r="J90" s="1058"/>
      <c r="K90" s="1060"/>
      <c r="L90" s="1058"/>
      <c r="M90" s="1059" t="str">
        <f>IF(A90="","",I90*K90)</f>
        <v/>
      </c>
      <c r="N90" s="1058"/>
    </row>
    <row r="91" spans="1:15" ht="12.75" customHeight="1" x14ac:dyDescent="0.2">
      <c r="A91" s="1061"/>
      <c r="B91" s="1057"/>
      <c r="C91" s="1057"/>
      <c r="D91" s="1057"/>
      <c r="E91" s="1057"/>
      <c r="F91" s="1057"/>
      <c r="G91" s="1058"/>
      <c r="H91" s="9" t="str">
        <f>IF(A91="","",VLOOKUP(A91,AA_Materiales,7,FALSE))</f>
        <v/>
      </c>
      <c r="I91" s="1059" t="str">
        <f>IF(A91="","",VLOOKUP(A91,AA_Materiales,8,FALSE))</f>
        <v/>
      </c>
      <c r="J91" s="1058"/>
      <c r="K91" s="1060"/>
      <c r="L91" s="1058"/>
      <c r="M91" s="1059" t="str">
        <f>IF(A91="","",I91*K91)</f>
        <v/>
      </c>
      <c r="N91" s="1058"/>
    </row>
    <row r="92" spans="1:15" ht="12.75" customHeight="1" x14ac:dyDescent="0.2">
      <c r="A92" s="1061"/>
      <c r="B92" s="1057"/>
      <c r="C92" s="1057"/>
      <c r="D92" s="1057"/>
      <c r="E92" s="1057"/>
      <c r="F92" s="1057"/>
      <c r="G92" s="1058"/>
      <c r="H92" s="9" t="str">
        <f>IF(A92="","",VLOOKUP(A92,AA_Materiales,7,FALSE))</f>
        <v/>
      </c>
      <c r="I92" s="1059" t="str">
        <f>IF(A92="","",VLOOKUP(A92,AA_Materiales,8,FALSE))</f>
        <v/>
      </c>
      <c r="J92" s="1058"/>
      <c r="K92" s="1060"/>
      <c r="L92" s="1058"/>
      <c r="M92" s="1059" t="str">
        <f>IF(A92="","",I92*K92)</f>
        <v/>
      </c>
      <c r="N92" s="1058"/>
    </row>
    <row r="93" spans="1:15" ht="12.75" customHeight="1" x14ac:dyDescent="0.2">
      <c r="A93" s="1061"/>
      <c r="B93" s="1057"/>
      <c r="C93" s="1057"/>
      <c r="D93" s="1057"/>
      <c r="E93" s="1057"/>
      <c r="F93" s="1057"/>
      <c r="G93" s="1058"/>
      <c r="H93" s="9" t="str">
        <f>IF(A93="","",VLOOKUP(A93,AA_Materiales,7,FALSE))</f>
        <v/>
      </c>
      <c r="I93" s="1059" t="str">
        <f>IF(A93="","",VLOOKUP(A93,AA_Materiales,8,FALSE))</f>
        <v/>
      </c>
      <c r="J93" s="1058"/>
      <c r="K93" s="1060"/>
      <c r="L93" s="1058"/>
      <c r="M93" s="1059" t="str">
        <f>IF(A93="","",I93*K93)</f>
        <v/>
      </c>
      <c r="N93" s="1058"/>
    </row>
    <row r="94" spans="1:15" ht="12.75" customHeight="1" x14ac:dyDescent="0.2">
      <c r="A94" s="1061"/>
      <c r="B94" s="1057"/>
      <c r="C94" s="1057"/>
      <c r="D94" s="1057"/>
      <c r="E94" s="1057"/>
      <c r="F94" s="1057"/>
      <c r="G94" s="1058"/>
      <c r="H94" s="9" t="str">
        <f>IF(A94="","",VLOOKUP(A94,AA_Materiales,7,FALSE))</f>
        <v/>
      </c>
      <c r="I94" s="1059" t="str">
        <f>IF(A94="","",VLOOKUP(A94,AA_Materiales,8,FALSE))</f>
        <v/>
      </c>
      <c r="J94" s="1058"/>
      <c r="K94" s="1060"/>
      <c r="L94" s="1058"/>
      <c r="M94" s="1059" t="str">
        <f>IF(A94="","",I94*K94)</f>
        <v/>
      </c>
      <c r="N94" s="1058"/>
    </row>
    <row r="95" spans="1:15" ht="12.75" customHeight="1" x14ac:dyDescent="0.25">
      <c r="A95" s="3"/>
      <c r="B95" s="3"/>
      <c r="C95" s="3"/>
      <c r="D95" s="3"/>
      <c r="E95" s="3"/>
      <c r="F95" s="3"/>
      <c r="G95" s="3"/>
      <c r="H95" s="3"/>
      <c r="I95" s="3"/>
      <c r="J95" s="3"/>
      <c r="K95" s="1066" t="s">
        <v>201</v>
      </c>
      <c r="L95" s="1058"/>
      <c r="M95" s="1059">
        <f>SUM(M90:N94)</f>
        <v>0</v>
      </c>
      <c r="N95" s="1058"/>
    </row>
    <row r="96" spans="1:15" ht="12.75" customHeight="1" x14ac:dyDescent="0.25">
      <c r="A96" s="3"/>
      <c r="B96" s="3"/>
      <c r="C96" s="3"/>
      <c r="D96" s="3"/>
      <c r="E96" s="3"/>
      <c r="F96" s="3"/>
      <c r="G96" s="3"/>
      <c r="H96" s="3"/>
      <c r="I96" s="3"/>
      <c r="J96" s="3"/>
      <c r="K96" s="3"/>
      <c r="L96" s="3"/>
      <c r="M96" s="3"/>
      <c r="N96" s="3"/>
    </row>
    <row r="97" spans="1:14" ht="12.75" customHeight="1" x14ac:dyDescent="0.2">
      <c r="A97" s="1065" t="s">
        <v>390</v>
      </c>
      <c r="B97" s="1057"/>
      <c r="C97" s="1057"/>
      <c r="D97" s="1057"/>
      <c r="E97" s="1057"/>
      <c r="F97" s="1057"/>
      <c r="G97" s="1057"/>
      <c r="H97" s="1057"/>
      <c r="I97" s="1057"/>
      <c r="J97" s="1057"/>
      <c r="K97" s="1057"/>
      <c r="L97" s="1057"/>
      <c r="M97" s="1057"/>
      <c r="N97" s="1058"/>
    </row>
    <row r="98" spans="1:14" ht="12.75" customHeight="1" x14ac:dyDescent="0.2">
      <c r="A98" s="1066" t="s">
        <v>38</v>
      </c>
      <c r="B98" s="1057"/>
      <c r="C98" s="1057"/>
      <c r="D98" s="1057"/>
      <c r="E98" s="1057"/>
      <c r="F98" s="1057"/>
      <c r="G98" s="1058"/>
      <c r="H98" s="28" t="s">
        <v>39</v>
      </c>
      <c r="I98" s="1062" t="s">
        <v>385</v>
      </c>
      <c r="J98" s="1058"/>
      <c r="K98" s="1062" t="s">
        <v>132</v>
      </c>
      <c r="L98" s="1058"/>
      <c r="M98" s="1062" t="s">
        <v>386</v>
      </c>
      <c r="N98" s="1058"/>
    </row>
    <row r="99" spans="1:14" ht="12.75" customHeight="1" x14ac:dyDescent="0.2">
      <c r="A99" s="1061" t="s">
        <v>391</v>
      </c>
      <c r="B99" s="1057"/>
      <c r="C99" s="1057"/>
      <c r="D99" s="1057"/>
      <c r="E99" s="1057"/>
      <c r="F99" s="1057"/>
      <c r="G99" s="1058"/>
      <c r="H99" s="9" t="str">
        <f>IF(A99="","",VLOOKUP(A99,AA_Equipos,7,FALSE))</f>
        <v>% M.O.</v>
      </c>
      <c r="I99" s="1059">
        <f>M122</f>
        <v>10772.2024389</v>
      </c>
      <c r="J99" s="1058"/>
      <c r="K99" s="1064">
        <v>0.05</v>
      </c>
      <c r="L99" s="1058"/>
      <c r="M99" s="1059">
        <f>IF(A99="","",I99*K99)</f>
        <v>538.61012194500006</v>
      </c>
      <c r="N99" s="1058"/>
    </row>
    <row r="100" spans="1:14" ht="13.5" x14ac:dyDescent="0.2">
      <c r="A100" s="1056" t="s">
        <v>1614</v>
      </c>
      <c r="B100" s="1057"/>
      <c r="C100" s="1057"/>
      <c r="D100" s="1057"/>
      <c r="E100" s="1057"/>
      <c r="F100" s="1057"/>
      <c r="G100" s="1058"/>
      <c r="H100" s="9" t="str">
        <f>IF(A100="","",VLOOKUP(A100,AA_Equipos,7,FALSE))</f>
        <v>Hora</v>
      </c>
      <c r="I100" s="1059">
        <f>IF(A100="","",VLOOKUP(A100,AA_Equipos,8,FALSE))</f>
        <v>156610.27137963599</v>
      </c>
      <c r="J100" s="1058"/>
      <c r="K100" s="1067">
        <v>8.0000000000000002E-3</v>
      </c>
      <c r="L100" s="1058"/>
      <c r="M100" s="1059">
        <f>IF(A100="","",I100*K100)</f>
        <v>1252.882171037088</v>
      </c>
      <c r="N100" s="1058"/>
    </row>
    <row r="101" spans="1:14" ht="12.75" customHeight="1" x14ac:dyDescent="0.2">
      <c r="A101" s="1056"/>
      <c r="B101" s="1057"/>
      <c r="C101" s="1057"/>
      <c r="D101" s="1057"/>
      <c r="E101" s="1057"/>
      <c r="F101" s="1057"/>
      <c r="G101" s="1058"/>
      <c r="H101" s="9" t="str">
        <f>IF(A101="","",VLOOKUP(A101,AA_Equipos,7,FALSE))</f>
        <v/>
      </c>
      <c r="I101" s="1059" t="str">
        <f>IF(A101="","",VLOOKUP(A101,AA_Equipos,8,FALSE))</f>
        <v/>
      </c>
      <c r="J101" s="1058"/>
      <c r="K101" s="1060"/>
      <c r="L101" s="1058"/>
      <c r="M101" s="1059" t="str">
        <f>IF(A101="","",I101*K101)</f>
        <v/>
      </c>
      <c r="N101" s="1058"/>
    </row>
    <row r="102" spans="1:14" ht="12.75" customHeight="1" x14ac:dyDescent="0.2">
      <c r="A102" s="1056"/>
      <c r="B102" s="1057"/>
      <c r="C102" s="1057"/>
      <c r="D102" s="1057"/>
      <c r="E102" s="1057"/>
      <c r="F102" s="1057"/>
      <c r="G102" s="1058"/>
      <c r="H102" s="9" t="str">
        <f>IF(A102="","",VLOOKUP(A102,AA_Equipos,7,FALSE))</f>
        <v/>
      </c>
      <c r="I102" s="1059" t="str">
        <f>IF(A102="","",VLOOKUP(A102,AA_Equipos,8,FALSE))</f>
        <v/>
      </c>
      <c r="J102" s="1058"/>
      <c r="K102" s="1060"/>
      <c r="L102" s="1058"/>
      <c r="M102" s="1059" t="str">
        <f>IF(A102="","",I102*K102)</f>
        <v/>
      </c>
      <c r="N102" s="1058"/>
    </row>
    <row r="103" spans="1:14" ht="12.75" customHeight="1" x14ac:dyDescent="0.2">
      <c r="A103" s="1056"/>
      <c r="B103" s="1057"/>
      <c r="C103" s="1057"/>
      <c r="D103" s="1057"/>
      <c r="E103" s="1057"/>
      <c r="F103" s="1057"/>
      <c r="G103" s="1058"/>
      <c r="H103" s="9" t="str">
        <f>IF(A103="","",VLOOKUP(A103,AA_Equipos,7,FALSE))</f>
        <v/>
      </c>
      <c r="I103" s="1059" t="str">
        <f>IF(A103="","",VLOOKUP(A103,AA_Equipos,8,FALSE))</f>
        <v/>
      </c>
      <c r="J103" s="1058"/>
      <c r="K103" s="1060"/>
      <c r="L103" s="1058"/>
      <c r="M103" s="1059" t="str">
        <f>IF(A103="","",I103*K103)</f>
        <v/>
      </c>
      <c r="N103" s="1058"/>
    </row>
    <row r="104" spans="1:14" ht="12.75" customHeight="1" x14ac:dyDescent="0.25">
      <c r="A104" s="3"/>
      <c r="B104" s="3"/>
      <c r="C104" s="3"/>
      <c r="D104" s="3"/>
      <c r="E104" s="3"/>
      <c r="F104" s="3"/>
      <c r="G104" s="3"/>
      <c r="H104" s="3"/>
      <c r="I104" s="3"/>
      <c r="J104" s="3"/>
      <c r="K104" s="1066" t="s">
        <v>201</v>
      </c>
      <c r="L104" s="1058"/>
      <c r="M104" s="1059">
        <f>SUM(M99:N103)</f>
        <v>1791.4922929820882</v>
      </c>
      <c r="N104" s="1058"/>
    </row>
    <row r="105" spans="1:14" ht="12.75" customHeight="1" x14ac:dyDescent="0.25">
      <c r="A105" s="3"/>
      <c r="B105" s="3"/>
      <c r="C105" s="3"/>
      <c r="D105" s="3"/>
      <c r="E105" s="3"/>
      <c r="F105" s="3"/>
      <c r="G105" s="3"/>
      <c r="H105" s="3"/>
      <c r="I105" s="3"/>
      <c r="J105" s="3"/>
      <c r="K105" s="3"/>
      <c r="L105" s="3"/>
      <c r="M105" s="3"/>
      <c r="N105" s="3"/>
    </row>
    <row r="106" spans="1:14" ht="12.75" customHeight="1" x14ac:dyDescent="0.2">
      <c r="A106" s="1065" t="s">
        <v>392</v>
      </c>
      <c r="B106" s="1057"/>
      <c r="C106" s="1057"/>
      <c r="D106" s="1057"/>
      <c r="E106" s="1057"/>
      <c r="F106" s="1057"/>
      <c r="G106" s="1057"/>
      <c r="H106" s="1057"/>
      <c r="I106" s="1057"/>
      <c r="J106" s="1057"/>
      <c r="K106" s="1057"/>
      <c r="L106" s="1057"/>
      <c r="M106" s="1057"/>
      <c r="N106" s="1058"/>
    </row>
    <row r="107" spans="1:14" ht="12.75" customHeight="1" x14ac:dyDescent="0.2">
      <c r="A107" s="1066" t="s">
        <v>38</v>
      </c>
      <c r="B107" s="1057"/>
      <c r="C107" s="1057"/>
      <c r="D107" s="1057"/>
      <c r="E107" s="1057"/>
      <c r="F107" s="1057"/>
      <c r="G107" s="1058"/>
      <c r="H107" s="28" t="s">
        <v>39</v>
      </c>
      <c r="I107" s="1062" t="s">
        <v>385</v>
      </c>
      <c r="J107" s="1058"/>
      <c r="K107" s="1062" t="s">
        <v>132</v>
      </c>
      <c r="L107" s="1058"/>
      <c r="M107" s="1062" t="s">
        <v>386</v>
      </c>
      <c r="N107" s="1058"/>
    </row>
    <row r="108" spans="1:14" ht="12.75" customHeight="1" x14ac:dyDescent="0.2">
      <c r="A108" s="1061"/>
      <c r="B108" s="1057"/>
      <c r="C108" s="1057"/>
      <c r="D108" s="1057"/>
      <c r="E108" s="1057"/>
      <c r="F108" s="1057"/>
      <c r="G108" s="1058"/>
      <c r="H108" s="9"/>
      <c r="I108" s="1059"/>
      <c r="J108" s="1058"/>
      <c r="K108" s="1064"/>
      <c r="L108" s="1058"/>
      <c r="M108" s="1059" t="str">
        <f>IF(A108="","",I108*K108)</f>
        <v/>
      </c>
      <c r="N108" s="1058"/>
    </row>
    <row r="109" spans="1:14" ht="12.75" customHeight="1" x14ac:dyDescent="0.2">
      <c r="A109" s="1056"/>
      <c r="B109" s="1057"/>
      <c r="C109" s="1057"/>
      <c r="D109" s="1057"/>
      <c r="E109" s="1057"/>
      <c r="F109" s="1057"/>
      <c r="G109" s="1058"/>
      <c r="H109" s="9"/>
      <c r="I109" s="1059"/>
      <c r="J109" s="1058"/>
      <c r="K109" s="1067"/>
      <c r="L109" s="1058"/>
      <c r="M109" s="1059" t="str">
        <f>IF(A109="","",I109*K109)</f>
        <v/>
      </c>
      <c r="N109" s="1058"/>
    </row>
    <row r="110" spans="1:14" ht="12.75" customHeight="1" x14ac:dyDescent="0.2">
      <c r="A110" s="1061"/>
      <c r="B110" s="1057"/>
      <c r="C110" s="1057"/>
      <c r="D110" s="1057"/>
      <c r="E110" s="1057"/>
      <c r="F110" s="1057"/>
      <c r="G110" s="1058"/>
      <c r="H110" s="9"/>
      <c r="I110" s="1059"/>
      <c r="J110" s="1058"/>
      <c r="K110" s="1060"/>
      <c r="L110" s="1058"/>
      <c r="M110" s="1059" t="str">
        <f>IF(A110="","",I110*K110)</f>
        <v/>
      </c>
      <c r="N110" s="1058"/>
    </row>
    <row r="111" spans="1:14" ht="12.75" customHeight="1" x14ac:dyDescent="0.2">
      <c r="A111" s="1061"/>
      <c r="B111" s="1057"/>
      <c r="C111" s="1057"/>
      <c r="D111" s="1057"/>
      <c r="E111" s="1057"/>
      <c r="F111" s="1057"/>
      <c r="G111" s="1058"/>
      <c r="H111" s="9"/>
      <c r="I111" s="1059"/>
      <c r="J111" s="1058"/>
      <c r="K111" s="1060"/>
      <c r="L111" s="1058"/>
      <c r="M111" s="1059" t="str">
        <f>IF(A111="","",I111*K111)</f>
        <v/>
      </c>
      <c r="N111" s="1058"/>
    </row>
    <row r="112" spans="1:14" ht="12.75" customHeight="1" x14ac:dyDescent="0.2">
      <c r="A112" s="1061"/>
      <c r="B112" s="1057"/>
      <c r="C112" s="1057"/>
      <c r="D112" s="1057"/>
      <c r="E112" s="1057"/>
      <c r="F112" s="1057"/>
      <c r="G112" s="1058"/>
      <c r="H112" s="9"/>
      <c r="I112" s="1059"/>
      <c r="J112" s="1058"/>
      <c r="K112" s="1060"/>
      <c r="L112" s="1058"/>
      <c r="M112" s="1059" t="str">
        <f>IF(A112="","",I112*K112)</f>
        <v/>
      </c>
      <c r="N112" s="1058"/>
    </row>
    <row r="113" spans="1:15" ht="12.75" customHeight="1" x14ac:dyDescent="0.25">
      <c r="A113" s="3"/>
      <c r="B113" s="3"/>
      <c r="C113" s="3"/>
      <c r="D113" s="3"/>
      <c r="E113" s="3"/>
      <c r="F113" s="3"/>
      <c r="G113" s="3"/>
      <c r="H113" s="3"/>
      <c r="I113" s="3"/>
      <c r="J113" s="3"/>
      <c r="K113" s="1066" t="s">
        <v>201</v>
      </c>
      <c r="L113" s="1058"/>
      <c r="M113" s="1059">
        <f>SUM(M108:N112)</f>
        <v>0</v>
      </c>
      <c r="N113" s="1058"/>
    </row>
    <row r="114" spans="1:15" ht="12.75" customHeight="1" x14ac:dyDescent="0.25">
      <c r="A114" s="3"/>
      <c r="B114" s="3"/>
      <c r="C114" s="3"/>
      <c r="D114" s="3"/>
      <c r="E114" s="3"/>
      <c r="F114" s="3"/>
      <c r="G114" s="3"/>
      <c r="H114" s="3"/>
      <c r="I114" s="3"/>
      <c r="J114" s="3"/>
      <c r="K114" s="3"/>
      <c r="L114" s="3"/>
      <c r="M114" s="3"/>
      <c r="N114" s="3"/>
    </row>
    <row r="115" spans="1:15" ht="12.75" customHeight="1" x14ac:dyDescent="0.2">
      <c r="A115" s="1065" t="s">
        <v>394</v>
      </c>
      <c r="B115" s="1057"/>
      <c r="C115" s="1057"/>
      <c r="D115" s="1057"/>
      <c r="E115" s="1057"/>
      <c r="F115" s="1057"/>
      <c r="G115" s="1057"/>
      <c r="H115" s="1057"/>
      <c r="I115" s="1057"/>
      <c r="J115" s="1057"/>
      <c r="K115" s="1057"/>
      <c r="L115" s="1057"/>
      <c r="M115" s="1057"/>
      <c r="N115" s="1058"/>
    </row>
    <row r="116" spans="1:15" ht="12.75" customHeight="1" x14ac:dyDescent="0.2">
      <c r="A116" s="1066" t="s">
        <v>38</v>
      </c>
      <c r="B116" s="1057"/>
      <c r="C116" s="1057"/>
      <c r="D116" s="1057"/>
      <c r="E116" s="1057"/>
      <c r="F116" s="1057"/>
      <c r="G116" s="1058"/>
      <c r="H116" s="28" t="s">
        <v>39</v>
      </c>
      <c r="I116" s="1062" t="s">
        <v>385</v>
      </c>
      <c r="J116" s="1058"/>
      <c r="K116" s="30" t="s">
        <v>193</v>
      </c>
      <c r="L116" s="31" t="s">
        <v>395</v>
      </c>
      <c r="M116" s="1062" t="s">
        <v>386</v>
      </c>
      <c r="N116" s="1058"/>
    </row>
    <row r="117" spans="1:15" ht="12.75" customHeight="1" x14ac:dyDescent="0.25">
      <c r="A117" s="1063" t="s">
        <v>530</v>
      </c>
      <c r="B117" s="1057"/>
      <c r="C117" s="1057"/>
      <c r="D117" s="1057"/>
      <c r="E117" s="1057"/>
      <c r="F117" s="1057"/>
      <c r="G117" s="1058"/>
      <c r="H117" s="9" t="str">
        <f>IF(A117="","",VLOOKUP(A117,AA_Cuadrillas,4,FALSE))</f>
        <v>Cuadrilla</v>
      </c>
      <c r="I117" s="1059">
        <f>IF(A117="","",VLOOKUP(A117,AA_Cuadrillas,5,FALSE))</f>
        <v>347263</v>
      </c>
      <c r="J117" s="1058"/>
      <c r="K117" s="1">
        <f>IF(A117="","",'06'!$J$3)</f>
        <v>1.7233500000000002</v>
      </c>
      <c r="L117" s="32">
        <v>1.7999999999999999E-2</v>
      </c>
      <c r="M117" s="1059">
        <f>IF(A117="","",I117*K117*L117)</f>
        <v>10772.2024389</v>
      </c>
      <c r="N117" s="1058"/>
    </row>
    <row r="118" spans="1:15" ht="12.75" customHeight="1" x14ac:dyDescent="0.25">
      <c r="A118" s="1063"/>
      <c r="B118" s="1057"/>
      <c r="C118" s="1057"/>
      <c r="D118" s="1057"/>
      <c r="E118" s="1057"/>
      <c r="F118" s="1057"/>
      <c r="G118" s="1058"/>
      <c r="H118" s="9" t="str">
        <f>IF(A118="","",VLOOKUP(A118,AA_Cuadrillas,4,FALSE))</f>
        <v/>
      </c>
      <c r="I118" s="1059" t="str">
        <f>IF(A118="","",VLOOKUP(A118,AA_Cuadrillas,5,FALSE))</f>
        <v/>
      </c>
      <c r="J118" s="1058"/>
      <c r="K118" s="1" t="str">
        <f>IF(A118="","",'06'!$J$3)</f>
        <v/>
      </c>
      <c r="L118" s="1"/>
      <c r="M118" s="1059" t="str">
        <f>IF(A118="","",I118*K118*L118)</f>
        <v/>
      </c>
      <c r="N118" s="1058"/>
    </row>
    <row r="119" spans="1:15" ht="12.75" customHeight="1" x14ac:dyDescent="0.25">
      <c r="A119" s="1063"/>
      <c r="B119" s="1057"/>
      <c r="C119" s="1057"/>
      <c r="D119" s="1057"/>
      <c r="E119" s="1057"/>
      <c r="F119" s="1057"/>
      <c r="G119" s="1058"/>
      <c r="H119" s="9" t="str">
        <f>IF(A119="","",VLOOKUP(A119,AA_Cuadrillas,4,FALSE))</f>
        <v/>
      </c>
      <c r="I119" s="1059"/>
      <c r="J119" s="1058"/>
      <c r="K119" s="1" t="str">
        <f>IF(A119="","",'06'!$J$3)</f>
        <v/>
      </c>
      <c r="L119" s="10"/>
      <c r="M119" s="1059" t="str">
        <f>IF(A119="","",I119*K119*L119)</f>
        <v/>
      </c>
      <c r="N119" s="1058"/>
    </row>
    <row r="120" spans="1:15" ht="12.75" customHeight="1" x14ac:dyDescent="0.25">
      <c r="A120" s="1063"/>
      <c r="B120" s="1057"/>
      <c r="C120" s="1057"/>
      <c r="D120" s="1057"/>
      <c r="E120" s="1057"/>
      <c r="F120" s="1057"/>
      <c r="G120" s="1058"/>
      <c r="H120" s="9" t="str">
        <f>IF(A120="","",VLOOKUP(A120,AA_Cuadrillas,4,FALSE))</f>
        <v/>
      </c>
      <c r="I120" s="1059" t="str">
        <f>IF(A120="","",VLOOKUP(A120,AA_Cuadrillas,5,FALSE))</f>
        <v/>
      </c>
      <c r="J120" s="1058"/>
      <c r="K120" s="1" t="str">
        <f>IF(A120="","",'06'!$J$3)</f>
        <v/>
      </c>
      <c r="L120" s="10"/>
      <c r="M120" s="1059" t="str">
        <f>IF(A120="","",I120*K120*L120)</f>
        <v/>
      </c>
      <c r="N120" s="1058"/>
    </row>
    <row r="121" spans="1:15" ht="12.75" customHeight="1" x14ac:dyDescent="0.25">
      <c r="A121" s="1063"/>
      <c r="B121" s="1057"/>
      <c r="C121" s="1057"/>
      <c r="D121" s="1057"/>
      <c r="E121" s="1057"/>
      <c r="F121" s="1057"/>
      <c r="G121" s="1058"/>
      <c r="H121" s="9" t="str">
        <f>IF(A121="","",VLOOKUP(A121,AA_Cuadrillas,4,FALSE))</f>
        <v/>
      </c>
      <c r="I121" s="1059" t="str">
        <f>IF(A121="","",VLOOKUP(A121,AA_Cuadrillas,5,FALSE))</f>
        <v/>
      </c>
      <c r="J121" s="1058"/>
      <c r="K121" s="1" t="str">
        <f>IF(A121="","",'06'!$J$3)</f>
        <v/>
      </c>
      <c r="L121" s="10"/>
      <c r="M121" s="1059" t="str">
        <f>IF(A121="","",I121*K121*L121)</f>
        <v/>
      </c>
      <c r="N121" s="1058"/>
    </row>
    <row r="122" spans="1:15" ht="12.75" customHeight="1" x14ac:dyDescent="0.25">
      <c r="A122" s="3"/>
      <c r="B122" s="3"/>
      <c r="C122" s="3"/>
      <c r="D122" s="3"/>
      <c r="E122" s="3"/>
      <c r="F122" s="3"/>
      <c r="G122" s="3"/>
      <c r="H122" s="3"/>
      <c r="I122" s="3"/>
      <c r="J122" s="3"/>
      <c r="K122" s="1066" t="s">
        <v>201</v>
      </c>
      <c r="L122" s="1058"/>
      <c r="M122" s="1059">
        <f>SUM(M117:N121)</f>
        <v>10772.2024389</v>
      </c>
      <c r="N122" s="1058"/>
    </row>
    <row r="123" spans="1:15" ht="12.75" customHeight="1" x14ac:dyDescent="0.25">
      <c r="A123" s="3"/>
      <c r="B123" s="3"/>
      <c r="C123" s="3"/>
      <c r="D123" s="3"/>
      <c r="E123" s="3"/>
      <c r="F123" s="3"/>
      <c r="G123" s="3"/>
      <c r="H123" s="3"/>
      <c r="I123" s="3"/>
      <c r="J123" s="3"/>
      <c r="K123" s="33"/>
      <c r="L123" s="34"/>
      <c r="M123" s="29"/>
      <c r="N123" s="35"/>
    </row>
    <row r="124" spans="1:15" ht="12.75" customHeight="1" x14ac:dyDescent="0.2">
      <c r="A124" s="1107" t="s">
        <v>1625</v>
      </c>
      <c r="B124" s="1108"/>
      <c r="C124" s="1108"/>
      <c r="D124" s="1108"/>
      <c r="E124" s="1108"/>
      <c r="F124" s="1108"/>
      <c r="G124" s="1108"/>
      <c r="H124" s="1108"/>
      <c r="I124" s="1108"/>
      <c r="J124" s="1108"/>
      <c r="K124" s="1108"/>
      <c r="L124" s="1108"/>
      <c r="M124" s="1108"/>
      <c r="N124" s="1109"/>
      <c r="O124" s="7"/>
    </row>
    <row r="125" spans="1:15" ht="12.75" customHeight="1" x14ac:dyDescent="0.2">
      <c r="A125" s="1110"/>
      <c r="B125" s="1111"/>
      <c r="C125" s="1111"/>
      <c r="D125" s="1111"/>
      <c r="E125" s="1111"/>
      <c r="F125" s="1111"/>
      <c r="G125" s="1111"/>
      <c r="H125" s="1111"/>
      <c r="I125" s="1111"/>
      <c r="J125" s="1111"/>
      <c r="K125" s="1111"/>
      <c r="L125" s="1111"/>
      <c r="M125" s="1111"/>
      <c r="N125" s="1112"/>
      <c r="O125" s="7"/>
    </row>
    <row r="126" spans="1:15" ht="12.75" customHeight="1" x14ac:dyDescent="0.2">
      <c r="A126" s="16"/>
      <c r="B126" s="16"/>
      <c r="C126" s="16"/>
      <c r="D126" s="16"/>
      <c r="E126" s="16"/>
      <c r="F126" s="16"/>
      <c r="G126" s="16"/>
      <c r="H126" s="16"/>
      <c r="I126" s="16"/>
      <c r="J126" s="16"/>
      <c r="K126" s="16"/>
      <c r="L126" s="16"/>
      <c r="M126" s="16"/>
      <c r="N126" s="16"/>
    </row>
    <row r="127" spans="1:15" ht="12.75" customHeight="1" x14ac:dyDescent="0.3">
      <c r="A127" s="18" t="s">
        <v>293</v>
      </c>
      <c r="B127" s="19" t="str">
        <f>A124</f>
        <v>CAMPAMENTO 18 M2</v>
      </c>
      <c r="C127" s="20" t="s">
        <v>382</v>
      </c>
      <c r="D127" s="127" t="s">
        <v>424</v>
      </c>
      <c r="E127" s="22" t="s">
        <v>125</v>
      </c>
      <c r="F127" s="26">
        <f>(H127+J127+L127+N127)*$O$2</f>
        <v>6251783.8568704464</v>
      </c>
      <c r="G127" s="22" t="s">
        <v>285</v>
      </c>
      <c r="H127" s="26">
        <f>M148</f>
        <v>58839.731569125019</v>
      </c>
      <c r="I127" s="22" t="s">
        <v>383</v>
      </c>
      <c r="J127" s="26">
        <f>M139</f>
        <v>3573430.1423333334</v>
      </c>
      <c r="K127" s="22" t="s">
        <v>287</v>
      </c>
      <c r="L127" s="26">
        <f>M157</f>
        <v>0</v>
      </c>
      <c r="M127" s="22" t="s">
        <v>288</v>
      </c>
      <c r="N127" s="26">
        <f>M166</f>
        <v>1176794.6313825003</v>
      </c>
    </row>
    <row r="128" spans="1:15" ht="12.75" customHeight="1" x14ac:dyDescent="0.25">
      <c r="A128" s="27"/>
      <c r="B128" s="27"/>
      <c r="C128" s="27"/>
      <c r="D128" s="27"/>
      <c r="E128" s="27"/>
      <c r="F128" s="27"/>
      <c r="G128" s="27"/>
      <c r="J128" s="27"/>
      <c r="K128" s="27"/>
      <c r="L128" s="27"/>
      <c r="M128" s="27"/>
      <c r="N128" s="27"/>
    </row>
    <row r="129" spans="1:14" ht="12.75" customHeight="1" x14ac:dyDescent="0.2">
      <c r="A129" s="1065" t="s">
        <v>384</v>
      </c>
      <c r="B129" s="1057"/>
      <c r="C129" s="1057"/>
      <c r="D129" s="1057"/>
      <c r="E129" s="1057"/>
      <c r="F129" s="1057"/>
      <c r="G129" s="1057"/>
      <c r="H129" s="1057"/>
      <c r="I129" s="1057"/>
      <c r="J129" s="1057"/>
      <c r="K129" s="1057"/>
      <c r="L129" s="1057"/>
      <c r="M129" s="1057"/>
      <c r="N129" s="1058"/>
    </row>
    <row r="130" spans="1:14" ht="12.75" customHeight="1" x14ac:dyDescent="0.2">
      <c r="A130" s="1066" t="s">
        <v>38</v>
      </c>
      <c r="B130" s="1057"/>
      <c r="C130" s="1057"/>
      <c r="D130" s="1057"/>
      <c r="E130" s="1057"/>
      <c r="F130" s="1057"/>
      <c r="G130" s="1058"/>
      <c r="H130" s="28" t="s">
        <v>39</v>
      </c>
      <c r="I130" s="1062" t="s">
        <v>385</v>
      </c>
      <c r="J130" s="1058"/>
      <c r="K130" s="1062" t="s">
        <v>132</v>
      </c>
      <c r="L130" s="1058"/>
      <c r="M130" s="1062" t="s">
        <v>386</v>
      </c>
      <c r="N130" s="1058"/>
    </row>
    <row r="131" spans="1:14" ht="12.75" customHeight="1" x14ac:dyDescent="0.2">
      <c r="A131" s="1061" t="s">
        <v>1581</v>
      </c>
      <c r="B131" s="1057"/>
      <c r="C131" s="1057"/>
      <c r="D131" s="1057"/>
      <c r="E131" s="1057"/>
      <c r="F131" s="1057"/>
      <c r="G131" s="1058"/>
      <c r="H131" s="9" t="str">
        <f t="shared" ref="H131:H137" si="0">IF(A131="","",VLOOKUP(A131,AA_Materiales,7,FALSE))</f>
        <v>Unidad</v>
      </c>
      <c r="I131" s="1059">
        <f t="shared" ref="I131:I137" si="1">IF(A131="","",VLOOKUP(A131,AA_Materiales,8,FALSE))</f>
        <v>4750</v>
      </c>
      <c r="J131" s="1058"/>
      <c r="K131" s="1060">
        <v>6</v>
      </c>
      <c r="L131" s="1058"/>
      <c r="M131" s="1059">
        <f t="shared" ref="M131:M137" si="2">IF(A131="","",I131*K131)</f>
        <v>28500</v>
      </c>
      <c r="N131" s="1058"/>
    </row>
    <row r="132" spans="1:14" ht="12.75" customHeight="1" x14ac:dyDescent="0.2">
      <c r="A132" s="1061" t="s">
        <v>1582</v>
      </c>
      <c r="B132" s="1057"/>
      <c r="C132" s="1057"/>
      <c r="D132" s="1057"/>
      <c r="E132" s="1057"/>
      <c r="F132" s="1057"/>
      <c r="G132" s="1058"/>
      <c r="H132" s="9" t="str">
        <f t="shared" si="0"/>
        <v>Unidad</v>
      </c>
      <c r="I132" s="1059">
        <f t="shared" si="1"/>
        <v>708.6</v>
      </c>
      <c r="J132" s="1058"/>
      <c r="K132" s="1060">
        <v>28</v>
      </c>
      <c r="L132" s="1058"/>
      <c r="M132" s="1059">
        <f t="shared" si="2"/>
        <v>19840.8</v>
      </c>
      <c r="N132" s="1058"/>
    </row>
    <row r="133" spans="1:14" ht="12.75" customHeight="1" x14ac:dyDescent="0.2">
      <c r="A133" s="1061" t="s">
        <v>436</v>
      </c>
      <c r="B133" s="1057"/>
      <c r="C133" s="1057"/>
      <c r="D133" s="1057"/>
      <c r="E133" s="1057"/>
      <c r="F133" s="1057"/>
      <c r="G133" s="1058"/>
      <c r="H133" s="9" t="str">
        <f t="shared" si="0"/>
        <v>Unidad</v>
      </c>
      <c r="I133" s="1059">
        <f t="shared" si="1"/>
        <v>15900</v>
      </c>
      <c r="J133" s="1058"/>
      <c r="K133" s="1060">
        <v>2</v>
      </c>
      <c r="L133" s="1058"/>
      <c r="M133" s="1059">
        <f t="shared" si="2"/>
        <v>31800</v>
      </c>
      <c r="N133" s="1058"/>
    </row>
    <row r="134" spans="1:14" ht="12.75" customHeight="1" x14ac:dyDescent="0.2">
      <c r="A134" s="1061" t="s">
        <v>1503</v>
      </c>
      <c r="B134" s="1057"/>
      <c r="C134" s="1057"/>
      <c r="D134" s="1057"/>
      <c r="E134" s="1057"/>
      <c r="F134" s="1057"/>
      <c r="G134" s="1058"/>
      <c r="H134" s="9" t="str">
        <f>IF(A134="","",VLOOKUP(A134,AA_Materiales,7,FALSE))</f>
        <v>LB</v>
      </c>
      <c r="I134" s="1059">
        <f>IF(A134="","",VLOOKUP(A134,AA_Materiales,8,FALSE))</f>
        <v>5100</v>
      </c>
      <c r="J134" s="1058"/>
      <c r="K134" s="1060">
        <v>4</v>
      </c>
      <c r="L134" s="1058"/>
      <c r="M134" s="1059">
        <f>IF(A134="","",I134*K134)</f>
        <v>20400</v>
      </c>
      <c r="N134" s="1058"/>
    </row>
    <row r="135" spans="1:14" ht="12.75" customHeight="1" x14ac:dyDescent="0.2">
      <c r="A135" s="1061" t="s">
        <v>1593</v>
      </c>
      <c r="B135" s="1057"/>
      <c r="C135" s="1057"/>
      <c r="D135" s="1057"/>
      <c r="E135" s="1057"/>
      <c r="F135" s="1057"/>
      <c r="G135" s="1058"/>
      <c r="H135" s="9" t="str">
        <f t="shared" si="0"/>
        <v>m3</v>
      </c>
      <c r="I135" s="1059">
        <f t="shared" si="1"/>
        <v>428260.01</v>
      </c>
      <c r="J135" s="1058"/>
      <c r="K135" s="1060">
        <v>0.9</v>
      </c>
      <c r="L135" s="1058"/>
      <c r="M135" s="1059">
        <f t="shared" si="2"/>
        <v>385434.00900000002</v>
      </c>
      <c r="N135" s="1058"/>
    </row>
    <row r="136" spans="1:14" ht="12.75" customHeight="1" x14ac:dyDescent="0.2">
      <c r="A136" s="1061" t="s">
        <v>1583</v>
      </c>
      <c r="B136" s="1057"/>
      <c r="C136" s="1057"/>
      <c r="D136" s="1057"/>
      <c r="E136" s="1057"/>
      <c r="F136" s="1057"/>
      <c r="G136" s="1058"/>
      <c r="H136" s="9" t="str">
        <f t="shared" si="0"/>
        <v>ml</v>
      </c>
      <c r="I136" s="1059">
        <f t="shared" si="1"/>
        <v>13000</v>
      </c>
      <c r="J136" s="1058"/>
      <c r="K136" s="1060">
        <v>159</v>
      </c>
      <c r="L136" s="1058"/>
      <c r="M136" s="1059">
        <f t="shared" si="2"/>
        <v>2067000</v>
      </c>
      <c r="N136" s="1058"/>
    </row>
    <row r="137" spans="1:14" ht="12.75" customHeight="1" x14ac:dyDescent="0.2">
      <c r="A137" s="1061" t="s">
        <v>1584</v>
      </c>
      <c r="B137" s="1057"/>
      <c r="C137" s="1057"/>
      <c r="D137" s="1057"/>
      <c r="E137" s="1057"/>
      <c r="F137" s="1057"/>
      <c r="G137" s="1058"/>
      <c r="H137" s="9" t="str">
        <f t="shared" si="0"/>
        <v>Unidad</v>
      </c>
      <c r="I137" s="1059">
        <f t="shared" si="1"/>
        <v>71471</v>
      </c>
      <c r="J137" s="1058"/>
      <c r="K137" s="1060">
        <v>12</v>
      </c>
      <c r="L137" s="1058"/>
      <c r="M137" s="1059">
        <f t="shared" si="2"/>
        <v>857652</v>
      </c>
      <c r="N137" s="1058"/>
    </row>
    <row r="138" spans="1:14" ht="12.75" customHeight="1" x14ac:dyDescent="0.2">
      <c r="A138" s="1061" t="s">
        <v>1585</v>
      </c>
      <c r="B138" s="1057"/>
      <c r="C138" s="1057"/>
      <c r="D138" s="1057"/>
      <c r="E138" s="1057"/>
      <c r="F138" s="1057"/>
      <c r="G138" s="1058"/>
      <c r="H138" s="9" t="str">
        <f>IF(A138="","",VLOOKUP(A138,AA_Materiales,7,FALSE))</f>
        <v>ml</v>
      </c>
      <c r="I138" s="1059">
        <f>IF(A138="","",VLOOKUP(A138,AA_Materiales,8,FALSE))</f>
        <v>7366.666666666667</v>
      </c>
      <c r="J138" s="1058"/>
      <c r="K138" s="1060">
        <v>22.1</v>
      </c>
      <c r="L138" s="1058"/>
      <c r="M138" s="1059">
        <f>IF(A138="","",I138*K138)</f>
        <v>162803.33333333334</v>
      </c>
      <c r="N138" s="1058"/>
    </row>
    <row r="139" spans="1:14" ht="12.75" customHeight="1" x14ac:dyDescent="0.25">
      <c r="A139" s="3"/>
      <c r="B139" s="3"/>
      <c r="C139" s="3"/>
      <c r="D139" s="3"/>
      <c r="E139" s="3"/>
      <c r="F139" s="3"/>
      <c r="G139" s="3"/>
      <c r="H139" s="3"/>
      <c r="I139" s="3"/>
      <c r="J139" s="3"/>
      <c r="K139" s="1066" t="s">
        <v>201</v>
      </c>
      <c r="L139" s="1058"/>
      <c r="M139" s="1059">
        <f>SUM(M131:N138)</f>
        <v>3573430.1423333334</v>
      </c>
      <c r="N139" s="1058"/>
    </row>
    <row r="140" spans="1:14" ht="12.75" customHeight="1" x14ac:dyDescent="0.25">
      <c r="A140" s="3"/>
      <c r="B140" s="3"/>
      <c r="C140" s="3"/>
      <c r="D140" s="3"/>
      <c r="E140" s="3"/>
      <c r="F140" s="3"/>
      <c r="G140" s="3"/>
      <c r="H140" s="3"/>
      <c r="I140" s="3"/>
      <c r="J140" s="3"/>
      <c r="K140" s="3"/>
      <c r="L140" s="3"/>
      <c r="M140" s="3"/>
      <c r="N140" s="3"/>
    </row>
    <row r="141" spans="1:14" ht="12.75" customHeight="1" x14ac:dyDescent="0.2">
      <c r="A141" s="1065" t="s">
        <v>390</v>
      </c>
      <c r="B141" s="1057"/>
      <c r="C141" s="1057"/>
      <c r="D141" s="1057"/>
      <c r="E141" s="1057"/>
      <c r="F141" s="1057"/>
      <c r="G141" s="1057"/>
      <c r="H141" s="1057"/>
      <c r="I141" s="1057"/>
      <c r="J141" s="1057"/>
      <c r="K141" s="1057"/>
      <c r="L141" s="1057"/>
      <c r="M141" s="1057"/>
      <c r="N141" s="1058"/>
    </row>
    <row r="142" spans="1:14" ht="12.75" customHeight="1" x14ac:dyDescent="0.2">
      <c r="A142" s="1066" t="s">
        <v>38</v>
      </c>
      <c r="B142" s="1057"/>
      <c r="C142" s="1057"/>
      <c r="D142" s="1057"/>
      <c r="E142" s="1057"/>
      <c r="F142" s="1057"/>
      <c r="G142" s="1058"/>
      <c r="H142" s="28" t="s">
        <v>39</v>
      </c>
      <c r="I142" s="1062" t="s">
        <v>385</v>
      </c>
      <c r="J142" s="1058"/>
      <c r="K142" s="1062" t="s">
        <v>132</v>
      </c>
      <c r="L142" s="1058"/>
      <c r="M142" s="1062" t="s">
        <v>386</v>
      </c>
      <c r="N142" s="1058"/>
    </row>
    <row r="143" spans="1:14" ht="12.75" customHeight="1" x14ac:dyDescent="0.2">
      <c r="A143" s="1061" t="s">
        <v>391</v>
      </c>
      <c r="B143" s="1057"/>
      <c r="C143" s="1057"/>
      <c r="D143" s="1057"/>
      <c r="E143" s="1057"/>
      <c r="F143" s="1057"/>
      <c r="G143" s="1058"/>
      <c r="H143" s="9" t="str">
        <f>IF(A143="","",VLOOKUP(A143,AA_Equipos,7,FALSE))</f>
        <v>% M.O.</v>
      </c>
      <c r="I143" s="1059">
        <f>M166</f>
        <v>1176794.6313825003</v>
      </c>
      <c r="J143" s="1058"/>
      <c r="K143" s="1064">
        <v>0.05</v>
      </c>
      <c r="L143" s="1058"/>
      <c r="M143" s="1059">
        <f>IF(A143="","",I143*K143)</f>
        <v>58839.731569125019</v>
      </c>
      <c r="N143" s="1058"/>
    </row>
    <row r="144" spans="1:14" ht="12.75" customHeight="1" x14ac:dyDescent="0.2">
      <c r="A144" s="1056"/>
      <c r="B144" s="1057"/>
      <c r="C144" s="1057"/>
      <c r="D144" s="1057"/>
      <c r="E144" s="1057"/>
      <c r="F144" s="1057"/>
      <c r="G144" s="1058"/>
      <c r="H144" s="9" t="str">
        <f>IF(A144="","",VLOOKUP(A144,AA_Equipos,7,FALSE))</f>
        <v/>
      </c>
      <c r="I144" s="1059" t="str">
        <f>IF(A144="","",VLOOKUP(A144,AA_Equipos,8,FALSE))</f>
        <v/>
      </c>
      <c r="J144" s="1058"/>
      <c r="K144" s="1067"/>
      <c r="L144" s="1058"/>
      <c r="M144" s="1059" t="str">
        <f>IF(A144="","",I144*K144)</f>
        <v/>
      </c>
      <c r="N144" s="1058"/>
    </row>
    <row r="145" spans="1:14" ht="12.75" customHeight="1" x14ac:dyDescent="0.2">
      <c r="A145" s="1056"/>
      <c r="B145" s="1057"/>
      <c r="C145" s="1057"/>
      <c r="D145" s="1057"/>
      <c r="E145" s="1057"/>
      <c r="F145" s="1057"/>
      <c r="G145" s="1058"/>
      <c r="H145" s="9" t="str">
        <f>IF(A145="","",VLOOKUP(A145,AA_Equipos,7,FALSE))</f>
        <v/>
      </c>
      <c r="I145" s="1059" t="str">
        <f>IF(A145="","",VLOOKUP(A145,AA_Equipos,8,FALSE))</f>
        <v/>
      </c>
      <c r="J145" s="1058"/>
      <c r="K145" s="1070"/>
      <c r="L145" s="1058"/>
      <c r="M145" s="1059" t="str">
        <f>IF(A145="","",I145*K145)</f>
        <v/>
      </c>
      <c r="N145" s="1058"/>
    </row>
    <row r="146" spans="1:14" ht="12.75" customHeight="1" x14ac:dyDescent="0.2">
      <c r="A146" s="1056"/>
      <c r="B146" s="1057"/>
      <c r="C146" s="1057"/>
      <c r="D146" s="1057"/>
      <c r="E146" s="1057"/>
      <c r="F146" s="1057"/>
      <c r="G146" s="1058"/>
      <c r="H146" s="9" t="str">
        <f>IF(A146="","",VLOOKUP(A146,AA_Equipos,7,FALSE))</f>
        <v/>
      </c>
      <c r="I146" s="1059" t="str">
        <f>IF(A146="","",VLOOKUP(A146,AA_Equipos,8,FALSE))</f>
        <v/>
      </c>
      <c r="J146" s="1058"/>
      <c r="K146" s="1060"/>
      <c r="L146" s="1058"/>
      <c r="M146" s="1059" t="str">
        <f>IF(A146="","",I146*K146)</f>
        <v/>
      </c>
      <c r="N146" s="1058"/>
    </row>
    <row r="147" spans="1:14" ht="12.75" customHeight="1" x14ac:dyDescent="0.2">
      <c r="A147" s="1056"/>
      <c r="B147" s="1057"/>
      <c r="C147" s="1057"/>
      <c r="D147" s="1057"/>
      <c r="E147" s="1057"/>
      <c r="F147" s="1057"/>
      <c r="G147" s="1058"/>
      <c r="H147" s="9" t="str">
        <f>IF(A147="","",VLOOKUP(A147,AA_Equipos,7,FALSE))</f>
        <v/>
      </c>
      <c r="I147" s="1059" t="str">
        <f>IF(A147="","",VLOOKUP(A147,AA_Equipos,8,FALSE))</f>
        <v/>
      </c>
      <c r="J147" s="1058"/>
      <c r="K147" s="1060"/>
      <c r="L147" s="1058"/>
      <c r="M147" s="1059" t="str">
        <f>IF(A147="","",I147*K147)</f>
        <v/>
      </c>
      <c r="N147" s="1058"/>
    </row>
    <row r="148" spans="1:14" ht="12.75" customHeight="1" x14ac:dyDescent="0.25">
      <c r="A148" s="3"/>
      <c r="B148" s="3"/>
      <c r="C148" s="3"/>
      <c r="D148" s="3"/>
      <c r="E148" s="3"/>
      <c r="F148" s="3"/>
      <c r="G148" s="3"/>
      <c r="H148" s="3"/>
      <c r="I148" s="3"/>
      <c r="J148" s="3"/>
      <c r="K148" s="1066" t="s">
        <v>201</v>
      </c>
      <c r="L148" s="1058"/>
      <c r="M148" s="1059">
        <f>SUM(M143:N147)</f>
        <v>58839.731569125019</v>
      </c>
      <c r="N148" s="1058"/>
    </row>
    <row r="149" spans="1:14" ht="12.75" customHeight="1" x14ac:dyDescent="0.25">
      <c r="A149" s="3"/>
      <c r="B149" s="3"/>
      <c r="C149" s="3"/>
      <c r="D149" s="3"/>
      <c r="E149" s="3"/>
      <c r="F149" s="3"/>
      <c r="G149" s="3"/>
      <c r="H149" s="3"/>
      <c r="I149" s="3"/>
      <c r="J149" s="3"/>
      <c r="K149" s="3"/>
      <c r="L149" s="3"/>
      <c r="M149" s="3"/>
      <c r="N149" s="3"/>
    </row>
    <row r="150" spans="1:14" ht="12.75" customHeight="1" x14ac:dyDescent="0.2">
      <c r="A150" s="1065" t="s">
        <v>392</v>
      </c>
      <c r="B150" s="1057"/>
      <c r="C150" s="1057"/>
      <c r="D150" s="1057"/>
      <c r="E150" s="1057"/>
      <c r="F150" s="1057"/>
      <c r="G150" s="1057"/>
      <c r="H150" s="1057"/>
      <c r="I150" s="1057"/>
      <c r="J150" s="1057"/>
      <c r="K150" s="1057"/>
      <c r="L150" s="1057"/>
      <c r="M150" s="1057"/>
      <c r="N150" s="1058"/>
    </row>
    <row r="151" spans="1:14" ht="12.75" customHeight="1" x14ac:dyDescent="0.2">
      <c r="A151" s="1066" t="s">
        <v>38</v>
      </c>
      <c r="B151" s="1057"/>
      <c r="C151" s="1057"/>
      <c r="D151" s="1057"/>
      <c r="E151" s="1057"/>
      <c r="F151" s="1057"/>
      <c r="G151" s="1058"/>
      <c r="H151" s="28" t="s">
        <v>39</v>
      </c>
      <c r="I151" s="1062" t="s">
        <v>385</v>
      </c>
      <c r="J151" s="1058"/>
      <c r="K151" s="1062" t="s">
        <v>132</v>
      </c>
      <c r="L151" s="1058"/>
      <c r="M151" s="1062" t="s">
        <v>386</v>
      </c>
      <c r="N151" s="1058"/>
    </row>
    <row r="152" spans="1:14" ht="12.75" customHeight="1" x14ac:dyDescent="0.2">
      <c r="A152" s="1061"/>
      <c r="B152" s="1057"/>
      <c r="C152" s="1057"/>
      <c r="D152" s="1057"/>
      <c r="E152" s="1057"/>
      <c r="F152" s="1057"/>
      <c r="G152" s="1058"/>
      <c r="H152" s="9"/>
      <c r="I152" s="1059"/>
      <c r="J152" s="1058"/>
      <c r="K152" s="1064"/>
      <c r="L152" s="1058"/>
      <c r="M152" s="1059" t="str">
        <f>IF(A152="","",I152*K152)</f>
        <v/>
      </c>
      <c r="N152" s="1058"/>
    </row>
    <row r="153" spans="1:14" ht="12.75" customHeight="1" x14ac:dyDescent="0.2">
      <c r="A153" s="1056"/>
      <c r="B153" s="1057"/>
      <c r="C153" s="1057"/>
      <c r="D153" s="1057"/>
      <c r="E153" s="1057"/>
      <c r="F153" s="1057"/>
      <c r="G153" s="1058"/>
      <c r="H153" s="9"/>
      <c r="I153" s="1059"/>
      <c r="J153" s="1058"/>
      <c r="K153" s="1064"/>
      <c r="L153" s="1058"/>
      <c r="M153" s="1059" t="str">
        <f>IF(A153="","",I153*K153)</f>
        <v/>
      </c>
      <c r="N153" s="1058"/>
    </row>
    <row r="154" spans="1:14" ht="12.75" customHeight="1" x14ac:dyDescent="0.2">
      <c r="A154" s="1061"/>
      <c r="B154" s="1057"/>
      <c r="C154" s="1057"/>
      <c r="D154" s="1057"/>
      <c r="E154" s="1057"/>
      <c r="F154" s="1057"/>
      <c r="G154" s="1058"/>
      <c r="H154" s="9"/>
      <c r="I154" s="1059"/>
      <c r="J154" s="1058"/>
      <c r="K154" s="1060"/>
      <c r="L154" s="1058"/>
      <c r="M154" s="1059" t="str">
        <f>IF(A154="","",I154*K154)</f>
        <v/>
      </c>
      <c r="N154" s="1058"/>
    </row>
    <row r="155" spans="1:14" ht="12.75" customHeight="1" x14ac:dyDescent="0.2">
      <c r="A155" s="1061"/>
      <c r="B155" s="1057"/>
      <c r="C155" s="1057"/>
      <c r="D155" s="1057"/>
      <c r="E155" s="1057"/>
      <c r="F155" s="1057"/>
      <c r="G155" s="1058"/>
      <c r="H155" s="9"/>
      <c r="I155" s="1059"/>
      <c r="J155" s="1058"/>
      <c r="K155" s="1060"/>
      <c r="L155" s="1058"/>
      <c r="M155" s="1059" t="str">
        <f>IF(A155="","",I155*K155)</f>
        <v/>
      </c>
      <c r="N155" s="1058"/>
    </row>
    <row r="156" spans="1:14" ht="12.75" customHeight="1" x14ac:dyDescent="0.2">
      <c r="A156" s="1061"/>
      <c r="B156" s="1057"/>
      <c r="C156" s="1057"/>
      <c r="D156" s="1057"/>
      <c r="E156" s="1057"/>
      <c r="F156" s="1057"/>
      <c r="G156" s="1058"/>
      <c r="H156" s="9"/>
      <c r="I156" s="1059"/>
      <c r="J156" s="1058"/>
      <c r="K156" s="1060"/>
      <c r="L156" s="1058"/>
      <c r="M156" s="1059" t="str">
        <f>IF(A156="","",I156*K156)</f>
        <v/>
      </c>
      <c r="N156" s="1058"/>
    </row>
    <row r="157" spans="1:14" ht="12.75" customHeight="1" x14ac:dyDescent="0.25">
      <c r="A157" s="3"/>
      <c r="B157" s="3"/>
      <c r="C157" s="3"/>
      <c r="D157" s="3"/>
      <c r="E157" s="3"/>
      <c r="F157" s="3"/>
      <c r="G157" s="3"/>
      <c r="H157" s="3"/>
      <c r="I157" s="3"/>
      <c r="J157" s="3"/>
      <c r="K157" s="1066" t="s">
        <v>201</v>
      </c>
      <c r="L157" s="1058"/>
      <c r="M157" s="1059">
        <f>SUM(M152:N156)</f>
        <v>0</v>
      </c>
      <c r="N157" s="1058"/>
    </row>
    <row r="158" spans="1:14" ht="12.75" customHeight="1" x14ac:dyDescent="0.25">
      <c r="A158" s="3"/>
      <c r="B158" s="3"/>
      <c r="C158" s="3"/>
      <c r="D158" s="3"/>
      <c r="E158" s="3"/>
      <c r="F158" s="3"/>
      <c r="G158" s="3"/>
      <c r="H158" s="3"/>
      <c r="I158" s="3"/>
      <c r="J158" s="3"/>
      <c r="K158" s="3"/>
      <c r="L158" s="3"/>
      <c r="M158" s="3"/>
      <c r="N158" s="3"/>
    </row>
    <row r="159" spans="1:14" ht="12.75" customHeight="1" x14ac:dyDescent="0.2">
      <c r="A159" s="1065" t="s">
        <v>394</v>
      </c>
      <c r="B159" s="1057"/>
      <c r="C159" s="1057"/>
      <c r="D159" s="1057"/>
      <c r="E159" s="1057"/>
      <c r="F159" s="1057"/>
      <c r="G159" s="1057"/>
      <c r="H159" s="1057"/>
      <c r="I159" s="1057"/>
      <c r="J159" s="1057"/>
      <c r="K159" s="1057"/>
      <c r="L159" s="1057"/>
      <c r="M159" s="1057"/>
      <c r="N159" s="1058"/>
    </row>
    <row r="160" spans="1:14" ht="12.75" customHeight="1" x14ac:dyDescent="0.2">
      <c r="A160" s="1066" t="s">
        <v>38</v>
      </c>
      <c r="B160" s="1057"/>
      <c r="C160" s="1057"/>
      <c r="D160" s="1057"/>
      <c r="E160" s="1057"/>
      <c r="F160" s="1057"/>
      <c r="G160" s="1058"/>
      <c r="H160" s="28" t="s">
        <v>39</v>
      </c>
      <c r="I160" s="1062" t="s">
        <v>385</v>
      </c>
      <c r="J160" s="1058"/>
      <c r="K160" s="30" t="s">
        <v>193</v>
      </c>
      <c r="L160" s="31" t="s">
        <v>395</v>
      </c>
      <c r="M160" s="1062" t="s">
        <v>386</v>
      </c>
      <c r="N160" s="1058"/>
    </row>
    <row r="161" spans="1:15" ht="12.75" customHeight="1" x14ac:dyDescent="0.25">
      <c r="A161" s="1063" t="s">
        <v>1911</v>
      </c>
      <c r="B161" s="1057"/>
      <c r="C161" s="1057"/>
      <c r="D161" s="1057"/>
      <c r="E161" s="1057"/>
      <c r="F161" s="1057"/>
      <c r="G161" s="1058"/>
      <c r="H161" s="9" t="str">
        <f>IF(A161="","",VLOOKUP(A161,AA_Cuadrillas,4,FALSE))</f>
        <v>Cuadrilla</v>
      </c>
      <c r="I161" s="1059">
        <f>IF(A161="","",VLOOKUP(A161,AA_Cuadrillas,5,FALSE))</f>
        <v>1050543</v>
      </c>
      <c r="J161" s="1058"/>
      <c r="K161" s="1">
        <f>IF(A161="","",'06'!$J$3)</f>
        <v>1.7233500000000002</v>
      </c>
      <c r="L161" s="32">
        <v>0.65</v>
      </c>
      <c r="M161" s="1059">
        <f>IF(A161="","",I161*K161*L161)</f>
        <v>1176794.6313825003</v>
      </c>
      <c r="N161" s="1058"/>
    </row>
    <row r="162" spans="1:15" ht="12.75" customHeight="1" x14ac:dyDescent="0.25">
      <c r="A162" s="1063"/>
      <c r="B162" s="1057"/>
      <c r="C162" s="1057"/>
      <c r="D162" s="1057"/>
      <c r="E162" s="1057"/>
      <c r="F162" s="1057"/>
      <c r="G162" s="1058"/>
      <c r="H162" s="9" t="str">
        <f>IF(A162="","",VLOOKUP(A162,AA_Cuadrillas,4,FALSE))</f>
        <v/>
      </c>
      <c r="I162" s="1059" t="str">
        <f>IF(A162="","",VLOOKUP(A162,AA_Cuadrillas,5,FALSE))</f>
        <v/>
      </c>
      <c r="J162" s="1058"/>
      <c r="K162" s="1" t="str">
        <f>IF(A162="","",'06'!$J$3)</f>
        <v/>
      </c>
      <c r="L162" s="1"/>
      <c r="M162" s="1059" t="str">
        <f>IF(A162="","",I162*K162*L162)</f>
        <v/>
      </c>
      <c r="N162" s="1058"/>
    </row>
    <row r="163" spans="1:15" ht="12.75" customHeight="1" x14ac:dyDescent="0.25">
      <c r="A163" s="1063"/>
      <c r="B163" s="1057"/>
      <c r="C163" s="1057"/>
      <c r="D163" s="1057"/>
      <c r="E163" s="1057"/>
      <c r="F163" s="1057"/>
      <c r="G163" s="1058"/>
      <c r="H163" s="9" t="str">
        <f>IF(A163="","",VLOOKUP(A163,AA_Cuadrillas,4,FALSE))</f>
        <v/>
      </c>
      <c r="I163" s="1059" t="str">
        <f>IF(A163="","",VLOOKUP(A163,AA_Cuadrillas,5,FALSE))</f>
        <v/>
      </c>
      <c r="J163" s="1058"/>
      <c r="K163" s="1" t="str">
        <f>IF(A163="","",'06'!$J$3)</f>
        <v/>
      </c>
      <c r="L163" s="10"/>
      <c r="M163" s="1059" t="str">
        <f>IF(A163="","",I163*K163*L163)</f>
        <v/>
      </c>
      <c r="N163" s="1058"/>
    </row>
    <row r="164" spans="1:15" ht="12.75" customHeight="1" x14ac:dyDescent="0.25">
      <c r="A164" s="1063"/>
      <c r="B164" s="1057"/>
      <c r="C164" s="1057"/>
      <c r="D164" s="1057"/>
      <c r="E164" s="1057"/>
      <c r="F164" s="1057"/>
      <c r="G164" s="1058"/>
      <c r="H164" s="9" t="str">
        <f>IF(A164="","",VLOOKUP(A164,AA_Cuadrillas,4,FALSE))</f>
        <v/>
      </c>
      <c r="I164" s="1059" t="str">
        <f>IF(A164="","",VLOOKUP(A164,AA_Cuadrillas,5,FALSE))</f>
        <v/>
      </c>
      <c r="J164" s="1058"/>
      <c r="K164" s="1" t="str">
        <f>IF(A164="","",'06'!$J$3)</f>
        <v/>
      </c>
      <c r="L164" s="10"/>
      <c r="M164" s="1059" t="str">
        <f>IF(A164="","",I164*K164*L164)</f>
        <v/>
      </c>
      <c r="N164" s="1058"/>
    </row>
    <row r="165" spans="1:15" ht="12.75" customHeight="1" x14ac:dyDescent="0.25">
      <c r="A165" s="1063"/>
      <c r="B165" s="1057"/>
      <c r="C165" s="1057"/>
      <c r="D165" s="1057"/>
      <c r="E165" s="1057"/>
      <c r="F165" s="1057"/>
      <c r="G165" s="1058"/>
      <c r="H165" s="9" t="str">
        <f>IF(A165="","",VLOOKUP(A165,AA_Cuadrillas,4,FALSE))</f>
        <v/>
      </c>
      <c r="I165" s="1059" t="str">
        <f>IF(A165="","",VLOOKUP(A165,AA_Cuadrillas,5,FALSE))</f>
        <v/>
      </c>
      <c r="J165" s="1058"/>
      <c r="K165" s="1" t="str">
        <f>IF(A165="","",'06'!$J$3)</f>
        <v/>
      </c>
      <c r="L165" s="10"/>
      <c r="M165" s="1059" t="str">
        <f>IF(A165="","",I165*K165*L165)</f>
        <v/>
      </c>
      <c r="N165" s="1058"/>
    </row>
    <row r="166" spans="1:15" ht="12.75" customHeight="1" x14ac:dyDescent="0.25">
      <c r="A166" s="3"/>
      <c r="B166" s="3"/>
      <c r="C166" s="3"/>
      <c r="D166" s="3"/>
      <c r="E166" s="3"/>
      <c r="F166" s="3"/>
      <c r="G166" s="3"/>
      <c r="H166" s="3"/>
      <c r="I166" s="3"/>
      <c r="J166" s="3"/>
      <c r="K166" s="1066" t="s">
        <v>201</v>
      </c>
      <c r="L166" s="1058"/>
      <c r="M166" s="1059">
        <f>SUM(M161:N165)</f>
        <v>1176794.6313825003</v>
      </c>
      <c r="N166" s="1058"/>
    </row>
    <row r="167" spans="1:15" ht="12.75" customHeight="1" x14ac:dyDescent="0.25">
      <c r="A167" s="3"/>
      <c r="B167" s="3"/>
      <c r="C167" s="3"/>
      <c r="D167" s="3"/>
      <c r="E167" s="3"/>
      <c r="F167" s="3"/>
      <c r="G167" s="3"/>
      <c r="H167" s="3"/>
      <c r="I167" s="3"/>
      <c r="J167" s="3"/>
      <c r="K167" s="33"/>
      <c r="L167" s="34"/>
      <c r="M167" s="29"/>
      <c r="N167" s="35"/>
    </row>
    <row r="168" spans="1:15" ht="12.75" customHeight="1" x14ac:dyDescent="0.2">
      <c r="A168" s="1107" t="s">
        <v>1626</v>
      </c>
      <c r="B168" s="1108"/>
      <c r="C168" s="1108"/>
      <c r="D168" s="1108"/>
      <c r="E168" s="1108"/>
      <c r="F168" s="1108"/>
      <c r="G168" s="1108"/>
      <c r="H168" s="1108"/>
      <c r="I168" s="1108"/>
      <c r="J168" s="1108"/>
      <c r="K168" s="1108"/>
      <c r="L168" s="1108"/>
      <c r="M168" s="1108"/>
      <c r="N168" s="1109"/>
      <c r="O168" s="7"/>
    </row>
    <row r="169" spans="1:15" ht="12.75" customHeight="1" x14ac:dyDescent="0.2">
      <c r="A169" s="1110"/>
      <c r="B169" s="1111"/>
      <c r="C169" s="1111"/>
      <c r="D169" s="1111"/>
      <c r="E169" s="1111"/>
      <c r="F169" s="1111"/>
      <c r="G169" s="1111"/>
      <c r="H169" s="1111"/>
      <c r="I169" s="1111"/>
      <c r="J169" s="1111"/>
      <c r="K169" s="1111"/>
      <c r="L169" s="1111"/>
      <c r="M169" s="1111"/>
      <c r="N169" s="1112"/>
      <c r="O169" s="7"/>
    </row>
    <row r="170" spans="1:15" ht="12.75" customHeight="1" x14ac:dyDescent="0.2">
      <c r="A170" s="16"/>
      <c r="B170" s="16"/>
      <c r="C170" s="16"/>
      <c r="D170" s="16"/>
      <c r="E170" s="16"/>
      <c r="F170" s="16"/>
      <c r="G170" s="16"/>
      <c r="H170" s="16"/>
      <c r="I170" s="16"/>
      <c r="J170" s="16"/>
      <c r="K170" s="16"/>
      <c r="L170" s="16"/>
      <c r="M170" s="16"/>
      <c r="N170" s="16"/>
    </row>
    <row r="171" spans="1:15" ht="12.75" customHeight="1" x14ac:dyDescent="0.3">
      <c r="A171" s="18" t="s">
        <v>294</v>
      </c>
      <c r="B171" s="19" t="str">
        <f>A168</f>
        <v>SEÑALIZACIÓN Y AISLAMIENTO DE ÁREAS DE TRABAJO, INCLUYE CINTA DE SEGURIDAD, POSTES TUBULARES, CONOS GUIA, SEÑALES PREVENTIVAS Y REGLAMENTARIAS</v>
      </c>
      <c r="C171" s="20" t="s">
        <v>382</v>
      </c>
      <c r="D171" s="127" t="s">
        <v>1800</v>
      </c>
      <c r="E171" s="22" t="s">
        <v>125</v>
      </c>
      <c r="F171" s="26">
        <f>(H171+J171+L171+N171)*$O$2</f>
        <v>98320.804359999136</v>
      </c>
      <c r="G171" s="22" t="s">
        <v>285</v>
      </c>
      <c r="H171" s="26">
        <f>M190</f>
        <v>64579.387164730098</v>
      </c>
      <c r="I171" s="22" t="s">
        <v>383</v>
      </c>
      <c r="J171" s="26">
        <f>M181</f>
        <v>7380.8000000000011</v>
      </c>
      <c r="K171" s="22" t="s">
        <v>287</v>
      </c>
      <c r="L171" s="26">
        <f>M199</f>
        <v>0</v>
      </c>
      <c r="M171" s="22" t="s">
        <v>288</v>
      </c>
      <c r="N171" s="26">
        <f>M208</f>
        <v>3671.2008045000002</v>
      </c>
    </row>
    <row r="172" spans="1:15" ht="12.75" customHeight="1" x14ac:dyDescent="0.25">
      <c r="A172" s="27"/>
      <c r="B172" s="27"/>
      <c r="C172" s="27"/>
      <c r="D172" s="27"/>
      <c r="E172" s="27"/>
      <c r="F172" s="27"/>
      <c r="G172" s="27"/>
      <c r="J172" s="27"/>
      <c r="K172" s="27"/>
      <c r="L172" s="27"/>
      <c r="M172" s="27"/>
      <c r="N172" s="27"/>
    </row>
    <row r="173" spans="1:15" ht="12.75" customHeight="1" x14ac:dyDescent="0.2">
      <c r="A173" s="1065" t="s">
        <v>384</v>
      </c>
      <c r="B173" s="1057"/>
      <c r="C173" s="1057"/>
      <c r="D173" s="1057"/>
      <c r="E173" s="1057"/>
      <c r="F173" s="1057"/>
      <c r="G173" s="1057"/>
      <c r="H173" s="1057"/>
      <c r="I173" s="1057"/>
      <c r="J173" s="1057"/>
      <c r="K173" s="1057"/>
      <c r="L173" s="1057"/>
      <c r="M173" s="1057"/>
      <c r="N173" s="1058"/>
    </row>
    <row r="174" spans="1:15" ht="12.75" customHeight="1" x14ac:dyDescent="0.2">
      <c r="A174" s="1066" t="s">
        <v>38</v>
      </c>
      <c r="B174" s="1057"/>
      <c r="C174" s="1057"/>
      <c r="D174" s="1057"/>
      <c r="E174" s="1057"/>
      <c r="F174" s="1057"/>
      <c r="G174" s="1058"/>
      <c r="H174" s="28" t="s">
        <v>39</v>
      </c>
      <c r="I174" s="1062" t="s">
        <v>385</v>
      </c>
      <c r="J174" s="1058"/>
      <c r="K174" s="1062" t="s">
        <v>132</v>
      </c>
      <c r="L174" s="1058"/>
      <c r="M174" s="1062" t="s">
        <v>386</v>
      </c>
      <c r="N174" s="1058"/>
    </row>
    <row r="175" spans="1:15" ht="12.75" customHeight="1" x14ac:dyDescent="0.2">
      <c r="A175" s="1061" t="s">
        <v>1586</v>
      </c>
      <c r="B175" s="1057"/>
      <c r="C175" s="1057"/>
      <c r="D175" s="1057"/>
      <c r="E175" s="1057"/>
      <c r="F175" s="1057"/>
      <c r="G175" s="1058"/>
      <c r="H175" s="9" t="str">
        <f t="shared" ref="H175:H180" si="3">IF(A175="","",VLOOKUP(A175,AA_Materiales,7,FALSE))</f>
        <v>Unidad</v>
      </c>
      <c r="I175" s="1059">
        <f t="shared" ref="I175:I180" si="4">IF(A175="","",VLOOKUP(A175,AA_Materiales,8,FALSE))</f>
        <v>95900</v>
      </c>
      <c r="J175" s="1058"/>
      <c r="K175" s="1060">
        <v>7.0000000000000007E-2</v>
      </c>
      <c r="L175" s="1058"/>
      <c r="M175" s="1059">
        <f t="shared" ref="M175:M180" si="5">IF(A175="","",I175*K175)</f>
        <v>6713.0000000000009</v>
      </c>
      <c r="N175" s="1058"/>
    </row>
    <row r="176" spans="1:15" ht="12.75" customHeight="1" x14ac:dyDescent="0.2">
      <c r="A176" s="1061" t="s">
        <v>1504</v>
      </c>
      <c r="B176" s="1057"/>
      <c r="C176" s="1057"/>
      <c r="D176" s="1057"/>
      <c r="E176" s="1057"/>
      <c r="F176" s="1057"/>
      <c r="G176" s="1058"/>
      <c r="H176" s="9" t="str">
        <f t="shared" si="3"/>
        <v>Rollo</v>
      </c>
      <c r="I176" s="1059">
        <f t="shared" si="4"/>
        <v>15900</v>
      </c>
      <c r="J176" s="1058"/>
      <c r="K176" s="1060">
        <v>4.2000000000000003E-2</v>
      </c>
      <c r="L176" s="1058"/>
      <c r="M176" s="1059">
        <f t="shared" si="5"/>
        <v>667.80000000000007</v>
      </c>
      <c r="N176" s="1058"/>
    </row>
    <row r="177" spans="1:14" ht="12.75" customHeight="1" x14ac:dyDescent="0.2">
      <c r="A177" s="1061"/>
      <c r="B177" s="1057"/>
      <c r="C177" s="1057"/>
      <c r="D177" s="1057"/>
      <c r="E177" s="1057"/>
      <c r="F177" s="1057"/>
      <c r="G177" s="1058"/>
      <c r="H177" s="9" t="str">
        <f t="shared" si="3"/>
        <v/>
      </c>
      <c r="I177" s="1059" t="str">
        <f t="shared" si="4"/>
        <v/>
      </c>
      <c r="J177" s="1058"/>
      <c r="K177" s="1060"/>
      <c r="L177" s="1058"/>
      <c r="M177" s="1059" t="str">
        <f t="shared" si="5"/>
        <v/>
      </c>
      <c r="N177" s="1058"/>
    </row>
    <row r="178" spans="1:14" ht="12.75" customHeight="1" x14ac:dyDescent="0.2">
      <c r="A178" s="1061"/>
      <c r="B178" s="1057"/>
      <c r="C178" s="1057"/>
      <c r="D178" s="1057"/>
      <c r="E178" s="1057"/>
      <c r="F178" s="1057"/>
      <c r="G178" s="1058"/>
      <c r="H178" s="9" t="str">
        <f t="shared" si="3"/>
        <v/>
      </c>
      <c r="I178" s="1059" t="str">
        <f t="shared" si="4"/>
        <v/>
      </c>
      <c r="J178" s="1058"/>
      <c r="K178" s="1060"/>
      <c r="L178" s="1058"/>
      <c r="M178" s="1059" t="str">
        <f t="shared" si="5"/>
        <v/>
      </c>
      <c r="N178" s="1058"/>
    </row>
    <row r="179" spans="1:14" ht="12.75" customHeight="1" x14ac:dyDescent="0.2">
      <c r="A179" s="1061"/>
      <c r="B179" s="1057"/>
      <c r="C179" s="1057"/>
      <c r="D179" s="1057"/>
      <c r="E179" s="1057"/>
      <c r="F179" s="1057"/>
      <c r="G179" s="1058"/>
      <c r="H179" s="9" t="str">
        <f t="shared" si="3"/>
        <v/>
      </c>
      <c r="I179" s="1059" t="str">
        <f t="shared" si="4"/>
        <v/>
      </c>
      <c r="J179" s="1058"/>
      <c r="K179" s="1060"/>
      <c r="L179" s="1058"/>
      <c r="M179" s="1059" t="str">
        <f t="shared" si="5"/>
        <v/>
      </c>
      <c r="N179" s="1058"/>
    </row>
    <row r="180" spans="1:14" ht="12.75" customHeight="1" x14ac:dyDescent="0.2">
      <c r="A180" s="1061"/>
      <c r="B180" s="1057"/>
      <c r="C180" s="1057"/>
      <c r="D180" s="1057"/>
      <c r="E180" s="1057"/>
      <c r="F180" s="1057"/>
      <c r="G180" s="1058"/>
      <c r="H180" s="9" t="str">
        <f t="shared" si="3"/>
        <v/>
      </c>
      <c r="I180" s="1059" t="str">
        <f t="shared" si="4"/>
        <v/>
      </c>
      <c r="J180" s="1058"/>
      <c r="K180" s="1060"/>
      <c r="L180" s="1058"/>
      <c r="M180" s="1059" t="str">
        <f t="shared" si="5"/>
        <v/>
      </c>
      <c r="N180" s="1058"/>
    </row>
    <row r="181" spans="1:14" ht="12.75" customHeight="1" x14ac:dyDescent="0.25">
      <c r="A181" s="3"/>
      <c r="B181" s="3"/>
      <c r="C181" s="3"/>
      <c r="D181" s="3"/>
      <c r="E181" s="3"/>
      <c r="F181" s="3"/>
      <c r="G181" s="3"/>
      <c r="H181" s="3"/>
      <c r="I181" s="3"/>
      <c r="J181" s="3"/>
      <c r="K181" s="1066" t="s">
        <v>201</v>
      </c>
      <c r="L181" s="1058"/>
      <c r="M181" s="1059">
        <f>SUM(M175:N180)</f>
        <v>7380.8000000000011</v>
      </c>
      <c r="N181" s="1058"/>
    </row>
    <row r="182" spans="1:14" ht="12.75" customHeight="1" x14ac:dyDescent="0.25">
      <c r="A182" s="3"/>
      <c r="B182" s="3"/>
      <c r="C182" s="3"/>
      <c r="D182" s="3"/>
      <c r="E182" s="3"/>
      <c r="F182" s="3"/>
      <c r="G182" s="3"/>
      <c r="H182" s="3"/>
      <c r="I182" s="3"/>
      <c r="J182" s="3"/>
      <c r="K182" s="3"/>
      <c r="L182" s="3"/>
      <c r="M182" s="3"/>
      <c r="N182" s="3"/>
    </row>
    <row r="183" spans="1:14" ht="12.75" customHeight="1" x14ac:dyDescent="0.2">
      <c r="A183" s="1065" t="s">
        <v>390</v>
      </c>
      <c r="B183" s="1057"/>
      <c r="C183" s="1057"/>
      <c r="D183" s="1057"/>
      <c r="E183" s="1057"/>
      <c r="F183" s="1057"/>
      <c r="G183" s="1057"/>
      <c r="H183" s="1057"/>
      <c r="I183" s="1057"/>
      <c r="J183" s="1057"/>
      <c r="K183" s="1057"/>
      <c r="L183" s="1057"/>
      <c r="M183" s="1057"/>
      <c r="N183" s="1058"/>
    </row>
    <row r="184" spans="1:14" ht="12.75" customHeight="1" x14ac:dyDescent="0.2">
      <c r="A184" s="1066" t="s">
        <v>38</v>
      </c>
      <c r="B184" s="1057"/>
      <c r="C184" s="1057"/>
      <c r="D184" s="1057"/>
      <c r="E184" s="1057"/>
      <c r="F184" s="1057"/>
      <c r="G184" s="1058"/>
      <c r="H184" s="28" t="s">
        <v>39</v>
      </c>
      <c r="I184" s="1062" t="s">
        <v>385</v>
      </c>
      <c r="J184" s="1058"/>
      <c r="K184" s="1062" t="s">
        <v>132</v>
      </c>
      <c r="L184" s="1058"/>
      <c r="M184" s="1062" t="s">
        <v>386</v>
      </c>
      <c r="N184" s="1058"/>
    </row>
    <row r="185" spans="1:14" ht="12.75" customHeight="1" x14ac:dyDescent="0.2">
      <c r="A185" s="1061" t="s">
        <v>391</v>
      </c>
      <c r="B185" s="1057"/>
      <c r="C185" s="1057"/>
      <c r="D185" s="1057"/>
      <c r="E185" s="1057"/>
      <c r="F185" s="1057"/>
      <c r="G185" s="1058"/>
      <c r="H185" s="9" t="str">
        <f>IF(A185="","",VLOOKUP(A185,AA_Equipos,7,FALSE))</f>
        <v>% M.O.</v>
      </c>
      <c r="I185" s="1059">
        <f>M208</f>
        <v>3671.2008045000002</v>
      </c>
      <c r="J185" s="1058"/>
      <c r="K185" s="1064">
        <v>0.05</v>
      </c>
      <c r="L185" s="1058"/>
      <c r="M185" s="1059">
        <f>IF(A185="","",I185*K185)</f>
        <v>183.56004022500002</v>
      </c>
      <c r="N185" s="1058"/>
    </row>
    <row r="186" spans="1:14" ht="12.75" customHeight="1" x14ac:dyDescent="0.2">
      <c r="A186" s="1056" t="s">
        <v>1620</v>
      </c>
      <c r="B186" s="1057"/>
      <c r="C186" s="1057"/>
      <c r="D186" s="1057"/>
      <c r="E186" s="1057"/>
      <c r="F186" s="1057"/>
      <c r="G186" s="1058"/>
      <c r="H186" s="9" t="str">
        <f>IF(A186="","",VLOOKUP(A186,AA_Equipos,7,FALSE))</f>
        <v>UN/Mes</v>
      </c>
      <c r="I186" s="1059">
        <f>IF(A186="","",VLOOKUP(A186,AA_Equipos,8,FALSE))</f>
        <v>14292.4052865903</v>
      </c>
      <c r="J186" s="1058"/>
      <c r="K186" s="1067">
        <v>0.5</v>
      </c>
      <c r="L186" s="1058"/>
      <c r="M186" s="1059">
        <f>IF(A186="","",I186/K186)</f>
        <v>28584.810573180599</v>
      </c>
      <c r="N186" s="1058"/>
    </row>
    <row r="187" spans="1:14" ht="12.75" customHeight="1" x14ac:dyDescent="0.2">
      <c r="A187" s="1056" t="s">
        <v>1621</v>
      </c>
      <c r="B187" s="1057"/>
      <c r="C187" s="1057"/>
      <c r="D187" s="1057"/>
      <c r="E187" s="1057"/>
      <c r="F187" s="1057"/>
      <c r="G187" s="1058"/>
      <c r="H187" s="9" t="str">
        <f>IF(A187="","",VLOOKUP(A187,AA_Equipos,7,FALSE))</f>
        <v>UN/Mes</v>
      </c>
      <c r="I187" s="1059">
        <f>IF(A187="","",VLOOKUP(A187,AA_Equipos,8,FALSE))</f>
        <v>14324.4066205298</v>
      </c>
      <c r="J187" s="1058"/>
      <c r="K187" s="1070">
        <v>0.4</v>
      </c>
      <c r="L187" s="1058"/>
      <c r="M187" s="1059">
        <f>IF(A187="","",I187/K187)</f>
        <v>35811.016551324501</v>
      </c>
      <c r="N187" s="1058"/>
    </row>
    <row r="188" spans="1:14" ht="12.75" customHeight="1" x14ac:dyDescent="0.2">
      <c r="A188" s="1056"/>
      <c r="B188" s="1057"/>
      <c r="C188" s="1057"/>
      <c r="D188" s="1057"/>
      <c r="E188" s="1057"/>
      <c r="F188" s="1057"/>
      <c r="G188" s="1058"/>
      <c r="H188" s="9" t="str">
        <f>IF(A188="","",VLOOKUP(A188,AA_Equipos,7,FALSE))</f>
        <v/>
      </c>
      <c r="I188" s="1059" t="str">
        <f>IF(A188="","",VLOOKUP(A188,AA_Equipos,8,FALSE))</f>
        <v/>
      </c>
      <c r="J188" s="1058"/>
      <c r="K188" s="1060"/>
      <c r="L188" s="1058"/>
      <c r="M188" s="1059" t="str">
        <f>IF(A188="","",I188*K188)</f>
        <v/>
      </c>
      <c r="N188" s="1058"/>
    </row>
    <row r="189" spans="1:14" ht="12.75" customHeight="1" x14ac:dyDescent="0.2">
      <c r="A189" s="1056"/>
      <c r="B189" s="1057"/>
      <c r="C189" s="1057"/>
      <c r="D189" s="1057"/>
      <c r="E189" s="1057"/>
      <c r="F189" s="1057"/>
      <c r="G189" s="1058"/>
      <c r="H189" s="9" t="str">
        <f>IF(A189="","",VLOOKUP(A189,AA_Equipos,7,FALSE))</f>
        <v/>
      </c>
      <c r="I189" s="1059" t="str">
        <f>IF(A189="","",VLOOKUP(A189,AA_Equipos,8,FALSE))</f>
        <v/>
      </c>
      <c r="J189" s="1058"/>
      <c r="K189" s="1060"/>
      <c r="L189" s="1058"/>
      <c r="M189" s="1059" t="str">
        <f>IF(A189="","",I189*K189)</f>
        <v/>
      </c>
      <c r="N189" s="1058"/>
    </row>
    <row r="190" spans="1:14" ht="12.75" customHeight="1" x14ac:dyDescent="0.25">
      <c r="A190" s="3"/>
      <c r="B190" s="3"/>
      <c r="C190" s="3"/>
      <c r="D190" s="3"/>
      <c r="E190" s="3"/>
      <c r="F190" s="3"/>
      <c r="G190" s="3"/>
      <c r="H190" s="3"/>
      <c r="I190" s="3"/>
      <c r="J190" s="3"/>
      <c r="K190" s="1066" t="s">
        <v>201</v>
      </c>
      <c r="L190" s="1058"/>
      <c r="M190" s="1059">
        <f>SUM(M185:N189)</f>
        <v>64579.387164730098</v>
      </c>
      <c r="N190" s="1058"/>
    </row>
    <row r="191" spans="1:14" ht="12.75" customHeight="1" x14ac:dyDescent="0.25">
      <c r="A191" s="3"/>
      <c r="B191" s="3"/>
      <c r="C191" s="3"/>
      <c r="D191" s="3"/>
      <c r="E191" s="3"/>
      <c r="F191" s="3"/>
      <c r="G191" s="3"/>
      <c r="H191" s="3"/>
      <c r="I191" s="3"/>
      <c r="J191" s="3"/>
      <c r="K191" s="3"/>
      <c r="L191" s="3"/>
      <c r="M191" s="3"/>
      <c r="N191" s="3"/>
    </row>
    <row r="192" spans="1:14" ht="12.75" customHeight="1" x14ac:dyDescent="0.2">
      <c r="A192" s="1065" t="s">
        <v>392</v>
      </c>
      <c r="B192" s="1057"/>
      <c r="C192" s="1057"/>
      <c r="D192" s="1057"/>
      <c r="E192" s="1057"/>
      <c r="F192" s="1057"/>
      <c r="G192" s="1057"/>
      <c r="H192" s="1057"/>
      <c r="I192" s="1057"/>
      <c r="J192" s="1057"/>
      <c r="K192" s="1057"/>
      <c r="L192" s="1057"/>
      <c r="M192" s="1057"/>
      <c r="N192" s="1058"/>
    </row>
    <row r="193" spans="1:14" ht="12.75" customHeight="1" x14ac:dyDescent="0.2">
      <c r="A193" s="1066" t="s">
        <v>38</v>
      </c>
      <c r="B193" s="1057"/>
      <c r="C193" s="1057"/>
      <c r="D193" s="1057"/>
      <c r="E193" s="1057"/>
      <c r="F193" s="1057"/>
      <c r="G193" s="1058"/>
      <c r="H193" s="28" t="s">
        <v>39</v>
      </c>
      <c r="I193" s="1062" t="s">
        <v>385</v>
      </c>
      <c r="J193" s="1058"/>
      <c r="K193" s="1062" t="s">
        <v>132</v>
      </c>
      <c r="L193" s="1058"/>
      <c r="M193" s="1062" t="s">
        <v>386</v>
      </c>
      <c r="N193" s="1058"/>
    </row>
    <row r="194" spans="1:14" ht="12.75" customHeight="1" x14ac:dyDescent="0.2">
      <c r="A194" s="1061"/>
      <c r="B194" s="1057"/>
      <c r="C194" s="1057"/>
      <c r="D194" s="1057"/>
      <c r="E194" s="1057"/>
      <c r="F194" s="1057"/>
      <c r="G194" s="1058"/>
      <c r="H194" s="9"/>
      <c r="I194" s="1059"/>
      <c r="J194" s="1058"/>
      <c r="K194" s="1064"/>
      <c r="L194" s="1058"/>
      <c r="M194" s="1059" t="str">
        <f>IF(A194="","",I194*K194)</f>
        <v/>
      </c>
      <c r="N194" s="1058"/>
    </row>
    <row r="195" spans="1:14" ht="12.75" customHeight="1" x14ac:dyDescent="0.2">
      <c r="A195" s="1056"/>
      <c r="B195" s="1057"/>
      <c r="C195" s="1057"/>
      <c r="D195" s="1057"/>
      <c r="E195" s="1057"/>
      <c r="F195" s="1057"/>
      <c r="G195" s="1058"/>
      <c r="H195" s="9"/>
      <c r="I195" s="1059"/>
      <c r="J195" s="1058"/>
      <c r="K195" s="1064"/>
      <c r="L195" s="1058"/>
      <c r="M195" s="1059" t="str">
        <f>IF(A195="","",I195*K195)</f>
        <v/>
      </c>
      <c r="N195" s="1058"/>
    </row>
    <row r="196" spans="1:14" ht="12.75" customHeight="1" x14ac:dyDescent="0.2">
      <c r="A196" s="1061"/>
      <c r="B196" s="1057"/>
      <c r="C196" s="1057"/>
      <c r="D196" s="1057"/>
      <c r="E196" s="1057"/>
      <c r="F196" s="1057"/>
      <c r="G196" s="1058"/>
      <c r="H196" s="9"/>
      <c r="I196" s="1059"/>
      <c r="J196" s="1058"/>
      <c r="K196" s="1060"/>
      <c r="L196" s="1058"/>
      <c r="M196" s="1059" t="str">
        <f>IF(A196="","",I196*K196)</f>
        <v/>
      </c>
      <c r="N196" s="1058"/>
    </row>
    <row r="197" spans="1:14" ht="12.75" customHeight="1" x14ac:dyDescent="0.2">
      <c r="A197" s="1061"/>
      <c r="B197" s="1057"/>
      <c r="C197" s="1057"/>
      <c r="D197" s="1057"/>
      <c r="E197" s="1057"/>
      <c r="F197" s="1057"/>
      <c r="G197" s="1058"/>
      <c r="H197" s="9"/>
      <c r="I197" s="1059"/>
      <c r="J197" s="1058"/>
      <c r="K197" s="1060"/>
      <c r="L197" s="1058"/>
      <c r="M197" s="1059" t="str">
        <f>IF(A197="","",I197*K197)</f>
        <v/>
      </c>
      <c r="N197" s="1058"/>
    </row>
    <row r="198" spans="1:14" ht="12.75" customHeight="1" x14ac:dyDescent="0.2">
      <c r="A198" s="1061"/>
      <c r="B198" s="1057"/>
      <c r="C198" s="1057"/>
      <c r="D198" s="1057"/>
      <c r="E198" s="1057"/>
      <c r="F198" s="1057"/>
      <c r="G198" s="1058"/>
      <c r="H198" s="9"/>
      <c r="I198" s="1059"/>
      <c r="J198" s="1058"/>
      <c r="K198" s="1060"/>
      <c r="L198" s="1058"/>
      <c r="M198" s="1059" t="str">
        <f>IF(A198="","",I198*K198)</f>
        <v/>
      </c>
      <c r="N198" s="1058"/>
    </row>
    <row r="199" spans="1:14" ht="12.75" customHeight="1" x14ac:dyDescent="0.25">
      <c r="A199" s="3"/>
      <c r="B199" s="3"/>
      <c r="C199" s="3"/>
      <c r="D199" s="3"/>
      <c r="E199" s="3"/>
      <c r="F199" s="3"/>
      <c r="G199" s="3"/>
      <c r="H199" s="3"/>
      <c r="I199" s="3"/>
      <c r="J199" s="3"/>
      <c r="K199" s="1066" t="s">
        <v>201</v>
      </c>
      <c r="L199" s="1058"/>
      <c r="M199" s="1059">
        <f>SUM(M194:N198)</f>
        <v>0</v>
      </c>
      <c r="N199" s="1058"/>
    </row>
    <row r="200" spans="1:14" ht="12.75" customHeight="1" x14ac:dyDescent="0.25">
      <c r="A200" s="3"/>
      <c r="B200" s="3"/>
      <c r="C200" s="3"/>
      <c r="D200" s="3"/>
      <c r="E200" s="3"/>
      <c r="F200" s="3"/>
      <c r="G200" s="3"/>
      <c r="H200" s="3"/>
      <c r="I200" s="3"/>
      <c r="J200" s="3"/>
      <c r="K200" s="3"/>
      <c r="L200" s="3"/>
      <c r="M200" s="3"/>
      <c r="N200" s="3"/>
    </row>
    <row r="201" spans="1:14" ht="12.75" customHeight="1" x14ac:dyDescent="0.2">
      <c r="A201" s="1065" t="s">
        <v>394</v>
      </c>
      <c r="B201" s="1057"/>
      <c r="C201" s="1057"/>
      <c r="D201" s="1057"/>
      <c r="E201" s="1057"/>
      <c r="F201" s="1057"/>
      <c r="G201" s="1057"/>
      <c r="H201" s="1057"/>
      <c r="I201" s="1057"/>
      <c r="J201" s="1057"/>
      <c r="K201" s="1057"/>
      <c r="L201" s="1057"/>
      <c r="M201" s="1057"/>
      <c r="N201" s="1058"/>
    </row>
    <row r="202" spans="1:14" ht="12.75" customHeight="1" x14ac:dyDescent="0.2">
      <c r="A202" s="1066" t="s">
        <v>38</v>
      </c>
      <c r="B202" s="1057"/>
      <c r="C202" s="1057"/>
      <c r="D202" s="1057"/>
      <c r="E202" s="1057"/>
      <c r="F202" s="1057"/>
      <c r="G202" s="1058"/>
      <c r="H202" s="28" t="s">
        <v>39</v>
      </c>
      <c r="I202" s="1062" t="s">
        <v>385</v>
      </c>
      <c r="J202" s="1058"/>
      <c r="K202" s="30" t="s">
        <v>193</v>
      </c>
      <c r="L202" s="31" t="s">
        <v>395</v>
      </c>
      <c r="M202" s="1062" t="s">
        <v>386</v>
      </c>
      <c r="N202" s="1058"/>
    </row>
    <row r="203" spans="1:14" ht="12.75" customHeight="1" x14ac:dyDescent="0.25">
      <c r="A203" s="1063" t="s">
        <v>404</v>
      </c>
      <c r="B203" s="1057"/>
      <c r="C203" s="1057"/>
      <c r="D203" s="1057"/>
      <c r="E203" s="1057"/>
      <c r="F203" s="1057"/>
      <c r="G203" s="1058"/>
      <c r="H203" s="9" t="str">
        <f>IF(A203="","",VLOOKUP(A203,AA_Cuadrillas,4,FALSE))</f>
        <v>Cuadrilla</v>
      </c>
      <c r="I203" s="1059">
        <f>IF(A203="","",VLOOKUP(A203,AA_Cuadrillas,5,FALSE))</f>
        <v>213027</v>
      </c>
      <c r="J203" s="1058"/>
      <c r="K203" s="1">
        <f>IF(A203="","",'06'!$J$3)</f>
        <v>1.7233500000000002</v>
      </c>
      <c r="L203" s="32">
        <v>0.01</v>
      </c>
      <c r="M203" s="1059">
        <f>IF(A203="","",I203*K203*L203)</f>
        <v>3671.2008045000002</v>
      </c>
      <c r="N203" s="1058"/>
    </row>
    <row r="204" spans="1:14" ht="12.75" customHeight="1" x14ac:dyDescent="0.25">
      <c r="A204" s="1063"/>
      <c r="B204" s="1057"/>
      <c r="C204" s="1057"/>
      <c r="D204" s="1057"/>
      <c r="E204" s="1057"/>
      <c r="F204" s="1057"/>
      <c r="G204" s="1058"/>
      <c r="H204" s="9" t="str">
        <f>IF(A204="","",VLOOKUP(A204,AA_Cuadrillas,4,FALSE))</f>
        <v/>
      </c>
      <c r="I204" s="1059" t="str">
        <f>IF(A204="","",VLOOKUP(A204,AA_Cuadrillas,5,FALSE))</f>
        <v/>
      </c>
      <c r="J204" s="1058"/>
      <c r="K204" s="1" t="str">
        <f>IF(A204="","",'06'!$J$3)</f>
        <v/>
      </c>
      <c r="L204" s="1"/>
      <c r="M204" s="1059" t="str">
        <f>IF(A204="","",I204*K204*L204)</f>
        <v/>
      </c>
      <c r="N204" s="1058"/>
    </row>
    <row r="205" spans="1:14" ht="12.75" customHeight="1" x14ac:dyDescent="0.25">
      <c r="A205" s="1063"/>
      <c r="B205" s="1057"/>
      <c r="C205" s="1057"/>
      <c r="D205" s="1057"/>
      <c r="E205" s="1057"/>
      <c r="F205" s="1057"/>
      <c r="G205" s="1058"/>
      <c r="H205" s="9" t="str">
        <f>IF(A205="","",VLOOKUP(A205,AA_Cuadrillas,4,FALSE))</f>
        <v/>
      </c>
      <c r="I205" s="1059" t="str">
        <f>IF(A205="","",VLOOKUP(A205,AA_Cuadrillas,5,FALSE))</f>
        <v/>
      </c>
      <c r="J205" s="1058"/>
      <c r="K205" s="1" t="str">
        <f>IF(A205="","",'06'!$J$3)</f>
        <v/>
      </c>
      <c r="L205" s="10"/>
      <c r="M205" s="1059" t="str">
        <f>IF(A205="","",I205*K205*L205)</f>
        <v/>
      </c>
      <c r="N205" s="1058"/>
    </row>
    <row r="206" spans="1:14" ht="12.75" customHeight="1" x14ac:dyDescent="0.25">
      <c r="A206" s="1063"/>
      <c r="B206" s="1057"/>
      <c r="C206" s="1057"/>
      <c r="D206" s="1057"/>
      <c r="E206" s="1057"/>
      <c r="F206" s="1057"/>
      <c r="G206" s="1058"/>
      <c r="H206" s="9" t="str">
        <f>IF(A206="","",VLOOKUP(A206,AA_Cuadrillas,4,FALSE))</f>
        <v/>
      </c>
      <c r="I206" s="1059" t="str">
        <f>IF(A206="","",VLOOKUP(A206,AA_Cuadrillas,5,FALSE))</f>
        <v/>
      </c>
      <c r="J206" s="1058"/>
      <c r="K206" s="1" t="str">
        <f>IF(A206="","",'06'!$J$3)</f>
        <v/>
      </c>
      <c r="L206" s="10"/>
      <c r="M206" s="1059" t="str">
        <f>IF(A206="","",I206*K206*L206)</f>
        <v/>
      </c>
      <c r="N206" s="1058"/>
    </row>
    <row r="207" spans="1:14" ht="12.75" customHeight="1" x14ac:dyDescent="0.25">
      <c r="A207" s="1063"/>
      <c r="B207" s="1057"/>
      <c r="C207" s="1057"/>
      <c r="D207" s="1057"/>
      <c r="E207" s="1057"/>
      <c r="F207" s="1057"/>
      <c r="G207" s="1058"/>
      <c r="H207" s="9" t="str">
        <f>IF(A207="","",VLOOKUP(A207,AA_Cuadrillas,4,FALSE))</f>
        <v/>
      </c>
      <c r="I207" s="1059" t="str">
        <f>IF(A207="","",VLOOKUP(A207,AA_Cuadrillas,5,FALSE))</f>
        <v/>
      </c>
      <c r="J207" s="1058"/>
      <c r="K207" s="1" t="str">
        <f>IF(A207="","",'06'!$J$3)</f>
        <v/>
      </c>
      <c r="L207" s="10"/>
      <c r="M207" s="1059" t="str">
        <f>IF(A207="","",I207*K207*L207)</f>
        <v/>
      </c>
      <c r="N207" s="1058"/>
    </row>
    <row r="208" spans="1:14" ht="12.75" customHeight="1" x14ac:dyDescent="0.25">
      <c r="A208" s="3"/>
      <c r="B208" s="3"/>
      <c r="C208" s="3"/>
      <c r="D208" s="3"/>
      <c r="E208" s="3"/>
      <c r="F208" s="3"/>
      <c r="G208" s="3"/>
      <c r="H208" s="3"/>
      <c r="I208" s="3"/>
      <c r="J208" s="3"/>
      <c r="K208" s="1066" t="s">
        <v>201</v>
      </c>
      <c r="L208" s="1058"/>
      <c r="M208" s="1059">
        <f>SUM(M203:N207)</f>
        <v>3671.2008045000002</v>
      </c>
      <c r="N208" s="1058"/>
    </row>
    <row r="209" spans="1:15" ht="12.75" customHeight="1" x14ac:dyDescent="0.2"/>
    <row r="210" spans="1:15" ht="12.75" customHeight="1" x14ac:dyDescent="0.2">
      <c r="A210" s="1113" t="s">
        <v>1630</v>
      </c>
      <c r="B210" s="1108"/>
      <c r="C210" s="1108"/>
      <c r="D210" s="1108"/>
      <c r="E210" s="1108"/>
      <c r="F210" s="1108"/>
      <c r="G210" s="1108"/>
      <c r="H210" s="1108"/>
      <c r="I210" s="1108"/>
      <c r="J210" s="1108"/>
      <c r="K210" s="1108"/>
      <c r="L210" s="1108"/>
      <c r="M210" s="1108"/>
      <c r="N210" s="1109"/>
      <c r="O210" s="7"/>
    </row>
    <row r="211" spans="1:15" ht="12.75" customHeight="1" x14ac:dyDescent="0.2">
      <c r="A211" s="1110"/>
      <c r="B211" s="1111"/>
      <c r="C211" s="1111"/>
      <c r="D211" s="1111"/>
      <c r="E211" s="1111"/>
      <c r="F211" s="1111"/>
      <c r="G211" s="1111"/>
      <c r="H211" s="1111"/>
      <c r="I211" s="1111"/>
      <c r="J211" s="1111"/>
      <c r="K211" s="1111"/>
      <c r="L211" s="1111"/>
      <c r="M211" s="1111"/>
      <c r="N211" s="1112"/>
      <c r="O211" s="7"/>
    </row>
    <row r="212" spans="1:15" ht="12.75" customHeight="1" x14ac:dyDescent="0.2">
      <c r="A212" s="16"/>
      <c r="B212" s="16"/>
      <c r="C212" s="16"/>
      <c r="D212" s="16"/>
      <c r="E212" s="16"/>
      <c r="F212" s="16"/>
      <c r="G212" s="16"/>
      <c r="H212" s="16"/>
      <c r="I212" s="16"/>
      <c r="J212" s="16"/>
      <c r="K212" s="16"/>
      <c r="L212" s="16"/>
      <c r="M212" s="16"/>
      <c r="N212" s="16"/>
    </row>
    <row r="213" spans="1:15" ht="12.75" customHeight="1" x14ac:dyDescent="0.3">
      <c r="A213" s="18" t="s">
        <v>295</v>
      </c>
      <c r="B213" s="19" t="str">
        <f>A210</f>
        <v>DEMOLICIÓN DE PAVIMENTO RÍGIDO (INCLUYE CORTE A MÁQUINA 2 COSTADOS)</v>
      </c>
      <c r="C213" s="20" t="s">
        <v>382</v>
      </c>
      <c r="D213" s="127" t="s">
        <v>399</v>
      </c>
      <c r="E213" s="22" t="s">
        <v>125</v>
      </c>
      <c r="F213" s="26">
        <f>(H213+J213+L213+N213)*$O$2</f>
        <v>223952.40350096428</v>
      </c>
      <c r="G213" s="22" t="s">
        <v>285</v>
      </c>
      <c r="H213" s="26">
        <f>M232</f>
        <v>100436.81997422637</v>
      </c>
      <c r="I213" s="22" t="s">
        <v>383</v>
      </c>
      <c r="J213" s="26">
        <f>M223</f>
        <v>5018.4049999999997</v>
      </c>
      <c r="K213" s="22" t="s">
        <v>287</v>
      </c>
      <c r="L213" s="26">
        <f>M241</f>
        <v>0</v>
      </c>
      <c r="M213" s="22" t="s">
        <v>288</v>
      </c>
      <c r="N213" s="26">
        <f>M250</f>
        <v>66815.854641900005</v>
      </c>
    </row>
    <row r="214" spans="1:15" ht="12.75" customHeight="1" x14ac:dyDescent="0.25">
      <c r="A214" s="27"/>
      <c r="B214" s="27"/>
      <c r="C214" s="27"/>
      <c r="D214" s="27"/>
      <c r="E214" s="27"/>
      <c r="F214" s="27"/>
      <c r="G214" s="27"/>
      <c r="J214" s="27"/>
      <c r="K214" s="27"/>
      <c r="L214" s="27"/>
      <c r="M214" s="27"/>
      <c r="N214" s="27"/>
    </row>
    <row r="215" spans="1:15" ht="12.75" customHeight="1" x14ac:dyDescent="0.2">
      <c r="A215" s="1065" t="s">
        <v>384</v>
      </c>
      <c r="B215" s="1057"/>
      <c r="C215" s="1057"/>
      <c r="D215" s="1057"/>
      <c r="E215" s="1057"/>
      <c r="F215" s="1057"/>
      <c r="G215" s="1057"/>
      <c r="H215" s="1057"/>
      <c r="I215" s="1057"/>
      <c r="J215" s="1057"/>
      <c r="K215" s="1057"/>
      <c r="L215" s="1057"/>
      <c r="M215" s="1057"/>
      <c r="N215" s="1058"/>
    </row>
    <row r="216" spans="1:15" ht="12.75" customHeight="1" x14ac:dyDescent="0.2">
      <c r="A216" s="1066" t="s">
        <v>38</v>
      </c>
      <c r="B216" s="1057"/>
      <c r="C216" s="1057"/>
      <c r="D216" s="1057"/>
      <c r="E216" s="1057"/>
      <c r="F216" s="1057"/>
      <c r="G216" s="1058"/>
      <c r="H216" s="28" t="s">
        <v>39</v>
      </c>
      <c r="I216" s="1062" t="s">
        <v>385</v>
      </c>
      <c r="J216" s="1058"/>
      <c r="K216" s="1062" t="s">
        <v>132</v>
      </c>
      <c r="L216" s="1058"/>
      <c r="M216" s="1062" t="s">
        <v>386</v>
      </c>
      <c r="N216" s="1058"/>
    </row>
    <row r="217" spans="1:15" ht="12.75" customHeight="1" x14ac:dyDescent="0.2">
      <c r="A217" s="1061" t="s">
        <v>408</v>
      </c>
      <c r="B217" s="1057"/>
      <c r="C217" s="1057"/>
      <c r="D217" s="1057"/>
      <c r="E217" s="1057"/>
      <c r="F217" s="1057"/>
      <c r="G217" s="1058"/>
      <c r="H217" s="9" t="str">
        <f t="shared" ref="H217:H222" si="6">IF(A217="","",VLOOKUP(A217,AA_Materiales,7,FALSE))</f>
        <v>L</v>
      </c>
      <c r="I217" s="1059">
        <f t="shared" ref="I217:I222" si="7">IF(A217="","",VLOOKUP(A217,AA_Materiales,8,FALSE))</f>
        <v>20</v>
      </c>
      <c r="J217" s="1058"/>
      <c r="K217" s="1067">
        <v>243.929</v>
      </c>
      <c r="L217" s="1058"/>
      <c r="M217" s="1059">
        <f t="shared" ref="M217:M222" si="8">IF(A217="","",I217*K217)</f>
        <v>4878.58</v>
      </c>
      <c r="N217" s="1058"/>
    </row>
    <row r="218" spans="1:15" ht="12.75" customHeight="1" x14ac:dyDescent="0.2">
      <c r="A218" s="1061" t="s">
        <v>1597</v>
      </c>
      <c r="B218" s="1057"/>
      <c r="C218" s="1057"/>
      <c r="D218" s="1057"/>
      <c r="E218" s="1057"/>
      <c r="F218" s="1057"/>
      <c r="G218" s="1058"/>
      <c r="H218" s="9" t="str">
        <f t="shared" si="6"/>
        <v>Unidad</v>
      </c>
      <c r="I218" s="1059">
        <f t="shared" si="7"/>
        <v>9321.6666666666624</v>
      </c>
      <c r="J218" s="1058"/>
      <c r="K218" s="1060">
        <v>1.4999999999999999E-2</v>
      </c>
      <c r="L218" s="1058"/>
      <c r="M218" s="1059">
        <f t="shared" si="8"/>
        <v>139.82499999999993</v>
      </c>
      <c r="N218" s="1058"/>
    </row>
    <row r="219" spans="1:15" ht="12.75" customHeight="1" x14ac:dyDescent="0.2">
      <c r="A219" s="1061"/>
      <c r="B219" s="1057"/>
      <c r="C219" s="1057"/>
      <c r="D219" s="1057"/>
      <c r="E219" s="1057"/>
      <c r="F219" s="1057"/>
      <c r="G219" s="1058"/>
      <c r="H219" s="9" t="str">
        <f t="shared" si="6"/>
        <v/>
      </c>
      <c r="I219" s="1059" t="str">
        <f t="shared" si="7"/>
        <v/>
      </c>
      <c r="J219" s="1058"/>
      <c r="K219" s="1060"/>
      <c r="L219" s="1058"/>
      <c r="M219" s="1059" t="str">
        <f t="shared" si="8"/>
        <v/>
      </c>
      <c r="N219" s="1058"/>
    </row>
    <row r="220" spans="1:15" ht="12.75" customHeight="1" x14ac:dyDescent="0.2">
      <c r="A220" s="1061"/>
      <c r="B220" s="1057"/>
      <c r="C220" s="1057"/>
      <c r="D220" s="1057"/>
      <c r="E220" s="1057"/>
      <c r="F220" s="1057"/>
      <c r="G220" s="1058"/>
      <c r="H220" s="9" t="str">
        <f t="shared" si="6"/>
        <v/>
      </c>
      <c r="I220" s="1059" t="str">
        <f t="shared" si="7"/>
        <v/>
      </c>
      <c r="J220" s="1058"/>
      <c r="K220" s="1060"/>
      <c r="L220" s="1058"/>
      <c r="M220" s="1059" t="str">
        <f t="shared" si="8"/>
        <v/>
      </c>
      <c r="N220" s="1058"/>
    </row>
    <row r="221" spans="1:15" ht="12.75" customHeight="1" x14ac:dyDescent="0.2">
      <c r="A221" s="1061"/>
      <c r="B221" s="1057"/>
      <c r="C221" s="1057"/>
      <c r="D221" s="1057"/>
      <c r="E221" s="1057"/>
      <c r="F221" s="1057"/>
      <c r="G221" s="1058"/>
      <c r="H221" s="9" t="str">
        <f t="shared" si="6"/>
        <v/>
      </c>
      <c r="I221" s="1059" t="str">
        <f t="shared" si="7"/>
        <v/>
      </c>
      <c r="J221" s="1058"/>
      <c r="K221" s="1060"/>
      <c r="L221" s="1058"/>
      <c r="M221" s="1059" t="str">
        <f t="shared" si="8"/>
        <v/>
      </c>
      <c r="N221" s="1058"/>
    </row>
    <row r="222" spans="1:15" ht="12.75" customHeight="1" x14ac:dyDescent="0.2">
      <c r="A222" s="1061"/>
      <c r="B222" s="1057"/>
      <c r="C222" s="1057"/>
      <c r="D222" s="1057"/>
      <c r="E222" s="1057"/>
      <c r="F222" s="1057"/>
      <c r="G222" s="1058"/>
      <c r="H222" s="9" t="str">
        <f t="shared" si="6"/>
        <v/>
      </c>
      <c r="I222" s="1059" t="str">
        <f t="shared" si="7"/>
        <v/>
      </c>
      <c r="J222" s="1058"/>
      <c r="K222" s="1060"/>
      <c r="L222" s="1058"/>
      <c r="M222" s="1059" t="str">
        <f t="shared" si="8"/>
        <v/>
      </c>
      <c r="N222" s="1058"/>
    </row>
    <row r="223" spans="1:15" ht="12.75" customHeight="1" x14ac:dyDescent="0.25">
      <c r="A223" s="3"/>
      <c r="B223" s="3"/>
      <c r="C223" s="3"/>
      <c r="D223" s="3"/>
      <c r="E223" s="3"/>
      <c r="F223" s="3"/>
      <c r="G223" s="3"/>
      <c r="H223" s="3"/>
      <c r="I223" s="3"/>
      <c r="J223" s="3"/>
      <c r="K223" s="1066" t="s">
        <v>201</v>
      </c>
      <c r="L223" s="1058"/>
      <c r="M223" s="1059">
        <f>SUM(M217:N222)</f>
        <v>5018.4049999999997</v>
      </c>
      <c r="N223" s="1058"/>
    </row>
    <row r="224" spans="1:15" ht="12.75" customHeight="1" x14ac:dyDescent="0.25">
      <c r="A224" s="3"/>
      <c r="B224" s="3"/>
      <c r="C224" s="3"/>
      <c r="D224" s="3"/>
      <c r="E224" s="3"/>
      <c r="F224" s="3"/>
      <c r="G224" s="3"/>
      <c r="H224" s="3"/>
      <c r="I224" s="3"/>
      <c r="J224" s="3"/>
      <c r="K224" s="3"/>
      <c r="L224" s="3"/>
      <c r="M224" s="3"/>
      <c r="N224" s="3"/>
    </row>
    <row r="225" spans="1:14" ht="12.75" customHeight="1" x14ac:dyDescent="0.2">
      <c r="A225" s="1065" t="s">
        <v>390</v>
      </c>
      <c r="B225" s="1057"/>
      <c r="C225" s="1057"/>
      <c r="D225" s="1057"/>
      <c r="E225" s="1057"/>
      <c r="F225" s="1057"/>
      <c r="G225" s="1057"/>
      <c r="H225" s="1057"/>
      <c r="I225" s="1057"/>
      <c r="J225" s="1057"/>
      <c r="K225" s="1057"/>
      <c r="L225" s="1057"/>
      <c r="M225" s="1057"/>
      <c r="N225" s="1058"/>
    </row>
    <row r="226" spans="1:14" ht="12.75" customHeight="1" x14ac:dyDescent="0.2">
      <c r="A226" s="1066" t="s">
        <v>38</v>
      </c>
      <c r="B226" s="1057"/>
      <c r="C226" s="1057"/>
      <c r="D226" s="1057"/>
      <c r="E226" s="1057"/>
      <c r="F226" s="1057"/>
      <c r="G226" s="1058"/>
      <c r="H226" s="28" t="s">
        <v>39</v>
      </c>
      <c r="I226" s="1062" t="s">
        <v>385</v>
      </c>
      <c r="J226" s="1058"/>
      <c r="K226" s="1062" t="s">
        <v>132</v>
      </c>
      <c r="L226" s="1058"/>
      <c r="M226" s="1062" t="s">
        <v>386</v>
      </c>
      <c r="N226" s="1058"/>
    </row>
    <row r="227" spans="1:14" ht="12.75" customHeight="1" x14ac:dyDescent="0.2">
      <c r="A227" s="1061" t="s">
        <v>391</v>
      </c>
      <c r="B227" s="1057"/>
      <c r="C227" s="1057"/>
      <c r="D227" s="1057"/>
      <c r="E227" s="1057"/>
      <c r="F227" s="1057"/>
      <c r="G227" s="1058"/>
      <c r="H227" s="9" t="str">
        <f>IF(A227="","",VLOOKUP(A227,AA_Equipos,7,FALSE))</f>
        <v>% M.O.</v>
      </c>
      <c r="I227" s="1059">
        <f>M250</f>
        <v>66815.854641900005</v>
      </c>
      <c r="J227" s="1058"/>
      <c r="K227" s="1064">
        <v>0.05</v>
      </c>
      <c r="L227" s="1058"/>
      <c r="M227" s="1059">
        <f>IF(A227="","",I227*K227)</f>
        <v>3340.7927320950002</v>
      </c>
      <c r="N227" s="1058"/>
    </row>
    <row r="228" spans="1:14" ht="25.5" customHeight="1" x14ac:dyDescent="0.2">
      <c r="A228" s="1056" t="s">
        <v>1607</v>
      </c>
      <c r="B228" s="1057"/>
      <c r="C228" s="1057"/>
      <c r="D228" s="1057"/>
      <c r="E228" s="1057"/>
      <c r="F228" s="1057"/>
      <c r="G228" s="1058"/>
      <c r="H228" s="9" t="str">
        <f>IF(A228="","",VLOOKUP(A228,AA_Equipos,7,FALSE))</f>
        <v>Hora</v>
      </c>
      <c r="I228" s="1059">
        <f>IF(A228="","",VLOOKUP(A228,AA_Equipos,8,FALSE))</f>
        <v>14684.3225513011</v>
      </c>
      <c r="J228" s="1058"/>
      <c r="K228" s="1067">
        <v>9</v>
      </c>
      <c r="L228" s="1058"/>
      <c r="M228" s="1059">
        <f>IF(A228="","",I228/K228)</f>
        <v>1631.5913945890111</v>
      </c>
      <c r="N228" s="1058"/>
    </row>
    <row r="229" spans="1:14" ht="12.75" customHeight="1" x14ac:dyDescent="0.2">
      <c r="A229" s="1056" t="s">
        <v>1613</v>
      </c>
      <c r="B229" s="1057"/>
      <c r="C229" s="1057"/>
      <c r="D229" s="1057"/>
      <c r="E229" s="1057"/>
      <c r="F229" s="1057"/>
      <c r="G229" s="1058"/>
      <c r="H229" s="9" t="str">
        <f>IF(A229="","",VLOOKUP(A229,AA_Equipos,7,FALSE))</f>
        <v>Hora</v>
      </c>
      <c r="I229" s="1059">
        <f>IF(A229="","",VLOOKUP(A229,AA_Equipos,8,FALSE))</f>
        <v>81144.770470410993</v>
      </c>
      <c r="J229" s="1058"/>
      <c r="K229" s="1070">
        <v>0.85</v>
      </c>
      <c r="L229" s="1058"/>
      <c r="M229" s="1059">
        <f>IF(A229="","",I229/K229)</f>
        <v>95464.435847542351</v>
      </c>
      <c r="N229" s="1058"/>
    </row>
    <row r="230" spans="1:14" ht="12.75" customHeight="1" x14ac:dyDescent="0.2">
      <c r="A230" s="1056"/>
      <c r="B230" s="1057"/>
      <c r="C230" s="1057"/>
      <c r="D230" s="1057"/>
      <c r="E230" s="1057"/>
      <c r="F230" s="1057"/>
      <c r="G230" s="1058"/>
      <c r="H230" s="9" t="str">
        <f>IF(A230="","",VLOOKUP(A230,AA_Equipos,7,FALSE))</f>
        <v/>
      </c>
      <c r="I230" s="1059" t="str">
        <f>IF(A230="","",VLOOKUP(A230,AA_Equipos,8,FALSE))</f>
        <v/>
      </c>
      <c r="J230" s="1058"/>
      <c r="K230" s="1060"/>
      <c r="L230" s="1058"/>
      <c r="M230" s="1059" t="str">
        <f>IF(A230="","",I230*K230)</f>
        <v/>
      </c>
      <c r="N230" s="1058"/>
    </row>
    <row r="231" spans="1:14" ht="12.75" customHeight="1" x14ac:dyDescent="0.2">
      <c r="A231" s="1056"/>
      <c r="B231" s="1057"/>
      <c r="C231" s="1057"/>
      <c r="D231" s="1057"/>
      <c r="E231" s="1057"/>
      <c r="F231" s="1057"/>
      <c r="G231" s="1058"/>
      <c r="H231" s="9" t="str">
        <f>IF(A231="","",VLOOKUP(A231,AA_Equipos,7,FALSE))</f>
        <v/>
      </c>
      <c r="I231" s="1059" t="str">
        <f>IF(A231="","",VLOOKUP(A231,AA_Equipos,8,FALSE))</f>
        <v/>
      </c>
      <c r="J231" s="1058"/>
      <c r="K231" s="1060"/>
      <c r="L231" s="1058"/>
      <c r="M231" s="1059" t="str">
        <f>IF(A231="","",I231*K231)</f>
        <v/>
      </c>
      <c r="N231" s="1058"/>
    </row>
    <row r="232" spans="1:14" ht="12.75" customHeight="1" x14ac:dyDescent="0.25">
      <c r="A232" s="3"/>
      <c r="B232" s="3"/>
      <c r="C232" s="3"/>
      <c r="D232" s="3"/>
      <c r="E232" s="3"/>
      <c r="F232" s="3"/>
      <c r="G232" s="3"/>
      <c r="H232" s="3"/>
      <c r="I232" s="3"/>
      <c r="J232" s="3"/>
      <c r="K232" s="1066" t="s">
        <v>201</v>
      </c>
      <c r="L232" s="1058"/>
      <c r="M232" s="1059">
        <f>SUM(M227:N231)</f>
        <v>100436.81997422637</v>
      </c>
      <c r="N232" s="1058"/>
    </row>
    <row r="233" spans="1:14" ht="12.75" customHeight="1" x14ac:dyDescent="0.25">
      <c r="A233" s="3"/>
      <c r="B233" s="3"/>
      <c r="C233" s="3"/>
      <c r="D233" s="3"/>
      <c r="E233" s="3"/>
      <c r="F233" s="3"/>
      <c r="G233" s="3"/>
      <c r="H233" s="3"/>
      <c r="I233" s="3"/>
      <c r="J233" s="3"/>
      <c r="K233" s="3"/>
      <c r="L233" s="3"/>
      <c r="M233" s="3"/>
      <c r="N233" s="3"/>
    </row>
    <row r="234" spans="1:14" ht="12.75" customHeight="1" x14ac:dyDescent="0.2">
      <c r="A234" s="1065" t="s">
        <v>392</v>
      </c>
      <c r="B234" s="1057"/>
      <c r="C234" s="1057"/>
      <c r="D234" s="1057"/>
      <c r="E234" s="1057"/>
      <c r="F234" s="1057"/>
      <c r="G234" s="1057"/>
      <c r="H234" s="1057"/>
      <c r="I234" s="1057"/>
      <c r="J234" s="1057"/>
      <c r="K234" s="1057"/>
      <c r="L234" s="1057"/>
      <c r="M234" s="1057"/>
      <c r="N234" s="1058"/>
    </row>
    <row r="235" spans="1:14" ht="12.75" customHeight="1" x14ac:dyDescent="0.2">
      <c r="A235" s="1066" t="s">
        <v>38</v>
      </c>
      <c r="B235" s="1057"/>
      <c r="C235" s="1057"/>
      <c r="D235" s="1057"/>
      <c r="E235" s="1057"/>
      <c r="F235" s="1057"/>
      <c r="G235" s="1058"/>
      <c r="H235" s="28" t="s">
        <v>39</v>
      </c>
      <c r="I235" s="1062" t="s">
        <v>385</v>
      </c>
      <c r="J235" s="1058"/>
      <c r="K235" s="1062" t="s">
        <v>132</v>
      </c>
      <c r="L235" s="1058"/>
      <c r="M235" s="1062" t="s">
        <v>386</v>
      </c>
      <c r="N235" s="1058"/>
    </row>
    <row r="236" spans="1:14" ht="12.75" customHeight="1" x14ac:dyDescent="0.2">
      <c r="A236" s="1061"/>
      <c r="B236" s="1057"/>
      <c r="C236" s="1057"/>
      <c r="D236" s="1057"/>
      <c r="E236" s="1057"/>
      <c r="F236" s="1057"/>
      <c r="G236" s="1058"/>
      <c r="H236" s="9"/>
      <c r="I236" s="1059"/>
      <c r="J236" s="1058"/>
      <c r="K236" s="1064"/>
      <c r="L236" s="1058"/>
      <c r="M236" s="1059" t="str">
        <f>IF(A236="","",I236*K236)</f>
        <v/>
      </c>
      <c r="N236" s="1058"/>
    </row>
    <row r="237" spans="1:14" ht="12.75" customHeight="1" x14ac:dyDescent="0.2">
      <c r="A237" s="1056"/>
      <c r="B237" s="1057"/>
      <c r="C237" s="1057"/>
      <c r="D237" s="1057"/>
      <c r="E237" s="1057"/>
      <c r="F237" s="1057"/>
      <c r="G237" s="1058"/>
      <c r="H237" s="9"/>
      <c r="I237" s="1059"/>
      <c r="J237" s="1058"/>
      <c r="K237" s="1064"/>
      <c r="L237" s="1058"/>
      <c r="M237" s="1059" t="str">
        <f>IF(A237="","",I237*K237)</f>
        <v/>
      </c>
      <c r="N237" s="1058"/>
    </row>
    <row r="238" spans="1:14" ht="12.75" customHeight="1" x14ac:dyDescent="0.2">
      <c r="A238" s="1061"/>
      <c r="B238" s="1057"/>
      <c r="C238" s="1057"/>
      <c r="D238" s="1057"/>
      <c r="E238" s="1057"/>
      <c r="F238" s="1057"/>
      <c r="G238" s="1058"/>
      <c r="H238" s="9"/>
      <c r="I238" s="1059"/>
      <c r="J238" s="1058"/>
      <c r="K238" s="1060"/>
      <c r="L238" s="1058"/>
      <c r="M238" s="1059" t="str">
        <f>IF(A238="","",I238*K238)</f>
        <v/>
      </c>
      <c r="N238" s="1058"/>
    </row>
    <row r="239" spans="1:14" ht="12.75" customHeight="1" x14ac:dyDescent="0.2">
      <c r="A239" s="1061"/>
      <c r="B239" s="1057"/>
      <c r="C239" s="1057"/>
      <c r="D239" s="1057"/>
      <c r="E239" s="1057"/>
      <c r="F239" s="1057"/>
      <c r="G239" s="1058"/>
      <c r="H239" s="9"/>
      <c r="I239" s="1059"/>
      <c r="J239" s="1058"/>
      <c r="K239" s="1060"/>
      <c r="L239" s="1058"/>
      <c r="M239" s="1059" t="str">
        <f>IF(A239="","",I239*K239)</f>
        <v/>
      </c>
      <c r="N239" s="1058"/>
    </row>
    <row r="240" spans="1:14" ht="12.75" customHeight="1" x14ac:dyDescent="0.2">
      <c r="A240" s="1061"/>
      <c r="B240" s="1057"/>
      <c r="C240" s="1057"/>
      <c r="D240" s="1057"/>
      <c r="E240" s="1057"/>
      <c r="F240" s="1057"/>
      <c r="G240" s="1058"/>
      <c r="H240" s="9"/>
      <c r="I240" s="1059"/>
      <c r="J240" s="1058"/>
      <c r="K240" s="1060"/>
      <c r="L240" s="1058"/>
      <c r="M240" s="1059" t="str">
        <f>IF(A240="","",I240*K240)</f>
        <v/>
      </c>
      <c r="N240" s="1058"/>
    </row>
    <row r="241" spans="1:15" ht="12.75" customHeight="1" x14ac:dyDescent="0.25">
      <c r="A241" s="3"/>
      <c r="B241" s="3"/>
      <c r="C241" s="3"/>
      <c r="D241" s="3"/>
      <c r="E241" s="3"/>
      <c r="F241" s="3"/>
      <c r="G241" s="3"/>
      <c r="H241" s="3"/>
      <c r="I241" s="3"/>
      <c r="J241" s="3"/>
      <c r="K241" s="1066" t="s">
        <v>201</v>
      </c>
      <c r="L241" s="1058"/>
      <c r="M241" s="1059">
        <f>SUM(M236:N240)</f>
        <v>0</v>
      </c>
      <c r="N241" s="1058"/>
    </row>
    <row r="242" spans="1:15" ht="12.75" customHeight="1" x14ac:dyDescent="0.25">
      <c r="A242" s="3"/>
      <c r="B242" s="3"/>
      <c r="C242" s="3"/>
      <c r="D242" s="3"/>
      <c r="E242" s="3"/>
      <c r="F242" s="3"/>
      <c r="G242" s="3"/>
      <c r="H242" s="3"/>
      <c r="I242" s="3"/>
      <c r="J242" s="3"/>
      <c r="K242" s="3"/>
      <c r="L242" s="3"/>
      <c r="M242" s="3"/>
      <c r="N242" s="3"/>
    </row>
    <row r="243" spans="1:15" ht="12.75" customHeight="1" x14ac:dyDescent="0.2">
      <c r="A243" s="1065" t="s">
        <v>394</v>
      </c>
      <c r="B243" s="1057"/>
      <c r="C243" s="1057"/>
      <c r="D243" s="1057"/>
      <c r="E243" s="1057"/>
      <c r="F243" s="1057"/>
      <c r="G243" s="1057"/>
      <c r="H243" s="1057"/>
      <c r="I243" s="1057"/>
      <c r="J243" s="1057"/>
      <c r="K243" s="1057"/>
      <c r="L243" s="1057"/>
      <c r="M243" s="1057"/>
      <c r="N243" s="1058"/>
    </row>
    <row r="244" spans="1:15" ht="12.75" customHeight="1" x14ac:dyDescent="0.2">
      <c r="A244" s="1066" t="s">
        <v>38</v>
      </c>
      <c r="B244" s="1057"/>
      <c r="C244" s="1057"/>
      <c r="D244" s="1057"/>
      <c r="E244" s="1057"/>
      <c r="F244" s="1057"/>
      <c r="G244" s="1058"/>
      <c r="H244" s="28" t="s">
        <v>39</v>
      </c>
      <c r="I244" s="1062" t="s">
        <v>385</v>
      </c>
      <c r="J244" s="1058"/>
      <c r="K244" s="30" t="s">
        <v>193</v>
      </c>
      <c r="L244" s="31" t="s">
        <v>395</v>
      </c>
      <c r="M244" s="1062" t="s">
        <v>386</v>
      </c>
      <c r="N244" s="1058"/>
    </row>
    <row r="245" spans="1:15" ht="12.75" customHeight="1" x14ac:dyDescent="0.25">
      <c r="A245" s="1063" t="s">
        <v>404</v>
      </c>
      <c r="B245" s="1057"/>
      <c r="C245" s="1057"/>
      <c r="D245" s="1057"/>
      <c r="E245" s="1057"/>
      <c r="F245" s="1057"/>
      <c r="G245" s="1058"/>
      <c r="H245" s="9" t="str">
        <f>IF(A245="","",VLOOKUP(A245,AA_Cuadrillas,4,FALSE))</f>
        <v>Cuadrilla</v>
      </c>
      <c r="I245" s="1059">
        <f>IF(A245="","",VLOOKUP(A245,AA_Cuadrillas,5,FALSE))</f>
        <v>213027</v>
      </c>
      <c r="J245" s="1058"/>
      <c r="K245" s="1">
        <f>IF(A245="","",'06'!$J$3)</f>
        <v>1.7233500000000002</v>
      </c>
      <c r="L245" s="32">
        <v>0.182</v>
      </c>
      <c r="M245" s="1059">
        <f>IF(A245="","",I245*K245*L245)</f>
        <v>66815.854641900005</v>
      </c>
      <c r="N245" s="1058"/>
    </row>
    <row r="246" spans="1:15" ht="12.75" customHeight="1" x14ac:dyDescent="0.25">
      <c r="A246" s="1063"/>
      <c r="B246" s="1057"/>
      <c r="C246" s="1057"/>
      <c r="D246" s="1057"/>
      <c r="E246" s="1057"/>
      <c r="F246" s="1057"/>
      <c r="G246" s="1058"/>
      <c r="H246" s="9" t="str">
        <f>IF(A246="","",VLOOKUP(A246,AA_Cuadrillas,4,FALSE))</f>
        <v/>
      </c>
      <c r="I246" s="1059" t="str">
        <f>IF(A246="","",VLOOKUP(A246,AA_Cuadrillas,5,FALSE))</f>
        <v/>
      </c>
      <c r="J246" s="1058"/>
      <c r="K246" s="1" t="str">
        <f>IF(A246="","",'06'!$J$3)</f>
        <v/>
      </c>
      <c r="L246" s="1"/>
      <c r="M246" s="1059" t="str">
        <f>IF(A246="","",I246*K246*L246)</f>
        <v/>
      </c>
      <c r="N246" s="1058"/>
    </row>
    <row r="247" spans="1:15" ht="12.75" customHeight="1" x14ac:dyDescent="0.25">
      <c r="A247" s="1063"/>
      <c r="B247" s="1057"/>
      <c r="C247" s="1057"/>
      <c r="D247" s="1057"/>
      <c r="E247" s="1057"/>
      <c r="F247" s="1057"/>
      <c r="G247" s="1058"/>
      <c r="H247" s="9" t="str">
        <f>IF(A247="","",VLOOKUP(A247,AA_Cuadrillas,4,FALSE))</f>
        <v/>
      </c>
      <c r="I247" s="1059" t="str">
        <f>IF(A247="","",VLOOKUP(A247,AA_Cuadrillas,5,FALSE))</f>
        <v/>
      </c>
      <c r="J247" s="1058"/>
      <c r="K247" s="1" t="str">
        <f>IF(A247="","",'06'!$J$3)</f>
        <v/>
      </c>
      <c r="L247" s="10"/>
      <c r="M247" s="1059" t="str">
        <f>IF(A247="","",I247*K247*L247)</f>
        <v/>
      </c>
      <c r="N247" s="1058"/>
    </row>
    <row r="248" spans="1:15" ht="12.75" customHeight="1" x14ac:dyDescent="0.25">
      <c r="A248" s="1063"/>
      <c r="B248" s="1057"/>
      <c r="C248" s="1057"/>
      <c r="D248" s="1057"/>
      <c r="E248" s="1057"/>
      <c r="F248" s="1057"/>
      <c r="G248" s="1058"/>
      <c r="H248" s="9" t="str">
        <f>IF(A248="","",VLOOKUP(A248,AA_Cuadrillas,4,FALSE))</f>
        <v/>
      </c>
      <c r="I248" s="1059" t="str">
        <f>IF(A248="","",VLOOKUP(A248,AA_Cuadrillas,5,FALSE))</f>
        <v/>
      </c>
      <c r="J248" s="1058"/>
      <c r="K248" s="1" t="str">
        <f>IF(A248="","",'06'!$J$3)</f>
        <v/>
      </c>
      <c r="L248" s="10"/>
      <c r="M248" s="1059" t="str">
        <f>IF(A248="","",I248*K248*L248)</f>
        <v/>
      </c>
      <c r="N248" s="1058"/>
    </row>
    <row r="249" spans="1:15" ht="12.75" customHeight="1" x14ac:dyDescent="0.25">
      <c r="A249" s="1063"/>
      <c r="B249" s="1057"/>
      <c r="C249" s="1057"/>
      <c r="D249" s="1057"/>
      <c r="E249" s="1057"/>
      <c r="F249" s="1057"/>
      <c r="G249" s="1058"/>
      <c r="H249" s="9" t="str">
        <f>IF(A249="","",VLOOKUP(A249,AA_Cuadrillas,4,FALSE))</f>
        <v/>
      </c>
      <c r="I249" s="1059" t="str">
        <f>IF(A249="","",VLOOKUP(A249,AA_Cuadrillas,5,FALSE))</f>
        <v/>
      </c>
      <c r="J249" s="1058"/>
      <c r="K249" s="1" t="str">
        <f>IF(A249="","",'06'!$J$3)</f>
        <v/>
      </c>
      <c r="L249" s="10"/>
      <c r="M249" s="1059" t="str">
        <f>IF(A249="","",I249*K249*L249)</f>
        <v/>
      </c>
      <c r="N249" s="1058"/>
    </row>
    <row r="250" spans="1:15" ht="12.75" customHeight="1" x14ac:dyDescent="0.25">
      <c r="A250" s="3"/>
      <c r="B250" s="3"/>
      <c r="C250" s="3"/>
      <c r="D250" s="3"/>
      <c r="E250" s="3"/>
      <c r="F250" s="3"/>
      <c r="G250" s="3"/>
      <c r="H250" s="3"/>
      <c r="I250" s="3"/>
      <c r="J250" s="3"/>
      <c r="K250" s="1066" t="s">
        <v>201</v>
      </c>
      <c r="L250" s="1058"/>
      <c r="M250" s="1059">
        <f>SUM(M245:N249)</f>
        <v>66815.854641900005</v>
      </c>
      <c r="N250" s="1058"/>
    </row>
    <row r="251" spans="1:15" ht="12.75" customHeight="1" x14ac:dyDescent="0.2">
      <c r="A251" s="7"/>
      <c r="B251" s="7"/>
      <c r="C251" s="7"/>
      <c r="D251" s="7"/>
      <c r="E251" s="7"/>
      <c r="F251" s="7"/>
      <c r="G251" s="7"/>
      <c r="H251" s="7"/>
      <c r="I251" s="7"/>
      <c r="J251" s="7"/>
      <c r="K251" s="7"/>
      <c r="L251" s="7"/>
      <c r="M251" s="7"/>
      <c r="N251" s="7"/>
      <c r="O251" s="7"/>
    </row>
    <row r="252" spans="1:15" ht="12.75" customHeight="1" x14ac:dyDescent="0.2">
      <c r="A252" s="1113" t="s">
        <v>1631</v>
      </c>
      <c r="B252" s="1108"/>
      <c r="C252" s="1108"/>
      <c r="D252" s="1108"/>
      <c r="E252" s="1108"/>
      <c r="F252" s="1108"/>
      <c r="G252" s="1108"/>
      <c r="H252" s="1108"/>
      <c r="I252" s="1108"/>
      <c r="J252" s="1108"/>
      <c r="K252" s="1108"/>
      <c r="L252" s="1108"/>
      <c r="M252" s="1108"/>
      <c r="N252" s="1109"/>
      <c r="O252" s="7"/>
    </row>
    <row r="253" spans="1:15" ht="12.75" customHeight="1" x14ac:dyDescent="0.2">
      <c r="A253" s="1110"/>
      <c r="B253" s="1111"/>
      <c r="C253" s="1111"/>
      <c r="D253" s="1111"/>
      <c r="E253" s="1111"/>
      <c r="F253" s="1111"/>
      <c r="G253" s="1111"/>
      <c r="H253" s="1111"/>
      <c r="I253" s="1111"/>
      <c r="J253" s="1111"/>
      <c r="K253" s="1111"/>
      <c r="L253" s="1111"/>
      <c r="M253" s="1111"/>
      <c r="N253" s="1112"/>
      <c r="O253" s="7"/>
    </row>
    <row r="254" spans="1:15" ht="12.75" customHeight="1" x14ac:dyDescent="0.2">
      <c r="A254" s="16"/>
      <c r="B254" s="16"/>
      <c r="C254" s="16"/>
      <c r="D254" s="16"/>
      <c r="E254" s="16"/>
      <c r="F254" s="16"/>
      <c r="G254" s="16"/>
      <c r="H254" s="16"/>
      <c r="I254" s="16"/>
      <c r="J254" s="16"/>
      <c r="K254" s="16"/>
      <c r="L254" s="16"/>
      <c r="M254" s="16"/>
      <c r="N254" s="16"/>
    </row>
    <row r="255" spans="1:15" ht="12.75" customHeight="1" x14ac:dyDescent="0.3">
      <c r="A255" s="18" t="s">
        <v>296</v>
      </c>
      <c r="B255" s="19" t="str">
        <f>A252</f>
        <v>DEMOLICIÓN DE ANDENES Y SARDINELES (INCLUYE CORTE A MÁQUINA 2 COSTADOS)</v>
      </c>
      <c r="C255" s="20" t="s">
        <v>382</v>
      </c>
      <c r="D255" s="21" t="s">
        <v>399</v>
      </c>
      <c r="E255" s="22" t="s">
        <v>125</v>
      </c>
      <c r="F255" s="26">
        <f>(H255+J255+L255+N255)*$O$2</f>
        <v>171919.902632218</v>
      </c>
      <c r="G255" s="22" t="s">
        <v>285</v>
      </c>
      <c r="H255" s="26">
        <f>M273</f>
        <v>59450.284064609979</v>
      </c>
      <c r="I255" s="22" t="s">
        <v>383</v>
      </c>
      <c r="J255" s="26">
        <f>M264</f>
        <v>4878.58</v>
      </c>
      <c r="K255" s="22" t="s">
        <v>287</v>
      </c>
      <c r="L255" s="26">
        <f>M282</f>
        <v>0</v>
      </c>
      <c r="M255" s="22" t="s">
        <v>288</v>
      </c>
      <c r="N255" s="26">
        <f>M291</f>
        <v>67917.214883249995</v>
      </c>
    </row>
    <row r="256" spans="1:15" ht="12.75" customHeight="1" x14ac:dyDescent="0.25">
      <c r="A256" s="27"/>
      <c r="B256" s="27"/>
      <c r="C256" s="27"/>
      <c r="D256" s="27"/>
      <c r="E256" s="27"/>
      <c r="F256" s="27"/>
      <c r="G256" s="27"/>
      <c r="J256" s="27"/>
      <c r="K256" s="27"/>
      <c r="L256" s="27"/>
      <c r="M256" s="27"/>
      <c r="N256" s="27"/>
    </row>
    <row r="257" spans="1:14" ht="12.75" customHeight="1" x14ac:dyDescent="0.2">
      <c r="A257" s="1065" t="s">
        <v>384</v>
      </c>
      <c r="B257" s="1057"/>
      <c r="C257" s="1057"/>
      <c r="D257" s="1057"/>
      <c r="E257" s="1057"/>
      <c r="F257" s="1057"/>
      <c r="G257" s="1057"/>
      <c r="H257" s="1057"/>
      <c r="I257" s="1057"/>
      <c r="J257" s="1057"/>
      <c r="K257" s="1057"/>
      <c r="L257" s="1057"/>
      <c r="M257" s="1057"/>
      <c r="N257" s="1058"/>
    </row>
    <row r="258" spans="1:14" ht="12.75" customHeight="1" x14ac:dyDescent="0.2">
      <c r="A258" s="1066" t="s">
        <v>38</v>
      </c>
      <c r="B258" s="1057"/>
      <c r="C258" s="1057"/>
      <c r="D258" s="1057"/>
      <c r="E258" s="1057"/>
      <c r="F258" s="1057"/>
      <c r="G258" s="1058"/>
      <c r="H258" s="28" t="s">
        <v>39</v>
      </c>
      <c r="I258" s="1062" t="s">
        <v>385</v>
      </c>
      <c r="J258" s="1058"/>
      <c r="K258" s="1062" t="s">
        <v>132</v>
      </c>
      <c r="L258" s="1058"/>
      <c r="M258" s="1062" t="s">
        <v>386</v>
      </c>
      <c r="N258" s="1058"/>
    </row>
    <row r="259" spans="1:14" ht="12.75" customHeight="1" x14ac:dyDescent="0.2">
      <c r="A259" s="1061" t="s">
        <v>408</v>
      </c>
      <c r="B259" s="1057"/>
      <c r="C259" s="1057"/>
      <c r="D259" s="1057"/>
      <c r="E259" s="1057"/>
      <c r="F259" s="1057"/>
      <c r="G259" s="1058"/>
      <c r="H259" s="9" t="str">
        <f>IF(A259="","",VLOOKUP(A259,AA_Materiales,7,FALSE))</f>
        <v>L</v>
      </c>
      <c r="I259" s="1059">
        <f>IF(A259="","",VLOOKUP(A259,AA_Materiales,8,FALSE))</f>
        <v>20</v>
      </c>
      <c r="J259" s="1058"/>
      <c r="K259" s="1060">
        <v>243.92899999999997</v>
      </c>
      <c r="L259" s="1058"/>
      <c r="M259" s="1059">
        <f>IF(A259="","",I259*K259)</f>
        <v>4878.58</v>
      </c>
      <c r="N259" s="1058"/>
    </row>
    <row r="260" spans="1:14" ht="12.75" customHeight="1" x14ac:dyDescent="0.2">
      <c r="A260" s="1061"/>
      <c r="B260" s="1057"/>
      <c r="C260" s="1057"/>
      <c r="D260" s="1057"/>
      <c r="E260" s="1057"/>
      <c r="F260" s="1057"/>
      <c r="G260" s="1058"/>
      <c r="H260" s="9" t="str">
        <f>IF(A260="","",VLOOKUP(A260,AA_Materiales,7,FALSE))</f>
        <v/>
      </c>
      <c r="I260" s="1059" t="str">
        <f>IF(A260="","",VLOOKUP(A260,AA_Materiales,8,FALSE))</f>
        <v/>
      </c>
      <c r="J260" s="1058"/>
      <c r="K260" s="1060">
        <v>5.0000000000000001E-3</v>
      </c>
      <c r="L260" s="1058"/>
      <c r="M260" s="1059" t="str">
        <f>IF(A260="","",I260*K260)</f>
        <v/>
      </c>
      <c r="N260" s="1058"/>
    </row>
    <row r="261" spans="1:14" ht="12.75" customHeight="1" x14ac:dyDescent="0.2">
      <c r="A261" s="1061"/>
      <c r="B261" s="1057"/>
      <c r="C261" s="1057"/>
      <c r="D261" s="1057"/>
      <c r="E261" s="1057"/>
      <c r="F261" s="1057"/>
      <c r="G261" s="1058"/>
      <c r="H261" s="9" t="str">
        <f>IF(A261="","",VLOOKUP(A261,AA_Materiales,7,FALSE))</f>
        <v/>
      </c>
      <c r="I261" s="1059" t="str">
        <f>IF(A261="","",VLOOKUP(A261,AA_Materiales,8,FALSE))</f>
        <v/>
      </c>
      <c r="J261" s="1058"/>
      <c r="K261" s="1060"/>
      <c r="L261" s="1058"/>
      <c r="M261" s="1059" t="str">
        <f>IF(A261="","",I261*K261)</f>
        <v/>
      </c>
      <c r="N261" s="1058"/>
    </row>
    <row r="262" spans="1:14" ht="12.75" customHeight="1" x14ac:dyDescent="0.2">
      <c r="A262" s="1061"/>
      <c r="B262" s="1057"/>
      <c r="C262" s="1057"/>
      <c r="D262" s="1057"/>
      <c r="E262" s="1057"/>
      <c r="F262" s="1057"/>
      <c r="G262" s="1058"/>
      <c r="H262" s="9" t="str">
        <f>IF(A262="","",VLOOKUP(A262,AA_Materiales,7,FALSE))</f>
        <v/>
      </c>
      <c r="I262" s="1059" t="str">
        <f>IF(A262="","",VLOOKUP(A262,AA_Materiales,8,FALSE))</f>
        <v/>
      </c>
      <c r="J262" s="1058"/>
      <c r="K262" s="1060"/>
      <c r="L262" s="1058"/>
      <c r="M262" s="1059" t="str">
        <f>IF(A262="","",I262*K262)</f>
        <v/>
      </c>
      <c r="N262" s="1058"/>
    </row>
    <row r="263" spans="1:14" ht="12.75" customHeight="1" x14ac:dyDescent="0.2">
      <c r="A263" s="1061"/>
      <c r="B263" s="1057"/>
      <c r="C263" s="1057"/>
      <c r="D263" s="1057"/>
      <c r="E263" s="1057"/>
      <c r="F263" s="1057"/>
      <c r="G263" s="1058"/>
      <c r="H263" s="9" t="str">
        <f>IF(A263="","",VLOOKUP(A263,AA_Materiales,7,FALSE))</f>
        <v/>
      </c>
      <c r="I263" s="1059" t="str">
        <f>IF(A263="","",VLOOKUP(A263,AA_Materiales,8,FALSE))</f>
        <v/>
      </c>
      <c r="J263" s="1058"/>
      <c r="K263" s="1060"/>
      <c r="L263" s="1058"/>
      <c r="M263" s="1059" t="str">
        <f>IF(A263="","",I263*K263)</f>
        <v/>
      </c>
      <c r="N263" s="1058"/>
    </row>
    <row r="264" spans="1:14" ht="12.75" customHeight="1" x14ac:dyDescent="0.25">
      <c r="A264" s="1115"/>
      <c r="B264" s="1115"/>
      <c r="C264" s="1115"/>
      <c r="D264" s="1115"/>
      <c r="E264" s="1115"/>
      <c r="F264" s="1115"/>
      <c r="G264" s="1115"/>
      <c r="H264" s="775"/>
      <c r="I264" s="3"/>
      <c r="J264" s="3"/>
      <c r="K264" s="1066" t="s">
        <v>201</v>
      </c>
      <c r="L264" s="1058"/>
      <c r="M264" s="1059">
        <f>SUM(M259:N263)</f>
        <v>4878.58</v>
      </c>
      <c r="N264" s="1058"/>
    </row>
    <row r="265" spans="1:14" ht="12.75" customHeight="1" x14ac:dyDescent="0.25">
      <c r="A265" s="3"/>
      <c r="B265" s="3"/>
      <c r="C265" s="3"/>
      <c r="D265" s="3"/>
      <c r="E265" s="3"/>
      <c r="F265" s="3"/>
      <c r="G265" s="3"/>
      <c r="H265" s="3"/>
      <c r="I265" s="3"/>
      <c r="J265" s="3"/>
      <c r="K265" s="3"/>
      <c r="L265" s="3"/>
      <c r="M265" s="3"/>
      <c r="N265" s="3"/>
    </row>
    <row r="266" spans="1:14" ht="12.75" customHeight="1" x14ac:dyDescent="0.2">
      <c r="A266" s="1065" t="s">
        <v>390</v>
      </c>
      <c r="B266" s="1057"/>
      <c r="C266" s="1057"/>
      <c r="D266" s="1057"/>
      <c r="E266" s="1057"/>
      <c r="F266" s="1057"/>
      <c r="G266" s="1057"/>
      <c r="H266" s="1057"/>
      <c r="I266" s="1057"/>
      <c r="J266" s="1057"/>
      <c r="K266" s="1057"/>
      <c r="L266" s="1057"/>
      <c r="M266" s="1057"/>
      <c r="N266" s="1058"/>
    </row>
    <row r="267" spans="1:14" ht="12.75" customHeight="1" x14ac:dyDescent="0.2">
      <c r="A267" s="1066" t="s">
        <v>38</v>
      </c>
      <c r="B267" s="1057"/>
      <c r="C267" s="1057"/>
      <c r="D267" s="1057"/>
      <c r="E267" s="1057"/>
      <c r="F267" s="1057"/>
      <c r="G267" s="1058"/>
      <c r="H267" s="28" t="s">
        <v>39</v>
      </c>
      <c r="I267" s="1062" t="s">
        <v>385</v>
      </c>
      <c r="J267" s="1058"/>
      <c r="K267" s="1062" t="s">
        <v>132</v>
      </c>
      <c r="L267" s="1058"/>
      <c r="M267" s="1062" t="s">
        <v>386</v>
      </c>
      <c r="N267" s="1058"/>
    </row>
    <row r="268" spans="1:14" ht="12.75" customHeight="1" x14ac:dyDescent="0.2">
      <c r="A268" s="1061" t="s">
        <v>391</v>
      </c>
      <c r="B268" s="1057"/>
      <c r="C268" s="1057"/>
      <c r="D268" s="1057"/>
      <c r="E268" s="1057"/>
      <c r="F268" s="1057"/>
      <c r="G268" s="1058"/>
      <c r="H268" s="9" t="str">
        <f>IF(A268="","",VLOOKUP(A268,AA_Equipos,7,FALSE))</f>
        <v>% M.O.</v>
      </c>
      <c r="I268" s="1059">
        <f>M291</f>
        <v>67917.214883249995</v>
      </c>
      <c r="J268" s="1058"/>
      <c r="K268" s="1064">
        <v>0.05</v>
      </c>
      <c r="L268" s="1058"/>
      <c r="M268" s="1059">
        <f>IF(A268="","",I268*K268)</f>
        <v>3395.8607441624999</v>
      </c>
      <c r="N268" s="1058"/>
    </row>
    <row r="269" spans="1:14" ht="12.75" customHeight="1" x14ac:dyDescent="0.2">
      <c r="A269" s="1056" t="s">
        <v>1613</v>
      </c>
      <c r="B269" s="1057"/>
      <c r="C269" s="1057"/>
      <c r="D269" s="1057"/>
      <c r="E269" s="1057"/>
      <c r="F269" s="1057"/>
      <c r="G269" s="1058"/>
      <c r="H269" s="9" t="str">
        <f>IF(A269="","",VLOOKUP(A269,AA_Equipos,7,FALSE))</f>
        <v>Hora</v>
      </c>
      <c r="I269" s="1059">
        <f>IF(A269="","",VLOOKUP(A269,AA_Equipos,8,FALSE))</f>
        <v>81144.770470410993</v>
      </c>
      <c r="J269" s="1058"/>
      <c r="K269" s="1067">
        <v>1.5</v>
      </c>
      <c r="L269" s="1058"/>
      <c r="M269" s="1059">
        <f>IF(A269="","",I269/K269)</f>
        <v>54096.513646940664</v>
      </c>
      <c r="N269" s="1058"/>
    </row>
    <row r="270" spans="1:14" ht="27" customHeight="1" x14ac:dyDescent="0.2">
      <c r="A270" s="1056" t="s">
        <v>1607</v>
      </c>
      <c r="B270" s="1057"/>
      <c r="C270" s="1057"/>
      <c r="D270" s="1057"/>
      <c r="E270" s="1057"/>
      <c r="F270" s="1057"/>
      <c r="G270" s="1058"/>
      <c r="H270" s="9" t="str">
        <f>IF(A270="","",VLOOKUP(A270,AA_Equipos,7,FALSE))</f>
        <v>Hora</v>
      </c>
      <c r="I270" s="1059">
        <f>IF(A270="","",VLOOKUP(A270,AA_Equipos,8,FALSE))</f>
        <v>14684.3225513011</v>
      </c>
      <c r="J270" s="1058"/>
      <c r="K270" s="1070">
        <v>7.5</v>
      </c>
      <c r="L270" s="1058"/>
      <c r="M270" s="1059">
        <f>IF(A270="","",I270/K270)</f>
        <v>1957.9096735068133</v>
      </c>
      <c r="N270" s="1058"/>
    </row>
    <row r="271" spans="1:14" ht="12.75" customHeight="1" x14ac:dyDescent="0.2">
      <c r="A271" s="1056"/>
      <c r="B271" s="1057"/>
      <c r="C271" s="1057"/>
      <c r="D271" s="1057"/>
      <c r="E271" s="1057"/>
      <c r="F271" s="1057"/>
      <c r="G271" s="1058"/>
      <c r="H271" s="9" t="str">
        <f>IF(A271="","",VLOOKUP(A271,AA_Equipos,7,FALSE))</f>
        <v/>
      </c>
      <c r="I271" s="1059" t="str">
        <f>IF(A271="","",VLOOKUP(A271,AA_Equipos,8,FALSE))</f>
        <v/>
      </c>
      <c r="J271" s="1058"/>
      <c r="K271" s="1060"/>
      <c r="L271" s="1058"/>
      <c r="M271" s="1059" t="str">
        <f>IF(A271="","",I271*K271)</f>
        <v/>
      </c>
      <c r="N271" s="1058"/>
    </row>
    <row r="272" spans="1:14" ht="12.75" customHeight="1" x14ac:dyDescent="0.2">
      <c r="A272" s="1056"/>
      <c r="B272" s="1057"/>
      <c r="C272" s="1057"/>
      <c r="D272" s="1057"/>
      <c r="E272" s="1057"/>
      <c r="F272" s="1057"/>
      <c r="G272" s="1058"/>
      <c r="H272" s="9" t="str">
        <f>IF(A272="","",VLOOKUP(A272,AA_Equipos,7,FALSE))</f>
        <v/>
      </c>
      <c r="I272" s="1059" t="str">
        <f>IF(A272="","",VLOOKUP(A272,AA_Equipos,8,FALSE))</f>
        <v/>
      </c>
      <c r="J272" s="1058"/>
      <c r="K272" s="1060"/>
      <c r="L272" s="1058"/>
      <c r="M272" s="1059" t="str">
        <f>IF(A272="","",I272*K272)</f>
        <v/>
      </c>
      <c r="N272" s="1058"/>
    </row>
    <row r="273" spans="1:14" ht="12.75" customHeight="1" x14ac:dyDescent="0.25">
      <c r="A273" s="3"/>
      <c r="B273" s="3"/>
      <c r="C273" s="3"/>
      <c r="D273" s="3"/>
      <c r="E273" s="3"/>
      <c r="F273" s="3"/>
      <c r="G273" s="3"/>
      <c r="H273" s="3"/>
      <c r="I273" s="3"/>
      <c r="J273" s="3"/>
      <c r="K273" s="1066" t="s">
        <v>201</v>
      </c>
      <c r="L273" s="1058"/>
      <c r="M273" s="1059">
        <f>SUM(M268:N272)</f>
        <v>59450.284064609979</v>
      </c>
      <c r="N273" s="1058"/>
    </row>
    <row r="274" spans="1:14" ht="12.75" customHeight="1" x14ac:dyDescent="0.25">
      <c r="A274" s="3"/>
      <c r="B274" s="3"/>
      <c r="C274" s="3"/>
      <c r="D274" s="3"/>
      <c r="E274" s="3"/>
      <c r="F274" s="3"/>
      <c r="G274" s="3"/>
      <c r="H274" s="3"/>
      <c r="I274" s="3"/>
      <c r="J274" s="3"/>
      <c r="K274" s="3"/>
      <c r="L274" s="3"/>
      <c r="M274" s="3"/>
      <c r="N274" s="3"/>
    </row>
    <row r="275" spans="1:14" ht="12.75" customHeight="1" x14ac:dyDescent="0.2">
      <c r="A275" s="1065" t="s">
        <v>392</v>
      </c>
      <c r="B275" s="1057"/>
      <c r="C275" s="1057"/>
      <c r="D275" s="1057"/>
      <c r="E275" s="1057"/>
      <c r="F275" s="1057"/>
      <c r="G275" s="1057"/>
      <c r="H275" s="1057"/>
      <c r="I275" s="1057"/>
      <c r="J275" s="1057"/>
      <c r="K275" s="1057"/>
      <c r="L275" s="1057"/>
      <c r="M275" s="1057"/>
      <c r="N275" s="1058"/>
    </row>
    <row r="276" spans="1:14" ht="12.75" customHeight="1" x14ac:dyDescent="0.2">
      <c r="A276" s="1066" t="s">
        <v>38</v>
      </c>
      <c r="B276" s="1057"/>
      <c r="C276" s="1057"/>
      <c r="D276" s="1057"/>
      <c r="E276" s="1057"/>
      <c r="F276" s="1057"/>
      <c r="G276" s="1058"/>
      <c r="H276" s="28" t="s">
        <v>39</v>
      </c>
      <c r="I276" s="1062" t="s">
        <v>385</v>
      </c>
      <c r="J276" s="1058"/>
      <c r="K276" s="1062" t="s">
        <v>132</v>
      </c>
      <c r="L276" s="1058"/>
      <c r="M276" s="1062" t="s">
        <v>386</v>
      </c>
      <c r="N276" s="1058"/>
    </row>
    <row r="277" spans="1:14" ht="12.75" customHeight="1" x14ac:dyDescent="0.2">
      <c r="A277" s="1061"/>
      <c r="B277" s="1057"/>
      <c r="C277" s="1057"/>
      <c r="D277" s="1057"/>
      <c r="E277" s="1057"/>
      <c r="F277" s="1057"/>
      <c r="G277" s="1058"/>
      <c r="H277" s="9"/>
      <c r="I277" s="1059"/>
      <c r="J277" s="1058"/>
      <c r="K277" s="1064"/>
      <c r="L277" s="1058"/>
      <c r="M277" s="1059" t="str">
        <f>IF(A277="","",I277*K277)</f>
        <v/>
      </c>
      <c r="N277" s="1058"/>
    </row>
    <row r="278" spans="1:14" ht="12.75" customHeight="1" x14ac:dyDescent="0.2">
      <c r="A278" s="1056"/>
      <c r="B278" s="1057"/>
      <c r="C278" s="1057"/>
      <c r="D278" s="1057"/>
      <c r="E278" s="1057"/>
      <c r="F278" s="1057"/>
      <c r="G278" s="1058"/>
      <c r="H278" s="9"/>
      <c r="I278" s="1059"/>
      <c r="J278" s="1058"/>
      <c r="K278" s="1064"/>
      <c r="L278" s="1058"/>
      <c r="M278" s="1059" t="str">
        <f>IF(A278="","",I278*K278)</f>
        <v/>
      </c>
      <c r="N278" s="1058"/>
    </row>
    <row r="279" spans="1:14" ht="12.75" customHeight="1" x14ac:dyDescent="0.2">
      <c r="A279" s="1061"/>
      <c r="B279" s="1057"/>
      <c r="C279" s="1057"/>
      <c r="D279" s="1057"/>
      <c r="E279" s="1057"/>
      <c r="F279" s="1057"/>
      <c r="G279" s="1058"/>
      <c r="H279" s="9"/>
      <c r="I279" s="1059"/>
      <c r="J279" s="1058"/>
      <c r="K279" s="1060"/>
      <c r="L279" s="1058"/>
      <c r="M279" s="1059" t="str">
        <f>IF(A279="","",I279*K279)</f>
        <v/>
      </c>
      <c r="N279" s="1058"/>
    </row>
    <row r="280" spans="1:14" ht="12.75" customHeight="1" x14ac:dyDescent="0.2">
      <c r="A280" s="1061"/>
      <c r="B280" s="1057"/>
      <c r="C280" s="1057"/>
      <c r="D280" s="1057"/>
      <c r="E280" s="1057"/>
      <c r="F280" s="1057"/>
      <c r="G280" s="1058"/>
      <c r="H280" s="9"/>
      <c r="I280" s="1059"/>
      <c r="J280" s="1058"/>
      <c r="K280" s="1060"/>
      <c r="L280" s="1058"/>
      <c r="M280" s="1059" t="str">
        <f>IF(A280="","",I280*K280)</f>
        <v/>
      </c>
      <c r="N280" s="1058"/>
    </row>
    <row r="281" spans="1:14" ht="12.75" customHeight="1" x14ac:dyDescent="0.2">
      <c r="A281" s="1061"/>
      <c r="B281" s="1057"/>
      <c r="C281" s="1057"/>
      <c r="D281" s="1057"/>
      <c r="E281" s="1057"/>
      <c r="F281" s="1057"/>
      <c r="G281" s="1058"/>
      <c r="H281" s="9"/>
      <c r="I281" s="1059"/>
      <c r="J281" s="1058"/>
      <c r="K281" s="1060"/>
      <c r="L281" s="1058"/>
      <c r="M281" s="1059" t="str">
        <f>IF(A281="","",I281*K281)</f>
        <v/>
      </c>
      <c r="N281" s="1058"/>
    </row>
    <row r="282" spans="1:14" ht="12.75" customHeight="1" x14ac:dyDescent="0.25">
      <c r="A282" s="3"/>
      <c r="B282" s="3"/>
      <c r="C282" s="3"/>
      <c r="D282" s="3"/>
      <c r="E282" s="3"/>
      <c r="F282" s="3"/>
      <c r="G282" s="3"/>
      <c r="H282" s="3"/>
      <c r="I282" s="3"/>
      <c r="J282" s="3"/>
      <c r="K282" s="1066" t="s">
        <v>201</v>
      </c>
      <c r="L282" s="1058"/>
      <c r="M282" s="1059">
        <f>SUM(M277:N281)</f>
        <v>0</v>
      </c>
      <c r="N282" s="1058"/>
    </row>
    <row r="283" spans="1:14" ht="12.75" customHeight="1" x14ac:dyDescent="0.25">
      <c r="A283" s="3"/>
      <c r="B283" s="3"/>
      <c r="C283" s="3"/>
      <c r="D283" s="3"/>
      <c r="E283" s="3"/>
      <c r="F283" s="3"/>
      <c r="G283" s="3"/>
      <c r="H283" s="3"/>
      <c r="I283" s="3"/>
      <c r="J283" s="3"/>
      <c r="K283" s="3"/>
      <c r="L283" s="3"/>
      <c r="M283" s="3"/>
      <c r="N283" s="3"/>
    </row>
    <row r="284" spans="1:14" ht="12.75" customHeight="1" x14ac:dyDescent="0.2">
      <c r="A284" s="1065" t="s">
        <v>394</v>
      </c>
      <c r="B284" s="1057"/>
      <c r="C284" s="1057"/>
      <c r="D284" s="1057"/>
      <c r="E284" s="1057"/>
      <c r="F284" s="1057"/>
      <c r="G284" s="1057"/>
      <c r="H284" s="1057"/>
      <c r="I284" s="1057"/>
      <c r="J284" s="1057"/>
      <c r="K284" s="1057"/>
      <c r="L284" s="1057"/>
      <c r="M284" s="1057"/>
      <c r="N284" s="1058"/>
    </row>
    <row r="285" spans="1:14" ht="12.75" customHeight="1" x14ac:dyDescent="0.2">
      <c r="A285" s="1066" t="s">
        <v>38</v>
      </c>
      <c r="B285" s="1057"/>
      <c r="C285" s="1057"/>
      <c r="D285" s="1057"/>
      <c r="E285" s="1057"/>
      <c r="F285" s="1057"/>
      <c r="G285" s="1058"/>
      <c r="H285" s="28" t="s">
        <v>39</v>
      </c>
      <c r="I285" s="1062" t="s">
        <v>385</v>
      </c>
      <c r="J285" s="1058"/>
      <c r="K285" s="30" t="s">
        <v>193</v>
      </c>
      <c r="L285" s="31" t="s">
        <v>395</v>
      </c>
      <c r="M285" s="1062" t="s">
        <v>386</v>
      </c>
      <c r="N285" s="1058"/>
    </row>
    <row r="286" spans="1:14" ht="12.75" customHeight="1" x14ac:dyDescent="0.25">
      <c r="A286" s="1063" t="s">
        <v>404</v>
      </c>
      <c r="B286" s="1057"/>
      <c r="C286" s="1057"/>
      <c r="D286" s="1057"/>
      <c r="E286" s="1057"/>
      <c r="F286" s="1057"/>
      <c r="G286" s="1058"/>
      <c r="H286" s="9" t="str">
        <f>IF(A286="","",VLOOKUP(A286,AA_Cuadrillas,4,FALSE))</f>
        <v>Cuadrilla</v>
      </c>
      <c r="I286" s="1059">
        <f>IF(A286="","",VLOOKUP(A286,AA_Cuadrillas,5,FALSE))</f>
        <v>213027</v>
      </c>
      <c r="J286" s="1058"/>
      <c r="K286" s="1">
        <f>IF(A286="","",'06'!$J$3)</f>
        <v>1.7233500000000002</v>
      </c>
      <c r="L286" s="32">
        <v>0.185</v>
      </c>
      <c r="M286" s="1059">
        <f>IF(A286="","",I286*K286*L286)</f>
        <v>67917.214883249995</v>
      </c>
      <c r="N286" s="1058"/>
    </row>
    <row r="287" spans="1:14" ht="12.75" customHeight="1" x14ac:dyDescent="0.25">
      <c r="A287" s="1063"/>
      <c r="B287" s="1057"/>
      <c r="C287" s="1057"/>
      <c r="D287" s="1057"/>
      <c r="E287" s="1057"/>
      <c r="F287" s="1057"/>
      <c r="G287" s="1058"/>
      <c r="H287" s="9" t="str">
        <f>IF(A287="","",VLOOKUP(A287,AA_Cuadrillas,4,FALSE))</f>
        <v/>
      </c>
      <c r="I287" s="1059" t="str">
        <f>IF(A287="","",VLOOKUP(A287,AA_Cuadrillas,5,FALSE))</f>
        <v/>
      </c>
      <c r="J287" s="1058"/>
      <c r="K287" s="1" t="str">
        <f>IF(A287="","",'06'!$J$3)</f>
        <v/>
      </c>
      <c r="L287" s="1"/>
      <c r="M287" s="1059" t="str">
        <f>IF(A287="","",I287*K287*L287)</f>
        <v/>
      </c>
      <c r="N287" s="1058"/>
    </row>
    <row r="288" spans="1:14" ht="12.75" customHeight="1" x14ac:dyDescent="0.25">
      <c r="A288" s="1063"/>
      <c r="B288" s="1057"/>
      <c r="C288" s="1057"/>
      <c r="D288" s="1057"/>
      <c r="E288" s="1057"/>
      <c r="F288" s="1057"/>
      <c r="G288" s="1058"/>
      <c r="H288" s="9" t="str">
        <f>IF(A288="","",VLOOKUP(A288,AA_Cuadrillas,4,FALSE))</f>
        <v/>
      </c>
      <c r="I288" s="1059" t="str">
        <f>IF(A288="","",VLOOKUP(A288,AA_Cuadrillas,5,FALSE))</f>
        <v/>
      </c>
      <c r="J288" s="1058"/>
      <c r="K288" s="1" t="str">
        <f>IF(A288="","",'06'!$J$3)</f>
        <v/>
      </c>
      <c r="L288" s="10"/>
      <c r="M288" s="1059" t="str">
        <f>IF(A288="","",I288*K288*L288)</f>
        <v/>
      </c>
      <c r="N288" s="1058"/>
    </row>
    <row r="289" spans="1:15" ht="12.75" customHeight="1" x14ac:dyDescent="0.25">
      <c r="A289" s="1063"/>
      <c r="B289" s="1057"/>
      <c r="C289" s="1057"/>
      <c r="D289" s="1057"/>
      <c r="E289" s="1057"/>
      <c r="F289" s="1057"/>
      <c r="G289" s="1058"/>
      <c r="H289" s="9" t="str">
        <f>IF(A289="","",VLOOKUP(A289,AA_Cuadrillas,4,FALSE))</f>
        <v/>
      </c>
      <c r="I289" s="1059" t="str">
        <f>IF(A289="","",VLOOKUP(A289,AA_Cuadrillas,5,FALSE))</f>
        <v/>
      </c>
      <c r="J289" s="1058"/>
      <c r="K289" s="1" t="str">
        <f>IF(A289="","",'06'!$J$3)</f>
        <v/>
      </c>
      <c r="L289" s="10"/>
      <c r="M289" s="1059" t="str">
        <f>IF(A289="","",I289*K289*L289)</f>
        <v/>
      </c>
      <c r="N289" s="1058"/>
    </row>
    <row r="290" spans="1:15" ht="12.75" customHeight="1" x14ac:dyDescent="0.25">
      <c r="A290" s="1063"/>
      <c r="B290" s="1057"/>
      <c r="C290" s="1057"/>
      <c r="D290" s="1057"/>
      <c r="E290" s="1057"/>
      <c r="F290" s="1057"/>
      <c r="G290" s="1058"/>
      <c r="H290" s="9" t="str">
        <f>IF(A290="","",VLOOKUP(A290,AA_Cuadrillas,4,FALSE))</f>
        <v/>
      </c>
      <c r="I290" s="1059" t="str">
        <f>IF(A290="","",VLOOKUP(A290,AA_Cuadrillas,5,FALSE))</f>
        <v/>
      </c>
      <c r="J290" s="1058"/>
      <c r="K290" s="1" t="str">
        <f>IF(A290="","",'06'!$J$3)</f>
        <v/>
      </c>
      <c r="L290" s="10"/>
      <c r="M290" s="1059" t="str">
        <f>IF(A290="","",I290*K290*L290)</f>
        <v/>
      </c>
      <c r="N290" s="1058"/>
    </row>
    <row r="291" spans="1:15" ht="12.75" customHeight="1" x14ac:dyDescent="0.25">
      <c r="A291" s="3"/>
      <c r="B291" s="3"/>
      <c r="C291" s="3"/>
      <c r="D291" s="3"/>
      <c r="E291" s="3"/>
      <c r="F291" s="3"/>
      <c r="G291" s="3"/>
      <c r="H291" s="3"/>
      <c r="I291" s="3"/>
      <c r="J291" s="3"/>
      <c r="K291" s="1066" t="s">
        <v>201</v>
      </c>
      <c r="L291" s="1058"/>
      <c r="M291" s="1059">
        <f>SUM(M286:N290)</f>
        <v>67917.214883249995</v>
      </c>
      <c r="N291" s="1058"/>
    </row>
    <row r="292" spans="1:15" ht="12.75" customHeight="1" x14ac:dyDescent="0.2"/>
    <row r="293" spans="1:15" ht="12.75" customHeight="1" x14ac:dyDescent="0.2">
      <c r="A293" s="1107" t="s">
        <v>1632</v>
      </c>
      <c r="B293" s="1108"/>
      <c r="C293" s="1108"/>
      <c r="D293" s="1108"/>
      <c r="E293" s="1108"/>
      <c r="F293" s="1108"/>
      <c r="G293" s="1108"/>
      <c r="H293" s="1108"/>
      <c r="I293" s="1108"/>
      <c r="J293" s="1108"/>
      <c r="K293" s="1108"/>
      <c r="L293" s="1108"/>
      <c r="M293" s="1108"/>
      <c r="N293" s="1109"/>
      <c r="O293" s="7"/>
    </row>
    <row r="294" spans="1:15" ht="12.75" customHeight="1" x14ac:dyDescent="0.2">
      <c r="A294" s="1110"/>
      <c r="B294" s="1111"/>
      <c r="C294" s="1111"/>
      <c r="D294" s="1111"/>
      <c r="E294" s="1111"/>
      <c r="F294" s="1111"/>
      <c r="G294" s="1111"/>
      <c r="H294" s="1111"/>
      <c r="I294" s="1111"/>
      <c r="J294" s="1111"/>
      <c r="K294" s="1111"/>
      <c r="L294" s="1111"/>
      <c r="M294" s="1111"/>
      <c r="N294" s="1112"/>
      <c r="O294" s="7"/>
    </row>
    <row r="295" spans="1:15" ht="12.75" customHeight="1" x14ac:dyDescent="0.2">
      <c r="A295" s="16"/>
      <c r="B295" s="16"/>
      <c r="C295" s="16"/>
      <c r="D295" s="16"/>
      <c r="E295" s="16"/>
      <c r="F295" s="16"/>
      <c r="G295" s="16"/>
      <c r="H295" s="16"/>
      <c r="I295" s="16"/>
      <c r="J295" s="16"/>
      <c r="K295" s="16"/>
      <c r="L295" s="16"/>
      <c r="M295" s="16"/>
      <c r="N295" s="16"/>
    </row>
    <row r="296" spans="1:15" ht="12.75" customHeight="1" x14ac:dyDescent="0.3">
      <c r="A296" s="18" t="s">
        <v>297</v>
      </c>
      <c r="B296" s="19" t="str">
        <f>A293</f>
        <v>DEMOLICIÓN DE ESTRUCTURAS EN CONCRETO</v>
      </c>
      <c r="C296" s="20" t="s">
        <v>382</v>
      </c>
      <c r="D296" s="21" t="s">
        <v>399</v>
      </c>
      <c r="E296" s="22" t="s">
        <v>125</v>
      </c>
      <c r="F296" s="26">
        <f>(H296+J296+L296+N296)*$O$2</f>
        <v>245717.08617601037</v>
      </c>
      <c r="G296" s="22" t="s">
        <v>285</v>
      </c>
      <c r="H296" s="26">
        <f>M314</f>
        <v>60521.115054815666</v>
      </c>
      <c r="I296" s="22" t="s">
        <v>383</v>
      </c>
      <c r="J296" s="36">
        <f>M305</f>
        <v>0</v>
      </c>
      <c r="K296" s="22" t="s">
        <v>287</v>
      </c>
      <c r="L296" s="26">
        <f>M323</f>
        <v>0</v>
      </c>
      <c r="M296" s="22" t="s">
        <v>288</v>
      </c>
      <c r="N296" s="26">
        <f>M332</f>
        <v>128492.0281575</v>
      </c>
    </row>
    <row r="297" spans="1:15" ht="12.75" customHeight="1" x14ac:dyDescent="0.25">
      <c r="A297" s="27"/>
      <c r="B297" s="27"/>
      <c r="C297" s="27"/>
      <c r="D297" s="27"/>
      <c r="E297" s="27"/>
      <c r="F297" s="27"/>
      <c r="G297" s="27"/>
      <c r="J297" s="27"/>
      <c r="K297" s="27"/>
      <c r="L297" s="27"/>
      <c r="M297" s="27"/>
      <c r="N297" s="27"/>
    </row>
    <row r="298" spans="1:15" ht="12.75" customHeight="1" x14ac:dyDescent="0.2">
      <c r="A298" s="1065" t="s">
        <v>384</v>
      </c>
      <c r="B298" s="1057"/>
      <c r="C298" s="1057"/>
      <c r="D298" s="1057"/>
      <c r="E298" s="1057"/>
      <c r="F298" s="1057"/>
      <c r="G298" s="1057"/>
      <c r="H298" s="1057"/>
      <c r="I298" s="1057"/>
      <c r="J298" s="1057"/>
      <c r="K298" s="1057"/>
      <c r="L298" s="1057"/>
      <c r="M298" s="1057"/>
      <c r="N298" s="1058"/>
    </row>
    <row r="299" spans="1:15" ht="12.75" customHeight="1" x14ac:dyDescent="0.2">
      <c r="A299" s="1066" t="s">
        <v>38</v>
      </c>
      <c r="B299" s="1057"/>
      <c r="C299" s="1057"/>
      <c r="D299" s="1057"/>
      <c r="E299" s="1057"/>
      <c r="F299" s="1057"/>
      <c r="G299" s="1058"/>
      <c r="H299" s="28" t="s">
        <v>39</v>
      </c>
      <c r="I299" s="1062" t="s">
        <v>385</v>
      </c>
      <c r="J299" s="1058"/>
      <c r="K299" s="1062" t="s">
        <v>132</v>
      </c>
      <c r="L299" s="1058"/>
      <c r="M299" s="1062" t="s">
        <v>386</v>
      </c>
      <c r="N299" s="1058"/>
    </row>
    <row r="300" spans="1:15" ht="12.75" customHeight="1" x14ac:dyDescent="0.2">
      <c r="A300" s="1061"/>
      <c r="B300" s="1057"/>
      <c r="C300" s="1057"/>
      <c r="D300" s="1057"/>
      <c r="E300" s="1057"/>
      <c r="F300" s="1057"/>
      <c r="G300" s="1058"/>
      <c r="H300" s="9" t="str">
        <f>IF(A300="","",VLOOKUP(A300,AA_Materiales,7,FALSE))</f>
        <v/>
      </c>
      <c r="I300" s="1059" t="str">
        <f>IF(A300="","",VLOOKUP(A300,AA_Materiales,8,FALSE))</f>
        <v/>
      </c>
      <c r="J300" s="1058"/>
      <c r="K300" s="1060"/>
      <c r="L300" s="1058"/>
      <c r="M300" s="1059" t="str">
        <f>IF(A300="","",I300*K300)</f>
        <v/>
      </c>
      <c r="N300" s="1058"/>
    </row>
    <row r="301" spans="1:15" ht="12.75" customHeight="1" x14ac:dyDescent="0.2">
      <c r="A301" s="1061"/>
      <c r="B301" s="1057"/>
      <c r="C301" s="1057"/>
      <c r="D301" s="1057"/>
      <c r="E301" s="1057"/>
      <c r="F301" s="1057"/>
      <c r="G301" s="1058"/>
      <c r="H301" s="9" t="str">
        <f>IF(A301="","",VLOOKUP(A301,AA_Materiales,7,FALSE))</f>
        <v/>
      </c>
      <c r="I301" s="1059" t="str">
        <f>IF(A301="","",VLOOKUP(A301,AA_Materiales,8,FALSE))</f>
        <v/>
      </c>
      <c r="J301" s="1058"/>
      <c r="K301" s="1060"/>
      <c r="L301" s="1058"/>
      <c r="M301" s="1059" t="str">
        <f>IF(A301="","",I301*K301)</f>
        <v/>
      </c>
      <c r="N301" s="1058"/>
    </row>
    <row r="302" spans="1:15" ht="12.75" customHeight="1" x14ac:dyDescent="0.2">
      <c r="A302" s="1061"/>
      <c r="B302" s="1057"/>
      <c r="C302" s="1057"/>
      <c r="D302" s="1057"/>
      <c r="E302" s="1057"/>
      <c r="F302" s="1057"/>
      <c r="G302" s="1058"/>
      <c r="H302" s="9" t="str">
        <f>IF(A302="","",VLOOKUP(A302,AA_Materiales,7,FALSE))</f>
        <v/>
      </c>
      <c r="I302" s="1059" t="str">
        <f>IF(A302="","",VLOOKUP(A302,AA_Materiales,8,FALSE))</f>
        <v/>
      </c>
      <c r="J302" s="1058"/>
      <c r="K302" s="1060"/>
      <c r="L302" s="1058"/>
      <c r="M302" s="1059" t="str">
        <f>IF(A302="","",I302*K302)</f>
        <v/>
      </c>
      <c r="N302" s="1058"/>
    </row>
    <row r="303" spans="1:15" ht="12.75" customHeight="1" x14ac:dyDescent="0.2">
      <c r="A303" s="1061"/>
      <c r="B303" s="1057"/>
      <c r="C303" s="1057"/>
      <c r="D303" s="1057"/>
      <c r="E303" s="1057"/>
      <c r="F303" s="1057"/>
      <c r="G303" s="1058"/>
      <c r="H303" s="9" t="str">
        <f>IF(A303="","",VLOOKUP(A303,AA_Materiales,7,FALSE))</f>
        <v/>
      </c>
      <c r="I303" s="1059" t="str">
        <f>IF(A303="","",VLOOKUP(A303,AA_Materiales,8,FALSE))</f>
        <v/>
      </c>
      <c r="J303" s="1058"/>
      <c r="K303" s="1060"/>
      <c r="L303" s="1058"/>
      <c r="M303" s="1059" t="str">
        <f>IF(A303="","",I303*K303)</f>
        <v/>
      </c>
      <c r="N303" s="1058"/>
    </row>
    <row r="304" spans="1:15" ht="12.75" customHeight="1" x14ac:dyDescent="0.2">
      <c r="A304" s="1061"/>
      <c r="B304" s="1057"/>
      <c r="C304" s="1057"/>
      <c r="D304" s="1057"/>
      <c r="E304" s="1057"/>
      <c r="F304" s="1057"/>
      <c r="G304" s="1058"/>
      <c r="H304" s="9" t="str">
        <f>IF(A304="","",VLOOKUP(A304,AA_Materiales,7,FALSE))</f>
        <v/>
      </c>
      <c r="I304" s="1059" t="str">
        <f>IF(A304="","",VLOOKUP(A304,AA_Materiales,8,FALSE))</f>
        <v/>
      </c>
      <c r="J304" s="1058"/>
      <c r="K304" s="1060"/>
      <c r="L304" s="1058"/>
      <c r="M304" s="1059" t="str">
        <f>IF(A304="","",I304*K304)</f>
        <v/>
      </c>
      <c r="N304" s="1058"/>
    </row>
    <row r="305" spans="1:14" ht="12.75" customHeight="1" x14ac:dyDescent="0.25">
      <c r="A305" s="3"/>
      <c r="B305" s="3"/>
      <c r="C305" s="3"/>
      <c r="D305" s="3"/>
      <c r="E305" s="3"/>
      <c r="F305" s="3"/>
      <c r="G305" s="3"/>
      <c r="H305" s="3"/>
      <c r="I305" s="3"/>
      <c r="J305" s="3"/>
      <c r="K305" s="1066" t="s">
        <v>201</v>
      </c>
      <c r="L305" s="1058"/>
      <c r="M305" s="1059">
        <f>SUM(M300:N304)</f>
        <v>0</v>
      </c>
      <c r="N305" s="1058"/>
    </row>
    <row r="306" spans="1:14" ht="12.75" customHeight="1" x14ac:dyDescent="0.25">
      <c r="A306" s="3"/>
      <c r="B306" s="3"/>
      <c r="C306" s="3"/>
      <c r="D306" s="3"/>
      <c r="E306" s="3"/>
      <c r="F306" s="3"/>
      <c r="G306" s="3"/>
      <c r="H306" s="3"/>
      <c r="I306" s="3"/>
      <c r="J306" s="3"/>
      <c r="K306" s="3"/>
      <c r="L306" s="3"/>
      <c r="M306" s="3"/>
      <c r="N306" s="3"/>
    </row>
    <row r="307" spans="1:14" ht="12.75" customHeight="1" x14ac:dyDescent="0.2">
      <c r="A307" s="1065" t="s">
        <v>390</v>
      </c>
      <c r="B307" s="1057"/>
      <c r="C307" s="1057"/>
      <c r="D307" s="1057"/>
      <c r="E307" s="1057"/>
      <c r="F307" s="1057"/>
      <c r="G307" s="1057"/>
      <c r="H307" s="1057"/>
      <c r="I307" s="1057"/>
      <c r="J307" s="1057"/>
      <c r="K307" s="1057"/>
      <c r="L307" s="1057"/>
      <c r="M307" s="1057"/>
      <c r="N307" s="1058"/>
    </row>
    <row r="308" spans="1:14" ht="12.75" customHeight="1" x14ac:dyDescent="0.2">
      <c r="A308" s="1066" t="s">
        <v>38</v>
      </c>
      <c r="B308" s="1057"/>
      <c r="C308" s="1057"/>
      <c r="D308" s="1057"/>
      <c r="E308" s="1057"/>
      <c r="F308" s="1057"/>
      <c r="G308" s="1058"/>
      <c r="H308" s="28" t="s">
        <v>39</v>
      </c>
      <c r="I308" s="1062" t="s">
        <v>385</v>
      </c>
      <c r="J308" s="1058"/>
      <c r="K308" s="1062" t="s">
        <v>132</v>
      </c>
      <c r="L308" s="1058"/>
      <c r="M308" s="1062" t="s">
        <v>386</v>
      </c>
      <c r="N308" s="1058"/>
    </row>
    <row r="309" spans="1:14" ht="12.75" customHeight="1" x14ac:dyDescent="0.2">
      <c r="A309" s="1061" t="s">
        <v>391</v>
      </c>
      <c r="B309" s="1057"/>
      <c r="C309" s="1057"/>
      <c r="D309" s="1057"/>
      <c r="E309" s="1057"/>
      <c r="F309" s="1057"/>
      <c r="G309" s="1058"/>
      <c r="H309" s="9" t="str">
        <f>IF(A309="","",VLOOKUP(A309,AA_Equipos,7,FALSE))</f>
        <v>% M.O.</v>
      </c>
      <c r="I309" s="1059">
        <f>M332</f>
        <v>128492.0281575</v>
      </c>
      <c r="J309" s="1058"/>
      <c r="K309" s="1064">
        <v>0.05</v>
      </c>
      <c r="L309" s="1058"/>
      <c r="M309" s="1059">
        <f>IF(A309="","",I309*K309)</f>
        <v>6424.6014078750004</v>
      </c>
      <c r="N309" s="1058"/>
    </row>
    <row r="310" spans="1:14" ht="12.75" customHeight="1" x14ac:dyDescent="0.2">
      <c r="A310" s="1056" t="s">
        <v>1613</v>
      </c>
      <c r="B310" s="1057"/>
      <c r="C310" s="1057"/>
      <c r="D310" s="1057"/>
      <c r="E310" s="1057"/>
      <c r="F310" s="1057"/>
      <c r="G310" s="1058"/>
      <c r="H310" s="9" t="str">
        <f>IF(A310="","",VLOOKUP(A310,AA_Equipos,7,FALSE))</f>
        <v>Hora</v>
      </c>
      <c r="I310" s="1059">
        <f>IF(A310="","",VLOOKUP(A310,AA_Equipos,8,FALSE))</f>
        <v>81144.770470410993</v>
      </c>
      <c r="J310" s="1058"/>
      <c r="K310" s="1067">
        <v>1.5</v>
      </c>
      <c r="L310" s="1058"/>
      <c r="M310" s="1059">
        <f>IF(A310="","",I310/K310)</f>
        <v>54096.513646940664</v>
      </c>
      <c r="N310" s="1058"/>
    </row>
    <row r="311" spans="1:14" ht="12.75" customHeight="1" x14ac:dyDescent="0.2">
      <c r="A311" s="1061"/>
      <c r="B311" s="1057"/>
      <c r="C311" s="1057"/>
      <c r="D311" s="1057"/>
      <c r="E311" s="1057"/>
      <c r="F311" s="1057"/>
      <c r="G311" s="1058"/>
      <c r="H311" s="9" t="str">
        <f>IF(A311="","",VLOOKUP(A311,AA_Equipos,7,FALSE))</f>
        <v/>
      </c>
      <c r="I311" s="1059" t="str">
        <f>IF(A311="","",VLOOKUP(A311,AA_Equipos,8,FALSE))</f>
        <v/>
      </c>
      <c r="J311" s="1058"/>
      <c r="K311" s="1060"/>
      <c r="L311" s="1058"/>
      <c r="M311" s="1059" t="str">
        <f>IF(A311="","",I311*K311)</f>
        <v/>
      </c>
      <c r="N311" s="1058"/>
    </row>
    <row r="312" spans="1:14" ht="12.75" customHeight="1" x14ac:dyDescent="0.2">
      <c r="A312" s="1061"/>
      <c r="B312" s="1057"/>
      <c r="C312" s="1057"/>
      <c r="D312" s="1057"/>
      <c r="E312" s="1057"/>
      <c r="F312" s="1057"/>
      <c r="G312" s="1058"/>
      <c r="H312" s="9" t="str">
        <f>IF(A312="","",VLOOKUP(A312,AA_Equipos,7,FALSE))</f>
        <v/>
      </c>
      <c r="I312" s="1059" t="str">
        <f>IF(A312="","",VLOOKUP(A312,AA_Equipos,8,FALSE))</f>
        <v/>
      </c>
      <c r="J312" s="1058"/>
      <c r="K312" s="1060"/>
      <c r="L312" s="1058"/>
      <c r="M312" s="1059" t="str">
        <f>IF(A312="","",I312*K312)</f>
        <v/>
      </c>
      <c r="N312" s="1058"/>
    </row>
    <row r="313" spans="1:14" ht="12.75" customHeight="1" x14ac:dyDescent="0.2">
      <c r="A313" s="1061"/>
      <c r="B313" s="1057"/>
      <c r="C313" s="1057"/>
      <c r="D313" s="1057"/>
      <c r="E313" s="1057"/>
      <c r="F313" s="1057"/>
      <c r="G313" s="1058"/>
      <c r="H313" s="9" t="str">
        <f>IF(A313="","",VLOOKUP(A313,AA_Equipos,7,FALSE))</f>
        <v/>
      </c>
      <c r="I313" s="1059" t="str">
        <f>IF(A313="","",VLOOKUP(A313,AA_Equipos,8,FALSE))</f>
        <v/>
      </c>
      <c r="J313" s="1058"/>
      <c r="K313" s="1060"/>
      <c r="L313" s="1058"/>
      <c r="M313" s="1059" t="str">
        <f>IF(A313="","",I313*K313)</f>
        <v/>
      </c>
      <c r="N313" s="1058"/>
    </row>
    <row r="314" spans="1:14" ht="12.75" customHeight="1" x14ac:dyDescent="0.25">
      <c r="A314" s="3"/>
      <c r="B314" s="3"/>
      <c r="C314" s="3"/>
      <c r="D314" s="3"/>
      <c r="E314" s="3"/>
      <c r="F314" s="3"/>
      <c r="G314" s="3"/>
      <c r="H314" s="3"/>
      <c r="I314" s="3"/>
      <c r="J314" s="3"/>
      <c r="K314" s="1066" t="s">
        <v>201</v>
      </c>
      <c r="L314" s="1058"/>
      <c r="M314" s="1059">
        <f>SUM(M309:N313)</f>
        <v>60521.115054815666</v>
      </c>
      <c r="N314" s="1058"/>
    </row>
    <row r="315" spans="1:14" ht="12.75" customHeight="1" x14ac:dyDescent="0.25">
      <c r="A315" s="3"/>
      <c r="B315" s="3"/>
      <c r="C315" s="3"/>
      <c r="D315" s="3"/>
      <c r="E315" s="3"/>
      <c r="F315" s="3"/>
      <c r="G315" s="3"/>
      <c r="H315" s="3"/>
      <c r="I315" s="3"/>
      <c r="J315" s="3"/>
      <c r="K315" s="3"/>
      <c r="L315" s="3"/>
      <c r="M315" s="3"/>
      <c r="N315" s="3"/>
    </row>
    <row r="316" spans="1:14" ht="12.75" customHeight="1" x14ac:dyDescent="0.2">
      <c r="A316" s="1065" t="s">
        <v>392</v>
      </c>
      <c r="B316" s="1057"/>
      <c r="C316" s="1057"/>
      <c r="D316" s="1057"/>
      <c r="E316" s="1057"/>
      <c r="F316" s="1057"/>
      <c r="G316" s="1057"/>
      <c r="H316" s="1057"/>
      <c r="I316" s="1057"/>
      <c r="J316" s="1057"/>
      <c r="K316" s="1057"/>
      <c r="L316" s="1057"/>
      <c r="M316" s="1057"/>
      <c r="N316" s="1058"/>
    </row>
    <row r="317" spans="1:14" ht="12.75" customHeight="1" x14ac:dyDescent="0.2">
      <c r="A317" s="1066" t="s">
        <v>38</v>
      </c>
      <c r="B317" s="1057"/>
      <c r="C317" s="1057"/>
      <c r="D317" s="1057"/>
      <c r="E317" s="1057"/>
      <c r="F317" s="1057"/>
      <c r="G317" s="1058"/>
      <c r="H317" s="28" t="s">
        <v>39</v>
      </c>
      <c r="I317" s="1062" t="s">
        <v>385</v>
      </c>
      <c r="J317" s="1058"/>
      <c r="K317" s="1062" t="s">
        <v>132</v>
      </c>
      <c r="L317" s="1058"/>
      <c r="M317" s="1062" t="s">
        <v>386</v>
      </c>
      <c r="N317" s="1058"/>
    </row>
    <row r="318" spans="1:14" ht="12.75" customHeight="1" x14ac:dyDescent="0.2">
      <c r="A318" s="1061"/>
      <c r="B318" s="1057"/>
      <c r="C318" s="1057"/>
      <c r="D318" s="1057"/>
      <c r="E318" s="1057"/>
      <c r="F318" s="1057"/>
      <c r="G318" s="1058"/>
      <c r="H318" s="9"/>
      <c r="I318" s="1059"/>
      <c r="J318" s="1058"/>
      <c r="K318" s="1064"/>
      <c r="L318" s="1058"/>
      <c r="M318" s="1059" t="str">
        <f>IF(A318="","",I318*K318)</f>
        <v/>
      </c>
      <c r="N318" s="1058"/>
    </row>
    <row r="319" spans="1:14" ht="12.75" customHeight="1" x14ac:dyDescent="0.2">
      <c r="A319" s="1056"/>
      <c r="B319" s="1057"/>
      <c r="C319" s="1057"/>
      <c r="D319" s="1057"/>
      <c r="E319" s="1057"/>
      <c r="F319" s="1057"/>
      <c r="G319" s="1058"/>
      <c r="H319" s="9"/>
      <c r="I319" s="1059"/>
      <c r="J319" s="1058"/>
      <c r="K319" s="1060"/>
      <c r="L319" s="1058"/>
      <c r="M319" s="1059" t="str">
        <f>IF(A319="","",I319*K319)</f>
        <v/>
      </c>
      <c r="N319" s="1058"/>
    </row>
    <row r="320" spans="1:14" ht="12.75" customHeight="1" x14ac:dyDescent="0.2">
      <c r="A320" s="1061"/>
      <c r="B320" s="1057"/>
      <c r="C320" s="1057"/>
      <c r="D320" s="1057"/>
      <c r="E320" s="1057"/>
      <c r="F320" s="1057"/>
      <c r="G320" s="1058"/>
      <c r="H320" s="9"/>
      <c r="I320" s="1059"/>
      <c r="J320" s="1058"/>
      <c r="K320" s="1060"/>
      <c r="L320" s="1058"/>
      <c r="M320" s="1059" t="str">
        <f>IF(A320="","",I320*K320)</f>
        <v/>
      </c>
      <c r="N320" s="1058"/>
    </row>
    <row r="321" spans="1:15" ht="12.75" customHeight="1" x14ac:dyDescent="0.2">
      <c r="A321" s="1061"/>
      <c r="B321" s="1057"/>
      <c r="C321" s="1057"/>
      <c r="D321" s="1057"/>
      <c r="E321" s="1057"/>
      <c r="F321" s="1057"/>
      <c r="G321" s="1058"/>
      <c r="H321" s="9"/>
      <c r="I321" s="1059"/>
      <c r="J321" s="1058"/>
      <c r="K321" s="1060"/>
      <c r="L321" s="1058"/>
      <c r="M321" s="1059" t="str">
        <f>IF(A321="","",I321*K321)</f>
        <v/>
      </c>
      <c r="N321" s="1058"/>
    </row>
    <row r="322" spans="1:15" ht="12.75" customHeight="1" x14ac:dyDescent="0.2">
      <c r="A322" s="1061"/>
      <c r="B322" s="1057"/>
      <c r="C322" s="1057"/>
      <c r="D322" s="1057"/>
      <c r="E322" s="1057"/>
      <c r="F322" s="1057"/>
      <c r="G322" s="1058"/>
      <c r="H322" s="9"/>
      <c r="I322" s="1059"/>
      <c r="J322" s="1058"/>
      <c r="K322" s="1060"/>
      <c r="L322" s="1058"/>
      <c r="M322" s="1059" t="str">
        <f>IF(A322="","",I322*K322)</f>
        <v/>
      </c>
      <c r="N322" s="1058"/>
    </row>
    <row r="323" spans="1:15" ht="12.75" customHeight="1" x14ac:dyDescent="0.25">
      <c r="A323" s="3"/>
      <c r="B323" s="3"/>
      <c r="C323" s="3"/>
      <c r="D323" s="3"/>
      <c r="E323" s="3"/>
      <c r="F323" s="3"/>
      <c r="G323" s="3"/>
      <c r="H323" s="3"/>
      <c r="I323" s="3"/>
      <c r="J323" s="3"/>
      <c r="K323" s="1066" t="s">
        <v>201</v>
      </c>
      <c r="L323" s="1058"/>
      <c r="M323" s="1059">
        <f>SUM(M318:N322)</f>
        <v>0</v>
      </c>
      <c r="N323" s="1058"/>
    </row>
    <row r="324" spans="1:15" ht="12.75" customHeight="1" x14ac:dyDescent="0.25">
      <c r="A324" s="3"/>
      <c r="B324" s="3"/>
      <c r="C324" s="3"/>
      <c r="D324" s="3"/>
      <c r="E324" s="3"/>
      <c r="F324" s="3"/>
      <c r="G324" s="3"/>
      <c r="H324" s="3"/>
      <c r="I324" s="3"/>
      <c r="J324" s="3"/>
      <c r="K324" s="3"/>
      <c r="L324" s="3"/>
      <c r="M324" s="3"/>
      <c r="N324" s="3"/>
    </row>
    <row r="325" spans="1:15" ht="12.75" customHeight="1" x14ac:dyDescent="0.2">
      <c r="A325" s="1065" t="s">
        <v>394</v>
      </c>
      <c r="B325" s="1057"/>
      <c r="C325" s="1057"/>
      <c r="D325" s="1057"/>
      <c r="E325" s="1057"/>
      <c r="F325" s="1057"/>
      <c r="G325" s="1057"/>
      <c r="H325" s="1057"/>
      <c r="I325" s="1057"/>
      <c r="J325" s="1057"/>
      <c r="K325" s="1057"/>
      <c r="L325" s="1057"/>
      <c r="M325" s="1057"/>
      <c r="N325" s="1058"/>
    </row>
    <row r="326" spans="1:15" ht="12.75" customHeight="1" x14ac:dyDescent="0.2">
      <c r="A326" s="1066" t="s">
        <v>38</v>
      </c>
      <c r="B326" s="1057"/>
      <c r="C326" s="1057"/>
      <c r="D326" s="1057"/>
      <c r="E326" s="1057"/>
      <c r="F326" s="1057"/>
      <c r="G326" s="1058"/>
      <c r="H326" s="28" t="s">
        <v>39</v>
      </c>
      <c r="I326" s="1062" t="s">
        <v>385</v>
      </c>
      <c r="J326" s="1058"/>
      <c r="K326" s="30" t="s">
        <v>193</v>
      </c>
      <c r="L326" s="31" t="s">
        <v>395</v>
      </c>
      <c r="M326" s="1062" t="s">
        <v>386</v>
      </c>
      <c r="N326" s="1058"/>
    </row>
    <row r="327" spans="1:15" ht="12.75" customHeight="1" x14ac:dyDescent="0.25">
      <c r="A327" s="1063" t="s">
        <v>404</v>
      </c>
      <c r="B327" s="1057"/>
      <c r="C327" s="1057"/>
      <c r="D327" s="1057"/>
      <c r="E327" s="1057"/>
      <c r="F327" s="1057"/>
      <c r="G327" s="1058"/>
      <c r="H327" s="9" t="str">
        <f>IF(A327="","",VLOOKUP(A327,AA_Cuadrillas,4,FALSE))</f>
        <v>Cuadrilla</v>
      </c>
      <c r="I327" s="1059">
        <f>IF(A327="","",VLOOKUP(A327,AA_Cuadrillas,5,FALSE))</f>
        <v>213027</v>
      </c>
      <c r="J327" s="1058"/>
      <c r="K327" s="1">
        <f>IF(A327="","",'06'!$J$3)</f>
        <v>1.7233500000000002</v>
      </c>
      <c r="L327" s="32">
        <v>0.35</v>
      </c>
      <c r="M327" s="1059">
        <f>IF(A327="","",I327*K327*L327)</f>
        <v>128492.0281575</v>
      </c>
      <c r="N327" s="1058"/>
    </row>
    <row r="328" spans="1:15" ht="12.75" customHeight="1" x14ac:dyDescent="0.25">
      <c r="A328" s="1063"/>
      <c r="B328" s="1057"/>
      <c r="C328" s="1057"/>
      <c r="D328" s="1057"/>
      <c r="E328" s="1057"/>
      <c r="F328" s="1057"/>
      <c r="G328" s="1058"/>
      <c r="H328" s="9" t="str">
        <f>IF(A328="","",VLOOKUP(A328,AA_Cuadrillas,4,FALSE))</f>
        <v/>
      </c>
      <c r="I328" s="1059" t="str">
        <f>IF(A328="","",VLOOKUP(A328,AA_Cuadrillas,5,FALSE))</f>
        <v/>
      </c>
      <c r="J328" s="1058"/>
      <c r="K328" s="1" t="str">
        <f>IF(A328="","",'06'!$J$3)</f>
        <v/>
      </c>
      <c r="L328" s="1"/>
      <c r="M328" s="1059" t="str">
        <f>IF(A328="","",I328*K328*L328)</f>
        <v/>
      </c>
      <c r="N328" s="1058"/>
    </row>
    <row r="329" spans="1:15" ht="12.75" customHeight="1" x14ac:dyDescent="0.25">
      <c r="A329" s="1063"/>
      <c r="B329" s="1057"/>
      <c r="C329" s="1057"/>
      <c r="D329" s="1057"/>
      <c r="E329" s="1057"/>
      <c r="F329" s="1057"/>
      <c r="G329" s="1058"/>
      <c r="H329" s="9" t="str">
        <f>IF(A329="","",VLOOKUP(A329,AA_Cuadrillas,4,FALSE))</f>
        <v/>
      </c>
      <c r="I329" s="1059" t="str">
        <f>IF(A329="","",VLOOKUP(A329,AA_Cuadrillas,5,FALSE))</f>
        <v/>
      </c>
      <c r="J329" s="1058"/>
      <c r="K329" s="1" t="str">
        <f>IF(A329="","",'06'!$J$3)</f>
        <v/>
      </c>
      <c r="L329" s="10"/>
      <c r="M329" s="1059" t="str">
        <f>IF(A329="","",I329*K329*L329)</f>
        <v/>
      </c>
      <c r="N329" s="1058"/>
    </row>
    <row r="330" spans="1:15" ht="12.75" customHeight="1" x14ac:dyDescent="0.25">
      <c r="A330" s="1063"/>
      <c r="B330" s="1057"/>
      <c r="C330" s="1057"/>
      <c r="D330" s="1057"/>
      <c r="E330" s="1057"/>
      <c r="F330" s="1057"/>
      <c r="G330" s="1058"/>
      <c r="H330" s="9" t="str">
        <f>IF(A330="","",VLOOKUP(A330,AA_Cuadrillas,4,FALSE))</f>
        <v/>
      </c>
      <c r="I330" s="1059" t="str">
        <f>IF(A330="","",VLOOKUP(A330,AA_Cuadrillas,5,FALSE))</f>
        <v/>
      </c>
      <c r="J330" s="1058"/>
      <c r="K330" s="1" t="str">
        <f>IF(A330="","",'06'!$J$3)</f>
        <v/>
      </c>
      <c r="L330" s="10"/>
      <c r="M330" s="1059" t="str">
        <f>IF(A330="","",I330*K330*L330)</f>
        <v/>
      </c>
      <c r="N330" s="1058"/>
    </row>
    <row r="331" spans="1:15" ht="12.75" customHeight="1" x14ac:dyDescent="0.25">
      <c r="A331" s="1063"/>
      <c r="B331" s="1057"/>
      <c r="C331" s="1057"/>
      <c r="D331" s="1057"/>
      <c r="E331" s="1057"/>
      <c r="F331" s="1057"/>
      <c r="G331" s="1058"/>
      <c r="H331" s="9" t="str">
        <f>IF(A331="","",VLOOKUP(A331,AA_Cuadrillas,4,FALSE))</f>
        <v/>
      </c>
      <c r="I331" s="1059" t="str">
        <f>IF(A331="","",VLOOKUP(A331,AA_Cuadrillas,5,FALSE))</f>
        <v/>
      </c>
      <c r="J331" s="1058"/>
      <c r="K331" s="1" t="str">
        <f>IF(A331="","",'06'!$J$3)</f>
        <v/>
      </c>
      <c r="L331" s="10"/>
      <c r="M331" s="1059" t="str">
        <f>IF(A331="","",I331*K331*L331)</f>
        <v/>
      </c>
      <c r="N331" s="1058"/>
    </row>
    <row r="332" spans="1:15" ht="12.75" customHeight="1" x14ac:dyDescent="0.25">
      <c r="A332" s="3"/>
      <c r="B332" s="3"/>
      <c r="C332" s="3"/>
      <c r="D332" s="3"/>
      <c r="E332" s="3"/>
      <c r="F332" s="3"/>
      <c r="G332" s="3"/>
      <c r="H332" s="3"/>
      <c r="I332" s="3"/>
      <c r="J332" s="3"/>
      <c r="K332" s="1066" t="s">
        <v>201</v>
      </c>
      <c r="L332" s="1058"/>
      <c r="M332" s="1059">
        <f>SUM(M327:N331)</f>
        <v>128492.0281575</v>
      </c>
      <c r="N332" s="1058"/>
    </row>
    <row r="333" spans="1:15" ht="12.75" customHeight="1" x14ac:dyDescent="0.2"/>
    <row r="334" spans="1:15" ht="12.75" customHeight="1" x14ac:dyDescent="0.2">
      <c r="A334" s="1072" t="s">
        <v>2061</v>
      </c>
      <c r="B334" s="1052"/>
      <c r="C334" s="1052"/>
      <c r="D334" s="1052"/>
      <c r="E334" s="1052"/>
      <c r="F334" s="1052"/>
      <c r="G334" s="1052"/>
      <c r="H334" s="1052"/>
      <c r="I334" s="1052"/>
      <c r="J334" s="1052"/>
      <c r="K334" s="1052"/>
      <c r="L334" s="1052"/>
      <c r="M334" s="1052"/>
      <c r="N334" s="1053"/>
      <c r="O334" s="7"/>
    </row>
    <row r="335" spans="1:15" ht="12.75" customHeight="1" x14ac:dyDescent="0.2">
      <c r="A335" s="1031"/>
      <c r="B335" s="1032"/>
      <c r="C335" s="1032"/>
      <c r="D335" s="1032"/>
      <c r="E335" s="1032"/>
      <c r="F335" s="1032"/>
      <c r="G335" s="1032"/>
      <c r="H335" s="1032"/>
      <c r="I335" s="1032"/>
      <c r="J335" s="1032"/>
      <c r="K335" s="1032"/>
      <c r="L335" s="1032"/>
      <c r="M335" s="1032"/>
      <c r="N335" s="1055"/>
      <c r="O335" s="7"/>
    </row>
    <row r="336" spans="1:15" ht="12.75" customHeight="1" x14ac:dyDescent="0.2">
      <c r="A336" s="16"/>
      <c r="B336" s="16"/>
      <c r="C336" s="16"/>
      <c r="D336" s="16"/>
      <c r="E336" s="16"/>
      <c r="F336" s="16"/>
      <c r="G336" s="16"/>
      <c r="H336" s="16"/>
      <c r="I336" s="16"/>
      <c r="J336" s="16"/>
      <c r="K336" s="16"/>
      <c r="L336" s="16"/>
      <c r="M336" s="16"/>
      <c r="N336" s="16"/>
    </row>
    <row r="337" spans="1:14" ht="12.75" customHeight="1" x14ac:dyDescent="0.3">
      <c r="A337" s="18" t="s">
        <v>298</v>
      </c>
      <c r="B337" s="19" t="str">
        <f>A334</f>
        <v>EXCAVACION MANUAL A TODO FACTOR 0 A  5 M DE PROFUNDIDAD</v>
      </c>
      <c r="C337" s="20" t="s">
        <v>382</v>
      </c>
      <c r="D337" s="21" t="s">
        <v>399</v>
      </c>
      <c r="E337" s="22" t="s">
        <v>125</v>
      </c>
      <c r="F337" s="26">
        <f>(H337+J337+L337+N337)*$O$2</f>
        <v>63154.621693800007</v>
      </c>
      <c r="G337" s="22" t="s">
        <v>285</v>
      </c>
      <c r="H337" s="26">
        <f>M358</f>
        <v>2313.3561060000006</v>
      </c>
      <c r="I337" s="22" t="s">
        <v>383</v>
      </c>
      <c r="J337" s="36">
        <f>M349</f>
        <v>0</v>
      </c>
      <c r="K337" s="22" t="s">
        <v>287</v>
      </c>
      <c r="L337" s="26">
        <f>M367</f>
        <v>0</v>
      </c>
      <c r="M337" s="22" t="s">
        <v>288</v>
      </c>
      <c r="N337" s="26">
        <f>M376</f>
        <v>46267.122120000007</v>
      </c>
    </row>
    <row r="338" spans="1:14" ht="12.75" customHeight="1" x14ac:dyDescent="0.25">
      <c r="A338" s="27"/>
      <c r="B338" s="27"/>
      <c r="C338" s="27"/>
      <c r="D338" s="27"/>
      <c r="E338" s="27"/>
      <c r="F338" s="27"/>
      <c r="G338" s="27"/>
      <c r="J338" s="27"/>
      <c r="K338" s="27"/>
      <c r="L338" s="27"/>
      <c r="M338" s="27"/>
      <c r="N338" s="27"/>
    </row>
    <row r="339" spans="1:14" ht="12.75" customHeight="1" x14ac:dyDescent="0.2">
      <c r="A339" s="1065" t="s">
        <v>384</v>
      </c>
      <c r="B339" s="1057"/>
      <c r="C339" s="1057"/>
      <c r="D339" s="1057"/>
      <c r="E339" s="1057"/>
      <c r="F339" s="1057"/>
      <c r="G339" s="1057"/>
      <c r="H339" s="1057"/>
      <c r="I339" s="1057"/>
      <c r="J339" s="1057"/>
      <c r="K339" s="1057"/>
      <c r="L339" s="1057"/>
      <c r="M339" s="1057"/>
      <c r="N339" s="1058"/>
    </row>
    <row r="340" spans="1:14" ht="12.75" customHeight="1" x14ac:dyDescent="0.2">
      <c r="A340" s="1066" t="s">
        <v>38</v>
      </c>
      <c r="B340" s="1057"/>
      <c r="C340" s="1057"/>
      <c r="D340" s="1057"/>
      <c r="E340" s="1057"/>
      <c r="F340" s="1057"/>
      <c r="G340" s="1058"/>
      <c r="H340" s="28" t="s">
        <v>39</v>
      </c>
      <c r="I340" s="1062" t="s">
        <v>385</v>
      </c>
      <c r="J340" s="1058"/>
      <c r="K340" s="1062" t="s">
        <v>132</v>
      </c>
      <c r="L340" s="1058"/>
      <c r="M340" s="1062" t="s">
        <v>386</v>
      </c>
      <c r="N340" s="1058"/>
    </row>
    <row r="341" spans="1:14" ht="12.75" customHeight="1" x14ac:dyDescent="0.2">
      <c r="A341" s="1061"/>
      <c r="B341" s="1057"/>
      <c r="C341" s="1057"/>
      <c r="D341" s="1057"/>
      <c r="E341" s="1057"/>
      <c r="F341" s="1057"/>
      <c r="G341" s="1058"/>
      <c r="H341" s="9" t="str">
        <f t="shared" ref="H341:H348" si="9">IF(A341="","",VLOOKUP(A341,AA_Materiales,7,FALSE))</f>
        <v/>
      </c>
      <c r="I341" s="1059" t="str">
        <f t="shared" ref="I341:I348" si="10">IF(A341="","",VLOOKUP(A341,AA_Materiales,8,FALSE))</f>
        <v/>
      </c>
      <c r="J341" s="1058"/>
      <c r="K341" s="1060"/>
      <c r="L341" s="1058"/>
      <c r="M341" s="1059" t="str">
        <f t="shared" ref="M341:M348" si="11">IF(A341="","",I341*K341)</f>
        <v/>
      </c>
      <c r="N341" s="1058"/>
    </row>
    <row r="342" spans="1:14" ht="12.75" customHeight="1" x14ac:dyDescent="0.2">
      <c r="A342" s="1061"/>
      <c r="B342" s="1057"/>
      <c r="C342" s="1057"/>
      <c r="D342" s="1057"/>
      <c r="E342" s="1057"/>
      <c r="F342" s="1057"/>
      <c r="G342" s="1058"/>
      <c r="H342" s="9" t="str">
        <f t="shared" si="9"/>
        <v/>
      </c>
      <c r="I342" s="1059" t="str">
        <f t="shared" si="10"/>
        <v/>
      </c>
      <c r="J342" s="1058"/>
      <c r="K342" s="1070"/>
      <c r="L342" s="1058"/>
      <c r="M342" s="1059" t="str">
        <f t="shared" si="11"/>
        <v/>
      </c>
      <c r="N342" s="1058"/>
    </row>
    <row r="343" spans="1:14" ht="12.75" customHeight="1" x14ac:dyDescent="0.2">
      <c r="A343" s="1061"/>
      <c r="B343" s="1057"/>
      <c r="C343" s="1057"/>
      <c r="D343" s="1057"/>
      <c r="E343" s="1057"/>
      <c r="F343" s="1057"/>
      <c r="G343" s="1058"/>
      <c r="H343" s="9" t="str">
        <f t="shared" si="9"/>
        <v/>
      </c>
      <c r="I343" s="1059" t="str">
        <f t="shared" si="10"/>
        <v/>
      </c>
      <c r="J343" s="1058"/>
      <c r="K343" s="1070"/>
      <c r="L343" s="1058"/>
      <c r="M343" s="1059" t="str">
        <f t="shared" si="11"/>
        <v/>
      </c>
      <c r="N343" s="1058"/>
    </row>
    <row r="344" spans="1:14" ht="12.75" customHeight="1" x14ac:dyDescent="0.2">
      <c r="A344" s="1061"/>
      <c r="B344" s="1057"/>
      <c r="C344" s="1057"/>
      <c r="D344" s="1057"/>
      <c r="E344" s="1057"/>
      <c r="F344" s="1057"/>
      <c r="G344" s="1058"/>
      <c r="H344" s="9" t="str">
        <f t="shared" si="9"/>
        <v/>
      </c>
      <c r="I344" s="1059" t="str">
        <f t="shared" si="10"/>
        <v/>
      </c>
      <c r="J344" s="1058"/>
      <c r="K344" s="1060"/>
      <c r="L344" s="1058"/>
      <c r="M344" s="1059" t="str">
        <f t="shared" si="11"/>
        <v/>
      </c>
      <c r="N344" s="1058"/>
    </row>
    <row r="345" spans="1:14" ht="12.75" customHeight="1" x14ac:dyDescent="0.2">
      <c r="A345" s="1061"/>
      <c r="B345" s="1057"/>
      <c r="C345" s="1057"/>
      <c r="D345" s="1057"/>
      <c r="E345" s="1057"/>
      <c r="F345" s="1057"/>
      <c r="G345" s="1058"/>
      <c r="H345" s="9" t="str">
        <f t="shared" si="9"/>
        <v/>
      </c>
      <c r="I345" s="1059" t="str">
        <f t="shared" si="10"/>
        <v/>
      </c>
      <c r="J345" s="1058"/>
      <c r="K345" s="1060"/>
      <c r="L345" s="1058"/>
      <c r="M345" s="1059" t="str">
        <f t="shared" si="11"/>
        <v/>
      </c>
      <c r="N345" s="1058"/>
    </row>
    <row r="346" spans="1:14" ht="12.75" customHeight="1" x14ac:dyDescent="0.2">
      <c r="A346" s="1061"/>
      <c r="B346" s="1057"/>
      <c r="C346" s="1057"/>
      <c r="D346" s="1057"/>
      <c r="E346" s="1057"/>
      <c r="F346" s="1057"/>
      <c r="G346" s="1058"/>
      <c r="H346" s="9" t="str">
        <f t="shared" si="9"/>
        <v/>
      </c>
      <c r="I346" s="1059" t="str">
        <f t="shared" si="10"/>
        <v/>
      </c>
      <c r="J346" s="1058"/>
      <c r="K346" s="1060"/>
      <c r="L346" s="1058"/>
      <c r="M346" s="1059" t="str">
        <f t="shared" si="11"/>
        <v/>
      </c>
      <c r="N346" s="1058"/>
    </row>
    <row r="347" spans="1:14" ht="12.75" customHeight="1" x14ac:dyDescent="0.2">
      <c r="A347" s="1061"/>
      <c r="B347" s="1057"/>
      <c r="C347" s="1057"/>
      <c r="D347" s="1057"/>
      <c r="E347" s="1057"/>
      <c r="F347" s="1057"/>
      <c r="G347" s="1058"/>
      <c r="H347" s="9" t="str">
        <f t="shared" si="9"/>
        <v/>
      </c>
      <c r="I347" s="1059" t="str">
        <f t="shared" si="10"/>
        <v/>
      </c>
      <c r="J347" s="1058"/>
      <c r="K347" s="1060"/>
      <c r="L347" s="1058"/>
      <c r="M347" s="1059" t="str">
        <f t="shared" si="11"/>
        <v/>
      </c>
      <c r="N347" s="1058"/>
    </row>
    <row r="348" spans="1:14" ht="12.75" customHeight="1" x14ac:dyDescent="0.2">
      <c r="A348" s="1061"/>
      <c r="B348" s="1057"/>
      <c r="C348" s="1057"/>
      <c r="D348" s="1057"/>
      <c r="E348" s="1057"/>
      <c r="F348" s="1057"/>
      <c r="G348" s="1058"/>
      <c r="H348" s="9" t="str">
        <f t="shared" si="9"/>
        <v/>
      </c>
      <c r="I348" s="1059" t="str">
        <f t="shared" si="10"/>
        <v/>
      </c>
      <c r="J348" s="1058"/>
      <c r="K348" s="1060"/>
      <c r="L348" s="1058"/>
      <c r="M348" s="1059" t="str">
        <f t="shared" si="11"/>
        <v/>
      </c>
      <c r="N348" s="1058"/>
    </row>
    <row r="349" spans="1:14" ht="12.75" customHeight="1" x14ac:dyDescent="0.25">
      <c r="A349" s="3"/>
      <c r="B349" s="3"/>
      <c r="C349" s="3"/>
      <c r="D349" s="3"/>
      <c r="E349" s="3"/>
      <c r="F349" s="3"/>
      <c r="G349" s="3"/>
      <c r="H349" s="3"/>
      <c r="I349" s="3"/>
      <c r="J349" s="3"/>
      <c r="K349" s="1066" t="s">
        <v>201</v>
      </c>
      <c r="L349" s="1058"/>
      <c r="M349" s="1059">
        <f>SUM(M341:N348)</f>
        <v>0</v>
      </c>
      <c r="N349" s="1058"/>
    </row>
    <row r="350" spans="1:14" ht="12.75" customHeight="1" x14ac:dyDescent="0.25">
      <c r="A350" s="3"/>
      <c r="B350" s="3"/>
      <c r="C350" s="3"/>
      <c r="D350" s="3"/>
      <c r="E350" s="3"/>
      <c r="F350" s="3"/>
      <c r="G350" s="3"/>
      <c r="H350" s="3"/>
      <c r="I350" s="3"/>
      <c r="J350" s="3"/>
      <c r="K350" s="3"/>
      <c r="L350" s="3"/>
      <c r="M350" s="3"/>
      <c r="N350" s="3"/>
    </row>
    <row r="351" spans="1:14" ht="12.75" customHeight="1" x14ac:dyDescent="0.2">
      <c r="A351" s="1065" t="s">
        <v>390</v>
      </c>
      <c r="B351" s="1057"/>
      <c r="C351" s="1057"/>
      <c r="D351" s="1057"/>
      <c r="E351" s="1057"/>
      <c r="F351" s="1057"/>
      <c r="G351" s="1057"/>
      <c r="H351" s="1057"/>
      <c r="I351" s="1057"/>
      <c r="J351" s="1057"/>
      <c r="K351" s="1057"/>
      <c r="L351" s="1057"/>
      <c r="M351" s="1057"/>
      <c r="N351" s="1058"/>
    </row>
    <row r="352" spans="1:14" ht="12.75" customHeight="1" x14ac:dyDescent="0.2">
      <c r="A352" s="1066" t="s">
        <v>38</v>
      </c>
      <c r="B352" s="1057"/>
      <c r="C352" s="1057"/>
      <c r="D352" s="1057"/>
      <c r="E352" s="1057"/>
      <c r="F352" s="1057"/>
      <c r="G352" s="1058"/>
      <c r="H352" s="28" t="s">
        <v>39</v>
      </c>
      <c r="I352" s="1062" t="s">
        <v>385</v>
      </c>
      <c r="J352" s="1058"/>
      <c r="K352" s="1062" t="s">
        <v>132</v>
      </c>
      <c r="L352" s="1058"/>
      <c r="M352" s="1062" t="s">
        <v>386</v>
      </c>
      <c r="N352" s="1058"/>
    </row>
    <row r="353" spans="1:14" ht="12.75" customHeight="1" x14ac:dyDescent="0.2">
      <c r="A353" s="1061" t="s">
        <v>391</v>
      </c>
      <c r="B353" s="1057"/>
      <c r="C353" s="1057"/>
      <c r="D353" s="1057"/>
      <c r="E353" s="1057"/>
      <c r="F353" s="1057"/>
      <c r="G353" s="1058"/>
      <c r="H353" s="9" t="str">
        <f>IF(A353="","",VLOOKUP(A353,AA_Equipos,7,FALSE))</f>
        <v>% M.O.</v>
      </c>
      <c r="I353" s="1059">
        <f>M376</f>
        <v>46267.122120000007</v>
      </c>
      <c r="J353" s="1058"/>
      <c r="K353" s="1064">
        <v>0.05</v>
      </c>
      <c r="L353" s="1058"/>
      <c r="M353" s="1059">
        <f>IF(A353="","",I353*K353)</f>
        <v>2313.3561060000006</v>
      </c>
      <c r="N353" s="1058"/>
    </row>
    <row r="354" spans="1:14" ht="12.75" customHeight="1" x14ac:dyDescent="0.2">
      <c r="A354" s="1056"/>
      <c r="B354" s="1057"/>
      <c r="C354" s="1057"/>
      <c r="D354" s="1057"/>
      <c r="E354" s="1057"/>
      <c r="F354" s="1057"/>
      <c r="G354" s="1058"/>
      <c r="H354" s="9" t="str">
        <f>IF(A354="","",VLOOKUP(A354,AA_Equipos,7,FALSE))</f>
        <v/>
      </c>
      <c r="I354" s="1059" t="str">
        <f>IF(A354="","",VLOOKUP(A354,AA_Equipos,8,FALSE))</f>
        <v/>
      </c>
      <c r="J354" s="1058"/>
      <c r="K354" s="1067"/>
      <c r="L354" s="1058"/>
      <c r="M354" s="1059" t="str">
        <f>IF(A354="","",I354*K354)</f>
        <v/>
      </c>
      <c r="N354" s="1058"/>
    </row>
    <row r="355" spans="1:14" ht="12.75" customHeight="1" x14ac:dyDescent="0.2">
      <c r="A355" s="1061"/>
      <c r="B355" s="1057"/>
      <c r="C355" s="1057"/>
      <c r="D355" s="1057"/>
      <c r="E355" s="1057"/>
      <c r="F355" s="1057"/>
      <c r="G355" s="1058"/>
      <c r="H355" s="9" t="str">
        <f>IF(A355="","",VLOOKUP(A355,AA_Equipos,7,FALSE))</f>
        <v/>
      </c>
      <c r="I355" s="1059" t="str">
        <f>IF(A355="","",VLOOKUP(A355,AA_Equipos,8,FALSE))</f>
        <v/>
      </c>
      <c r="J355" s="1058"/>
      <c r="K355" s="1070"/>
      <c r="L355" s="1058"/>
      <c r="M355" s="1059" t="str">
        <f>IF(A355="","",I355*K355)</f>
        <v/>
      </c>
      <c r="N355" s="1058"/>
    </row>
    <row r="356" spans="1:14" ht="12.75" customHeight="1" x14ac:dyDescent="0.2">
      <c r="A356" s="1061"/>
      <c r="B356" s="1057"/>
      <c r="C356" s="1057"/>
      <c r="D356" s="1057"/>
      <c r="E356" s="1057"/>
      <c r="F356" s="1057"/>
      <c r="G356" s="1058"/>
      <c r="H356" s="9" t="str">
        <f>IF(A356="","",VLOOKUP(A356,AA_Equipos,7,FALSE))</f>
        <v/>
      </c>
      <c r="I356" s="1059" t="str">
        <f>IF(A356="","",VLOOKUP(A356,AA_Equipos,8,FALSE))</f>
        <v/>
      </c>
      <c r="J356" s="1058"/>
      <c r="K356" s="1060"/>
      <c r="L356" s="1058"/>
      <c r="M356" s="1059" t="str">
        <f>IF(A356="","",I356*K356)</f>
        <v/>
      </c>
      <c r="N356" s="1058"/>
    </row>
    <row r="357" spans="1:14" ht="12.75" customHeight="1" x14ac:dyDescent="0.2">
      <c r="A357" s="1061"/>
      <c r="B357" s="1057"/>
      <c r="C357" s="1057"/>
      <c r="D357" s="1057"/>
      <c r="E357" s="1057"/>
      <c r="F357" s="1057"/>
      <c r="G357" s="1058"/>
      <c r="H357" s="9" t="str">
        <f>IF(A357="","",VLOOKUP(A357,AA_Equipos,7,FALSE))</f>
        <v/>
      </c>
      <c r="I357" s="1059" t="str">
        <f>IF(A357="","",VLOOKUP(A357,AA_Equipos,8,FALSE))</f>
        <v/>
      </c>
      <c r="J357" s="1058"/>
      <c r="K357" s="1060"/>
      <c r="L357" s="1058"/>
      <c r="M357" s="1059" t="str">
        <f>IF(A357="","",I357*K357)</f>
        <v/>
      </c>
      <c r="N357" s="1058"/>
    </row>
    <row r="358" spans="1:14" ht="12.75" customHeight="1" x14ac:dyDescent="0.25">
      <c r="A358" s="3"/>
      <c r="B358" s="3"/>
      <c r="C358" s="3"/>
      <c r="D358" s="3"/>
      <c r="E358" s="3"/>
      <c r="F358" s="3"/>
      <c r="G358" s="3"/>
      <c r="H358" s="3"/>
      <c r="I358" s="3"/>
      <c r="J358" s="3"/>
      <c r="K358" s="1066" t="s">
        <v>201</v>
      </c>
      <c r="L358" s="1058"/>
      <c r="M358" s="1059">
        <f>SUM(M353:N357)</f>
        <v>2313.3561060000006</v>
      </c>
      <c r="N358" s="1058"/>
    </row>
    <row r="359" spans="1:14" ht="12.75" customHeight="1" x14ac:dyDescent="0.25">
      <c r="A359" s="3"/>
      <c r="B359" s="3"/>
      <c r="C359" s="3"/>
      <c r="D359" s="3"/>
      <c r="E359" s="3"/>
      <c r="F359" s="3"/>
      <c r="G359" s="3"/>
      <c r="H359" s="3"/>
      <c r="I359" s="3"/>
      <c r="J359" s="3"/>
      <c r="K359" s="3"/>
      <c r="L359" s="3"/>
      <c r="M359" s="3"/>
      <c r="N359" s="3"/>
    </row>
    <row r="360" spans="1:14" ht="12.75" customHeight="1" x14ac:dyDescent="0.2">
      <c r="A360" s="1065" t="s">
        <v>392</v>
      </c>
      <c r="B360" s="1057"/>
      <c r="C360" s="1057"/>
      <c r="D360" s="1057"/>
      <c r="E360" s="1057"/>
      <c r="F360" s="1057"/>
      <c r="G360" s="1057"/>
      <c r="H360" s="1057"/>
      <c r="I360" s="1057"/>
      <c r="J360" s="1057"/>
      <c r="K360" s="1057"/>
      <c r="L360" s="1057"/>
      <c r="M360" s="1057"/>
      <c r="N360" s="1058"/>
    </row>
    <row r="361" spans="1:14" ht="12.75" customHeight="1" x14ac:dyDescent="0.2">
      <c r="A361" s="1066" t="s">
        <v>38</v>
      </c>
      <c r="B361" s="1057"/>
      <c r="C361" s="1057"/>
      <c r="D361" s="1057"/>
      <c r="E361" s="1057"/>
      <c r="F361" s="1057"/>
      <c r="G361" s="1058"/>
      <c r="H361" s="28" t="s">
        <v>39</v>
      </c>
      <c r="I361" s="1062" t="s">
        <v>385</v>
      </c>
      <c r="J361" s="1058"/>
      <c r="K361" s="1062" t="s">
        <v>132</v>
      </c>
      <c r="L361" s="1058"/>
      <c r="M361" s="1062" t="s">
        <v>386</v>
      </c>
      <c r="N361" s="1058"/>
    </row>
    <row r="362" spans="1:14" ht="12.75" customHeight="1" x14ac:dyDescent="0.2">
      <c r="A362" s="1061"/>
      <c r="B362" s="1057"/>
      <c r="C362" s="1057"/>
      <c r="D362" s="1057"/>
      <c r="E362" s="1057"/>
      <c r="F362" s="1057"/>
      <c r="G362" s="1058"/>
      <c r="H362" s="9"/>
      <c r="I362" s="1059"/>
      <c r="J362" s="1058"/>
      <c r="K362" s="1064"/>
      <c r="L362" s="1058"/>
      <c r="M362" s="1059" t="str">
        <f>IF(A362="","",I362*K362)</f>
        <v/>
      </c>
      <c r="N362" s="1058"/>
    </row>
    <row r="363" spans="1:14" ht="12.75" customHeight="1" x14ac:dyDescent="0.2">
      <c r="A363" s="1056"/>
      <c r="B363" s="1057"/>
      <c r="C363" s="1057"/>
      <c r="D363" s="1057"/>
      <c r="E363" s="1057"/>
      <c r="F363" s="1057"/>
      <c r="G363" s="1058"/>
      <c r="H363" s="9"/>
      <c r="I363" s="1059"/>
      <c r="J363" s="1058"/>
      <c r="K363" s="1060"/>
      <c r="L363" s="1058"/>
      <c r="M363" s="1059" t="str">
        <f>IF(A363="","",I363*K363)</f>
        <v/>
      </c>
      <c r="N363" s="1058"/>
    </row>
    <row r="364" spans="1:14" ht="12.75" customHeight="1" x14ac:dyDescent="0.2">
      <c r="A364" s="1061"/>
      <c r="B364" s="1057"/>
      <c r="C364" s="1057"/>
      <c r="D364" s="1057"/>
      <c r="E364" s="1057"/>
      <c r="F364" s="1057"/>
      <c r="G364" s="1058"/>
      <c r="H364" s="9"/>
      <c r="I364" s="1059"/>
      <c r="J364" s="1058"/>
      <c r="K364" s="1060"/>
      <c r="L364" s="1058"/>
      <c r="M364" s="1059" t="str">
        <f>IF(A364="","",I364*K364)</f>
        <v/>
      </c>
      <c r="N364" s="1058"/>
    </row>
    <row r="365" spans="1:14" ht="12.75" customHeight="1" x14ac:dyDescent="0.2">
      <c r="A365" s="1061"/>
      <c r="B365" s="1057"/>
      <c r="C365" s="1057"/>
      <c r="D365" s="1057"/>
      <c r="E365" s="1057"/>
      <c r="F365" s="1057"/>
      <c r="G365" s="1058"/>
      <c r="H365" s="9"/>
      <c r="I365" s="1059"/>
      <c r="J365" s="1058"/>
      <c r="K365" s="1060"/>
      <c r="L365" s="1058"/>
      <c r="M365" s="1059" t="str">
        <f>IF(A365="","",I365*K365)</f>
        <v/>
      </c>
      <c r="N365" s="1058"/>
    </row>
    <row r="366" spans="1:14" ht="12.75" customHeight="1" x14ac:dyDescent="0.2">
      <c r="A366" s="1061"/>
      <c r="B366" s="1057"/>
      <c r="C366" s="1057"/>
      <c r="D366" s="1057"/>
      <c r="E366" s="1057"/>
      <c r="F366" s="1057"/>
      <c r="G366" s="1058"/>
      <c r="H366" s="9"/>
      <c r="I366" s="1059"/>
      <c r="J366" s="1058"/>
      <c r="K366" s="1060"/>
      <c r="L366" s="1058"/>
      <c r="M366" s="1059" t="str">
        <f>IF(A366="","",I366*K366)</f>
        <v/>
      </c>
      <c r="N366" s="1058"/>
    </row>
    <row r="367" spans="1:14" ht="12.75" customHeight="1" x14ac:dyDescent="0.25">
      <c r="A367" s="3"/>
      <c r="B367" s="3"/>
      <c r="C367" s="3"/>
      <c r="D367" s="3"/>
      <c r="E367" s="3"/>
      <c r="F367" s="3"/>
      <c r="G367" s="3"/>
      <c r="H367" s="3"/>
      <c r="I367" s="3"/>
      <c r="J367" s="3"/>
      <c r="K367" s="1066" t="s">
        <v>201</v>
      </c>
      <c r="L367" s="1058"/>
      <c r="M367" s="1059">
        <f>SUM(M362:N366)</f>
        <v>0</v>
      </c>
      <c r="N367" s="1058"/>
    </row>
    <row r="368" spans="1:14" ht="12.75" customHeight="1" x14ac:dyDescent="0.25">
      <c r="A368" s="3"/>
      <c r="B368" s="3"/>
      <c r="C368" s="3"/>
      <c r="D368" s="3"/>
      <c r="E368" s="3"/>
      <c r="F368" s="3"/>
      <c r="G368" s="3"/>
      <c r="H368" s="3"/>
      <c r="I368" s="3"/>
      <c r="J368" s="3"/>
      <c r="K368" s="33"/>
      <c r="L368" s="34"/>
      <c r="M368" s="29"/>
      <c r="N368" s="35"/>
    </row>
    <row r="369" spans="1:15" ht="12.75" customHeight="1" x14ac:dyDescent="0.2">
      <c r="A369" s="1065" t="s">
        <v>394</v>
      </c>
      <c r="B369" s="1057"/>
      <c r="C369" s="1057"/>
      <c r="D369" s="1057"/>
      <c r="E369" s="1057"/>
      <c r="F369" s="1057"/>
      <c r="G369" s="1057"/>
      <c r="H369" s="1057"/>
      <c r="I369" s="1057"/>
      <c r="J369" s="1057"/>
      <c r="K369" s="1057"/>
      <c r="L369" s="1057"/>
      <c r="M369" s="1057"/>
      <c r="N369" s="1058"/>
    </row>
    <row r="370" spans="1:15" ht="12.75" customHeight="1" x14ac:dyDescent="0.2">
      <c r="A370" s="1066" t="s">
        <v>38</v>
      </c>
      <c r="B370" s="1057"/>
      <c r="C370" s="1057"/>
      <c r="D370" s="1057"/>
      <c r="E370" s="1057"/>
      <c r="F370" s="1057"/>
      <c r="G370" s="1058"/>
      <c r="H370" s="28" t="s">
        <v>39</v>
      </c>
      <c r="I370" s="1062" t="s">
        <v>385</v>
      </c>
      <c r="J370" s="1058"/>
      <c r="K370" s="30" t="s">
        <v>193</v>
      </c>
      <c r="L370" s="31" t="s">
        <v>395</v>
      </c>
      <c r="M370" s="1062" t="s">
        <v>386</v>
      </c>
      <c r="N370" s="1058"/>
    </row>
    <row r="371" spans="1:15" ht="12.75" customHeight="1" x14ac:dyDescent="0.25">
      <c r="A371" s="1063" t="s">
        <v>423</v>
      </c>
      <c r="B371" s="1057"/>
      <c r="C371" s="1057"/>
      <c r="D371" s="1057"/>
      <c r="E371" s="1057"/>
      <c r="F371" s="1057"/>
      <c r="G371" s="1058"/>
      <c r="H371" s="9" t="str">
        <f>IF(A371="","",VLOOKUP(A371,AA_Cuadrillas,4,FALSE))</f>
        <v>Cuadrilla</v>
      </c>
      <c r="I371" s="1059">
        <f>IF(A371="","",VLOOKUP(A371,AA_Cuadrillas,5,FALSE))</f>
        <v>134236</v>
      </c>
      <c r="J371" s="1058"/>
      <c r="K371" s="1">
        <f>IF(A371="","",'06'!$J$3)</f>
        <v>1.7233500000000002</v>
      </c>
      <c r="L371" s="32">
        <v>0.2</v>
      </c>
      <c r="M371" s="1059">
        <f>IF(A371="","",I371*K371*L371)</f>
        <v>46267.122120000007</v>
      </c>
      <c r="N371" s="1058"/>
    </row>
    <row r="372" spans="1:15" ht="12.75" customHeight="1" x14ac:dyDescent="0.25">
      <c r="A372" s="1063"/>
      <c r="B372" s="1057"/>
      <c r="C372" s="1057"/>
      <c r="D372" s="1057"/>
      <c r="E372" s="1057"/>
      <c r="F372" s="1057"/>
      <c r="G372" s="1058"/>
      <c r="H372" s="9" t="str">
        <f>IF(A372="","",VLOOKUP(A372,AA_Cuadrillas,4,FALSE))</f>
        <v/>
      </c>
      <c r="I372" s="1059" t="str">
        <f>IF(A372="","",VLOOKUP(A372,AA_Cuadrillas,5,FALSE))</f>
        <v/>
      </c>
      <c r="J372" s="1058"/>
      <c r="K372" s="1" t="str">
        <f>IF(A372="","",'06'!$J$3)</f>
        <v/>
      </c>
      <c r="L372" s="1"/>
      <c r="M372" s="1059" t="str">
        <f>IF(A372="","",I372*K372*L372)</f>
        <v/>
      </c>
      <c r="N372" s="1058"/>
    </row>
    <row r="373" spans="1:15" ht="12.75" customHeight="1" x14ac:dyDescent="0.25">
      <c r="A373" s="1063"/>
      <c r="B373" s="1057"/>
      <c r="C373" s="1057"/>
      <c r="D373" s="1057"/>
      <c r="E373" s="1057"/>
      <c r="F373" s="1057"/>
      <c r="G373" s="1058"/>
      <c r="H373" s="9" t="str">
        <f>IF(A373="","",VLOOKUP(A373,AA_Cuadrillas,4,FALSE))</f>
        <v/>
      </c>
      <c r="I373" s="1059" t="str">
        <f>IF(A373="","",VLOOKUP(A373,AA_Cuadrillas,5,FALSE))</f>
        <v/>
      </c>
      <c r="J373" s="1058"/>
      <c r="K373" s="1" t="str">
        <f>IF(A373="","",'06'!$J$3)</f>
        <v/>
      </c>
      <c r="L373" s="10"/>
      <c r="M373" s="1059" t="str">
        <f>IF(A373="","",I373*K373*L373)</f>
        <v/>
      </c>
      <c r="N373" s="1058"/>
    </row>
    <row r="374" spans="1:15" ht="12.75" customHeight="1" x14ac:dyDescent="0.25">
      <c r="A374" s="1063"/>
      <c r="B374" s="1057"/>
      <c r="C374" s="1057"/>
      <c r="D374" s="1057"/>
      <c r="E374" s="1057"/>
      <c r="F374" s="1057"/>
      <c r="G374" s="1058"/>
      <c r="H374" s="9" t="str">
        <f>IF(A374="","",VLOOKUP(A374,AA_Cuadrillas,4,FALSE))</f>
        <v/>
      </c>
      <c r="I374" s="1059" t="str">
        <f>IF(A374="","",VLOOKUP(A374,AA_Cuadrillas,5,FALSE))</f>
        <v/>
      </c>
      <c r="J374" s="1058"/>
      <c r="K374" s="1" t="str">
        <f>IF(A374="","",'06'!$J$3)</f>
        <v/>
      </c>
      <c r="L374" s="10"/>
      <c r="M374" s="1059" t="str">
        <f>IF(A374="","",I374*K374*L374)</f>
        <v/>
      </c>
      <c r="N374" s="1058"/>
    </row>
    <row r="375" spans="1:15" ht="12.75" customHeight="1" x14ac:dyDescent="0.25">
      <c r="A375" s="1063"/>
      <c r="B375" s="1057"/>
      <c r="C375" s="1057"/>
      <c r="D375" s="1057"/>
      <c r="E375" s="1057"/>
      <c r="F375" s="1057"/>
      <c r="G375" s="1058"/>
      <c r="H375" s="9" t="str">
        <f>IF(A375="","",VLOOKUP(A375,AA_Cuadrillas,4,FALSE))</f>
        <v/>
      </c>
      <c r="I375" s="1059" t="str">
        <f>IF(A375="","",VLOOKUP(A375,AA_Cuadrillas,5,FALSE))</f>
        <v/>
      </c>
      <c r="J375" s="1058"/>
      <c r="K375" s="1" t="str">
        <f>IF(A375="","",'06'!$J$3)</f>
        <v/>
      </c>
      <c r="L375" s="10"/>
      <c r="M375" s="1059" t="str">
        <f>IF(A375="","",I375*K375*L375)</f>
        <v/>
      </c>
      <c r="N375" s="1058"/>
    </row>
    <row r="376" spans="1:15" ht="12.75" customHeight="1" x14ac:dyDescent="0.25">
      <c r="A376" s="3"/>
      <c r="B376" s="3"/>
      <c r="C376" s="3"/>
      <c r="D376" s="3"/>
      <c r="E376" s="3"/>
      <c r="F376" s="3"/>
      <c r="G376" s="3"/>
      <c r="H376" s="3"/>
      <c r="I376" s="3"/>
      <c r="J376" s="3"/>
      <c r="K376" s="1066" t="s">
        <v>201</v>
      </c>
      <c r="L376" s="1058"/>
      <c r="M376" s="1059">
        <f>SUM(M371:N375)</f>
        <v>46267.122120000007</v>
      </c>
      <c r="N376" s="1058"/>
    </row>
    <row r="377" spans="1:15" ht="12.75" customHeight="1" x14ac:dyDescent="0.2">
      <c r="A377" s="7"/>
      <c r="B377" s="7"/>
      <c r="C377" s="7"/>
      <c r="D377" s="7"/>
      <c r="E377" s="7"/>
      <c r="F377" s="7"/>
      <c r="G377" s="7"/>
      <c r="H377" s="7"/>
      <c r="I377" s="7"/>
      <c r="J377" s="7"/>
      <c r="K377" s="7"/>
      <c r="L377" s="7"/>
      <c r="M377" s="7"/>
      <c r="N377" s="7"/>
      <c r="O377" s="7"/>
    </row>
    <row r="378" spans="1:15" ht="12.75" customHeight="1" x14ac:dyDescent="0.2">
      <c r="A378" s="1072" t="s">
        <v>1674</v>
      </c>
      <c r="B378" s="1052"/>
      <c r="C378" s="1052"/>
      <c r="D378" s="1052"/>
      <c r="E378" s="1052"/>
      <c r="F378" s="1052"/>
      <c r="G378" s="1052"/>
      <c r="H378" s="1052"/>
      <c r="I378" s="1052"/>
      <c r="J378" s="1052"/>
      <c r="K378" s="1052"/>
      <c r="L378" s="1052"/>
      <c r="M378" s="1052"/>
      <c r="N378" s="1053"/>
      <c r="O378" s="7"/>
    </row>
    <row r="379" spans="1:15" ht="12.75" customHeight="1" x14ac:dyDescent="0.2">
      <c r="A379" s="1031"/>
      <c r="B379" s="1032"/>
      <c r="C379" s="1032"/>
      <c r="D379" s="1032"/>
      <c r="E379" s="1032"/>
      <c r="F379" s="1032"/>
      <c r="G379" s="1032"/>
      <c r="H379" s="1032"/>
      <c r="I379" s="1032"/>
      <c r="J379" s="1032"/>
      <c r="K379" s="1032"/>
      <c r="L379" s="1032"/>
      <c r="M379" s="1032"/>
      <c r="N379" s="1055"/>
      <c r="O379" s="7"/>
    </row>
    <row r="380" spans="1:15" ht="12.75" customHeight="1" x14ac:dyDescent="0.2">
      <c r="A380" s="16"/>
      <c r="B380" s="16"/>
      <c r="C380" s="16"/>
      <c r="D380" s="16"/>
      <c r="E380" s="16"/>
      <c r="F380" s="16"/>
      <c r="G380" s="16"/>
      <c r="H380" s="16"/>
      <c r="I380" s="16"/>
      <c r="J380" s="16"/>
      <c r="K380" s="16"/>
      <c r="L380" s="16"/>
      <c r="M380" s="16"/>
      <c r="N380" s="16"/>
    </row>
    <row r="381" spans="1:15" ht="12.75" customHeight="1" x14ac:dyDescent="0.3">
      <c r="A381" s="18" t="s">
        <v>299</v>
      </c>
      <c r="B381" s="19" t="str">
        <f>A378</f>
        <v>ARENA DE PEÑA PARA SOPORTE DE TUBERÍA (INCLUYE TRANSPORTE Y MANO DE OBRA)</v>
      </c>
      <c r="C381" s="20" t="s">
        <v>382</v>
      </c>
      <c r="D381" s="127" t="s">
        <v>399</v>
      </c>
      <c r="E381" s="22" t="s">
        <v>125</v>
      </c>
      <c r="F381" s="26">
        <f>(H381+J381+L381+N381)*$O$2</f>
        <v>241471.21856195002</v>
      </c>
      <c r="G381" s="22" t="s">
        <v>285</v>
      </c>
      <c r="H381" s="26">
        <f>M399</f>
        <v>965.57577149999997</v>
      </c>
      <c r="I381" s="22" t="s">
        <v>383</v>
      </c>
      <c r="J381" s="26">
        <f>M390</f>
        <v>71600</v>
      </c>
      <c r="K381" s="22" t="s">
        <v>287</v>
      </c>
      <c r="L381" s="26">
        <f>M408</f>
        <v>93870</v>
      </c>
      <c r="M381" s="22" t="s">
        <v>288</v>
      </c>
      <c r="N381" s="26">
        <f>M417</f>
        <v>19311.515429999999</v>
      </c>
    </row>
    <row r="382" spans="1:15" ht="12.75" customHeight="1" x14ac:dyDescent="0.25">
      <c r="A382" s="27"/>
      <c r="B382" s="27"/>
      <c r="C382" s="27"/>
      <c r="D382" s="27"/>
      <c r="E382" s="27"/>
      <c r="F382" s="27"/>
      <c r="G382" s="27"/>
      <c r="J382" s="27"/>
      <c r="K382" s="27"/>
      <c r="L382" s="27"/>
      <c r="M382" s="27"/>
      <c r="N382" s="27"/>
    </row>
    <row r="383" spans="1:15" ht="12.75" customHeight="1" x14ac:dyDescent="0.2">
      <c r="A383" s="1065" t="s">
        <v>384</v>
      </c>
      <c r="B383" s="1057"/>
      <c r="C383" s="1057"/>
      <c r="D383" s="1057"/>
      <c r="E383" s="1057"/>
      <c r="F383" s="1057"/>
      <c r="G383" s="1057"/>
      <c r="H383" s="1057"/>
      <c r="I383" s="1057"/>
      <c r="J383" s="1057"/>
      <c r="K383" s="1057"/>
      <c r="L383" s="1057"/>
      <c r="M383" s="1057"/>
      <c r="N383" s="1058"/>
    </row>
    <row r="384" spans="1:15" ht="12.75" customHeight="1" x14ac:dyDescent="0.2">
      <c r="A384" s="1066" t="s">
        <v>38</v>
      </c>
      <c r="B384" s="1057"/>
      <c r="C384" s="1057"/>
      <c r="D384" s="1057"/>
      <c r="E384" s="1057"/>
      <c r="F384" s="1057"/>
      <c r="G384" s="1058"/>
      <c r="H384" s="28" t="s">
        <v>39</v>
      </c>
      <c r="I384" s="1062" t="s">
        <v>385</v>
      </c>
      <c r="J384" s="1058"/>
      <c r="K384" s="1062" t="s">
        <v>132</v>
      </c>
      <c r="L384" s="1058"/>
      <c r="M384" s="1062" t="s">
        <v>386</v>
      </c>
      <c r="N384" s="1058"/>
    </row>
    <row r="385" spans="1:14" ht="12.75" customHeight="1" x14ac:dyDescent="0.2">
      <c r="A385" s="1106" t="s">
        <v>1523</v>
      </c>
      <c r="B385" s="1057"/>
      <c r="C385" s="1057"/>
      <c r="D385" s="1057"/>
      <c r="E385" s="1057"/>
      <c r="F385" s="1057"/>
      <c r="G385" s="1058"/>
      <c r="H385" s="9" t="str">
        <f>IF(A385="","",VLOOKUP(A385,AA_Materiales,7,FALSE))</f>
        <v>m3</v>
      </c>
      <c r="I385" s="1059">
        <f>IF(A385="","",VLOOKUP(A385,AA_Materiales,8,FALSE))</f>
        <v>71400</v>
      </c>
      <c r="J385" s="1058"/>
      <c r="K385" s="1060">
        <v>1</v>
      </c>
      <c r="L385" s="1058"/>
      <c r="M385" s="1059">
        <f>IF(A385="","",I385*K385)</f>
        <v>71400</v>
      </c>
      <c r="N385" s="1058"/>
    </row>
    <row r="386" spans="1:14" ht="12.75" customHeight="1" x14ac:dyDescent="0.2">
      <c r="A386" s="1061" t="s">
        <v>408</v>
      </c>
      <c r="B386" s="1057"/>
      <c r="C386" s="1057"/>
      <c r="D386" s="1057"/>
      <c r="E386" s="1057"/>
      <c r="F386" s="1057"/>
      <c r="G386" s="1058"/>
      <c r="H386" s="9" t="str">
        <f>IF(A386="","",VLOOKUP(A386,AA_Materiales,7,FALSE))</f>
        <v>L</v>
      </c>
      <c r="I386" s="1059">
        <f>IF(A386="","",VLOOKUP(A386,AA_Materiales,8,FALSE))</f>
        <v>20</v>
      </c>
      <c r="J386" s="1058"/>
      <c r="K386" s="1060">
        <v>10</v>
      </c>
      <c r="L386" s="1058"/>
      <c r="M386" s="1059">
        <f>IF(A386="","",I386*K386)</f>
        <v>200</v>
      </c>
      <c r="N386" s="1058"/>
    </row>
    <row r="387" spans="1:14" ht="12.75" customHeight="1" x14ac:dyDescent="0.2">
      <c r="A387" s="1061"/>
      <c r="B387" s="1057"/>
      <c r="C387" s="1057"/>
      <c r="D387" s="1057"/>
      <c r="E387" s="1057"/>
      <c r="F387" s="1057"/>
      <c r="G387" s="1058"/>
      <c r="H387" s="9" t="str">
        <f>IF(A387="","",VLOOKUP(A387,AA_Materiales,7,FALSE))</f>
        <v/>
      </c>
      <c r="I387" s="1059" t="str">
        <f>IF(A387="","",VLOOKUP(A387,AA_Materiales,8,FALSE))</f>
        <v/>
      </c>
      <c r="J387" s="1058"/>
      <c r="K387" s="1060"/>
      <c r="L387" s="1058"/>
      <c r="M387" s="1059" t="str">
        <f>IF(A387="","",I387*K387)</f>
        <v/>
      </c>
      <c r="N387" s="1058"/>
    </row>
    <row r="388" spans="1:14" ht="12.75" customHeight="1" x14ac:dyDescent="0.2">
      <c r="A388" s="1061"/>
      <c r="B388" s="1057"/>
      <c r="C388" s="1057"/>
      <c r="D388" s="1057"/>
      <c r="E388" s="1057"/>
      <c r="F388" s="1057"/>
      <c r="G388" s="1058"/>
      <c r="H388" s="9" t="str">
        <f>IF(A388="","",VLOOKUP(A388,AA_Materiales,7,FALSE))</f>
        <v/>
      </c>
      <c r="I388" s="1059" t="str">
        <f>IF(A388="","",VLOOKUP(A388,AA_Materiales,8,FALSE))</f>
        <v/>
      </c>
      <c r="J388" s="1058"/>
      <c r="K388" s="1060"/>
      <c r="L388" s="1058"/>
      <c r="M388" s="1059" t="str">
        <f>IF(A388="","",I388*K388)</f>
        <v/>
      </c>
      <c r="N388" s="1058"/>
    </row>
    <row r="389" spans="1:14" ht="12.75" customHeight="1" x14ac:dyDescent="0.2">
      <c r="A389" s="1061"/>
      <c r="B389" s="1057"/>
      <c r="C389" s="1057"/>
      <c r="D389" s="1057"/>
      <c r="E389" s="1057"/>
      <c r="F389" s="1057"/>
      <c r="G389" s="1058"/>
      <c r="H389" s="9" t="str">
        <f>IF(A389="","",VLOOKUP(A389,AA_Materiales,7,FALSE))</f>
        <v/>
      </c>
      <c r="I389" s="1059" t="str">
        <f>IF(A389="","",VLOOKUP(A389,AA_Materiales,8,FALSE))</f>
        <v/>
      </c>
      <c r="J389" s="1058"/>
      <c r="K389" s="1060"/>
      <c r="L389" s="1058"/>
      <c r="M389" s="1059" t="str">
        <f>IF(A389="","",I389*K389)</f>
        <v/>
      </c>
      <c r="N389" s="1058"/>
    </row>
    <row r="390" spans="1:14" ht="12.75" customHeight="1" x14ac:dyDescent="0.25">
      <c r="A390" s="3"/>
      <c r="B390" s="3"/>
      <c r="C390" s="3"/>
      <c r="D390" s="3"/>
      <c r="E390" s="3"/>
      <c r="F390" s="3"/>
      <c r="G390" s="3"/>
      <c r="H390" s="3"/>
      <c r="I390" s="3"/>
      <c r="J390" s="3"/>
      <c r="K390" s="1066" t="s">
        <v>201</v>
      </c>
      <c r="L390" s="1058"/>
      <c r="M390" s="1059">
        <f>SUM(M385:N389)</f>
        <v>71600</v>
      </c>
      <c r="N390" s="1058"/>
    </row>
    <row r="391" spans="1:14" ht="12.75" customHeight="1" x14ac:dyDescent="0.25">
      <c r="A391" s="3"/>
      <c r="B391" s="3"/>
      <c r="C391" s="3"/>
      <c r="D391" s="3"/>
      <c r="E391" s="3"/>
      <c r="F391" s="3"/>
      <c r="G391" s="3"/>
      <c r="H391" s="3"/>
      <c r="I391" s="3"/>
      <c r="J391" s="3"/>
      <c r="K391" s="3"/>
      <c r="L391" s="3"/>
      <c r="M391" s="3"/>
      <c r="N391" s="3"/>
    </row>
    <row r="392" spans="1:14" ht="12.75" customHeight="1" x14ac:dyDescent="0.2">
      <c r="A392" s="1065" t="s">
        <v>390</v>
      </c>
      <c r="B392" s="1057"/>
      <c r="C392" s="1057"/>
      <c r="D392" s="1057"/>
      <c r="E392" s="1057"/>
      <c r="F392" s="1057"/>
      <c r="G392" s="1057"/>
      <c r="H392" s="1057"/>
      <c r="I392" s="1057"/>
      <c r="J392" s="1057"/>
      <c r="K392" s="1057"/>
      <c r="L392" s="1057"/>
      <c r="M392" s="1057"/>
      <c r="N392" s="1058"/>
    </row>
    <row r="393" spans="1:14" ht="12.75" customHeight="1" x14ac:dyDescent="0.2">
      <c r="A393" s="1066" t="s">
        <v>38</v>
      </c>
      <c r="B393" s="1057"/>
      <c r="C393" s="1057"/>
      <c r="D393" s="1057"/>
      <c r="E393" s="1057"/>
      <c r="F393" s="1057"/>
      <c r="G393" s="1058"/>
      <c r="H393" s="28" t="s">
        <v>39</v>
      </c>
      <c r="I393" s="1062" t="s">
        <v>385</v>
      </c>
      <c r="J393" s="1058"/>
      <c r="K393" s="1062" t="s">
        <v>132</v>
      </c>
      <c r="L393" s="1058"/>
      <c r="M393" s="1062" t="s">
        <v>386</v>
      </c>
      <c r="N393" s="1058"/>
    </row>
    <row r="394" spans="1:14" ht="12.75" customHeight="1" x14ac:dyDescent="0.2">
      <c r="A394" s="1061" t="s">
        <v>391</v>
      </c>
      <c r="B394" s="1057"/>
      <c r="C394" s="1057"/>
      <c r="D394" s="1057"/>
      <c r="E394" s="1057"/>
      <c r="F394" s="1057"/>
      <c r="G394" s="1058"/>
      <c r="H394" s="9" t="str">
        <f>IF(A394="","",VLOOKUP(A394,AA_Equipos,7,FALSE))</f>
        <v>% M.O.</v>
      </c>
      <c r="I394" s="1059">
        <f>M417</f>
        <v>19311.515429999999</v>
      </c>
      <c r="J394" s="1058"/>
      <c r="K394" s="1064">
        <v>0.05</v>
      </c>
      <c r="L394" s="1058"/>
      <c r="M394" s="1059">
        <f>IF(A394="","",I394*K394)</f>
        <v>965.57577149999997</v>
      </c>
      <c r="N394" s="1058"/>
    </row>
    <row r="395" spans="1:14" ht="12.75" customHeight="1" x14ac:dyDescent="0.2">
      <c r="A395" s="1056"/>
      <c r="B395" s="1057"/>
      <c r="C395" s="1057"/>
      <c r="D395" s="1057"/>
      <c r="E395" s="1057"/>
      <c r="F395" s="1057"/>
      <c r="G395" s="1058"/>
      <c r="H395" s="9" t="str">
        <f>IF(A395="","",VLOOKUP(A395,AA_Equipos,7,FALSE))</f>
        <v/>
      </c>
      <c r="I395" s="1059" t="str">
        <f>IF(A395="","",VLOOKUP(A395,AA_Equipos,8,FALSE))</f>
        <v/>
      </c>
      <c r="J395" s="1058"/>
      <c r="K395" s="1067"/>
      <c r="L395" s="1058"/>
      <c r="M395" s="1059" t="str">
        <f>IF(A395="","",I395*K395)</f>
        <v/>
      </c>
      <c r="N395" s="1058"/>
    </row>
    <row r="396" spans="1:14" ht="12.75" customHeight="1" x14ac:dyDescent="0.2">
      <c r="A396" s="1061"/>
      <c r="B396" s="1057"/>
      <c r="C396" s="1057"/>
      <c r="D396" s="1057"/>
      <c r="E396" s="1057"/>
      <c r="F396" s="1057"/>
      <c r="G396" s="1058"/>
      <c r="H396" s="9" t="str">
        <f>IF(A396="","",VLOOKUP(A396,AA_Equipos,7,FALSE))</f>
        <v/>
      </c>
      <c r="I396" s="1059" t="str">
        <f>IF(A396="","",VLOOKUP(A396,AA_Equipos,8,FALSE))</f>
        <v/>
      </c>
      <c r="J396" s="1058"/>
      <c r="K396" s="1060"/>
      <c r="L396" s="1058"/>
      <c r="M396" s="1059" t="str">
        <f>IF(A396="","",I396*K396)</f>
        <v/>
      </c>
      <c r="N396" s="1058"/>
    </row>
    <row r="397" spans="1:14" ht="12.75" customHeight="1" x14ac:dyDescent="0.2">
      <c r="A397" s="1061"/>
      <c r="B397" s="1057"/>
      <c r="C397" s="1057"/>
      <c r="D397" s="1057"/>
      <c r="E397" s="1057"/>
      <c r="F397" s="1057"/>
      <c r="G397" s="1058"/>
      <c r="H397" s="9" t="str">
        <f>IF(A397="","",VLOOKUP(A397,AA_Equipos,7,FALSE))</f>
        <v/>
      </c>
      <c r="I397" s="1059" t="str">
        <f>IF(A397="","",VLOOKUP(A397,AA_Equipos,8,FALSE))</f>
        <v/>
      </c>
      <c r="J397" s="1058"/>
      <c r="K397" s="1060"/>
      <c r="L397" s="1058"/>
      <c r="M397" s="1059" t="str">
        <f>IF(A397="","",I397*K397)</f>
        <v/>
      </c>
      <c r="N397" s="1058"/>
    </row>
    <row r="398" spans="1:14" ht="12.75" customHeight="1" x14ac:dyDescent="0.2">
      <c r="A398" s="1061"/>
      <c r="B398" s="1057"/>
      <c r="C398" s="1057"/>
      <c r="D398" s="1057"/>
      <c r="E398" s="1057"/>
      <c r="F398" s="1057"/>
      <c r="G398" s="1058"/>
      <c r="H398" s="9" t="str">
        <f>IF(A398="","",VLOOKUP(A398,AA_Equipos,7,FALSE))</f>
        <v/>
      </c>
      <c r="I398" s="1059" t="str">
        <f>IF(A398="","",VLOOKUP(A398,AA_Equipos,8,FALSE))</f>
        <v/>
      </c>
      <c r="J398" s="1058"/>
      <c r="K398" s="1060"/>
      <c r="L398" s="1058"/>
      <c r="M398" s="1059" t="str">
        <f>IF(A398="","",I398*K398)</f>
        <v/>
      </c>
      <c r="N398" s="1058"/>
    </row>
    <row r="399" spans="1:14" ht="12.75" customHeight="1" x14ac:dyDescent="0.25">
      <c r="A399" s="3"/>
      <c r="B399" s="3"/>
      <c r="C399" s="3"/>
      <c r="D399" s="3"/>
      <c r="E399" s="3"/>
      <c r="F399" s="3"/>
      <c r="G399" s="3"/>
      <c r="H399" s="3"/>
      <c r="I399" s="3"/>
      <c r="J399" s="3"/>
      <c r="K399" s="1066" t="s">
        <v>201</v>
      </c>
      <c r="L399" s="1058"/>
      <c r="M399" s="1059">
        <f>SUM(M394:N398)</f>
        <v>965.57577149999997</v>
      </c>
      <c r="N399" s="1058"/>
    </row>
    <row r="400" spans="1:14" ht="12.75" customHeight="1" x14ac:dyDescent="0.25">
      <c r="A400" s="3"/>
      <c r="B400" s="3"/>
      <c r="C400" s="3"/>
      <c r="D400" s="3"/>
      <c r="E400" s="3"/>
      <c r="F400" s="3"/>
      <c r="G400" s="3"/>
      <c r="H400" s="3"/>
      <c r="I400" s="3"/>
      <c r="J400" s="3"/>
      <c r="K400" s="3"/>
      <c r="L400" s="3"/>
      <c r="M400" s="3"/>
      <c r="N400" s="3"/>
    </row>
    <row r="401" spans="1:14" ht="12.75" customHeight="1" x14ac:dyDescent="0.2">
      <c r="A401" s="1065" t="s">
        <v>392</v>
      </c>
      <c r="B401" s="1057"/>
      <c r="C401" s="1057"/>
      <c r="D401" s="1057"/>
      <c r="E401" s="1057"/>
      <c r="F401" s="1057"/>
      <c r="G401" s="1057"/>
      <c r="H401" s="1057"/>
      <c r="I401" s="1057"/>
      <c r="J401" s="1057"/>
      <c r="K401" s="1057"/>
      <c r="L401" s="1057"/>
      <c r="M401" s="1057"/>
      <c r="N401" s="1058"/>
    </row>
    <row r="402" spans="1:14" ht="12.75" customHeight="1" x14ac:dyDescent="0.2">
      <c r="A402" s="1066" t="s">
        <v>38</v>
      </c>
      <c r="B402" s="1057"/>
      <c r="C402" s="1057"/>
      <c r="D402" s="1057"/>
      <c r="E402" s="1057"/>
      <c r="F402" s="1057"/>
      <c r="G402" s="1058"/>
      <c r="H402" s="28" t="s">
        <v>132</v>
      </c>
      <c r="I402" s="1062" t="s">
        <v>385</v>
      </c>
      <c r="J402" s="1058"/>
      <c r="K402" s="1062" t="s">
        <v>1917</v>
      </c>
      <c r="L402" s="1058"/>
      <c r="M402" s="1062" t="s">
        <v>386</v>
      </c>
      <c r="N402" s="1058"/>
    </row>
    <row r="403" spans="1:14" ht="12.75" customHeight="1" x14ac:dyDescent="0.2">
      <c r="A403" s="1061" t="s">
        <v>413</v>
      </c>
      <c r="B403" s="1057"/>
      <c r="C403" s="1057"/>
      <c r="D403" s="1057"/>
      <c r="E403" s="1057"/>
      <c r="F403" s="1057"/>
      <c r="G403" s="1058"/>
      <c r="H403" s="9">
        <v>1</v>
      </c>
      <c r="I403" s="1059">
        <v>2100</v>
      </c>
      <c r="J403" s="1058"/>
      <c r="K403" s="1060">
        <v>44.7</v>
      </c>
      <c r="L403" s="1083"/>
      <c r="M403" s="1059">
        <f>IF(A403="","",H403*I403*K403)</f>
        <v>93870</v>
      </c>
      <c r="N403" s="1058"/>
    </row>
    <row r="404" spans="1:14" ht="12.75" customHeight="1" x14ac:dyDescent="0.2">
      <c r="A404" s="1056"/>
      <c r="B404" s="1057"/>
      <c r="C404" s="1057"/>
      <c r="D404" s="1057"/>
      <c r="E404" s="1057"/>
      <c r="F404" s="1057"/>
      <c r="G404" s="1058"/>
      <c r="H404" s="9"/>
      <c r="I404" s="1059"/>
      <c r="J404" s="1058"/>
      <c r="K404" s="1067"/>
      <c r="L404" s="1058"/>
      <c r="M404" s="1059" t="str">
        <f>IF(A404="","",I404*K404)</f>
        <v/>
      </c>
      <c r="N404" s="1058"/>
    </row>
    <row r="405" spans="1:14" ht="12.75" customHeight="1" x14ac:dyDescent="0.2">
      <c r="A405" s="1061"/>
      <c r="B405" s="1057"/>
      <c r="C405" s="1057"/>
      <c r="D405" s="1057"/>
      <c r="E405" s="1057"/>
      <c r="F405" s="1057"/>
      <c r="G405" s="1058"/>
      <c r="H405" s="9"/>
      <c r="I405" s="1059"/>
      <c r="J405" s="1058"/>
      <c r="K405" s="1060"/>
      <c r="L405" s="1058"/>
      <c r="M405" s="1059" t="str">
        <f>IF(A405="","",I405*K405)</f>
        <v/>
      </c>
      <c r="N405" s="1058"/>
    </row>
    <row r="406" spans="1:14" ht="12.75" customHeight="1" x14ac:dyDescent="0.2">
      <c r="A406" s="1061"/>
      <c r="B406" s="1057"/>
      <c r="C406" s="1057"/>
      <c r="D406" s="1057"/>
      <c r="E406" s="1057"/>
      <c r="F406" s="1057"/>
      <c r="G406" s="1058"/>
      <c r="H406" s="9"/>
      <c r="I406" s="1059"/>
      <c r="J406" s="1058"/>
      <c r="K406" s="1060"/>
      <c r="L406" s="1058"/>
      <c r="M406" s="1059" t="str">
        <f>IF(A406="","",I406*K406)</f>
        <v/>
      </c>
      <c r="N406" s="1058"/>
    </row>
    <row r="407" spans="1:14" ht="12.75" customHeight="1" x14ac:dyDescent="0.2">
      <c r="A407" s="1061"/>
      <c r="B407" s="1057"/>
      <c r="C407" s="1057"/>
      <c r="D407" s="1057"/>
      <c r="E407" s="1057"/>
      <c r="F407" s="1057"/>
      <c r="G407" s="1058"/>
      <c r="H407" s="9"/>
      <c r="I407" s="1059"/>
      <c r="J407" s="1058"/>
      <c r="K407" s="1060"/>
      <c r="L407" s="1058"/>
      <c r="M407" s="1059" t="str">
        <f>IF(A407="","",I407*K407)</f>
        <v/>
      </c>
      <c r="N407" s="1058"/>
    </row>
    <row r="408" spans="1:14" ht="12.75" customHeight="1" x14ac:dyDescent="0.25">
      <c r="A408" s="3"/>
      <c r="B408" s="3"/>
      <c r="C408" s="3"/>
      <c r="D408" s="3"/>
      <c r="E408" s="3"/>
      <c r="F408" s="3"/>
      <c r="G408" s="3"/>
      <c r="H408" s="3"/>
      <c r="I408" s="3"/>
      <c r="J408" s="3"/>
      <c r="K408" s="1066" t="s">
        <v>201</v>
      </c>
      <c r="L408" s="1058"/>
      <c r="M408" s="1059">
        <f>SUM(M403:N407)</f>
        <v>93870</v>
      </c>
      <c r="N408" s="1058"/>
    </row>
    <row r="409" spans="1:14" ht="12.75" customHeight="1" x14ac:dyDescent="0.25">
      <c r="A409" s="3"/>
      <c r="B409" s="3"/>
      <c r="C409" s="3"/>
      <c r="D409" s="3"/>
      <c r="E409" s="3"/>
      <c r="F409" s="3"/>
      <c r="G409" s="3"/>
      <c r="H409" s="3"/>
      <c r="I409" s="3"/>
      <c r="J409" s="3"/>
      <c r="K409" s="3"/>
      <c r="L409" s="3"/>
      <c r="M409" s="3"/>
      <c r="N409" s="3"/>
    </row>
    <row r="410" spans="1:14" ht="12.75" customHeight="1" x14ac:dyDescent="0.2">
      <c r="A410" s="1065" t="s">
        <v>394</v>
      </c>
      <c r="B410" s="1057"/>
      <c r="C410" s="1057"/>
      <c r="D410" s="1057"/>
      <c r="E410" s="1057"/>
      <c r="F410" s="1057"/>
      <c r="G410" s="1057"/>
      <c r="H410" s="1057"/>
      <c r="I410" s="1057"/>
      <c r="J410" s="1057"/>
      <c r="K410" s="1057"/>
      <c r="L410" s="1057"/>
      <c r="M410" s="1057"/>
      <c r="N410" s="1058"/>
    </row>
    <row r="411" spans="1:14" ht="12.75" customHeight="1" x14ac:dyDescent="0.2">
      <c r="A411" s="1066" t="s">
        <v>38</v>
      </c>
      <c r="B411" s="1057"/>
      <c r="C411" s="1057"/>
      <c r="D411" s="1057"/>
      <c r="E411" s="1057"/>
      <c r="F411" s="1057"/>
      <c r="G411" s="1058"/>
      <c r="H411" s="28" t="s">
        <v>39</v>
      </c>
      <c r="I411" s="1062" t="s">
        <v>385</v>
      </c>
      <c r="J411" s="1058"/>
      <c r="K411" s="30" t="s">
        <v>193</v>
      </c>
      <c r="L411" s="31" t="s">
        <v>395</v>
      </c>
      <c r="M411" s="1062" t="s">
        <v>386</v>
      </c>
      <c r="N411" s="1058"/>
    </row>
    <row r="412" spans="1:14" ht="12.75" customHeight="1" x14ac:dyDescent="0.25">
      <c r="A412" s="1063" t="s">
        <v>418</v>
      </c>
      <c r="B412" s="1057"/>
      <c r="C412" s="1057"/>
      <c r="D412" s="1057"/>
      <c r="E412" s="1057"/>
      <c r="F412" s="1057"/>
      <c r="G412" s="1058"/>
      <c r="H412" s="9" t="str">
        <f>IF(A412="","",VLOOKUP(A412,AA_Cuadrillas,4,FALSE))</f>
        <v>Cuadrilla</v>
      </c>
      <c r="I412" s="1059">
        <f>IF(A412="","",VLOOKUP(A412,AA_Cuadrillas,5,FALSE))</f>
        <v>280145</v>
      </c>
      <c r="J412" s="1058"/>
      <c r="K412" s="1">
        <f>IF(A412="","",'06'!$J$3)</f>
        <v>1.7233500000000002</v>
      </c>
      <c r="L412" s="32">
        <v>0.04</v>
      </c>
      <c r="M412" s="1059">
        <f>IF(A412="","",I412*K412*L412)</f>
        <v>19311.515429999999</v>
      </c>
      <c r="N412" s="1058"/>
    </row>
    <row r="413" spans="1:14" ht="12.75" customHeight="1" x14ac:dyDescent="0.25">
      <c r="A413" s="1063"/>
      <c r="B413" s="1057"/>
      <c r="C413" s="1057"/>
      <c r="D413" s="1057"/>
      <c r="E413" s="1057"/>
      <c r="F413" s="1057"/>
      <c r="G413" s="1058"/>
      <c r="H413" s="9" t="str">
        <f>IF(A413="","",VLOOKUP(A413,AA_Cuadrillas,4,FALSE))</f>
        <v/>
      </c>
      <c r="I413" s="1059" t="str">
        <f>IF(A413="","",VLOOKUP(A413,AA_Cuadrillas,5,FALSE))</f>
        <v/>
      </c>
      <c r="J413" s="1058"/>
      <c r="K413" s="1" t="str">
        <f>IF(A413="","",'06'!$J$3)</f>
        <v/>
      </c>
      <c r="L413" s="1"/>
      <c r="M413" s="1059" t="str">
        <f>IF(A413="","",I413*K413*L413)</f>
        <v/>
      </c>
      <c r="N413" s="1058"/>
    </row>
    <row r="414" spans="1:14" ht="12.75" customHeight="1" x14ac:dyDescent="0.25">
      <c r="A414" s="1063"/>
      <c r="B414" s="1057"/>
      <c r="C414" s="1057"/>
      <c r="D414" s="1057"/>
      <c r="E414" s="1057"/>
      <c r="F414" s="1057"/>
      <c r="G414" s="1058"/>
      <c r="H414" s="9" t="str">
        <f>IF(A414="","",VLOOKUP(A414,AA_Cuadrillas,4,FALSE))</f>
        <v/>
      </c>
      <c r="I414" s="1059" t="str">
        <f>IF(A414="","",VLOOKUP(A414,AA_Cuadrillas,5,FALSE))</f>
        <v/>
      </c>
      <c r="J414" s="1058"/>
      <c r="K414" s="1" t="str">
        <f>IF(A414="","",'06'!$J$3)</f>
        <v/>
      </c>
      <c r="L414" s="10"/>
      <c r="M414" s="1059" t="str">
        <f>IF(A414="","",I414*K414*L414)</f>
        <v/>
      </c>
      <c r="N414" s="1058"/>
    </row>
    <row r="415" spans="1:14" ht="12.75" customHeight="1" x14ac:dyDescent="0.25">
      <c r="A415" s="1063"/>
      <c r="B415" s="1057"/>
      <c r="C415" s="1057"/>
      <c r="D415" s="1057"/>
      <c r="E415" s="1057"/>
      <c r="F415" s="1057"/>
      <c r="G415" s="1058"/>
      <c r="H415" s="9" t="str">
        <f>IF(A415="","",VLOOKUP(A415,AA_Cuadrillas,4,FALSE))</f>
        <v/>
      </c>
      <c r="I415" s="1059" t="str">
        <f>IF(A415="","",VLOOKUP(A415,AA_Cuadrillas,5,FALSE))</f>
        <v/>
      </c>
      <c r="J415" s="1058"/>
      <c r="K415" s="1" t="str">
        <f>IF(A415="","",'06'!$J$3)</f>
        <v/>
      </c>
      <c r="L415" s="10"/>
      <c r="M415" s="1059" t="str">
        <f>IF(A415="","",I415*K415*L415)</f>
        <v/>
      </c>
      <c r="N415" s="1058"/>
    </row>
    <row r="416" spans="1:14" ht="12.75" customHeight="1" x14ac:dyDescent="0.25">
      <c r="A416" s="1063"/>
      <c r="B416" s="1057"/>
      <c r="C416" s="1057"/>
      <c r="D416" s="1057"/>
      <c r="E416" s="1057"/>
      <c r="F416" s="1057"/>
      <c r="G416" s="1058"/>
      <c r="H416" s="9" t="str">
        <f>IF(A416="","",VLOOKUP(A416,AA_Cuadrillas,4,FALSE))</f>
        <v/>
      </c>
      <c r="I416" s="1059" t="str">
        <f>IF(A416="","",VLOOKUP(A416,AA_Cuadrillas,5,FALSE))</f>
        <v/>
      </c>
      <c r="J416" s="1058"/>
      <c r="K416" s="1" t="str">
        <f>IF(A416="","",'06'!$J$3)</f>
        <v/>
      </c>
      <c r="L416" s="10"/>
      <c r="M416" s="1059" t="str">
        <f>IF(A416="","",I416*K416*L416)</f>
        <v/>
      </c>
      <c r="N416" s="1058"/>
    </row>
    <row r="417" spans="1:15" ht="12.75" customHeight="1" x14ac:dyDescent="0.25">
      <c r="A417" s="3"/>
      <c r="B417" s="3"/>
      <c r="C417" s="3"/>
      <c r="D417" s="3"/>
      <c r="E417" s="3"/>
      <c r="F417" s="3"/>
      <c r="G417" s="3"/>
      <c r="H417" s="3"/>
      <c r="I417" s="3"/>
      <c r="J417" s="3"/>
      <c r="K417" s="1066" t="s">
        <v>201</v>
      </c>
      <c r="L417" s="1058"/>
      <c r="M417" s="1059">
        <f>SUM(M412:N416)</f>
        <v>19311.515429999999</v>
      </c>
      <c r="N417" s="1058"/>
    </row>
    <row r="418" spans="1:15" ht="12.75" customHeight="1" x14ac:dyDescent="0.2"/>
    <row r="419" spans="1:15" ht="12.75" customHeight="1" x14ac:dyDescent="0.2">
      <c r="A419" s="1068" t="s">
        <v>1675</v>
      </c>
      <c r="B419" s="1052"/>
      <c r="C419" s="1052"/>
      <c r="D419" s="1052"/>
      <c r="E419" s="1052"/>
      <c r="F419" s="1052"/>
      <c r="G419" s="1052"/>
      <c r="H419" s="1052"/>
      <c r="I419" s="1052"/>
      <c r="J419" s="1052"/>
      <c r="K419" s="1052"/>
      <c r="L419" s="1052"/>
      <c r="M419" s="1052"/>
      <c r="N419" s="1053"/>
      <c r="O419" s="7"/>
    </row>
    <row r="420" spans="1:15" ht="12.75" customHeight="1" x14ac:dyDescent="0.2">
      <c r="A420" s="1031"/>
      <c r="B420" s="1032"/>
      <c r="C420" s="1032"/>
      <c r="D420" s="1032"/>
      <c r="E420" s="1032"/>
      <c r="F420" s="1032"/>
      <c r="G420" s="1032"/>
      <c r="H420" s="1032"/>
      <c r="I420" s="1032"/>
      <c r="J420" s="1032"/>
      <c r="K420" s="1032"/>
      <c r="L420" s="1032"/>
      <c r="M420" s="1032"/>
      <c r="N420" s="1055"/>
      <c r="O420" s="7"/>
    </row>
    <row r="421" spans="1:15" ht="12.75" customHeight="1" x14ac:dyDescent="0.2">
      <c r="A421" s="16"/>
      <c r="B421" s="16"/>
      <c r="C421" s="16"/>
      <c r="D421" s="16"/>
      <c r="E421" s="16"/>
      <c r="F421" s="16"/>
      <c r="G421" s="16"/>
      <c r="H421" s="16"/>
      <c r="I421" s="16"/>
      <c r="J421" s="16"/>
      <c r="K421" s="16"/>
      <c r="L421" s="16"/>
      <c r="M421" s="16"/>
      <c r="N421" s="16"/>
    </row>
    <row r="422" spans="1:15" ht="12.75" customHeight="1" x14ac:dyDescent="0.3">
      <c r="A422" s="18" t="s">
        <v>300</v>
      </c>
      <c r="B422" s="19" t="str">
        <f>A419</f>
        <v>RECEBO COMUN COMPACTADO MECANICAMENTE (RANA) (INCLUYE TRANSPORTE Y MANO DE OBRA)</v>
      </c>
      <c r="C422" s="20" t="s">
        <v>382</v>
      </c>
      <c r="D422" s="127" t="s">
        <v>399</v>
      </c>
      <c r="E422" s="22" t="s">
        <v>125</v>
      </c>
      <c r="F422" s="26">
        <f>(H422+J422+L422+N422)*$O$2</f>
        <v>268777.23373475333</v>
      </c>
      <c r="G422" s="22" t="s">
        <v>285</v>
      </c>
      <c r="H422" s="26">
        <f>M441</f>
        <v>7080.8702902025198</v>
      </c>
      <c r="I422" s="22" t="s">
        <v>383</v>
      </c>
      <c r="J422" s="36">
        <f>M432</f>
        <v>62080</v>
      </c>
      <c r="K422" s="22" t="s">
        <v>287</v>
      </c>
      <c r="L422" s="26">
        <f>M450</f>
        <v>122031.00000000001</v>
      </c>
      <c r="M422" s="22" t="s">
        <v>288</v>
      </c>
      <c r="N422" s="26">
        <f>M459</f>
        <v>15559.8479673</v>
      </c>
    </row>
    <row r="423" spans="1:15" ht="12.75" customHeight="1" x14ac:dyDescent="0.25">
      <c r="A423" s="27"/>
      <c r="B423" s="27"/>
      <c r="C423" s="27"/>
      <c r="D423" s="27"/>
      <c r="E423" s="27"/>
      <c r="F423" s="27"/>
      <c r="G423" s="27"/>
      <c r="J423" s="27"/>
      <c r="K423" s="27"/>
      <c r="L423" s="27"/>
      <c r="M423" s="27"/>
      <c r="N423" s="27"/>
    </row>
    <row r="424" spans="1:15" ht="12.75" customHeight="1" x14ac:dyDescent="0.2">
      <c r="A424" s="1065" t="s">
        <v>384</v>
      </c>
      <c r="B424" s="1057"/>
      <c r="C424" s="1057"/>
      <c r="D424" s="1057"/>
      <c r="E424" s="1057"/>
      <c r="F424" s="1057"/>
      <c r="G424" s="1057"/>
      <c r="H424" s="1057"/>
      <c r="I424" s="1057"/>
      <c r="J424" s="1057"/>
      <c r="K424" s="1057"/>
      <c r="L424" s="1057"/>
      <c r="M424" s="1057"/>
      <c r="N424" s="1058"/>
    </row>
    <row r="425" spans="1:15" ht="12.75" customHeight="1" x14ac:dyDescent="0.2">
      <c r="A425" s="1066" t="s">
        <v>38</v>
      </c>
      <c r="B425" s="1057"/>
      <c r="C425" s="1057"/>
      <c r="D425" s="1057"/>
      <c r="E425" s="1057"/>
      <c r="F425" s="1057"/>
      <c r="G425" s="1058"/>
      <c r="H425" s="28" t="s">
        <v>39</v>
      </c>
      <c r="I425" s="1062" t="s">
        <v>385</v>
      </c>
      <c r="J425" s="1058"/>
      <c r="K425" s="1062" t="s">
        <v>132</v>
      </c>
      <c r="L425" s="1058"/>
      <c r="M425" s="1062" t="s">
        <v>386</v>
      </c>
      <c r="N425" s="1058"/>
    </row>
    <row r="426" spans="1:15" ht="12.75" customHeight="1" x14ac:dyDescent="0.2">
      <c r="A426" s="1061" t="s">
        <v>422</v>
      </c>
      <c r="B426" s="1057"/>
      <c r="C426" s="1057"/>
      <c r="D426" s="1057"/>
      <c r="E426" s="1057"/>
      <c r="F426" s="1057"/>
      <c r="G426" s="1058"/>
      <c r="H426" s="9" t="str">
        <f t="shared" ref="H426:H431" si="12">IF(A426="","",VLOOKUP(A426,AA_Materiales,7,FALSE))</f>
        <v>m3</v>
      </c>
      <c r="I426" s="1059">
        <f t="shared" ref="I426:I431" si="13">IF(A426="","",VLOOKUP(A426,AA_Materiales,8,FALSE))</f>
        <v>47600</v>
      </c>
      <c r="J426" s="1058"/>
      <c r="K426" s="1060">
        <v>1.3</v>
      </c>
      <c r="L426" s="1058"/>
      <c r="M426" s="1059">
        <f t="shared" ref="M426:M431" si="14">IF(A426="","",I426*K426)</f>
        <v>61880</v>
      </c>
      <c r="N426" s="1058"/>
    </row>
    <row r="427" spans="1:15" ht="12.75" customHeight="1" x14ac:dyDescent="0.2">
      <c r="A427" s="1061" t="s">
        <v>408</v>
      </c>
      <c r="B427" s="1057"/>
      <c r="C427" s="1057"/>
      <c r="D427" s="1057"/>
      <c r="E427" s="1057"/>
      <c r="F427" s="1057"/>
      <c r="G427" s="1058"/>
      <c r="H427" s="9" t="str">
        <f t="shared" si="12"/>
        <v>L</v>
      </c>
      <c r="I427" s="1059">
        <f t="shared" si="13"/>
        <v>20</v>
      </c>
      <c r="J427" s="1058"/>
      <c r="K427" s="1060">
        <v>10</v>
      </c>
      <c r="L427" s="1058"/>
      <c r="M427" s="1059">
        <f t="shared" si="14"/>
        <v>200</v>
      </c>
      <c r="N427" s="1058"/>
    </row>
    <row r="428" spans="1:15" ht="12.75" customHeight="1" x14ac:dyDescent="0.2">
      <c r="A428" s="1061"/>
      <c r="B428" s="1057"/>
      <c r="C428" s="1057"/>
      <c r="D428" s="1057"/>
      <c r="E428" s="1057"/>
      <c r="F428" s="1057"/>
      <c r="G428" s="1058"/>
      <c r="H428" s="9" t="str">
        <f t="shared" si="12"/>
        <v/>
      </c>
      <c r="I428" s="1059" t="str">
        <f t="shared" si="13"/>
        <v/>
      </c>
      <c r="J428" s="1058"/>
      <c r="K428" s="1060"/>
      <c r="L428" s="1058"/>
      <c r="M428" s="1059" t="str">
        <f t="shared" si="14"/>
        <v/>
      </c>
      <c r="N428" s="1058"/>
    </row>
    <row r="429" spans="1:15" ht="12.75" customHeight="1" x14ac:dyDescent="0.2">
      <c r="A429" s="1061"/>
      <c r="B429" s="1057"/>
      <c r="C429" s="1057"/>
      <c r="D429" s="1057"/>
      <c r="E429" s="1057"/>
      <c r="F429" s="1057"/>
      <c r="G429" s="1058"/>
      <c r="H429" s="9" t="str">
        <f t="shared" si="12"/>
        <v/>
      </c>
      <c r="I429" s="1059" t="str">
        <f t="shared" si="13"/>
        <v/>
      </c>
      <c r="J429" s="1058"/>
      <c r="K429" s="1060"/>
      <c r="L429" s="1058"/>
      <c r="M429" s="1059" t="str">
        <f t="shared" si="14"/>
        <v/>
      </c>
      <c r="N429" s="1058"/>
    </row>
    <row r="430" spans="1:15" ht="12.75" customHeight="1" x14ac:dyDescent="0.2">
      <c r="A430" s="1061"/>
      <c r="B430" s="1057"/>
      <c r="C430" s="1057"/>
      <c r="D430" s="1057"/>
      <c r="E430" s="1057"/>
      <c r="F430" s="1057"/>
      <c r="G430" s="1058"/>
      <c r="H430" s="9" t="str">
        <f t="shared" si="12"/>
        <v/>
      </c>
      <c r="I430" s="1059" t="str">
        <f t="shared" si="13"/>
        <v/>
      </c>
      <c r="J430" s="1058"/>
      <c r="K430" s="1060"/>
      <c r="L430" s="1058"/>
      <c r="M430" s="1059" t="str">
        <f t="shared" si="14"/>
        <v/>
      </c>
      <c r="N430" s="1058"/>
    </row>
    <row r="431" spans="1:15" ht="12.75" customHeight="1" x14ac:dyDescent="0.2">
      <c r="A431" s="1061"/>
      <c r="B431" s="1057"/>
      <c r="C431" s="1057"/>
      <c r="D431" s="1057"/>
      <c r="E431" s="1057"/>
      <c r="F431" s="1057"/>
      <c r="G431" s="1058"/>
      <c r="H431" s="9" t="str">
        <f t="shared" si="12"/>
        <v/>
      </c>
      <c r="I431" s="1059" t="str">
        <f t="shared" si="13"/>
        <v/>
      </c>
      <c r="J431" s="1058"/>
      <c r="K431" s="1060"/>
      <c r="L431" s="1058"/>
      <c r="M431" s="1059" t="str">
        <f t="shared" si="14"/>
        <v/>
      </c>
      <c r="N431" s="1058"/>
    </row>
    <row r="432" spans="1:15" ht="12.75" customHeight="1" x14ac:dyDescent="0.25">
      <c r="A432" s="3"/>
      <c r="B432" s="3"/>
      <c r="C432" s="3"/>
      <c r="D432" s="3"/>
      <c r="E432" s="3"/>
      <c r="F432" s="3"/>
      <c r="G432" s="3"/>
      <c r="H432" s="3"/>
      <c r="I432" s="3"/>
      <c r="J432" s="3"/>
      <c r="K432" s="1066" t="s">
        <v>201</v>
      </c>
      <c r="L432" s="1058"/>
      <c r="M432" s="1059">
        <f>SUM(M426:N431)</f>
        <v>62080</v>
      </c>
      <c r="N432" s="1058"/>
    </row>
    <row r="433" spans="1:14" ht="12.75" customHeight="1" x14ac:dyDescent="0.25">
      <c r="A433" s="3"/>
      <c r="B433" s="3"/>
      <c r="C433" s="3"/>
      <c r="D433" s="3"/>
      <c r="E433" s="3"/>
      <c r="F433" s="3"/>
      <c r="G433" s="3"/>
      <c r="H433" s="3"/>
      <c r="I433" s="3"/>
      <c r="J433" s="3"/>
      <c r="K433" s="3"/>
      <c r="L433" s="3"/>
      <c r="M433" s="3"/>
      <c r="N433" s="3"/>
    </row>
    <row r="434" spans="1:14" ht="12.75" customHeight="1" x14ac:dyDescent="0.2">
      <c r="A434" s="1065" t="s">
        <v>390</v>
      </c>
      <c r="B434" s="1057"/>
      <c r="C434" s="1057"/>
      <c r="D434" s="1057"/>
      <c r="E434" s="1057"/>
      <c r="F434" s="1057"/>
      <c r="G434" s="1057"/>
      <c r="H434" s="1057"/>
      <c r="I434" s="1057"/>
      <c r="J434" s="1057"/>
      <c r="K434" s="1057"/>
      <c r="L434" s="1057"/>
      <c r="M434" s="1057"/>
      <c r="N434" s="1058"/>
    </row>
    <row r="435" spans="1:14" ht="12.75" customHeight="1" x14ac:dyDescent="0.2">
      <c r="A435" s="1066" t="s">
        <v>38</v>
      </c>
      <c r="B435" s="1057"/>
      <c r="C435" s="1057"/>
      <c r="D435" s="1057"/>
      <c r="E435" s="1057"/>
      <c r="F435" s="1057"/>
      <c r="G435" s="1058"/>
      <c r="H435" s="28" t="s">
        <v>39</v>
      </c>
      <c r="I435" s="1062" t="s">
        <v>385</v>
      </c>
      <c r="J435" s="1058"/>
      <c r="K435" s="1062" t="s">
        <v>132</v>
      </c>
      <c r="L435" s="1058"/>
      <c r="M435" s="1062" t="s">
        <v>386</v>
      </c>
      <c r="N435" s="1058"/>
    </row>
    <row r="436" spans="1:14" ht="12.75" customHeight="1" x14ac:dyDescent="0.2">
      <c r="A436" s="1061" t="s">
        <v>391</v>
      </c>
      <c r="B436" s="1057"/>
      <c r="C436" s="1057"/>
      <c r="D436" s="1057"/>
      <c r="E436" s="1057"/>
      <c r="F436" s="1057"/>
      <c r="G436" s="1058"/>
      <c r="H436" s="9" t="str">
        <f>IF(A436="","",VLOOKUP(A436,AA_Equipos,7,FALSE))</f>
        <v>% M.O.</v>
      </c>
      <c r="I436" s="1059">
        <f>M459</f>
        <v>15559.8479673</v>
      </c>
      <c r="J436" s="1058"/>
      <c r="K436" s="1064">
        <v>0.05</v>
      </c>
      <c r="L436" s="1058"/>
      <c r="M436" s="1059">
        <f>IF(A436="","",I436*K436)</f>
        <v>777.9923983650001</v>
      </c>
      <c r="N436" s="1058"/>
    </row>
    <row r="437" spans="1:14" ht="12.75" customHeight="1" x14ac:dyDescent="0.2">
      <c r="A437" s="1056" t="s">
        <v>1616</v>
      </c>
      <c r="B437" s="1057"/>
      <c r="C437" s="1057"/>
      <c r="D437" s="1057"/>
      <c r="E437" s="1057"/>
      <c r="F437" s="1057"/>
      <c r="G437" s="1058"/>
      <c r="H437" s="9" t="str">
        <f>IF(A437="","",VLOOKUP(A437,AA_Equipos,7,FALSE))</f>
        <v>Hora</v>
      </c>
      <c r="I437" s="1059">
        <f>IF(A437="","",VLOOKUP(A437,AA_Equipos,8,FALSE))</f>
        <v>6302.8778918375201</v>
      </c>
      <c r="J437" s="1058"/>
      <c r="K437" s="1081">
        <v>1</v>
      </c>
      <c r="L437" s="1105"/>
      <c r="M437" s="1059">
        <f>IF(A437="","",I437*K437)</f>
        <v>6302.8778918375201</v>
      </c>
      <c r="N437" s="1058"/>
    </row>
    <row r="438" spans="1:14" ht="12.75" customHeight="1" x14ac:dyDescent="0.2">
      <c r="A438" s="1061"/>
      <c r="B438" s="1057"/>
      <c r="C438" s="1057"/>
      <c r="D438" s="1057"/>
      <c r="E438" s="1057"/>
      <c r="F438" s="1057"/>
      <c r="G438" s="1058"/>
      <c r="H438" s="9" t="str">
        <f>IF(A438="","",VLOOKUP(A438,AA_Equipos,7,FALSE))</f>
        <v/>
      </c>
      <c r="I438" s="1059" t="str">
        <f>IF(A438="","",VLOOKUP(A438,AA_Equipos,8,FALSE))</f>
        <v/>
      </c>
      <c r="J438" s="1058"/>
      <c r="K438" s="1060"/>
      <c r="L438" s="1058"/>
      <c r="M438" s="1059" t="str">
        <f>IF(A438="","",I438*K438)</f>
        <v/>
      </c>
      <c r="N438" s="1058"/>
    </row>
    <row r="439" spans="1:14" ht="12.75" customHeight="1" x14ac:dyDescent="0.2">
      <c r="A439" s="1061"/>
      <c r="B439" s="1057"/>
      <c r="C439" s="1057"/>
      <c r="D439" s="1057"/>
      <c r="E439" s="1057"/>
      <c r="F439" s="1057"/>
      <c r="G439" s="1058"/>
      <c r="H439" s="9" t="str">
        <f>IF(A439="","",VLOOKUP(A439,AA_Equipos,7,FALSE))</f>
        <v/>
      </c>
      <c r="I439" s="1059" t="str">
        <f>IF(A439="","",VLOOKUP(A439,AA_Equipos,8,FALSE))</f>
        <v/>
      </c>
      <c r="J439" s="1058"/>
      <c r="K439" s="1060"/>
      <c r="L439" s="1058"/>
      <c r="M439" s="1059" t="str">
        <f>IF(A439="","",I439*K439)</f>
        <v/>
      </c>
      <c r="N439" s="1058"/>
    </row>
    <row r="440" spans="1:14" ht="12.75" customHeight="1" x14ac:dyDescent="0.2">
      <c r="A440" s="1061"/>
      <c r="B440" s="1057"/>
      <c r="C440" s="1057"/>
      <c r="D440" s="1057"/>
      <c r="E440" s="1057"/>
      <c r="F440" s="1057"/>
      <c r="G440" s="1058"/>
      <c r="H440" s="9" t="str">
        <f>IF(A440="","",VLOOKUP(A440,AA_Equipos,7,FALSE))</f>
        <v/>
      </c>
      <c r="I440" s="1059" t="str">
        <f>IF(A440="","",VLOOKUP(A440,AA_Equipos,8,FALSE))</f>
        <v/>
      </c>
      <c r="J440" s="1058"/>
      <c r="K440" s="1060"/>
      <c r="L440" s="1058"/>
      <c r="M440" s="1059" t="str">
        <f>IF(A440="","",I440*K440)</f>
        <v/>
      </c>
      <c r="N440" s="1058"/>
    </row>
    <row r="441" spans="1:14" ht="12.75" customHeight="1" x14ac:dyDescent="0.25">
      <c r="A441" s="3"/>
      <c r="B441" s="3"/>
      <c r="C441" s="3"/>
      <c r="D441" s="3"/>
      <c r="E441" s="3"/>
      <c r="F441" s="3"/>
      <c r="G441" s="3"/>
      <c r="H441" s="3"/>
      <c r="I441" s="3"/>
      <c r="J441" s="3"/>
      <c r="K441" s="1066" t="s">
        <v>201</v>
      </c>
      <c r="L441" s="1058"/>
      <c r="M441" s="1059">
        <f>SUM(M436:N440)</f>
        <v>7080.8702902025198</v>
      </c>
      <c r="N441" s="1058"/>
    </row>
    <row r="442" spans="1:14" ht="12.75" customHeight="1" x14ac:dyDescent="0.25">
      <c r="A442" s="3"/>
      <c r="B442" s="3"/>
      <c r="C442" s="3"/>
      <c r="D442" s="3"/>
      <c r="E442" s="3"/>
      <c r="F442" s="3"/>
      <c r="G442" s="3"/>
      <c r="H442" s="3"/>
      <c r="I442" s="3"/>
      <c r="J442" s="3"/>
      <c r="K442" s="3"/>
      <c r="L442" s="3"/>
      <c r="M442" s="3"/>
      <c r="N442" s="3"/>
    </row>
    <row r="443" spans="1:14" ht="12.75" customHeight="1" x14ac:dyDescent="0.2">
      <c r="A443" s="1065" t="s">
        <v>392</v>
      </c>
      <c r="B443" s="1057"/>
      <c r="C443" s="1057"/>
      <c r="D443" s="1057"/>
      <c r="E443" s="1057"/>
      <c r="F443" s="1057"/>
      <c r="G443" s="1057"/>
      <c r="H443" s="1057"/>
      <c r="I443" s="1057"/>
      <c r="J443" s="1057"/>
      <c r="K443" s="1057"/>
      <c r="L443" s="1057"/>
      <c r="M443" s="1057"/>
      <c r="N443" s="1058"/>
    </row>
    <row r="444" spans="1:14" ht="12.75" customHeight="1" x14ac:dyDescent="0.2">
      <c r="A444" s="1066" t="s">
        <v>38</v>
      </c>
      <c r="B444" s="1057"/>
      <c r="C444" s="1057"/>
      <c r="D444" s="1057"/>
      <c r="E444" s="1057"/>
      <c r="F444" s="1057"/>
      <c r="G444" s="1058"/>
      <c r="H444" s="28" t="s">
        <v>132</v>
      </c>
      <c r="I444" s="1062" t="s">
        <v>385</v>
      </c>
      <c r="J444" s="1058"/>
      <c r="K444" s="1062" t="s">
        <v>1917</v>
      </c>
      <c r="L444" s="1058"/>
      <c r="M444" s="1062" t="s">
        <v>386</v>
      </c>
      <c r="N444" s="1058"/>
    </row>
    <row r="445" spans="1:14" ht="12.75" customHeight="1" x14ac:dyDescent="0.2">
      <c r="A445" s="1061" t="s">
        <v>410</v>
      </c>
      <c r="B445" s="1057"/>
      <c r="C445" s="1057"/>
      <c r="D445" s="1057"/>
      <c r="E445" s="1057"/>
      <c r="F445" s="1057"/>
      <c r="G445" s="1058"/>
      <c r="H445" s="1">
        <f>+K426</f>
        <v>1.3</v>
      </c>
      <c r="I445" s="1059">
        <v>2100</v>
      </c>
      <c r="J445" s="1058"/>
      <c r="K445" s="1060">
        <v>44.7</v>
      </c>
      <c r="L445" s="1083"/>
      <c r="M445" s="1059">
        <f>IF(A445="","",H445*I445*K445)</f>
        <v>122031.00000000001</v>
      </c>
      <c r="N445" s="1058"/>
    </row>
    <row r="446" spans="1:14" ht="12.75" customHeight="1" x14ac:dyDescent="0.2">
      <c r="A446" s="1056"/>
      <c r="B446" s="1057"/>
      <c r="C446" s="1057"/>
      <c r="D446" s="1057"/>
      <c r="E446" s="1057"/>
      <c r="F446" s="1057"/>
      <c r="G446" s="1058"/>
      <c r="H446" s="9"/>
      <c r="I446" s="1059"/>
      <c r="J446" s="1058"/>
      <c r="K446" s="1064"/>
      <c r="L446" s="1058"/>
      <c r="M446" s="1059" t="str">
        <f>IF(A446="","",I446*K446)</f>
        <v/>
      </c>
      <c r="N446" s="1058"/>
    </row>
    <row r="447" spans="1:14" ht="12.75" customHeight="1" x14ac:dyDescent="0.2">
      <c r="A447" s="1061"/>
      <c r="B447" s="1057"/>
      <c r="C447" s="1057"/>
      <c r="D447" s="1057"/>
      <c r="E447" s="1057"/>
      <c r="F447" s="1057"/>
      <c r="G447" s="1058"/>
      <c r="H447" s="9"/>
      <c r="I447" s="1059"/>
      <c r="J447" s="1058"/>
      <c r="K447" s="1060"/>
      <c r="L447" s="1058"/>
      <c r="M447" s="1059" t="str">
        <f>IF(A447="","",I447*K447)</f>
        <v/>
      </c>
      <c r="N447" s="1058"/>
    </row>
    <row r="448" spans="1:14" ht="12.75" customHeight="1" x14ac:dyDescent="0.2">
      <c r="A448" s="1061"/>
      <c r="B448" s="1057"/>
      <c r="C448" s="1057"/>
      <c r="D448" s="1057"/>
      <c r="E448" s="1057"/>
      <c r="F448" s="1057"/>
      <c r="G448" s="1058"/>
      <c r="H448" s="9"/>
      <c r="I448" s="1059"/>
      <c r="J448" s="1058"/>
      <c r="K448" s="1060"/>
      <c r="L448" s="1058"/>
      <c r="M448" s="1059" t="str">
        <f>IF(A448="","",I448*K448)</f>
        <v/>
      </c>
      <c r="N448" s="1058"/>
    </row>
    <row r="449" spans="1:15" ht="12.75" customHeight="1" x14ac:dyDescent="0.2">
      <c r="A449" s="1061"/>
      <c r="B449" s="1057"/>
      <c r="C449" s="1057"/>
      <c r="D449" s="1057"/>
      <c r="E449" s="1057"/>
      <c r="F449" s="1057"/>
      <c r="G449" s="1058"/>
      <c r="H449" s="9"/>
      <c r="I449" s="1059"/>
      <c r="J449" s="1058"/>
      <c r="K449" s="1060"/>
      <c r="L449" s="1058"/>
      <c r="M449" s="1059" t="str">
        <f>IF(A449="","",I449*K449)</f>
        <v/>
      </c>
      <c r="N449" s="1058"/>
    </row>
    <row r="450" spans="1:15" ht="12.75" customHeight="1" x14ac:dyDescent="0.25">
      <c r="A450" s="3"/>
      <c r="B450" s="3"/>
      <c r="C450" s="3"/>
      <c r="D450" s="3"/>
      <c r="E450" s="3"/>
      <c r="F450" s="3"/>
      <c r="G450" s="3"/>
      <c r="H450" s="3"/>
      <c r="I450" s="3"/>
      <c r="J450" s="3"/>
      <c r="K450" s="1066" t="s">
        <v>201</v>
      </c>
      <c r="L450" s="1058"/>
      <c r="M450" s="1059">
        <f>SUM(M445:N449)</f>
        <v>122031.00000000001</v>
      </c>
      <c r="N450" s="1058"/>
    </row>
    <row r="451" spans="1:15" ht="12.75" customHeight="1" x14ac:dyDescent="0.25">
      <c r="A451" s="3"/>
      <c r="B451" s="3"/>
      <c r="C451" s="3"/>
      <c r="D451" s="3"/>
      <c r="E451" s="3"/>
      <c r="F451" s="3"/>
      <c r="G451" s="3"/>
      <c r="H451" s="3"/>
      <c r="I451" s="3"/>
      <c r="J451" s="3"/>
      <c r="K451" s="3"/>
      <c r="L451" s="3"/>
      <c r="M451" s="3"/>
      <c r="N451" s="3"/>
    </row>
    <row r="452" spans="1:15" ht="12.75" customHeight="1" x14ac:dyDescent="0.2">
      <c r="A452" s="1065" t="s">
        <v>394</v>
      </c>
      <c r="B452" s="1057"/>
      <c r="C452" s="1057"/>
      <c r="D452" s="1057"/>
      <c r="E452" s="1057"/>
      <c r="F452" s="1057"/>
      <c r="G452" s="1057"/>
      <c r="H452" s="1057"/>
      <c r="I452" s="1057"/>
      <c r="J452" s="1057"/>
      <c r="K452" s="1057"/>
      <c r="L452" s="1057"/>
      <c r="M452" s="1057"/>
      <c r="N452" s="1058"/>
    </row>
    <row r="453" spans="1:15" ht="12.75" customHeight="1" x14ac:dyDescent="0.2">
      <c r="A453" s="1066" t="s">
        <v>38</v>
      </c>
      <c r="B453" s="1057"/>
      <c r="C453" s="1057"/>
      <c r="D453" s="1057"/>
      <c r="E453" s="1057"/>
      <c r="F453" s="1057"/>
      <c r="G453" s="1058"/>
      <c r="H453" s="28" t="s">
        <v>39</v>
      </c>
      <c r="I453" s="1062" t="s">
        <v>385</v>
      </c>
      <c r="J453" s="1058"/>
      <c r="K453" s="30" t="s">
        <v>193</v>
      </c>
      <c r="L453" s="31" t="s">
        <v>395</v>
      </c>
      <c r="M453" s="1062" t="s">
        <v>386</v>
      </c>
      <c r="N453" s="1058"/>
    </row>
    <row r="454" spans="1:15" ht="12.75" customHeight="1" x14ac:dyDescent="0.25">
      <c r="A454" s="1063" t="s">
        <v>530</v>
      </c>
      <c r="B454" s="1057"/>
      <c r="C454" s="1057"/>
      <c r="D454" s="1057"/>
      <c r="E454" s="1057"/>
      <c r="F454" s="1057"/>
      <c r="G454" s="1058"/>
      <c r="H454" s="9" t="str">
        <f>IF(A454="","",VLOOKUP(A454,AA_Cuadrillas,4,FALSE))</f>
        <v>Cuadrilla</v>
      </c>
      <c r="I454" s="1059">
        <f>IF(A454="","",VLOOKUP(A454,AA_Cuadrillas,5,FALSE))</f>
        <v>347263</v>
      </c>
      <c r="J454" s="1058"/>
      <c r="K454" s="1">
        <f>IF(A454="","",'06'!$J$3)</f>
        <v>1.7233500000000002</v>
      </c>
      <c r="L454" s="32">
        <v>2.5999999999999999E-2</v>
      </c>
      <c r="M454" s="1059">
        <f>IF(A454="","",I454*K454*L454)</f>
        <v>15559.8479673</v>
      </c>
      <c r="N454" s="1058"/>
    </row>
    <row r="455" spans="1:15" ht="12.75" customHeight="1" x14ac:dyDescent="0.25">
      <c r="A455" s="1063"/>
      <c r="B455" s="1057"/>
      <c r="C455" s="1057"/>
      <c r="D455" s="1057"/>
      <c r="E455" s="1057"/>
      <c r="F455" s="1057"/>
      <c r="G455" s="1058"/>
      <c r="H455" s="9" t="str">
        <f>IF(A455="","",VLOOKUP(A455,AA_Cuadrillas,4,FALSE))</f>
        <v/>
      </c>
      <c r="I455" s="1059" t="str">
        <f>IF(A455="","",VLOOKUP(A455,AA_Cuadrillas,5,FALSE))</f>
        <v/>
      </c>
      <c r="J455" s="1058"/>
      <c r="K455" s="1" t="str">
        <f>IF(A455="","",'06'!$J$3)</f>
        <v/>
      </c>
      <c r="L455" s="1"/>
      <c r="M455" s="1059" t="str">
        <f>IF(A455="","",I455*K455*L455)</f>
        <v/>
      </c>
      <c r="N455" s="1058"/>
    </row>
    <row r="456" spans="1:15" ht="12.75" customHeight="1" x14ac:dyDescent="0.25">
      <c r="A456" s="1063"/>
      <c r="B456" s="1057"/>
      <c r="C456" s="1057"/>
      <c r="D456" s="1057"/>
      <c r="E456" s="1057"/>
      <c r="F456" s="1057"/>
      <c r="G456" s="1058"/>
      <c r="H456" s="9" t="str">
        <f>IF(A456="","",VLOOKUP(A456,AA_Cuadrillas,4,FALSE))</f>
        <v/>
      </c>
      <c r="I456" s="1059" t="str">
        <f>IF(A456="","",VLOOKUP(A456,AA_Cuadrillas,5,FALSE))</f>
        <v/>
      </c>
      <c r="J456" s="1058"/>
      <c r="K456" s="1" t="str">
        <f>IF(A456="","",'06'!$J$3)</f>
        <v/>
      </c>
      <c r="L456" s="10"/>
      <c r="M456" s="1059" t="str">
        <f>IF(A456="","",I456*K456*L456)</f>
        <v/>
      </c>
      <c r="N456" s="1058"/>
    </row>
    <row r="457" spans="1:15" ht="12.75" customHeight="1" x14ac:dyDescent="0.25">
      <c r="A457" s="1063"/>
      <c r="B457" s="1057"/>
      <c r="C457" s="1057"/>
      <c r="D457" s="1057"/>
      <c r="E457" s="1057"/>
      <c r="F457" s="1057"/>
      <c r="G457" s="1058"/>
      <c r="H457" s="9" t="str">
        <f>IF(A457="","",VLOOKUP(A457,AA_Cuadrillas,4,FALSE))</f>
        <v/>
      </c>
      <c r="I457" s="1059" t="str">
        <f>IF(A457="","",VLOOKUP(A457,AA_Cuadrillas,5,FALSE))</f>
        <v/>
      </c>
      <c r="J457" s="1058"/>
      <c r="K457" s="1" t="str">
        <f>IF(A457="","",'06'!$J$3)</f>
        <v/>
      </c>
      <c r="L457" s="10"/>
      <c r="M457" s="1059" t="str">
        <f>IF(A457="","",I457*K457*L457)</f>
        <v/>
      </c>
      <c r="N457" s="1058"/>
    </row>
    <row r="458" spans="1:15" ht="12.75" customHeight="1" x14ac:dyDescent="0.25">
      <c r="A458" s="1063"/>
      <c r="B458" s="1057"/>
      <c r="C458" s="1057"/>
      <c r="D458" s="1057"/>
      <c r="E458" s="1057"/>
      <c r="F458" s="1057"/>
      <c r="G458" s="1058"/>
      <c r="H458" s="9" t="str">
        <f>IF(A458="","",VLOOKUP(A458,AA_Cuadrillas,4,FALSE))</f>
        <v/>
      </c>
      <c r="I458" s="1059" t="str">
        <f>IF(A458="","",VLOOKUP(A458,AA_Cuadrillas,5,FALSE))</f>
        <v/>
      </c>
      <c r="J458" s="1058"/>
      <c r="K458" s="1" t="str">
        <f>IF(A458="","",'06'!$J$3)</f>
        <v/>
      </c>
      <c r="L458" s="10"/>
      <c r="M458" s="1059" t="str">
        <f>IF(A458="","",I458*K458*L458)</f>
        <v/>
      </c>
      <c r="N458" s="1058"/>
    </row>
    <row r="459" spans="1:15" ht="12.75" customHeight="1" x14ac:dyDescent="0.25">
      <c r="A459" s="3"/>
      <c r="B459" s="3"/>
      <c r="C459" s="3"/>
      <c r="D459" s="3"/>
      <c r="E459" s="3"/>
      <c r="F459" s="3"/>
      <c r="G459" s="3"/>
      <c r="H459" s="3"/>
      <c r="I459" s="3"/>
      <c r="J459" s="3"/>
      <c r="K459" s="1066" t="s">
        <v>201</v>
      </c>
      <c r="L459" s="1058"/>
      <c r="M459" s="1059">
        <f>SUM(M454:N458)</f>
        <v>15559.8479673</v>
      </c>
      <c r="N459" s="1058"/>
    </row>
    <row r="460" spans="1:15" ht="12.75" customHeight="1" x14ac:dyDescent="0.2">
      <c r="A460" s="16"/>
      <c r="B460" s="16"/>
      <c r="C460" s="16"/>
      <c r="D460" s="16"/>
      <c r="E460" s="16"/>
      <c r="F460" s="16"/>
      <c r="G460" s="16"/>
      <c r="H460" s="16"/>
      <c r="I460" s="16"/>
      <c r="J460" s="16"/>
      <c r="K460" s="16"/>
      <c r="L460" s="16"/>
      <c r="M460" s="16"/>
      <c r="N460" s="16"/>
      <c r="O460" s="7"/>
    </row>
    <row r="461" spans="1:15" ht="12.75" customHeight="1" x14ac:dyDescent="0.2">
      <c r="A461" s="1068" t="s">
        <v>1676</v>
      </c>
      <c r="B461" s="1052"/>
      <c r="C461" s="1052"/>
      <c r="D461" s="1052"/>
      <c r="E461" s="1052"/>
      <c r="F461" s="1052"/>
      <c r="G461" s="1052"/>
      <c r="H461" s="1052"/>
      <c r="I461" s="1052"/>
      <c r="J461" s="1052"/>
      <c r="K461" s="1052"/>
      <c r="L461" s="1052"/>
      <c r="M461" s="1052"/>
      <c r="N461" s="1053"/>
      <c r="O461" s="7"/>
    </row>
    <row r="462" spans="1:15" ht="12.75" customHeight="1" x14ac:dyDescent="0.2">
      <c r="A462" s="1031"/>
      <c r="B462" s="1032"/>
      <c r="C462" s="1032"/>
      <c r="D462" s="1032"/>
      <c r="E462" s="1032"/>
      <c r="F462" s="1032"/>
      <c r="G462" s="1032"/>
      <c r="H462" s="1032"/>
      <c r="I462" s="1032"/>
      <c r="J462" s="1032"/>
      <c r="K462" s="1032"/>
      <c r="L462" s="1032"/>
      <c r="M462" s="1032"/>
      <c r="N462" s="1055"/>
      <c r="O462" s="7"/>
    </row>
    <row r="463" spans="1:15" ht="12.75" customHeight="1" x14ac:dyDescent="0.2">
      <c r="A463" s="16"/>
      <c r="B463" s="16"/>
      <c r="C463" s="16"/>
      <c r="D463" s="16"/>
      <c r="E463" s="16"/>
      <c r="F463" s="16"/>
      <c r="G463" s="16"/>
      <c r="H463" s="16"/>
      <c r="I463" s="16"/>
      <c r="J463" s="16"/>
      <c r="K463" s="16"/>
      <c r="L463" s="16"/>
      <c r="M463" s="16"/>
      <c r="N463" s="16"/>
    </row>
    <row r="464" spans="1:15" ht="12.75" customHeight="1" x14ac:dyDescent="0.3">
      <c r="A464" s="18" t="s">
        <v>301</v>
      </c>
      <c r="B464" s="19" t="str">
        <f>A461</f>
        <v>RELLENO CON MATERIAL SELECCIONADO PROCEDENTE DE LA EXCAVACIÓN (ICLUYE MANO DE OBRA)</v>
      </c>
      <c r="C464" s="20" t="s">
        <v>382</v>
      </c>
      <c r="D464" s="21" t="s">
        <v>399</v>
      </c>
      <c r="E464" s="22" t="s">
        <v>125</v>
      </c>
      <c r="F464" s="26">
        <f>(H464+J464+L464+N464)*$O$2</f>
        <v>36873.321021598778</v>
      </c>
      <c r="G464" s="22" t="s">
        <v>285</v>
      </c>
      <c r="H464" s="26">
        <f>M483</f>
        <v>7343.8881395375201</v>
      </c>
      <c r="I464" s="22" t="s">
        <v>383</v>
      </c>
      <c r="J464" s="26">
        <f>M474</f>
        <v>200</v>
      </c>
      <c r="K464" s="22" t="s">
        <v>287</v>
      </c>
      <c r="L464" s="26">
        <f>M492</f>
        <v>0</v>
      </c>
      <c r="M464" s="22" t="s">
        <v>288</v>
      </c>
      <c r="N464" s="26">
        <f>M501</f>
        <v>20820.204954000001</v>
      </c>
    </row>
    <row r="465" spans="1:14" ht="12.75" customHeight="1" x14ac:dyDescent="0.25">
      <c r="A465" s="27"/>
      <c r="B465" s="27"/>
      <c r="C465" s="27"/>
      <c r="D465" s="27"/>
      <c r="E465" s="27"/>
      <c r="F465" s="27"/>
      <c r="G465" s="27"/>
      <c r="J465" s="27"/>
      <c r="K465" s="27"/>
      <c r="L465" s="27"/>
      <c r="M465" s="27"/>
      <c r="N465" s="27"/>
    </row>
    <row r="466" spans="1:14" ht="12.75" customHeight="1" x14ac:dyDescent="0.2">
      <c r="A466" s="1065" t="s">
        <v>384</v>
      </c>
      <c r="B466" s="1057"/>
      <c r="C466" s="1057"/>
      <c r="D466" s="1057"/>
      <c r="E466" s="1057"/>
      <c r="F466" s="1057"/>
      <c r="G466" s="1057"/>
      <c r="H466" s="1057"/>
      <c r="I466" s="1057"/>
      <c r="J466" s="1057"/>
      <c r="K466" s="1057"/>
      <c r="L466" s="1057"/>
      <c r="M466" s="1057"/>
      <c r="N466" s="1058"/>
    </row>
    <row r="467" spans="1:14" ht="12.75" customHeight="1" x14ac:dyDescent="0.2">
      <c r="A467" s="1066" t="s">
        <v>38</v>
      </c>
      <c r="B467" s="1057"/>
      <c r="C467" s="1057"/>
      <c r="D467" s="1057"/>
      <c r="E467" s="1057"/>
      <c r="F467" s="1057"/>
      <c r="G467" s="1058"/>
      <c r="H467" s="28" t="s">
        <v>39</v>
      </c>
      <c r="I467" s="1062" t="s">
        <v>385</v>
      </c>
      <c r="J467" s="1058"/>
      <c r="K467" s="1062" t="s">
        <v>132</v>
      </c>
      <c r="L467" s="1058"/>
      <c r="M467" s="1062" t="s">
        <v>386</v>
      </c>
      <c r="N467" s="1058"/>
    </row>
    <row r="468" spans="1:14" ht="12.75" customHeight="1" x14ac:dyDescent="0.2">
      <c r="A468" s="1061" t="s">
        <v>408</v>
      </c>
      <c r="B468" s="1057"/>
      <c r="C468" s="1057"/>
      <c r="D468" s="1057"/>
      <c r="E468" s="1057"/>
      <c r="F468" s="1057"/>
      <c r="G468" s="1058"/>
      <c r="H468" s="9" t="str">
        <f t="shared" ref="H468:H473" si="15">IF(A468="","",VLOOKUP(A468,AA_Materiales,7,FALSE))</f>
        <v>L</v>
      </c>
      <c r="I468" s="1059">
        <f t="shared" ref="I468:I473" si="16">IF(A468="","",VLOOKUP(A468,AA_Materiales,8,FALSE))</f>
        <v>20</v>
      </c>
      <c r="J468" s="1058"/>
      <c r="K468" s="1060">
        <v>10</v>
      </c>
      <c r="L468" s="1058"/>
      <c r="M468" s="1059">
        <f t="shared" ref="M468:M473" si="17">IF(A468="","",I468*K468)</f>
        <v>200</v>
      </c>
      <c r="N468" s="1058"/>
    </row>
    <row r="469" spans="1:14" ht="12.75" customHeight="1" x14ac:dyDescent="0.2">
      <c r="A469" s="1061"/>
      <c r="B469" s="1057"/>
      <c r="C469" s="1057"/>
      <c r="D469" s="1057"/>
      <c r="E469" s="1057"/>
      <c r="F469" s="1057"/>
      <c r="G469" s="1058"/>
      <c r="H469" s="9" t="str">
        <f t="shared" si="15"/>
        <v/>
      </c>
      <c r="I469" s="1059" t="str">
        <f t="shared" si="16"/>
        <v/>
      </c>
      <c r="J469" s="1058"/>
      <c r="K469" s="1060"/>
      <c r="L469" s="1058"/>
      <c r="M469" s="1059" t="str">
        <f t="shared" si="17"/>
        <v/>
      </c>
      <c r="N469" s="1058"/>
    </row>
    <row r="470" spans="1:14" ht="12.75" customHeight="1" x14ac:dyDescent="0.2">
      <c r="A470" s="1061"/>
      <c r="B470" s="1057"/>
      <c r="C470" s="1057"/>
      <c r="D470" s="1057"/>
      <c r="E470" s="1057"/>
      <c r="F470" s="1057"/>
      <c r="G470" s="1058"/>
      <c r="H470" s="9" t="str">
        <f t="shared" si="15"/>
        <v/>
      </c>
      <c r="I470" s="1059" t="str">
        <f t="shared" si="16"/>
        <v/>
      </c>
      <c r="J470" s="1058"/>
      <c r="K470" s="1060"/>
      <c r="L470" s="1058"/>
      <c r="M470" s="1059" t="str">
        <f t="shared" si="17"/>
        <v/>
      </c>
      <c r="N470" s="1058"/>
    </row>
    <row r="471" spans="1:14" ht="12.75" customHeight="1" x14ac:dyDescent="0.2">
      <c r="A471" s="1061"/>
      <c r="B471" s="1057"/>
      <c r="C471" s="1057"/>
      <c r="D471" s="1057"/>
      <c r="E471" s="1057"/>
      <c r="F471" s="1057"/>
      <c r="G471" s="1058"/>
      <c r="H471" s="9" t="str">
        <f t="shared" si="15"/>
        <v/>
      </c>
      <c r="I471" s="1059" t="str">
        <f t="shared" si="16"/>
        <v/>
      </c>
      <c r="J471" s="1058"/>
      <c r="K471" s="1060"/>
      <c r="L471" s="1058"/>
      <c r="M471" s="1059" t="str">
        <f t="shared" si="17"/>
        <v/>
      </c>
      <c r="N471" s="1058"/>
    </row>
    <row r="472" spans="1:14" ht="12.75" customHeight="1" x14ac:dyDescent="0.2">
      <c r="A472" s="1061"/>
      <c r="B472" s="1057"/>
      <c r="C472" s="1057"/>
      <c r="D472" s="1057"/>
      <c r="E472" s="1057"/>
      <c r="F472" s="1057"/>
      <c r="G472" s="1058"/>
      <c r="H472" s="9" t="str">
        <f t="shared" si="15"/>
        <v/>
      </c>
      <c r="I472" s="1059" t="str">
        <f t="shared" si="16"/>
        <v/>
      </c>
      <c r="J472" s="1058"/>
      <c r="K472" s="1060"/>
      <c r="L472" s="1058"/>
      <c r="M472" s="1059" t="str">
        <f t="shared" si="17"/>
        <v/>
      </c>
      <c r="N472" s="1058"/>
    </row>
    <row r="473" spans="1:14" ht="12.75" customHeight="1" x14ac:dyDescent="0.2">
      <c r="A473" s="1061"/>
      <c r="B473" s="1057"/>
      <c r="C473" s="1057"/>
      <c r="D473" s="1057"/>
      <c r="E473" s="1057"/>
      <c r="F473" s="1057"/>
      <c r="G473" s="1058"/>
      <c r="H473" s="9" t="str">
        <f t="shared" si="15"/>
        <v/>
      </c>
      <c r="I473" s="1059" t="str">
        <f t="shared" si="16"/>
        <v/>
      </c>
      <c r="J473" s="1058"/>
      <c r="K473" s="1060"/>
      <c r="L473" s="1058"/>
      <c r="M473" s="1059" t="str">
        <f t="shared" si="17"/>
        <v/>
      </c>
      <c r="N473" s="1058"/>
    </row>
    <row r="474" spans="1:14" ht="12.75" customHeight="1" x14ac:dyDescent="0.25">
      <c r="A474" s="3"/>
      <c r="B474" s="3"/>
      <c r="C474" s="3"/>
      <c r="D474" s="3"/>
      <c r="E474" s="3"/>
      <c r="F474" s="3"/>
      <c r="G474" s="3"/>
      <c r="H474" s="3"/>
      <c r="I474" s="3"/>
      <c r="J474" s="3"/>
      <c r="K474" s="1066" t="s">
        <v>201</v>
      </c>
      <c r="L474" s="1058"/>
      <c r="M474" s="1059">
        <f>SUM(M468:N473)</f>
        <v>200</v>
      </c>
      <c r="N474" s="1058"/>
    </row>
    <row r="475" spans="1:14" ht="12.75" customHeight="1" x14ac:dyDescent="0.25">
      <c r="A475" s="3"/>
      <c r="B475" s="3"/>
      <c r="C475" s="3"/>
      <c r="D475" s="3"/>
      <c r="E475" s="3"/>
      <c r="F475" s="3"/>
      <c r="G475" s="3"/>
      <c r="H475" s="3"/>
      <c r="I475" s="3"/>
      <c r="J475" s="3"/>
      <c r="K475" s="3"/>
      <c r="L475" s="3"/>
      <c r="M475" s="3"/>
      <c r="N475" s="3"/>
    </row>
    <row r="476" spans="1:14" ht="12.75" customHeight="1" x14ac:dyDescent="0.2">
      <c r="A476" s="1065" t="s">
        <v>390</v>
      </c>
      <c r="B476" s="1057"/>
      <c r="C476" s="1057"/>
      <c r="D476" s="1057"/>
      <c r="E476" s="1057"/>
      <c r="F476" s="1057"/>
      <c r="G476" s="1057"/>
      <c r="H476" s="1057"/>
      <c r="I476" s="1057"/>
      <c r="J476" s="1057"/>
      <c r="K476" s="1057"/>
      <c r="L476" s="1057"/>
      <c r="M476" s="1057"/>
      <c r="N476" s="1058"/>
    </row>
    <row r="477" spans="1:14" ht="12.75" customHeight="1" x14ac:dyDescent="0.2">
      <c r="A477" s="1066" t="s">
        <v>38</v>
      </c>
      <c r="B477" s="1057"/>
      <c r="C477" s="1057"/>
      <c r="D477" s="1057"/>
      <c r="E477" s="1057"/>
      <c r="F477" s="1057"/>
      <c r="G477" s="1058"/>
      <c r="H477" s="28" t="s">
        <v>39</v>
      </c>
      <c r="I477" s="1062" t="s">
        <v>385</v>
      </c>
      <c r="J477" s="1058"/>
      <c r="K477" s="1062" t="s">
        <v>132</v>
      </c>
      <c r="L477" s="1058"/>
      <c r="M477" s="1062" t="s">
        <v>386</v>
      </c>
      <c r="N477" s="1058"/>
    </row>
    <row r="478" spans="1:14" ht="12.75" customHeight="1" x14ac:dyDescent="0.2">
      <c r="A478" s="1061" t="s">
        <v>391</v>
      </c>
      <c r="B478" s="1057"/>
      <c r="C478" s="1057"/>
      <c r="D478" s="1057"/>
      <c r="E478" s="1057"/>
      <c r="F478" s="1057"/>
      <c r="G478" s="1058"/>
      <c r="H478" s="9" t="str">
        <f>IF(A478="","",VLOOKUP(A478,AA_Equipos,7,FALSE))</f>
        <v>% M.O.</v>
      </c>
      <c r="I478" s="1059">
        <f>M501</f>
        <v>20820.204954000001</v>
      </c>
      <c r="J478" s="1058"/>
      <c r="K478" s="1064">
        <v>0.05</v>
      </c>
      <c r="L478" s="1058"/>
      <c r="M478" s="1059">
        <f>IF(A478="","",I478*K478)</f>
        <v>1041.0102477</v>
      </c>
      <c r="N478" s="1058"/>
    </row>
    <row r="479" spans="1:14" ht="12.75" customHeight="1" x14ac:dyDescent="0.2">
      <c r="A479" s="1056" t="s">
        <v>1616</v>
      </c>
      <c r="B479" s="1057"/>
      <c r="C479" s="1057"/>
      <c r="D479" s="1057"/>
      <c r="E479" s="1057"/>
      <c r="F479" s="1057"/>
      <c r="G479" s="1058"/>
      <c r="H479" s="9" t="str">
        <f>IF(A479="","",VLOOKUP(A479,AA_Equipos,7,FALSE))</f>
        <v>Hora</v>
      </c>
      <c r="I479" s="1059">
        <f>IF(A479="","",VLOOKUP(A479,AA_Equipos,8,FALSE))</f>
        <v>6302.8778918375201</v>
      </c>
      <c r="J479" s="1058"/>
      <c r="K479" s="1081">
        <v>1</v>
      </c>
      <c r="L479" s="1105"/>
      <c r="M479" s="1059">
        <f>IF(A479="","",I479*K479)</f>
        <v>6302.8778918375201</v>
      </c>
      <c r="N479" s="1058"/>
    </row>
    <row r="480" spans="1:14" ht="12.75" customHeight="1" x14ac:dyDescent="0.2">
      <c r="A480" s="1061"/>
      <c r="B480" s="1057"/>
      <c r="C480" s="1057"/>
      <c r="D480" s="1057"/>
      <c r="E480" s="1057"/>
      <c r="F480" s="1057"/>
      <c r="G480" s="1058"/>
      <c r="H480" s="9" t="str">
        <f>IF(A480="","",VLOOKUP(A480,AA_Equipos,7,FALSE))</f>
        <v/>
      </c>
      <c r="I480" s="1059" t="str">
        <f>IF(A480="","",VLOOKUP(A480,AA_Equipos,8,FALSE))</f>
        <v/>
      </c>
      <c r="J480" s="1058"/>
      <c r="K480" s="1070"/>
      <c r="L480" s="1058"/>
      <c r="M480" s="1059" t="str">
        <f>IF(A480="","",I480*K480)</f>
        <v/>
      </c>
      <c r="N480" s="1058"/>
    </row>
    <row r="481" spans="1:14" ht="12.75" customHeight="1" x14ac:dyDescent="0.2">
      <c r="A481" s="1061"/>
      <c r="B481" s="1057"/>
      <c r="C481" s="1057"/>
      <c r="D481" s="1057"/>
      <c r="E481" s="1057"/>
      <c r="F481" s="1057"/>
      <c r="G481" s="1058"/>
      <c r="H481" s="9" t="str">
        <f>IF(A481="","",VLOOKUP(A481,AA_Equipos,7,FALSE))</f>
        <v/>
      </c>
      <c r="I481" s="1059" t="str">
        <f>IF(A481="","",VLOOKUP(A481,AA_Equipos,8,FALSE))</f>
        <v/>
      </c>
      <c r="J481" s="1058"/>
      <c r="K481" s="1060"/>
      <c r="L481" s="1058"/>
      <c r="M481" s="1059" t="str">
        <f>IF(A481="","",I481*K481)</f>
        <v/>
      </c>
      <c r="N481" s="1058"/>
    </row>
    <row r="482" spans="1:14" ht="12.75" customHeight="1" x14ac:dyDescent="0.2">
      <c r="A482" s="1061"/>
      <c r="B482" s="1057"/>
      <c r="C482" s="1057"/>
      <c r="D482" s="1057"/>
      <c r="E482" s="1057"/>
      <c r="F482" s="1057"/>
      <c r="G482" s="1058"/>
      <c r="H482" s="9" t="str">
        <f>IF(A482="","",VLOOKUP(A482,AA_Equipos,7,FALSE))</f>
        <v/>
      </c>
      <c r="I482" s="1059" t="str">
        <f>IF(A482="","",VLOOKUP(A482,AA_Equipos,8,FALSE))</f>
        <v/>
      </c>
      <c r="J482" s="1058"/>
      <c r="K482" s="1060"/>
      <c r="L482" s="1058"/>
      <c r="M482" s="1059" t="str">
        <f>IF(A482="","",I482*K482)</f>
        <v/>
      </c>
      <c r="N482" s="1058"/>
    </row>
    <row r="483" spans="1:14" ht="12.75" customHeight="1" x14ac:dyDescent="0.25">
      <c r="A483" s="3"/>
      <c r="B483" s="3"/>
      <c r="C483" s="3"/>
      <c r="D483" s="3"/>
      <c r="E483" s="3"/>
      <c r="F483" s="3"/>
      <c r="G483" s="3"/>
      <c r="H483" s="3"/>
      <c r="I483" s="3"/>
      <c r="J483" s="3"/>
      <c r="K483" s="1066" t="s">
        <v>201</v>
      </c>
      <c r="L483" s="1058"/>
      <c r="M483" s="1059">
        <f>SUM(M478:N482)</f>
        <v>7343.8881395375201</v>
      </c>
      <c r="N483" s="1058"/>
    </row>
    <row r="484" spans="1:14" ht="12.75" customHeight="1" x14ac:dyDescent="0.25">
      <c r="A484" s="3"/>
      <c r="B484" s="3"/>
      <c r="C484" s="3"/>
      <c r="D484" s="3"/>
      <c r="E484" s="3"/>
      <c r="F484" s="3"/>
      <c r="G484" s="3"/>
      <c r="H484" s="3"/>
      <c r="I484" s="3"/>
      <c r="J484" s="3"/>
      <c r="K484" s="3"/>
      <c r="L484" s="3"/>
      <c r="M484" s="3"/>
      <c r="N484" s="3"/>
    </row>
    <row r="485" spans="1:14" ht="12.75" customHeight="1" x14ac:dyDescent="0.2">
      <c r="A485" s="1065" t="s">
        <v>392</v>
      </c>
      <c r="B485" s="1057"/>
      <c r="C485" s="1057"/>
      <c r="D485" s="1057"/>
      <c r="E485" s="1057"/>
      <c r="F485" s="1057"/>
      <c r="G485" s="1057"/>
      <c r="H485" s="1057"/>
      <c r="I485" s="1057"/>
      <c r="J485" s="1057"/>
      <c r="K485" s="1057"/>
      <c r="L485" s="1057"/>
      <c r="M485" s="1057"/>
      <c r="N485" s="1058"/>
    </row>
    <row r="486" spans="1:14" ht="12.75" customHeight="1" x14ac:dyDescent="0.2">
      <c r="A486" s="1092" t="s">
        <v>38</v>
      </c>
      <c r="B486" s="1095"/>
      <c r="C486" s="1095"/>
      <c r="D486" s="1095"/>
      <c r="E486" s="1095"/>
      <c r="F486" s="1095"/>
      <c r="G486" s="1093"/>
      <c r="H486" s="28" t="s">
        <v>39</v>
      </c>
      <c r="I486" s="1096" t="s">
        <v>385</v>
      </c>
      <c r="J486" s="1097"/>
      <c r="K486" s="1096" t="s">
        <v>132</v>
      </c>
      <c r="L486" s="1097"/>
      <c r="M486" s="1062" t="s">
        <v>386</v>
      </c>
      <c r="N486" s="1058"/>
    </row>
    <row r="487" spans="1:14" ht="12.75" customHeight="1" x14ac:dyDescent="0.2">
      <c r="A487" s="1098"/>
      <c r="B487" s="1099"/>
      <c r="C487" s="1099"/>
      <c r="D487" s="1099"/>
      <c r="E487" s="1099"/>
      <c r="F487" s="1099"/>
      <c r="G487" s="1100"/>
      <c r="H487" s="9"/>
      <c r="I487" s="1087"/>
      <c r="J487" s="1088"/>
      <c r="K487" s="1103"/>
      <c r="L487" s="1104"/>
      <c r="M487" s="1059" t="str">
        <f>IF(A487="","",I487*K487)</f>
        <v/>
      </c>
      <c r="N487" s="1058"/>
    </row>
    <row r="488" spans="1:14" ht="12.75" customHeight="1" x14ac:dyDescent="0.2">
      <c r="A488" s="1056"/>
      <c r="B488" s="1057"/>
      <c r="C488" s="1057"/>
      <c r="D488" s="1057"/>
      <c r="E488" s="1057"/>
      <c r="F488" s="1057"/>
      <c r="G488" s="1058"/>
      <c r="H488" s="9"/>
      <c r="I488" s="1059"/>
      <c r="J488" s="1058"/>
      <c r="K488" s="1064"/>
      <c r="L488" s="1058"/>
      <c r="M488" s="1059" t="str">
        <f>IF(A488="","",I488*K488)</f>
        <v/>
      </c>
      <c r="N488" s="1058"/>
    </row>
    <row r="489" spans="1:14" ht="12.75" customHeight="1" x14ac:dyDescent="0.2">
      <c r="A489" s="1061"/>
      <c r="B489" s="1057"/>
      <c r="C489" s="1057"/>
      <c r="D489" s="1057"/>
      <c r="E489" s="1057"/>
      <c r="F489" s="1057"/>
      <c r="G489" s="1058"/>
      <c r="H489" s="9"/>
      <c r="I489" s="1059"/>
      <c r="J489" s="1058"/>
      <c r="K489" s="1060"/>
      <c r="L489" s="1058"/>
      <c r="M489" s="1059" t="str">
        <f>IF(A489="","",I489*K489)</f>
        <v/>
      </c>
      <c r="N489" s="1058"/>
    </row>
    <row r="490" spans="1:14" ht="12.75" customHeight="1" x14ac:dyDescent="0.2">
      <c r="A490" s="1061"/>
      <c r="B490" s="1057"/>
      <c r="C490" s="1057"/>
      <c r="D490" s="1057"/>
      <c r="E490" s="1057"/>
      <c r="F490" s="1057"/>
      <c r="G490" s="1058"/>
      <c r="H490" s="9"/>
      <c r="I490" s="1059"/>
      <c r="J490" s="1058"/>
      <c r="K490" s="1060"/>
      <c r="L490" s="1058"/>
      <c r="M490" s="1059" t="str">
        <f>IF(A490="","",I490*K490)</f>
        <v/>
      </c>
      <c r="N490" s="1058"/>
    </row>
    <row r="491" spans="1:14" ht="12.75" customHeight="1" x14ac:dyDescent="0.2">
      <c r="A491" s="1061"/>
      <c r="B491" s="1057"/>
      <c r="C491" s="1057"/>
      <c r="D491" s="1057"/>
      <c r="E491" s="1057"/>
      <c r="F491" s="1057"/>
      <c r="G491" s="1058"/>
      <c r="H491" s="9"/>
      <c r="I491" s="1059"/>
      <c r="J491" s="1058"/>
      <c r="K491" s="1060"/>
      <c r="L491" s="1058"/>
      <c r="M491" s="1059" t="str">
        <f>IF(A491="","",I491*K491)</f>
        <v/>
      </c>
      <c r="N491" s="1058"/>
    </row>
    <row r="492" spans="1:14" ht="12.75" customHeight="1" x14ac:dyDescent="0.25">
      <c r="A492" s="3"/>
      <c r="B492" s="3"/>
      <c r="C492" s="3"/>
      <c r="D492" s="3"/>
      <c r="E492" s="3"/>
      <c r="F492" s="3"/>
      <c r="G492" s="3"/>
      <c r="H492" s="3"/>
      <c r="I492" s="3"/>
      <c r="J492" s="3"/>
      <c r="K492" s="1066" t="s">
        <v>201</v>
      </c>
      <c r="L492" s="1058"/>
      <c r="M492" s="1059">
        <f>SUM(M487:N491)</f>
        <v>0</v>
      </c>
      <c r="N492" s="1058"/>
    </row>
    <row r="493" spans="1:14" ht="12.75" customHeight="1" x14ac:dyDescent="0.25">
      <c r="A493" s="3"/>
      <c r="B493" s="3"/>
      <c r="C493" s="3"/>
      <c r="D493" s="3"/>
      <c r="E493" s="3"/>
      <c r="F493" s="3"/>
      <c r="G493" s="3"/>
      <c r="H493" s="3"/>
      <c r="I493" s="3"/>
      <c r="J493" s="3"/>
      <c r="K493" s="3"/>
      <c r="L493" s="3"/>
      <c r="M493" s="3"/>
      <c r="N493" s="3"/>
    </row>
    <row r="494" spans="1:14" ht="12.75" customHeight="1" x14ac:dyDescent="0.2">
      <c r="A494" s="1065" t="s">
        <v>394</v>
      </c>
      <c r="B494" s="1057"/>
      <c r="C494" s="1057"/>
      <c r="D494" s="1057"/>
      <c r="E494" s="1057"/>
      <c r="F494" s="1057"/>
      <c r="G494" s="1057"/>
      <c r="H494" s="1057"/>
      <c r="I494" s="1057"/>
      <c r="J494" s="1057"/>
      <c r="K494" s="1057"/>
      <c r="L494" s="1057"/>
      <c r="M494" s="1057"/>
      <c r="N494" s="1058"/>
    </row>
    <row r="495" spans="1:14" ht="12.75" customHeight="1" x14ac:dyDescent="0.2">
      <c r="A495" s="1066" t="s">
        <v>38</v>
      </c>
      <c r="B495" s="1057"/>
      <c r="C495" s="1057"/>
      <c r="D495" s="1057"/>
      <c r="E495" s="1057"/>
      <c r="F495" s="1057"/>
      <c r="G495" s="1058"/>
      <c r="H495" s="28" t="s">
        <v>39</v>
      </c>
      <c r="I495" s="1062" t="s">
        <v>385</v>
      </c>
      <c r="J495" s="1058"/>
      <c r="K495" s="30" t="s">
        <v>193</v>
      </c>
      <c r="L495" s="31" t="s">
        <v>395</v>
      </c>
      <c r="M495" s="1062" t="s">
        <v>386</v>
      </c>
      <c r="N495" s="1058"/>
    </row>
    <row r="496" spans="1:14" ht="12.75" customHeight="1" x14ac:dyDescent="0.25">
      <c r="A496" s="1063" t="s">
        <v>434</v>
      </c>
      <c r="B496" s="1057"/>
      <c r="C496" s="1057"/>
      <c r="D496" s="1057"/>
      <c r="E496" s="1057"/>
      <c r="F496" s="1057"/>
      <c r="G496" s="1058"/>
      <c r="H496" s="9" t="str">
        <f>IF(A496="","",VLOOKUP(A496,AA_Cuadrillas,4,FALSE))</f>
        <v>Cuadrilla</v>
      </c>
      <c r="I496" s="1059">
        <f>IF(A496="","",VLOOKUP(A496,AA_Cuadrillas,5,FALSE))</f>
        <v>201354</v>
      </c>
      <c r="J496" s="1058"/>
      <c r="K496" s="1">
        <f>IF(A496="","",'06'!$J$3)</f>
        <v>1.7233500000000002</v>
      </c>
      <c r="L496" s="32">
        <v>0.06</v>
      </c>
      <c r="M496" s="1059">
        <f>IF(A496="","",I496*K496*L496)</f>
        <v>20820.204954000001</v>
      </c>
      <c r="N496" s="1058"/>
    </row>
    <row r="497" spans="1:15" ht="12.75" customHeight="1" x14ac:dyDescent="0.25">
      <c r="A497" s="1063"/>
      <c r="B497" s="1057"/>
      <c r="C497" s="1057"/>
      <c r="D497" s="1057"/>
      <c r="E497" s="1057"/>
      <c r="F497" s="1057"/>
      <c r="G497" s="1058"/>
      <c r="H497" s="9" t="str">
        <f>IF(A497="","",VLOOKUP(A497,AA_Cuadrillas,4,FALSE))</f>
        <v/>
      </c>
      <c r="I497" s="1059" t="str">
        <f>IF(A497="","",VLOOKUP(A497,AA_Cuadrillas,5,FALSE))</f>
        <v/>
      </c>
      <c r="J497" s="1058"/>
      <c r="K497" s="1" t="str">
        <f>IF(A497="","",'06'!$J$3)</f>
        <v/>
      </c>
      <c r="L497" s="1"/>
      <c r="M497" s="1059" t="str">
        <f>IF(A497="","",I497*K497*L497)</f>
        <v/>
      </c>
      <c r="N497" s="1058"/>
    </row>
    <row r="498" spans="1:15" ht="12.75" customHeight="1" x14ac:dyDescent="0.25">
      <c r="A498" s="1063"/>
      <c r="B498" s="1057"/>
      <c r="C498" s="1057"/>
      <c r="D498" s="1057"/>
      <c r="E498" s="1057"/>
      <c r="F498" s="1057"/>
      <c r="G498" s="1058"/>
      <c r="H498" s="9" t="str">
        <f>IF(A498="","",VLOOKUP(A498,AA_Cuadrillas,4,FALSE))</f>
        <v/>
      </c>
      <c r="I498" s="1059" t="str">
        <f>IF(A498="","",VLOOKUP(A498,AA_Cuadrillas,5,FALSE))</f>
        <v/>
      </c>
      <c r="J498" s="1058"/>
      <c r="K498" s="1" t="str">
        <f>IF(A498="","",'06'!$J$3)</f>
        <v/>
      </c>
      <c r="L498" s="10"/>
      <c r="M498" s="1059" t="str">
        <f>IF(A498="","",I498*K498*L498)</f>
        <v/>
      </c>
      <c r="N498" s="1058"/>
    </row>
    <row r="499" spans="1:15" ht="12.75" customHeight="1" x14ac:dyDescent="0.25">
      <c r="A499" s="1063"/>
      <c r="B499" s="1057"/>
      <c r="C499" s="1057"/>
      <c r="D499" s="1057"/>
      <c r="E499" s="1057"/>
      <c r="F499" s="1057"/>
      <c r="G499" s="1058"/>
      <c r="H499" s="9" t="str">
        <f>IF(A499="","",VLOOKUP(A499,AA_Cuadrillas,4,FALSE))</f>
        <v/>
      </c>
      <c r="I499" s="1059" t="str">
        <f>IF(A499="","",VLOOKUP(A499,AA_Cuadrillas,5,FALSE))</f>
        <v/>
      </c>
      <c r="J499" s="1058"/>
      <c r="K499" s="1" t="str">
        <f>IF(A499="","",'06'!$J$3)</f>
        <v/>
      </c>
      <c r="L499" s="10"/>
      <c r="M499" s="1059" t="str">
        <f>IF(A499="","",I499*K499*L499)</f>
        <v/>
      </c>
      <c r="N499" s="1058"/>
    </row>
    <row r="500" spans="1:15" ht="12.75" customHeight="1" x14ac:dyDescent="0.25">
      <c r="A500" s="1063"/>
      <c r="B500" s="1057"/>
      <c r="C500" s="1057"/>
      <c r="D500" s="1057"/>
      <c r="E500" s="1057"/>
      <c r="F500" s="1057"/>
      <c r="G500" s="1058"/>
      <c r="H500" s="9" t="str">
        <f>IF(A500="","",VLOOKUP(A500,AA_Cuadrillas,4,FALSE))</f>
        <v/>
      </c>
      <c r="I500" s="1059" t="str">
        <f>IF(A500="","",VLOOKUP(A500,AA_Cuadrillas,5,FALSE))</f>
        <v/>
      </c>
      <c r="J500" s="1058"/>
      <c r="K500" s="1" t="str">
        <f>IF(A500="","",'06'!$J$3)</f>
        <v/>
      </c>
      <c r="L500" s="10"/>
      <c r="M500" s="1059" t="str">
        <f>IF(A500="","",I500*K500*L500)</f>
        <v/>
      </c>
      <c r="N500" s="1058"/>
    </row>
    <row r="501" spans="1:15" ht="12.75" customHeight="1" x14ac:dyDescent="0.25">
      <c r="A501" s="3"/>
      <c r="B501" s="3"/>
      <c r="C501" s="3"/>
      <c r="D501" s="3"/>
      <c r="E501" s="3"/>
      <c r="F501" s="3"/>
      <c r="G501" s="3"/>
      <c r="H501" s="3"/>
      <c r="I501" s="3"/>
      <c r="J501" s="3"/>
      <c r="K501" s="1066" t="s">
        <v>201</v>
      </c>
      <c r="L501" s="1058"/>
      <c r="M501" s="1059">
        <f>SUM(M496:N500)</f>
        <v>20820.204954000001</v>
      </c>
      <c r="N501" s="1058"/>
    </row>
    <row r="502" spans="1:15" ht="12.75" customHeight="1" x14ac:dyDescent="0.2"/>
    <row r="503" spans="1:15" ht="12.75" customHeight="1" x14ac:dyDescent="0.2">
      <c r="A503" s="1072" t="s">
        <v>1677</v>
      </c>
      <c r="B503" s="1052"/>
      <c r="C503" s="1052"/>
      <c r="D503" s="1052"/>
      <c r="E503" s="1052"/>
      <c r="F503" s="1052"/>
      <c r="G503" s="1052"/>
      <c r="H503" s="1052"/>
      <c r="I503" s="1052"/>
      <c r="J503" s="1052"/>
      <c r="K503" s="1052"/>
      <c r="L503" s="1052"/>
      <c r="M503" s="1052"/>
      <c r="N503" s="1053"/>
      <c r="O503" s="7"/>
    </row>
    <row r="504" spans="1:15" ht="12.75" customHeight="1" x14ac:dyDescent="0.2">
      <c r="A504" s="1031"/>
      <c r="B504" s="1032"/>
      <c r="C504" s="1032"/>
      <c r="D504" s="1032"/>
      <c r="E504" s="1032"/>
      <c r="F504" s="1032"/>
      <c r="G504" s="1032"/>
      <c r="H504" s="1032"/>
      <c r="I504" s="1032"/>
      <c r="J504" s="1032"/>
      <c r="K504" s="1032"/>
      <c r="L504" s="1032"/>
      <c r="M504" s="1032"/>
      <c r="N504" s="1055"/>
      <c r="O504" s="7"/>
    </row>
    <row r="505" spans="1:15" ht="12.75" customHeight="1" x14ac:dyDescent="0.2">
      <c r="A505" s="16"/>
      <c r="B505" s="16"/>
      <c r="C505" s="16"/>
      <c r="D505" s="16"/>
      <c r="E505" s="16"/>
      <c r="F505" s="16"/>
      <c r="G505" s="16"/>
      <c r="H505" s="16"/>
      <c r="I505" s="16"/>
      <c r="J505" s="16"/>
      <c r="K505" s="16"/>
      <c r="L505" s="16"/>
      <c r="M505" s="16"/>
      <c r="N505" s="16"/>
    </row>
    <row r="506" spans="1:15" ht="12.75" customHeight="1" x14ac:dyDescent="0.3">
      <c r="A506" s="18" t="s">
        <v>302</v>
      </c>
      <c r="B506" s="19" t="str">
        <f>A503</f>
        <v>SUMINISTRO E INSTALACIÓN VÁLVULA VENTOSA Ø1". COMBINADA C30 (TRIPLE ACCIÓN) PRESIÓN DE TRABAJO: 15-230 PSI</v>
      </c>
      <c r="C506" s="20" t="s">
        <v>382</v>
      </c>
      <c r="D506" s="127" t="s">
        <v>424</v>
      </c>
      <c r="E506" s="22" t="s">
        <v>125</v>
      </c>
      <c r="F506" s="26">
        <f>(H506+J506+L506+N506)*$O$2</f>
        <v>931285.27301628003</v>
      </c>
      <c r="G506" s="22" t="s">
        <v>285</v>
      </c>
      <c r="H506" s="26">
        <f>M525</f>
        <v>1388.0136636000002</v>
      </c>
      <c r="I506" s="22" t="s">
        <v>383</v>
      </c>
      <c r="J506" s="26">
        <f>M516</f>
        <v>654500</v>
      </c>
      <c r="K506" s="22" t="s">
        <v>287</v>
      </c>
      <c r="L506" s="26">
        <f>M534</f>
        <v>32725</v>
      </c>
      <c r="M506" s="22" t="s">
        <v>288</v>
      </c>
      <c r="N506" s="26">
        <f>M543</f>
        <v>27760.273272000002</v>
      </c>
    </row>
    <row r="507" spans="1:15" ht="12.75" customHeight="1" x14ac:dyDescent="0.25">
      <c r="A507" s="27"/>
      <c r="B507" s="27"/>
      <c r="C507" s="27"/>
      <c r="D507" s="27"/>
      <c r="E507" s="27"/>
      <c r="F507" s="27"/>
      <c r="G507" s="27"/>
      <c r="J507" s="27"/>
      <c r="K507" s="27"/>
      <c r="L507" s="27"/>
      <c r="M507" s="27"/>
      <c r="N507" s="27"/>
    </row>
    <row r="508" spans="1:15" ht="12.75" customHeight="1" x14ac:dyDescent="0.2">
      <c r="A508" s="1065" t="s">
        <v>384</v>
      </c>
      <c r="B508" s="1057"/>
      <c r="C508" s="1057"/>
      <c r="D508" s="1057"/>
      <c r="E508" s="1057"/>
      <c r="F508" s="1057"/>
      <c r="G508" s="1057"/>
      <c r="H508" s="1057"/>
      <c r="I508" s="1057"/>
      <c r="J508" s="1057"/>
      <c r="K508" s="1057"/>
      <c r="L508" s="1057"/>
      <c r="M508" s="1057"/>
      <c r="N508" s="1058"/>
    </row>
    <row r="509" spans="1:15" ht="12.75" customHeight="1" x14ac:dyDescent="0.2">
      <c r="A509" s="1066" t="s">
        <v>38</v>
      </c>
      <c r="B509" s="1057"/>
      <c r="C509" s="1057"/>
      <c r="D509" s="1057"/>
      <c r="E509" s="1057"/>
      <c r="F509" s="1057"/>
      <c r="G509" s="1058"/>
      <c r="H509" s="28" t="s">
        <v>39</v>
      </c>
      <c r="I509" s="1062" t="s">
        <v>385</v>
      </c>
      <c r="J509" s="1058"/>
      <c r="K509" s="1062" t="s">
        <v>132</v>
      </c>
      <c r="L509" s="1058"/>
      <c r="M509" s="1062" t="s">
        <v>386</v>
      </c>
      <c r="N509" s="1058"/>
    </row>
    <row r="510" spans="1:15" ht="30.75" customHeight="1" x14ac:dyDescent="0.2">
      <c r="A510" s="1056" t="s">
        <v>1514</v>
      </c>
      <c r="B510" s="1101"/>
      <c r="C510" s="1101"/>
      <c r="D510" s="1101"/>
      <c r="E510" s="1101"/>
      <c r="F510" s="1101"/>
      <c r="G510" s="1102"/>
      <c r="H510" s="9" t="str">
        <f t="shared" ref="H510:H515" si="18">IF(A510="","",VLOOKUP(A510,AA_Materiales,7,FALSE))</f>
        <v>Unidad</v>
      </c>
      <c r="I510" s="1059">
        <f t="shared" ref="I510:I515" si="19">IF(A510="","",VLOOKUP(A510,AA_Materiales,8,FALSE))</f>
        <v>654500</v>
      </c>
      <c r="J510" s="1058"/>
      <c r="K510" s="1060">
        <v>1</v>
      </c>
      <c r="L510" s="1058"/>
      <c r="M510" s="1059">
        <f t="shared" ref="M510:M515" si="20">IF(A510="","",I510*K510)</f>
        <v>654500</v>
      </c>
      <c r="N510" s="1058"/>
    </row>
    <row r="511" spans="1:15" ht="12.75" customHeight="1" x14ac:dyDescent="0.2">
      <c r="A511" s="1061"/>
      <c r="B511" s="1057"/>
      <c r="C511" s="1057"/>
      <c r="D511" s="1057"/>
      <c r="E511" s="1057"/>
      <c r="F511" s="1057"/>
      <c r="G511" s="1058"/>
      <c r="H511" s="9" t="str">
        <f t="shared" si="18"/>
        <v/>
      </c>
      <c r="I511" s="1059" t="str">
        <f t="shared" si="19"/>
        <v/>
      </c>
      <c r="J511" s="1058"/>
      <c r="K511" s="1060"/>
      <c r="L511" s="1058"/>
      <c r="M511" s="1059" t="str">
        <f t="shared" si="20"/>
        <v/>
      </c>
      <c r="N511" s="1058"/>
    </row>
    <row r="512" spans="1:15" ht="12.75" customHeight="1" x14ac:dyDescent="0.2">
      <c r="A512" s="1061"/>
      <c r="B512" s="1057"/>
      <c r="C512" s="1057"/>
      <c r="D512" s="1057"/>
      <c r="E512" s="1057"/>
      <c r="F512" s="1057"/>
      <c r="G512" s="1058"/>
      <c r="H512" s="9" t="str">
        <f t="shared" si="18"/>
        <v/>
      </c>
      <c r="I512" s="1059" t="str">
        <f t="shared" si="19"/>
        <v/>
      </c>
      <c r="J512" s="1058"/>
      <c r="K512" s="1060"/>
      <c r="L512" s="1058"/>
      <c r="M512" s="1059" t="str">
        <f t="shared" si="20"/>
        <v/>
      </c>
      <c r="N512" s="1058"/>
    </row>
    <row r="513" spans="1:14" ht="12.75" customHeight="1" x14ac:dyDescent="0.2">
      <c r="A513" s="1061"/>
      <c r="B513" s="1057"/>
      <c r="C513" s="1057"/>
      <c r="D513" s="1057"/>
      <c r="E513" s="1057"/>
      <c r="F513" s="1057"/>
      <c r="G513" s="1058"/>
      <c r="H513" s="9" t="str">
        <f t="shared" si="18"/>
        <v/>
      </c>
      <c r="I513" s="1059" t="str">
        <f t="shared" si="19"/>
        <v/>
      </c>
      <c r="J513" s="1058"/>
      <c r="K513" s="1060"/>
      <c r="L513" s="1058"/>
      <c r="M513" s="1059" t="str">
        <f t="shared" si="20"/>
        <v/>
      </c>
      <c r="N513" s="1058"/>
    </row>
    <row r="514" spans="1:14" ht="12.75" customHeight="1" x14ac:dyDescent="0.2">
      <c r="A514" s="1061"/>
      <c r="B514" s="1057"/>
      <c r="C514" s="1057"/>
      <c r="D514" s="1057"/>
      <c r="E514" s="1057"/>
      <c r="F514" s="1057"/>
      <c r="G514" s="1058"/>
      <c r="H514" s="9" t="str">
        <f t="shared" si="18"/>
        <v/>
      </c>
      <c r="I514" s="1059" t="str">
        <f t="shared" si="19"/>
        <v/>
      </c>
      <c r="J514" s="1058"/>
      <c r="K514" s="1060"/>
      <c r="L514" s="1058"/>
      <c r="M514" s="1059" t="str">
        <f t="shared" si="20"/>
        <v/>
      </c>
      <c r="N514" s="1058"/>
    </row>
    <row r="515" spans="1:14" ht="12.75" customHeight="1" x14ac:dyDescent="0.2">
      <c r="A515" s="1061"/>
      <c r="B515" s="1057"/>
      <c r="C515" s="1057"/>
      <c r="D515" s="1057"/>
      <c r="E515" s="1057"/>
      <c r="F515" s="1057"/>
      <c r="G515" s="1058"/>
      <c r="H515" s="9" t="str">
        <f t="shared" si="18"/>
        <v/>
      </c>
      <c r="I515" s="1059" t="str">
        <f t="shared" si="19"/>
        <v/>
      </c>
      <c r="J515" s="1058"/>
      <c r="K515" s="1060"/>
      <c r="L515" s="1058"/>
      <c r="M515" s="1059" t="str">
        <f t="shared" si="20"/>
        <v/>
      </c>
      <c r="N515" s="1058"/>
    </row>
    <row r="516" spans="1:14" ht="12.75" customHeight="1" x14ac:dyDescent="0.25">
      <c r="A516" s="3"/>
      <c r="B516" s="3"/>
      <c r="C516" s="3"/>
      <c r="D516" s="3"/>
      <c r="E516" s="3"/>
      <c r="F516" s="3"/>
      <c r="G516" s="3"/>
      <c r="H516" s="3"/>
      <c r="I516" s="3"/>
      <c r="J516" s="3"/>
      <c r="K516" s="1066" t="s">
        <v>201</v>
      </c>
      <c r="L516" s="1058"/>
      <c r="M516" s="1059">
        <f>SUM(M510:N515)</f>
        <v>654500</v>
      </c>
      <c r="N516" s="1058"/>
    </row>
    <row r="517" spans="1:14" ht="12.75" customHeight="1" x14ac:dyDescent="0.25">
      <c r="A517" s="3"/>
      <c r="B517" s="3"/>
      <c r="C517" s="3"/>
      <c r="D517" s="3"/>
      <c r="E517" s="3"/>
      <c r="F517" s="3"/>
      <c r="G517" s="3"/>
      <c r="H517" s="3"/>
      <c r="I517" s="3"/>
      <c r="J517" s="3"/>
      <c r="K517" s="3"/>
      <c r="L517" s="3"/>
      <c r="M517" s="3"/>
      <c r="N517" s="3"/>
    </row>
    <row r="518" spans="1:14" ht="12.75" customHeight="1" x14ac:dyDescent="0.2">
      <c r="A518" s="1065" t="s">
        <v>390</v>
      </c>
      <c r="B518" s="1057"/>
      <c r="C518" s="1057"/>
      <c r="D518" s="1057"/>
      <c r="E518" s="1057"/>
      <c r="F518" s="1057"/>
      <c r="G518" s="1057"/>
      <c r="H518" s="1057"/>
      <c r="I518" s="1057"/>
      <c r="J518" s="1057"/>
      <c r="K518" s="1057"/>
      <c r="L518" s="1057"/>
      <c r="M518" s="1057"/>
      <c r="N518" s="1058"/>
    </row>
    <row r="519" spans="1:14" ht="12.75" customHeight="1" x14ac:dyDescent="0.2">
      <c r="A519" s="1066" t="s">
        <v>38</v>
      </c>
      <c r="B519" s="1057"/>
      <c r="C519" s="1057"/>
      <c r="D519" s="1057"/>
      <c r="E519" s="1057"/>
      <c r="F519" s="1057"/>
      <c r="G519" s="1058"/>
      <c r="H519" s="28" t="s">
        <v>39</v>
      </c>
      <c r="I519" s="1062" t="s">
        <v>385</v>
      </c>
      <c r="J519" s="1058"/>
      <c r="K519" s="1062" t="s">
        <v>132</v>
      </c>
      <c r="L519" s="1058"/>
      <c r="M519" s="1062" t="s">
        <v>386</v>
      </c>
      <c r="N519" s="1058"/>
    </row>
    <row r="520" spans="1:14" ht="12.75" customHeight="1" x14ac:dyDescent="0.2">
      <c r="A520" s="1061" t="s">
        <v>391</v>
      </c>
      <c r="B520" s="1057"/>
      <c r="C520" s="1057"/>
      <c r="D520" s="1057"/>
      <c r="E520" s="1057"/>
      <c r="F520" s="1057"/>
      <c r="G520" s="1058"/>
      <c r="H520" s="9" t="str">
        <f>IF(A520="","",VLOOKUP(A520,AA_Equipos,7,FALSE))</f>
        <v>% M.O.</v>
      </c>
      <c r="I520" s="1059">
        <f>M543</f>
        <v>27760.273272000002</v>
      </c>
      <c r="J520" s="1058"/>
      <c r="K520" s="1064">
        <v>0.05</v>
      </c>
      <c r="L520" s="1058"/>
      <c r="M520" s="1059">
        <f>IF(A520="","",I520*K520)</f>
        <v>1388.0136636000002</v>
      </c>
      <c r="N520" s="1058"/>
    </row>
    <row r="521" spans="1:14" ht="12.75" customHeight="1" x14ac:dyDescent="0.2">
      <c r="A521" s="1056"/>
      <c r="B521" s="1057"/>
      <c r="C521" s="1057"/>
      <c r="D521" s="1057"/>
      <c r="E521" s="1057"/>
      <c r="F521" s="1057"/>
      <c r="G521" s="1058"/>
      <c r="H521" s="9" t="str">
        <f>IF(A521="","",VLOOKUP(A521,AA_Equipos,7,FALSE))</f>
        <v/>
      </c>
      <c r="I521" s="1059" t="str">
        <f>IF(A521="","",VLOOKUP(A521,AA_Equipos,8,FALSE))</f>
        <v/>
      </c>
      <c r="J521" s="1058"/>
      <c r="K521" s="1067"/>
      <c r="L521" s="1058"/>
      <c r="M521" s="1059" t="str">
        <f>IF(A521="","",I521*K521)</f>
        <v/>
      </c>
      <c r="N521" s="1058"/>
    </row>
    <row r="522" spans="1:14" ht="12.75" customHeight="1" x14ac:dyDescent="0.2">
      <c r="A522" s="1061"/>
      <c r="B522" s="1057"/>
      <c r="C522" s="1057"/>
      <c r="D522" s="1057"/>
      <c r="E522" s="1057"/>
      <c r="F522" s="1057"/>
      <c r="G522" s="1058"/>
      <c r="H522" s="9" t="str">
        <f>IF(A522="","",VLOOKUP(A522,AA_Equipos,7,FALSE))</f>
        <v/>
      </c>
      <c r="I522" s="1059" t="str">
        <f>IF(A522="","",VLOOKUP(A522,AA_Equipos,8,FALSE))</f>
        <v/>
      </c>
      <c r="J522" s="1058"/>
      <c r="K522" s="1070"/>
      <c r="L522" s="1058"/>
      <c r="M522" s="1059" t="str">
        <f>IF(A522="","",I522*K522)</f>
        <v/>
      </c>
      <c r="N522" s="1058"/>
    </row>
    <row r="523" spans="1:14" ht="12.75" customHeight="1" x14ac:dyDescent="0.2">
      <c r="A523" s="1061"/>
      <c r="B523" s="1057"/>
      <c r="C523" s="1057"/>
      <c r="D523" s="1057"/>
      <c r="E523" s="1057"/>
      <c r="F523" s="1057"/>
      <c r="G523" s="1058"/>
      <c r="H523" s="9" t="str">
        <f>IF(A523="","",VLOOKUP(A523,AA_Equipos,7,FALSE))</f>
        <v/>
      </c>
      <c r="I523" s="1059" t="str">
        <f>IF(A523="","",VLOOKUP(A523,AA_Equipos,8,FALSE))</f>
        <v/>
      </c>
      <c r="J523" s="1058"/>
      <c r="K523" s="1060"/>
      <c r="L523" s="1058"/>
      <c r="M523" s="1059" t="str">
        <f>IF(A523="","",I523*K523)</f>
        <v/>
      </c>
      <c r="N523" s="1058"/>
    </row>
    <row r="524" spans="1:14" ht="12.75" customHeight="1" x14ac:dyDescent="0.2">
      <c r="A524" s="1061"/>
      <c r="B524" s="1057"/>
      <c r="C524" s="1057"/>
      <c r="D524" s="1057"/>
      <c r="E524" s="1057"/>
      <c r="F524" s="1057"/>
      <c r="G524" s="1058"/>
      <c r="H524" s="9" t="str">
        <f>IF(A524="","",VLOOKUP(A524,AA_Equipos,7,FALSE))</f>
        <v/>
      </c>
      <c r="I524" s="1059" t="str">
        <f>IF(A524="","",VLOOKUP(A524,AA_Equipos,8,FALSE))</f>
        <v/>
      </c>
      <c r="J524" s="1058"/>
      <c r="K524" s="1060"/>
      <c r="L524" s="1058"/>
      <c r="M524" s="1059" t="str">
        <f>IF(A524="","",I524*K524)</f>
        <v/>
      </c>
      <c r="N524" s="1058"/>
    </row>
    <row r="525" spans="1:14" ht="12.75" customHeight="1" x14ac:dyDescent="0.25">
      <c r="A525" s="3"/>
      <c r="B525" s="3"/>
      <c r="C525" s="3"/>
      <c r="D525" s="3"/>
      <c r="E525" s="3"/>
      <c r="F525" s="3"/>
      <c r="G525" s="3"/>
      <c r="H525" s="3"/>
      <c r="I525" s="3"/>
      <c r="J525" s="3"/>
      <c r="K525" s="1066" t="s">
        <v>201</v>
      </c>
      <c r="L525" s="1058"/>
      <c r="M525" s="1059">
        <f>SUM(M520:N524)</f>
        <v>1388.0136636000002</v>
      </c>
      <c r="N525" s="1058"/>
    </row>
    <row r="526" spans="1:14" ht="12.75" customHeight="1" x14ac:dyDescent="0.25">
      <c r="A526" s="3"/>
      <c r="B526" s="3"/>
      <c r="C526" s="3"/>
      <c r="D526" s="3"/>
      <c r="E526" s="3"/>
      <c r="F526" s="3"/>
      <c r="G526" s="3"/>
      <c r="H526" s="3"/>
      <c r="I526" s="3"/>
      <c r="J526" s="3"/>
      <c r="K526" s="3"/>
      <c r="L526" s="3"/>
      <c r="M526" s="3"/>
      <c r="N526" s="3"/>
    </row>
    <row r="527" spans="1:14" ht="12.75" customHeight="1" x14ac:dyDescent="0.2">
      <c r="A527" s="1065" t="s">
        <v>392</v>
      </c>
      <c r="B527" s="1057"/>
      <c r="C527" s="1057"/>
      <c r="D527" s="1057"/>
      <c r="E527" s="1057"/>
      <c r="F527" s="1057"/>
      <c r="G527" s="1057"/>
      <c r="H527" s="1057"/>
      <c r="I527" s="1057"/>
      <c r="J527" s="1057"/>
      <c r="K527" s="1057"/>
      <c r="L527" s="1057"/>
      <c r="M527" s="1057"/>
      <c r="N527" s="1058"/>
    </row>
    <row r="528" spans="1:14" ht="12.75" customHeight="1" x14ac:dyDescent="0.2">
      <c r="A528" s="1066" t="s">
        <v>38</v>
      </c>
      <c r="B528" s="1057"/>
      <c r="C528" s="1057"/>
      <c r="D528" s="1057"/>
      <c r="E528" s="1057"/>
      <c r="F528" s="1057"/>
      <c r="G528" s="1058"/>
      <c r="H528" s="28" t="s">
        <v>39</v>
      </c>
      <c r="I528" s="1062" t="s">
        <v>385</v>
      </c>
      <c r="J528" s="1058"/>
      <c r="K528" s="1062" t="s">
        <v>132</v>
      </c>
      <c r="L528" s="1058"/>
      <c r="M528" s="1062" t="s">
        <v>386</v>
      </c>
      <c r="N528" s="1058"/>
    </row>
    <row r="529" spans="1:14" ht="12.75" customHeight="1" x14ac:dyDescent="0.2">
      <c r="A529" s="1061" t="s">
        <v>402</v>
      </c>
      <c r="B529" s="1057"/>
      <c r="C529" s="1057"/>
      <c r="D529" s="1057"/>
      <c r="E529" s="1057"/>
      <c r="F529" s="1057"/>
      <c r="G529" s="1058"/>
      <c r="H529" s="9" t="s">
        <v>403</v>
      </c>
      <c r="I529" s="1059">
        <f>+M516</f>
        <v>654500</v>
      </c>
      <c r="J529" s="1058"/>
      <c r="K529" s="1064">
        <v>0.05</v>
      </c>
      <c r="L529" s="1058"/>
      <c r="M529" s="1059">
        <f>IF(A529="","",I529*K529)</f>
        <v>32725</v>
      </c>
      <c r="N529" s="1058"/>
    </row>
    <row r="530" spans="1:14" ht="12.75" customHeight="1" x14ac:dyDescent="0.2">
      <c r="A530" s="1056"/>
      <c r="B530" s="1057"/>
      <c r="C530" s="1057"/>
      <c r="D530" s="1057"/>
      <c r="E530" s="1057"/>
      <c r="F530" s="1057"/>
      <c r="G530" s="1058"/>
      <c r="H530" s="9"/>
      <c r="I530" s="1059"/>
      <c r="J530" s="1058"/>
      <c r="K530" s="1064"/>
      <c r="L530" s="1058"/>
      <c r="M530" s="1059" t="str">
        <f>IF(A530="","",I530*K530)</f>
        <v/>
      </c>
      <c r="N530" s="1058"/>
    </row>
    <row r="531" spans="1:14" ht="12.75" customHeight="1" x14ac:dyDescent="0.2">
      <c r="A531" s="1061"/>
      <c r="B531" s="1057"/>
      <c r="C531" s="1057"/>
      <c r="D531" s="1057"/>
      <c r="E531" s="1057"/>
      <c r="F531" s="1057"/>
      <c r="G531" s="1058"/>
      <c r="H531" s="9"/>
      <c r="I531" s="1059"/>
      <c r="J531" s="1058"/>
      <c r="K531" s="1060"/>
      <c r="L531" s="1058"/>
      <c r="M531" s="1059" t="str">
        <f>IF(A531="","",I531*K531)</f>
        <v/>
      </c>
      <c r="N531" s="1058"/>
    </row>
    <row r="532" spans="1:14" ht="12.75" customHeight="1" x14ac:dyDescent="0.2">
      <c r="A532" s="1061"/>
      <c r="B532" s="1057"/>
      <c r="C532" s="1057"/>
      <c r="D532" s="1057"/>
      <c r="E532" s="1057"/>
      <c r="F532" s="1057"/>
      <c r="G532" s="1058"/>
      <c r="H532" s="9"/>
      <c r="I532" s="1059"/>
      <c r="J532" s="1058"/>
      <c r="K532" s="1060"/>
      <c r="L532" s="1058"/>
      <c r="M532" s="1059" t="str">
        <f>IF(A532="","",I532*K532)</f>
        <v/>
      </c>
      <c r="N532" s="1058"/>
    </row>
    <row r="533" spans="1:14" ht="12.75" customHeight="1" x14ac:dyDescent="0.2">
      <c r="A533" s="1061"/>
      <c r="B533" s="1057"/>
      <c r="C533" s="1057"/>
      <c r="D533" s="1057"/>
      <c r="E533" s="1057"/>
      <c r="F533" s="1057"/>
      <c r="G533" s="1058"/>
      <c r="H533" s="9"/>
      <c r="I533" s="1059"/>
      <c r="J533" s="1058"/>
      <c r="K533" s="1060"/>
      <c r="L533" s="1058"/>
      <c r="M533" s="1059" t="str">
        <f>IF(A533="","",I533*K533)</f>
        <v/>
      </c>
      <c r="N533" s="1058"/>
    </row>
    <row r="534" spans="1:14" ht="12.75" customHeight="1" x14ac:dyDescent="0.25">
      <c r="A534" s="3"/>
      <c r="B534" s="3"/>
      <c r="C534" s="3"/>
      <c r="D534" s="3"/>
      <c r="E534" s="3"/>
      <c r="F534" s="3"/>
      <c r="G534" s="3"/>
      <c r="H534" s="3"/>
      <c r="I534" s="3"/>
      <c r="J534" s="3"/>
      <c r="K534" s="1066" t="s">
        <v>201</v>
      </c>
      <c r="L534" s="1058"/>
      <c r="M534" s="1059">
        <f>SUM(M529:N533)</f>
        <v>32725</v>
      </c>
      <c r="N534" s="1058"/>
    </row>
    <row r="535" spans="1:14" ht="12.75" customHeight="1" x14ac:dyDescent="0.25">
      <c r="A535" s="3"/>
      <c r="B535" s="3"/>
      <c r="C535" s="3"/>
      <c r="D535" s="3"/>
      <c r="E535" s="3"/>
      <c r="F535" s="3"/>
      <c r="G535" s="3"/>
      <c r="H535" s="3"/>
      <c r="I535" s="3"/>
      <c r="J535" s="3"/>
      <c r="K535" s="3"/>
      <c r="L535" s="3"/>
      <c r="M535" s="3"/>
      <c r="N535" s="3"/>
    </row>
    <row r="536" spans="1:14" ht="12.75" customHeight="1" x14ac:dyDescent="0.2">
      <c r="A536" s="1065" t="s">
        <v>394</v>
      </c>
      <c r="B536" s="1057"/>
      <c r="C536" s="1057"/>
      <c r="D536" s="1057"/>
      <c r="E536" s="1057"/>
      <c r="F536" s="1057"/>
      <c r="G536" s="1057"/>
      <c r="H536" s="1057"/>
      <c r="I536" s="1057"/>
      <c r="J536" s="1057"/>
      <c r="K536" s="1057"/>
      <c r="L536" s="1057"/>
      <c r="M536" s="1057"/>
      <c r="N536" s="1058"/>
    </row>
    <row r="537" spans="1:14" ht="12.75" customHeight="1" x14ac:dyDescent="0.2">
      <c r="A537" s="1066" t="s">
        <v>38</v>
      </c>
      <c r="B537" s="1057"/>
      <c r="C537" s="1057"/>
      <c r="D537" s="1057"/>
      <c r="E537" s="1057"/>
      <c r="F537" s="1057"/>
      <c r="G537" s="1058"/>
      <c r="H537" s="28" t="s">
        <v>39</v>
      </c>
      <c r="I537" s="1062" t="s">
        <v>385</v>
      </c>
      <c r="J537" s="1058"/>
      <c r="K537" s="30" t="s">
        <v>193</v>
      </c>
      <c r="L537" s="31" t="s">
        <v>395</v>
      </c>
      <c r="M537" s="1062" t="s">
        <v>386</v>
      </c>
      <c r="N537" s="1058"/>
    </row>
    <row r="538" spans="1:14" ht="12.75" customHeight="1" x14ac:dyDescent="0.25">
      <c r="A538" s="1063" t="s">
        <v>423</v>
      </c>
      <c r="B538" s="1057"/>
      <c r="C538" s="1057"/>
      <c r="D538" s="1057"/>
      <c r="E538" s="1057"/>
      <c r="F538" s="1057"/>
      <c r="G538" s="1058"/>
      <c r="H538" s="9" t="str">
        <f>IF(A538="","",VLOOKUP(A538,AA_Cuadrillas,4,FALSE))</f>
        <v>Cuadrilla</v>
      </c>
      <c r="I538" s="1059">
        <f>IF(A538="","",VLOOKUP(A538,AA_Cuadrillas,5,FALSE))</f>
        <v>134236</v>
      </c>
      <c r="J538" s="1058"/>
      <c r="K538" s="1">
        <f>IF(A538="","",'06'!$J$3)</f>
        <v>1.7233500000000002</v>
      </c>
      <c r="L538" s="32">
        <v>0.12</v>
      </c>
      <c r="M538" s="1059">
        <f>IF(A538="","",I538*K538*L538)</f>
        <v>27760.273272000002</v>
      </c>
      <c r="N538" s="1058"/>
    </row>
    <row r="539" spans="1:14" ht="12.75" customHeight="1" x14ac:dyDescent="0.25">
      <c r="A539" s="1063"/>
      <c r="B539" s="1057"/>
      <c r="C539" s="1057"/>
      <c r="D539" s="1057"/>
      <c r="E539" s="1057"/>
      <c r="F539" s="1057"/>
      <c r="G539" s="1058"/>
      <c r="H539" s="9" t="str">
        <f>IF(A539="","",VLOOKUP(A539,AA_Cuadrillas,4,FALSE))</f>
        <v/>
      </c>
      <c r="I539" s="1059" t="str">
        <f>IF(A539="","",VLOOKUP(A539,AA_Cuadrillas,5,FALSE))</f>
        <v/>
      </c>
      <c r="J539" s="1058"/>
      <c r="K539" s="1" t="str">
        <f>IF(A539="","",'06'!$J$3)</f>
        <v/>
      </c>
      <c r="L539" s="1"/>
      <c r="M539" s="1059" t="str">
        <f>IF(A539="","",I539*K539*L539)</f>
        <v/>
      </c>
      <c r="N539" s="1058"/>
    </row>
    <row r="540" spans="1:14" ht="12.75" customHeight="1" x14ac:dyDescent="0.25">
      <c r="A540" s="1063"/>
      <c r="B540" s="1057"/>
      <c r="C540" s="1057"/>
      <c r="D540" s="1057"/>
      <c r="E540" s="1057"/>
      <c r="F540" s="1057"/>
      <c r="G540" s="1058"/>
      <c r="H540" s="9" t="str">
        <f>IF(A540="","",VLOOKUP(A540,AA_Cuadrillas,4,FALSE))</f>
        <v/>
      </c>
      <c r="I540" s="1059" t="str">
        <f>IF(A540="","",VLOOKUP(A540,AA_Cuadrillas,5,FALSE))</f>
        <v/>
      </c>
      <c r="J540" s="1058"/>
      <c r="K540" s="1" t="str">
        <f>IF(A540="","",'06'!$J$3)</f>
        <v/>
      </c>
      <c r="L540" s="10"/>
      <c r="M540" s="1059" t="str">
        <f>IF(A540="","",I540*K540*L540)</f>
        <v/>
      </c>
      <c r="N540" s="1058"/>
    </row>
    <row r="541" spans="1:14" ht="12.75" customHeight="1" x14ac:dyDescent="0.25">
      <c r="A541" s="1063"/>
      <c r="B541" s="1057"/>
      <c r="C541" s="1057"/>
      <c r="D541" s="1057"/>
      <c r="E541" s="1057"/>
      <c r="F541" s="1057"/>
      <c r="G541" s="1058"/>
      <c r="H541" s="9" t="str">
        <f>IF(A541="","",VLOOKUP(A541,AA_Cuadrillas,4,FALSE))</f>
        <v/>
      </c>
      <c r="I541" s="1059" t="str">
        <f>IF(A541="","",VLOOKUP(A541,AA_Cuadrillas,5,FALSE))</f>
        <v/>
      </c>
      <c r="J541" s="1058"/>
      <c r="K541" s="1" t="str">
        <f>IF(A541="","",'06'!$J$3)</f>
        <v/>
      </c>
      <c r="L541" s="10"/>
      <c r="M541" s="1059" t="str">
        <f>IF(A541="","",I541*K541*L541)</f>
        <v/>
      </c>
      <c r="N541" s="1058"/>
    </row>
    <row r="542" spans="1:14" ht="12.75" customHeight="1" x14ac:dyDescent="0.25">
      <c r="A542" s="1063"/>
      <c r="B542" s="1057"/>
      <c r="C542" s="1057"/>
      <c r="D542" s="1057"/>
      <c r="E542" s="1057"/>
      <c r="F542" s="1057"/>
      <c r="G542" s="1058"/>
      <c r="H542" s="9" t="str">
        <f>IF(A542="","",VLOOKUP(A542,AA_Cuadrillas,4,FALSE))</f>
        <v/>
      </c>
      <c r="I542" s="1059" t="str">
        <f>IF(A542="","",VLOOKUP(A542,AA_Cuadrillas,5,FALSE))</f>
        <v/>
      </c>
      <c r="J542" s="1058"/>
      <c r="K542" s="1" t="str">
        <f>IF(A542="","",'06'!$J$3)</f>
        <v/>
      </c>
      <c r="L542" s="10"/>
      <c r="M542" s="1059" t="str">
        <f>IF(A542="","",I542*K542*L542)</f>
        <v/>
      </c>
      <c r="N542" s="1058"/>
    </row>
    <row r="543" spans="1:14" ht="12.75" customHeight="1" x14ac:dyDescent="0.25">
      <c r="A543" s="3"/>
      <c r="B543" s="3"/>
      <c r="C543" s="3"/>
      <c r="D543" s="3"/>
      <c r="E543" s="3"/>
      <c r="F543" s="3"/>
      <c r="G543" s="3"/>
      <c r="H543" s="3"/>
      <c r="I543" s="3"/>
      <c r="J543" s="3"/>
      <c r="K543" s="1066" t="s">
        <v>201</v>
      </c>
      <c r="L543" s="1058"/>
      <c r="M543" s="1059">
        <f>SUM(M538:N542)</f>
        <v>27760.273272000002</v>
      </c>
      <c r="N543" s="1058"/>
    </row>
    <row r="544" spans="1:14" ht="12.75" customHeight="1" x14ac:dyDescent="0.2"/>
    <row r="545" spans="1:15" ht="12.75" customHeight="1" x14ac:dyDescent="0.2">
      <c r="A545" s="1072" t="s">
        <v>1678</v>
      </c>
      <c r="B545" s="1052"/>
      <c r="C545" s="1052"/>
      <c r="D545" s="1052"/>
      <c r="E545" s="1052"/>
      <c r="F545" s="1052"/>
      <c r="G545" s="1052"/>
      <c r="H545" s="1052"/>
      <c r="I545" s="1052"/>
      <c r="J545" s="1052"/>
      <c r="K545" s="1052"/>
      <c r="L545" s="1052"/>
      <c r="M545" s="1052"/>
      <c r="N545" s="1053"/>
      <c r="O545" s="7"/>
    </row>
    <row r="546" spans="1:15" ht="12.75" customHeight="1" x14ac:dyDescent="0.2">
      <c r="A546" s="1031"/>
      <c r="B546" s="1032"/>
      <c r="C546" s="1032"/>
      <c r="D546" s="1032"/>
      <c r="E546" s="1032"/>
      <c r="F546" s="1032"/>
      <c r="G546" s="1032"/>
      <c r="H546" s="1032"/>
      <c r="I546" s="1032"/>
      <c r="J546" s="1032"/>
      <c r="K546" s="1032"/>
      <c r="L546" s="1032"/>
      <c r="M546" s="1032"/>
      <c r="N546" s="1055"/>
      <c r="O546" s="7"/>
    </row>
    <row r="547" spans="1:15" ht="12.75" customHeight="1" x14ac:dyDescent="0.2">
      <c r="A547" s="16"/>
      <c r="B547" s="16"/>
      <c r="C547" s="16"/>
      <c r="D547" s="16"/>
      <c r="E547" s="16"/>
      <c r="F547" s="16"/>
      <c r="G547" s="16"/>
      <c r="H547" s="16"/>
      <c r="I547" s="16"/>
      <c r="J547" s="16"/>
      <c r="K547" s="16"/>
      <c r="L547" s="16"/>
      <c r="M547" s="16"/>
      <c r="N547" s="16"/>
    </row>
    <row r="548" spans="1:15" ht="12.75" customHeight="1" x14ac:dyDescent="0.3">
      <c r="A548" s="18" t="s">
        <v>303</v>
      </c>
      <c r="B548" s="19" t="str">
        <f>A545</f>
        <v>SUMINISTRO E INSTALACIÓN VÁLVULA DE PURGA Ø3"</v>
      </c>
      <c r="C548" s="20" t="s">
        <v>382</v>
      </c>
      <c r="D548" s="127" t="s">
        <v>424</v>
      </c>
      <c r="E548" s="22" t="s">
        <v>125</v>
      </c>
      <c r="F548" s="26">
        <f>(H548+J548+L548+N548)*$O$2</f>
        <v>2183237.4650814002</v>
      </c>
      <c r="G548" s="22" t="s">
        <v>285</v>
      </c>
      <c r="H548" s="26">
        <f>M567</f>
        <v>6940.0683180000015</v>
      </c>
      <c r="I548" s="22" t="s">
        <v>383</v>
      </c>
      <c r="J548" s="26">
        <f>M558</f>
        <v>1533672</v>
      </c>
      <c r="K548" s="22" t="s">
        <v>287</v>
      </c>
      <c r="L548" s="26">
        <f>M576</f>
        <v>0</v>
      </c>
      <c r="M548" s="22" t="s">
        <v>288</v>
      </c>
      <c r="N548" s="26">
        <f>M585</f>
        <v>138801.36636000001</v>
      </c>
    </row>
    <row r="549" spans="1:15" ht="12.75" customHeight="1" x14ac:dyDescent="0.25">
      <c r="A549" s="27"/>
      <c r="B549" s="27"/>
      <c r="C549" s="27"/>
      <c r="D549" s="27"/>
      <c r="E549" s="27"/>
      <c r="F549" s="27"/>
      <c r="G549" s="27"/>
      <c r="J549" s="27"/>
      <c r="K549" s="27"/>
      <c r="L549" s="27"/>
      <c r="M549" s="27"/>
      <c r="N549" s="27"/>
    </row>
    <row r="550" spans="1:15" ht="12.75" customHeight="1" x14ac:dyDescent="0.2">
      <c r="A550" s="1065" t="s">
        <v>384</v>
      </c>
      <c r="B550" s="1057"/>
      <c r="C550" s="1057"/>
      <c r="D550" s="1057"/>
      <c r="E550" s="1057"/>
      <c r="F550" s="1057"/>
      <c r="G550" s="1057"/>
      <c r="H550" s="1057"/>
      <c r="I550" s="1057"/>
      <c r="J550" s="1057"/>
      <c r="K550" s="1057"/>
      <c r="L550" s="1057"/>
      <c r="M550" s="1057"/>
      <c r="N550" s="1058"/>
    </row>
    <row r="551" spans="1:15" ht="12.75" customHeight="1" x14ac:dyDescent="0.2">
      <c r="A551" s="1066" t="s">
        <v>38</v>
      </c>
      <c r="B551" s="1057"/>
      <c r="C551" s="1057"/>
      <c r="D551" s="1057"/>
      <c r="E551" s="1057"/>
      <c r="F551" s="1057"/>
      <c r="G551" s="1058"/>
      <c r="H551" s="28" t="s">
        <v>39</v>
      </c>
      <c r="I551" s="1062" t="s">
        <v>385</v>
      </c>
      <c r="J551" s="1058"/>
      <c r="K551" s="1062" t="s">
        <v>132</v>
      </c>
      <c r="L551" s="1058"/>
      <c r="M551" s="1062" t="s">
        <v>386</v>
      </c>
      <c r="N551" s="1058"/>
    </row>
    <row r="552" spans="1:15" ht="12.75" customHeight="1" x14ac:dyDescent="0.2">
      <c r="A552" s="1056" t="s">
        <v>1515</v>
      </c>
      <c r="B552" s="1057"/>
      <c r="C552" s="1057"/>
      <c r="D552" s="1057"/>
      <c r="E552" s="1057"/>
      <c r="F552" s="1057"/>
      <c r="G552" s="1058"/>
      <c r="H552" s="9" t="str">
        <f t="shared" ref="H552:H557" si="21">IF(A552="","",VLOOKUP(A552,AA_Materiales,7,FALSE))</f>
        <v>Unidad</v>
      </c>
      <c r="I552" s="1059">
        <f t="shared" ref="I552:I557" si="22">IF(A552="","",VLOOKUP(A552,AA_Materiales,8,FALSE))</f>
        <v>1113840</v>
      </c>
      <c r="J552" s="1058"/>
      <c r="K552" s="1060">
        <v>1</v>
      </c>
      <c r="L552" s="1058"/>
      <c r="M552" s="1059">
        <f t="shared" ref="M552:M557" si="23">IF(A552="","",I552*K552)</f>
        <v>1113840</v>
      </c>
      <c r="N552" s="1058"/>
    </row>
    <row r="553" spans="1:15" ht="12.75" customHeight="1" x14ac:dyDescent="0.2">
      <c r="A553" s="1061" t="s">
        <v>1918</v>
      </c>
      <c r="B553" s="1057"/>
      <c r="C553" s="1057"/>
      <c r="D553" s="1057"/>
      <c r="E553" s="1057"/>
      <c r="F553" s="1057"/>
      <c r="G553" s="1058"/>
      <c r="H553" s="9" t="str">
        <f t="shared" si="21"/>
        <v>Unidad</v>
      </c>
      <c r="I553" s="1059">
        <f t="shared" si="22"/>
        <v>209916</v>
      </c>
      <c r="J553" s="1058"/>
      <c r="K553" s="1060">
        <v>2</v>
      </c>
      <c r="L553" s="1058"/>
      <c r="M553" s="1059">
        <f t="shared" si="23"/>
        <v>419832</v>
      </c>
      <c r="N553" s="1058"/>
    </row>
    <row r="554" spans="1:15" ht="12.75" customHeight="1" x14ac:dyDescent="0.2">
      <c r="A554" s="1061"/>
      <c r="B554" s="1057"/>
      <c r="C554" s="1057"/>
      <c r="D554" s="1057"/>
      <c r="E554" s="1057"/>
      <c r="F554" s="1057"/>
      <c r="G554" s="1058"/>
      <c r="H554" s="9" t="str">
        <f t="shared" si="21"/>
        <v/>
      </c>
      <c r="I554" s="1059" t="str">
        <f t="shared" si="22"/>
        <v/>
      </c>
      <c r="J554" s="1058"/>
      <c r="K554" s="1060"/>
      <c r="L554" s="1058"/>
      <c r="M554" s="1059" t="str">
        <f t="shared" si="23"/>
        <v/>
      </c>
      <c r="N554" s="1058"/>
    </row>
    <row r="555" spans="1:15" ht="12.75" customHeight="1" x14ac:dyDescent="0.2">
      <c r="A555" s="1061"/>
      <c r="B555" s="1057"/>
      <c r="C555" s="1057"/>
      <c r="D555" s="1057"/>
      <c r="E555" s="1057"/>
      <c r="F555" s="1057"/>
      <c r="G555" s="1058"/>
      <c r="H555" s="9" t="str">
        <f t="shared" si="21"/>
        <v/>
      </c>
      <c r="I555" s="1059" t="str">
        <f t="shared" si="22"/>
        <v/>
      </c>
      <c r="J555" s="1058"/>
      <c r="K555" s="1060"/>
      <c r="L555" s="1058"/>
      <c r="M555" s="1059" t="str">
        <f t="shared" si="23"/>
        <v/>
      </c>
      <c r="N555" s="1058"/>
    </row>
    <row r="556" spans="1:15" ht="12.75" customHeight="1" x14ac:dyDescent="0.2">
      <c r="A556" s="1061"/>
      <c r="B556" s="1057"/>
      <c r="C556" s="1057"/>
      <c r="D556" s="1057"/>
      <c r="E556" s="1057"/>
      <c r="F556" s="1057"/>
      <c r="G556" s="1058"/>
      <c r="H556" s="9" t="str">
        <f t="shared" si="21"/>
        <v/>
      </c>
      <c r="I556" s="1059" t="str">
        <f t="shared" si="22"/>
        <v/>
      </c>
      <c r="J556" s="1058"/>
      <c r="K556" s="1060"/>
      <c r="L556" s="1058"/>
      <c r="M556" s="1059" t="str">
        <f t="shared" si="23"/>
        <v/>
      </c>
      <c r="N556" s="1058"/>
    </row>
    <row r="557" spans="1:15" ht="12.75" customHeight="1" x14ac:dyDescent="0.2">
      <c r="A557" s="1061"/>
      <c r="B557" s="1057"/>
      <c r="C557" s="1057"/>
      <c r="D557" s="1057"/>
      <c r="E557" s="1057"/>
      <c r="F557" s="1057"/>
      <c r="G557" s="1058"/>
      <c r="H557" s="9" t="str">
        <f t="shared" si="21"/>
        <v/>
      </c>
      <c r="I557" s="1059" t="str">
        <f t="shared" si="22"/>
        <v/>
      </c>
      <c r="J557" s="1058"/>
      <c r="K557" s="1060"/>
      <c r="L557" s="1058"/>
      <c r="M557" s="1059" t="str">
        <f t="shared" si="23"/>
        <v/>
      </c>
      <c r="N557" s="1058"/>
    </row>
    <row r="558" spans="1:15" ht="12.75" customHeight="1" x14ac:dyDescent="0.25">
      <c r="A558" s="3"/>
      <c r="B558" s="3"/>
      <c r="C558" s="3"/>
      <c r="D558" s="3"/>
      <c r="E558" s="3"/>
      <c r="F558" s="3"/>
      <c r="G558" s="3"/>
      <c r="H558" s="3"/>
      <c r="I558" s="3"/>
      <c r="J558" s="3"/>
      <c r="K558" s="1066" t="s">
        <v>201</v>
      </c>
      <c r="L558" s="1058"/>
      <c r="M558" s="1059">
        <f>SUM(M552:N557)</f>
        <v>1533672</v>
      </c>
      <c r="N558" s="1058"/>
    </row>
    <row r="559" spans="1:15" ht="12.75" customHeight="1" x14ac:dyDescent="0.25">
      <c r="A559" s="3"/>
      <c r="B559" s="3"/>
      <c r="C559" s="3"/>
      <c r="D559" s="3"/>
      <c r="E559" s="3"/>
      <c r="F559" s="3"/>
      <c r="G559" s="3"/>
      <c r="H559" s="3"/>
      <c r="I559" s="3"/>
      <c r="J559" s="3"/>
      <c r="K559" s="3"/>
      <c r="L559" s="3"/>
      <c r="M559" s="3"/>
      <c r="N559" s="3"/>
    </row>
    <row r="560" spans="1:15" ht="12.75" customHeight="1" x14ac:dyDescent="0.2">
      <c r="A560" s="1065" t="s">
        <v>390</v>
      </c>
      <c r="B560" s="1057"/>
      <c r="C560" s="1057"/>
      <c r="D560" s="1057"/>
      <c r="E560" s="1057"/>
      <c r="F560" s="1057"/>
      <c r="G560" s="1057"/>
      <c r="H560" s="1057"/>
      <c r="I560" s="1057"/>
      <c r="J560" s="1057"/>
      <c r="K560" s="1057"/>
      <c r="L560" s="1057"/>
      <c r="M560" s="1057"/>
      <c r="N560" s="1058"/>
    </row>
    <row r="561" spans="1:14" ht="12.75" customHeight="1" x14ac:dyDescent="0.2">
      <c r="A561" s="1066" t="s">
        <v>38</v>
      </c>
      <c r="B561" s="1057"/>
      <c r="C561" s="1057"/>
      <c r="D561" s="1057"/>
      <c r="E561" s="1057"/>
      <c r="F561" s="1057"/>
      <c r="G561" s="1058"/>
      <c r="H561" s="28" t="s">
        <v>39</v>
      </c>
      <c r="I561" s="1062" t="s">
        <v>385</v>
      </c>
      <c r="J561" s="1058"/>
      <c r="K561" s="1062" t="s">
        <v>132</v>
      </c>
      <c r="L561" s="1058"/>
      <c r="M561" s="1062" t="s">
        <v>386</v>
      </c>
      <c r="N561" s="1058"/>
    </row>
    <row r="562" spans="1:14" ht="12.75" customHeight="1" x14ac:dyDescent="0.2">
      <c r="A562" s="1061" t="s">
        <v>391</v>
      </c>
      <c r="B562" s="1057"/>
      <c r="C562" s="1057"/>
      <c r="D562" s="1057"/>
      <c r="E562" s="1057"/>
      <c r="F562" s="1057"/>
      <c r="G562" s="1058"/>
      <c r="H562" s="9" t="str">
        <f>IF(A562="","",VLOOKUP(A562,AA_Equipos,7,FALSE))</f>
        <v>% M.O.</v>
      </c>
      <c r="I562" s="1059">
        <f>M585</f>
        <v>138801.36636000001</v>
      </c>
      <c r="J562" s="1058"/>
      <c r="K562" s="1064">
        <v>0.05</v>
      </c>
      <c r="L562" s="1058"/>
      <c r="M562" s="1059">
        <f>IF(A562="","",I562*K562)</f>
        <v>6940.0683180000015</v>
      </c>
      <c r="N562" s="1058"/>
    </row>
    <row r="563" spans="1:14" ht="12.75" customHeight="1" x14ac:dyDescent="0.2">
      <c r="A563" s="1056"/>
      <c r="B563" s="1057"/>
      <c r="C563" s="1057"/>
      <c r="D563" s="1057"/>
      <c r="E563" s="1057"/>
      <c r="F563" s="1057"/>
      <c r="G563" s="1058"/>
      <c r="H563" s="9" t="str">
        <f>IF(A563="","",VLOOKUP(A563,AA_Equipos,7,FALSE))</f>
        <v/>
      </c>
      <c r="I563" s="1059" t="str">
        <f>IF(A563="","",VLOOKUP(A563,AA_Equipos,8,FALSE))</f>
        <v/>
      </c>
      <c r="J563" s="1058"/>
      <c r="K563" s="1067"/>
      <c r="L563" s="1058"/>
      <c r="M563" s="1059" t="str">
        <f>IF(A563="","",I563*K563)</f>
        <v/>
      </c>
      <c r="N563" s="1058"/>
    </row>
    <row r="564" spans="1:14" ht="12.75" customHeight="1" x14ac:dyDescent="0.2">
      <c r="A564" s="1061"/>
      <c r="B564" s="1057"/>
      <c r="C564" s="1057"/>
      <c r="D564" s="1057"/>
      <c r="E564" s="1057"/>
      <c r="F564" s="1057"/>
      <c r="G564" s="1058"/>
      <c r="H564" s="9" t="str">
        <f>IF(A564="","",VLOOKUP(A564,AA_Equipos,7,FALSE))</f>
        <v/>
      </c>
      <c r="I564" s="1059" t="str">
        <f>IF(A564="","",VLOOKUP(A564,AA_Equipos,8,FALSE))</f>
        <v/>
      </c>
      <c r="J564" s="1058"/>
      <c r="K564" s="1070"/>
      <c r="L564" s="1058"/>
      <c r="M564" s="1059" t="str">
        <f>IF(A564="","",I564*K564)</f>
        <v/>
      </c>
      <c r="N564" s="1058"/>
    </row>
    <row r="565" spans="1:14" ht="12.75" customHeight="1" x14ac:dyDescent="0.2">
      <c r="A565" s="1061"/>
      <c r="B565" s="1057"/>
      <c r="C565" s="1057"/>
      <c r="D565" s="1057"/>
      <c r="E565" s="1057"/>
      <c r="F565" s="1057"/>
      <c r="G565" s="1058"/>
      <c r="H565" s="9" t="str">
        <f>IF(A565="","",VLOOKUP(A565,AA_Equipos,7,FALSE))</f>
        <v/>
      </c>
      <c r="I565" s="1059" t="str">
        <f>IF(A565="","",VLOOKUP(A565,AA_Equipos,8,FALSE))</f>
        <v/>
      </c>
      <c r="J565" s="1058"/>
      <c r="K565" s="1060"/>
      <c r="L565" s="1058"/>
      <c r="M565" s="1059" t="str">
        <f>IF(A565="","",I565*K565)</f>
        <v/>
      </c>
      <c r="N565" s="1058"/>
    </row>
    <row r="566" spans="1:14" ht="12.75" customHeight="1" x14ac:dyDescent="0.2">
      <c r="A566" s="1061"/>
      <c r="B566" s="1057"/>
      <c r="C566" s="1057"/>
      <c r="D566" s="1057"/>
      <c r="E566" s="1057"/>
      <c r="F566" s="1057"/>
      <c r="G566" s="1058"/>
      <c r="H566" s="9" t="str">
        <f>IF(A566="","",VLOOKUP(A566,AA_Equipos,7,FALSE))</f>
        <v/>
      </c>
      <c r="I566" s="1059" t="str">
        <f>IF(A566="","",VLOOKUP(A566,AA_Equipos,8,FALSE))</f>
        <v/>
      </c>
      <c r="J566" s="1058"/>
      <c r="K566" s="1060"/>
      <c r="L566" s="1058"/>
      <c r="M566" s="1059" t="str">
        <f>IF(A566="","",I566*K566)</f>
        <v/>
      </c>
      <c r="N566" s="1058"/>
    </row>
    <row r="567" spans="1:14" ht="12.75" customHeight="1" x14ac:dyDescent="0.25">
      <c r="A567" s="3"/>
      <c r="B567" s="3"/>
      <c r="C567" s="3"/>
      <c r="D567" s="3"/>
      <c r="E567" s="3"/>
      <c r="F567" s="3"/>
      <c r="G567" s="3"/>
      <c r="H567" s="3"/>
      <c r="I567" s="3"/>
      <c r="J567" s="3"/>
      <c r="K567" s="1066" t="s">
        <v>201</v>
      </c>
      <c r="L567" s="1058"/>
      <c r="M567" s="1059">
        <f>SUM(M562:N566)</f>
        <v>6940.0683180000015</v>
      </c>
      <c r="N567" s="1058"/>
    </row>
    <row r="568" spans="1:14" ht="12.75" customHeight="1" x14ac:dyDescent="0.25">
      <c r="A568" s="3"/>
      <c r="B568" s="3"/>
      <c r="C568" s="3"/>
      <c r="D568" s="3"/>
      <c r="E568" s="3"/>
      <c r="F568" s="3"/>
      <c r="G568" s="3"/>
      <c r="H568" s="3"/>
      <c r="I568" s="3"/>
      <c r="J568" s="3"/>
      <c r="K568" s="3"/>
      <c r="L568" s="3"/>
      <c r="M568" s="3"/>
      <c r="N568" s="3"/>
    </row>
    <row r="569" spans="1:14" ht="12.75" customHeight="1" x14ac:dyDescent="0.2">
      <c r="A569" s="1065" t="s">
        <v>392</v>
      </c>
      <c r="B569" s="1057"/>
      <c r="C569" s="1057"/>
      <c r="D569" s="1057"/>
      <c r="E569" s="1057"/>
      <c r="F569" s="1057"/>
      <c r="G569" s="1057"/>
      <c r="H569" s="1057"/>
      <c r="I569" s="1057"/>
      <c r="J569" s="1057"/>
      <c r="K569" s="1057"/>
      <c r="L569" s="1057"/>
      <c r="M569" s="1057"/>
      <c r="N569" s="1058"/>
    </row>
    <row r="570" spans="1:14" ht="12.75" customHeight="1" x14ac:dyDescent="0.2">
      <c r="A570" s="1066" t="s">
        <v>38</v>
      </c>
      <c r="B570" s="1057"/>
      <c r="C570" s="1057"/>
      <c r="D570" s="1057"/>
      <c r="E570" s="1057"/>
      <c r="F570" s="1057"/>
      <c r="G570" s="1058"/>
      <c r="H570" s="28" t="s">
        <v>39</v>
      </c>
      <c r="I570" s="1062" t="s">
        <v>385</v>
      </c>
      <c r="J570" s="1058"/>
      <c r="K570" s="1062" t="s">
        <v>132</v>
      </c>
      <c r="L570" s="1058"/>
      <c r="M570" s="1062" t="s">
        <v>386</v>
      </c>
      <c r="N570" s="1058"/>
    </row>
    <row r="571" spans="1:14" ht="12.75" customHeight="1" x14ac:dyDescent="0.2">
      <c r="A571" s="1061"/>
      <c r="B571" s="1057"/>
      <c r="C571" s="1057"/>
      <c r="D571" s="1057"/>
      <c r="E571" s="1057"/>
      <c r="F571" s="1057"/>
      <c r="G571" s="1058"/>
      <c r="H571" s="9"/>
      <c r="I571" s="1059"/>
      <c r="J571" s="1058"/>
      <c r="K571" s="1060"/>
      <c r="L571" s="1058"/>
      <c r="M571" s="1059" t="str">
        <f>IF(A571="","",I571*K571)</f>
        <v/>
      </c>
      <c r="N571" s="1058"/>
    </row>
    <row r="572" spans="1:14" ht="12.75" customHeight="1" x14ac:dyDescent="0.2">
      <c r="A572" s="1056"/>
      <c r="B572" s="1057"/>
      <c r="C572" s="1057"/>
      <c r="D572" s="1057"/>
      <c r="E572" s="1057"/>
      <c r="F572" s="1057"/>
      <c r="G572" s="1058"/>
      <c r="H572" s="9"/>
      <c r="I572" s="1059"/>
      <c r="J572" s="1058"/>
      <c r="K572" s="1064"/>
      <c r="L572" s="1058"/>
      <c r="M572" s="1059" t="str">
        <f>IF(A572="","",I572*K572)</f>
        <v/>
      </c>
      <c r="N572" s="1058"/>
    </row>
    <row r="573" spans="1:14" ht="12.75" customHeight="1" x14ac:dyDescent="0.2">
      <c r="A573" s="1061"/>
      <c r="B573" s="1057"/>
      <c r="C573" s="1057"/>
      <c r="D573" s="1057"/>
      <c r="E573" s="1057"/>
      <c r="F573" s="1057"/>
      <c r="G573" s="1058"/>
      <c r="H573" s="9"/>
      <c r="I573" s="1059"/>
      <c r="J573" s="1058"/>
      <c r="K573" s="1060"/>
      <c r="L573" s="1058"/>
      <c r="M573" s="1059" t="str">
        <f>IF(A573="","",I573*K573)</f>
        <v/>
      </c>
      <c r="N573" s="1058"/>
    </row>
    <row r="574" spans="1:14" ht="12.75" customHeight="1" x14ac:dyDescent="0.2">
      <c r="A574" s="1061"/>
      <c r="B574" s="1057"/>
      <c r="C574" s="1057"/>
      <c r="D574" s="1057"/>
      <c r="E574" s="1057"/>
      <c r="F574" s="1057"/>
      <c r="G574" s="1058"/>
      <c r="H574" s="9"/>
      <c r="I574" s="1059"/>
      <c r="J574" s="1058"/>
      <c r="K574" s="1060"/>
      <c r="L574" s="1058"/>
      <c r="M574" s="1059" t="str">
        <f>IF(A574="","",I574*K574)</f>
        <v/>
      </c>
      <c r="N574" s="1058"/>
    </row>
    <row r="575" spans="1:14" ht="12.75" customHeight="1" x14ac:dyDescent="0.2">
      <c r="A575" s="1061"/>
      <c r="B575" s="1057"/>
      <c r="C575" s="1057"/>
      <c r="D575" s="1057"/>
      <c r="E575" s="1057"/>
      <c r="F575" s="1057"/>
      <c r="G575" s="1058"/>
      <c r="H575" s="9"/>
      <c r="I575" s="1059"/>
      <c r="J575" s="1058"/>
      <c r="K575" s="1060"/>
      <c r="L575" s="1058"/>
      <c r="M575" s="1059" t="str">
        <f>IF(A575="","",I575*K575)</f>
        <v/>
      </c>
      <c r="N575" s="1058"/>
    </row>
    <row r="576" spans="1:14" ht="12.75" customHeight="1" x14ac:dyDescent="0.25">
      <c r="A576" s="3"/>
      <c r="B576" s="3"/>
      <c r="C576" s="3"/>
      <c r="D576" s="3"/>
      <c r="E576" s="3"/>
      <c r="F576" s="3"/>
      <c r="G576" s="3"/>
      <c r="H576" s="3"/>
      <c r="I576" s="3"/>
      <c r="J576" s="3"/>
      <c r="K576" s="1066" t="s">
        <v>201</v>
      </c>
      <c r="L576" s="1058"/>
      <c r="M576" s="1059">
        <f>SUM(M571:N575)</f>
        <v>0</v>
      </c>
      <c r="N576" s="1058"/>
    </row>
    <row r="577" spans="1:15" ht="12.75" customHeight="1" x14ac:dyDescent="0.25">
      <c r="A577" s="3"/>
      <c r="B577" s="3"/>
      <c r="C577" s="3"/>
      <c r="D577" s="3"/>
      <c r="E577" s="3"/>
      <c r="F577" s="3"/>
      <c r="G577" s="3"/>
      <c r="H577" s="3"/>
      <c r="I577" s="3"/>
      <c r="J577" s="3"/>
      <c r="K577" s="3"/>
      <c r="L577" s="3"/>
      <c r="M577" s="3"/>
      <c r="N577" s="3"/>
    </row>
    <row r="578" spans="1:15" ht="12.75" customHeight="1" x14ac:dyDescent="0.2">
      <c r="A578" s="1065" t="s">
        <v>394</v>
      </c>
      <c r="B578" s="1057"/>
      <c r="C578" s="1057"/>
      <c r="D578" s="1057"/>
      <c r="E578" s="1057"/>
      <c r="F578" s="1057"/>
      <c r="G578" s="1057"/>
      <c r="H578" s="1057"/>
      <c r="I578" s="1057"/>
      <c r="J578" s="1057"/>
      <c r="K578" s="1057"/>
      <c r="L578" s="1057"/>
      <c r="M578" s="1057"/>
      <c r="N578" s="1058"/>
    </row>
    <row r="579" spans="1:15" ht="12.75" customHeight="1" x14ac:dyDescent="0.2">
      <c r="A579" s="1066" t="s">
        <v>38</v>
      </c>
      <c r="B579" s="1057"/>
      <c r="C579" s="1057"/>
      <c r="D579" s="1057"/>
      <c r="E579" s="1057"/>
      <c r="F579" s="1057"/>
      <c r="G579" s="1058"/>
      <c r="H579" s="28" t="s">
        <v>39</v>
      </c>
      <c r="I579" s="1062" t="s">
        <v>385</v>
      </c>
      <c r="J579" s="1058"/>
      <c r="K579" s="30" t="s">
        <v>193</v>
      </c>
      <c r="L579" s="31" t="s">
        <v>395</v>
      </c>
      <c r="M579" s="1062" t="s">
        <v>386</v>
      </c>
      <c r="N579" s="1058"/>
    </row>
    <row r="580" spans="1:15" ht="12.75" customHeight="1" x14ac:dyDescent="0.25">
      <c r="A580" s="1063" t="s">
        <v>423</v>
      </c>
      <c r="B580" s="1057"/>
      <c r="C580" s="1057"/>
      <c r="D580" s="1057"/>
      <c r="E580" s="1057"/>
      <c r="F580" s="1057"/>
      <c r="G580" s="1058"/>
      <c r="H580" s="9" t="str">
        <f>IF(A580="","",VLOOKUP(A580,AA_Cuadrillas,4,FALSE))</f>
        <v>Cuadrilla</v>
      </c>
      <c r="I580" s="1059">
        <f>IF(A580="","",VLOOKUP(A580,AA_Cuadrillas,5,FALSE))</f>
        <v>134236</v>
      </c>
      <c r="J580" s="1058"/>
      <c r="K580" s="1">
        <f>IF(A580="","",'06'!$J$3)</f>
        <v>1.7233500000000002</v>
      </c>
      <c r="L580" s="32">
        <v>0.6</v>
      </c>
      <c r="M580" s="1059">
        <f>IF(A580="","",I580*K580*L580)</f>
        <v>138801.36636000001</v>
      </c>
      <c r="N580" s="1058"/>
    </row>
    <row r="581" spans="1:15" ht="12.75" customHeight="1" x14ac:dyDescent="0.25">
      <c r="A581" s="1063"/>
      <c r="B581" s="1057"/>
      <c r="C581" s="1057"/>
      <c r="D581" s="1057"/>
      <c r="E581" s="1057"/>
      <c r="F581" s="1057"/>
      <c r="G581" s="1058"/>
      <c r="H581" s="9" t="str">
        <f>IF(A581="","",VLOOKUP(A581,AA_Cuadrillas,4,FALSE))</f>
        <v/>
      </c>
      <c r="I581" s="1059" t="str">
        <f>IF(A581="","",VLOOKUP(A581,AA_Cuadrillas,5,FALSE))</f>
        <v/>
      </c>
      <c r="J581" s="1058"/>
      <c r="K581" s="1" t="str">
        <f>IF(A581="","",'06'!$J$3)</f>
        <v/>
      </c>
      <c r="L581" s="1"/>
      <c r="M581" s="1059" t="str">
        <f>IF(A581="","",I581*K581*L581)</f>
        <v/>
      </c>
      <c r="N581" s="1058"/>
    </row>
    <row r="582" spans="1:15" ht="12.75" customHeight="1" x14ac:dyDescent="0.25">
      <c r="A582" s="1063"/>
      <c r="B582" s="1057"/>
      <c r="C582" s="1057"/>
      <c r="D582" s="1057"/>
      <c r="E582" s="1057"/>
      <c r="F582" s="1057"/>
      <c r="G582" s="1058"/>
      <c r="H582" s="9" t="str">
        <f>IF(A582="","",VLOOKUP(A582,AA_Cuadrillas,4,FALSE))</f>
        <v/>
      </c>
      <c r="I582" s="1059" t="str">
        <f>IF(A582="","",VLOOKUP(A582,AA_Cuadrillas,5,FALSE))</f>
        <v/>
      </c>
      <c r="J582" s="1058"/>
      <c r="K582" s="1" t="str">
        <f>IF(A582="","",'06'!$J$3)</f>
        <v/>
      </c>
      <c r="L582" s="10"/>
      <c r="M582" s="1059" t="str">
        <f>IF(A582="","",I582*K582*L582)</f>
        <v/>
      </c>
      <c r="N582" s="1058"/>
    </row>
    <row r="583" spans="1:15" ht="12.75" customHeight="1" x14ac:dyDescent="0.25">
      <c r="A583" s="1063"/>
      <c r="B583" s="1057"/>
      <c r="C583" s="1057"/>
      <c r="D583" s="1057"/>
      <c r="E583" s="1057"/>
      <c r="F583" s="1057"/>
      <c r="G583" s="1058"/>
      <c r="H583" s="9" t="str">
        <f>IF(A583="","",VLOOKUP(A583,AA_Cuadrillas,4,FALSE))</f>
        <v/>
      </c>
      <c r="I583" s="1059" t="str">
        <f>IF(A583="","",VLOOKUP(A583,AA_Cuadrillas,5,FALSE))</f>
        <v/>
      </c>
      <c r="J583" s="1058"/>
      <c r="K583" s="1" t="str">
        <f>IF(A583="","",'06'!$J$3)</f>
        <v/>
      </c>
      <c r="L583" s="10"/>
      <c r="M583" s="1059" t="str">
        <f>IF(A583="","",I583*K583*L583)</f>
        <v/>
      </c>
      <c r="N583" s="1058"/>
    </row>
    <row r="584" spans="1:15" ht="12.75" customHeight="1" x14ac:dyDescent="0.25">
      <c r="A584" s="1063"/>
      <c r="B584" s="1057"/>
      <c r="C584" s="1057"/>
      <c r="D584" s="1057"/>
      <c r="E584" s="1057"/>
      <c r="F584" s="1057"/>
      <c r="G584" s="1058"/>
      <c r="H584" s="9" t="str">
        <f>IF(A584="","",VLOOKUP(A584,AA_Cuadrillas,4,FALSE))</f>
        <v/>
      </c>
      <c r="I584" s="1059" t="str">
        <f>IF(A584="","",VLOOKUP(A584,AA_Cuadrillas,5,FALSE))</f>
        <v/>
      </c>
      <c r="J584" s="1058"/>
      <c r="K584" s="1" t="str">
        <f>IF(A584="","",'06'!$J$3)</f>
        <v/>
      </c>
      <c r="L584" s="10"/>
      <c r="M584" s="1059" t="str">
        <f>IF(A584="","",I584*K584*L584)</f>
        <v/>
      </c>
      <c r="N584" s="1058"/>
    </row>
    <row r="585" spans="1:15" ht="12.75" customHeight="1" x14ac:dyDescent="0.25">
      <c r="A585" s="3"/>
      <c r="B585" s="3"/>
      <c r="C585" s="3"/>
      <c r="D585" s="3"/>
      <c r="E585" s="3"/>
      <c r="F585" s="3"/>
      <c r="G585" s="3"/>
      <c r="H585" s="3"/>
      <c r="I585" s="3"/>
      <c r="J585" s="3"/>
      <c r="K585" s="1066" t="s">
        <v>201</v>
      </c>
      <c r="L585" s="1058"/>
      <c r="M585" s="1059">
        <f>SUM(M580:N584)</f>
        <v>138801.36636000001</v>
      </c>
      <c r="N585" s="1058"/>
    </row>
    <row r="586" spans="1:15" ht="12.75" customHeight="1" x14ac:dyDescent="0.2"/>
    <row r="587" spans="1:15" ht="12.75" customHeight="1" x14ac:dyDescent="0.2">
      <c r="A587" s="1072" t="s">
        <v>1679</v>
      </c>
      <c r="B587" s="1052"/>
      <c r="C587" s="1052"/>
      <c r="D587" s="1052"/>
      <c r="E587" s="1052"/>
      <c r="F587" s="1052"/>
      <c r="G587" s="1052"/>
      <c r="H587" s="1052"/>
      <c r="I587" s="1052"/>
      <c r="J587" s="1052"/>
      <c r="K587" s="1052"/>
      <c r="L587" s="1052"/>
      <c r="M587" s="1052"/>
      <c r="N587" s="1053"/>
      <c r="O587" s="7"/>
    </row>
    <row r="588" spans="1:15" ht="12.75" customHeight="1" x14ac:dyDescent="0.2">
      <c r="A588" s="1031"/>
      <c r="B588" s="1032"/>
      <c r="C588" s="1032"/>
      <c r="D588" s="1032"/>
      <c r="E588" s="1032"/>
      <c r="F588" s="1032"/>
      <c r="G588" s="1032"/>
      <c r="H588" s="1032"/>
      <c r="I588" s="1032"/>
      <c r="J588" s="1032"/>
      <c r="K588" s="1032"/>
      <c r="L588" s="1032"/>
      <c r="M588" s="1032"/>
      <c r="N588" s="1055"/>
      <c r="O588" s="7"/>
    </row>
    <row r="589" spans="1:15" ht="12.75" customHeight="1" x14ac:dyDescent="0.2">
      <c r="A589" s="16"/>
      <c r="B589" s="16"/>
      <c r="C589" s="16"/>
      <c r="D589" s="16"/>
      <c r="E589" s="16"/>
      <c r="F589" s="16"/>
      <c r="G589" s="16"/>
      <c r="H589" s="16"/>
      <c r="I589" s="16"/>
      <c r="J589" s="16"/>
      <c r="K589" s="16"/>
      <c r="L589" s="16"/>
      <c r="M589" s="16"/>
      <c r="N589" s="16"/>
    </row>
    <row r="590" spans="1:15" ht="12.75" customHeight="1" x14ac:dyDescent="0.3">
      <c r="A590" s="18" t="s">
        <v>304</v>
      </c>
      <c r="B590" s="19" t="str">
        <f>A587</f>
        <v>SUMINISTRO E INSTALACIÓN VÁLVULA DE PURGA Ø12". INCLUYE TRANSPORTE</v>
      </c>
      <c r="C590" s="20" t="s">
        <v>382</v>
      </c>
      <c r="D590" s="127" t="s">
        <v>424</v>
      </c>
      <c r="E590" s="22" t="s">
        <v>125</v>
      </c>
      <c r="F590" s="26">
        <f>(H590+J590+L590+N590)*$O$2</f>
        <v>6362076.9247035012</v>
      </c>
      <c r="G590" s="22" t="s">
        <v>285</v>
      </c>
      <c r="H590" s="26">
        <f>M609</f>
        <v>17350.170795000002</v>
      </c>
      <c r="I590" s="22" t="s">
        <v>383</v>
      </c>
      <c r="J590" s="26">
        <f>M600</f>
        <v>4529551.74</v>
      </c>
      <c r="K590" s="22" t="s">
        <v>287</v>
      </c>
      <c r="L590" s="26">
        <f>M618</f>
        <v>0</v>
      </c>
      <c r="M590" s="22" t="s">
        <v>288</v>
      </c>
      <c r="N590" s="26">
        <f>M627</f>
        <v>347003.41590000002</v>
      </c>
    </row>
    <row r="591" spans="1:15" ht="12.75" customHeight="1" x14ac:dyDescent="0.25">
      <c r="A591" s="27"/>
      <c r="B591" s="27"/>
      <c r="C591" s="27"/>
      <c r="D591" s="27"/>
      <c r="E591" s="27"/>
      <c r="F591" s="27"/>
      <c r="G591" s="27"/>
      <c r="J591" s="27"/>
      <c r="K591" s="27"/>
      <c r="L591" s="27"/>
      <c r="M591" s="27"/>
      <c r="N591" s="27"/>
    </row>
    <row r="592" spans="1:15" ht="12.75" customHeight="1" x14ac:dyDescent="0.2">
      <c r="A592" s="1065" t="s">
        <v>384</v>
      </c>
      <c r="B592" s="1057"/>
      <c r="C592" s="1057"/>
      <c r="D592" s="1057"/>
      <c r="E592" s="1057"/>
      <c r="F592" s="1057"/>
      <c r="G592" s="1057"/>
      <c r="H592" s="1057"/>
      <c r="I592" s="1057"/>
      <c r="J592" s="1057"/>
      <c r="K592" s="1057"/>
      <c r="L592" s="1057"/>
      <c r="M592" s="1057"/>
      <c r="N592" s="1058"/>
    </row>
    <row r="593" spans="1:14" ht="12.75" customHeight="1" x14ac:dyDescent="0.2">
      <c r="A593" s="1066" t="s">
        <v>38</v>
      </c>
      <c r="B593" s="1057"/>
      <c r="C593" s="1057"/>
      <c r="D593" s="1057"/>
      <c r="E593" s="1057"/>
      <c r="F593" s="1057"/>
      <c r="G593" s="1058"/>
      <c r="H593" s="28" t="s">
        <v>39</v>
      </c>
      <c r="I593" s="1062" t="s">
        <v>385</v>
      </c>
      <c r="J593" s="1058"/>
      <c r="K593" s="1062" t="s">
        <v>132</v>
      </c>
      <c r="L593" s="1058"/>
      <c r="M593" s="1062" t="s">
        <v>386</v>
      </c>
      <c r="N593" s="1058"/>
    </row>
    <row r="594" spans="1:14" ht="12.75" customHeight="1" x14ac:dyDescent="0.2">
      <c r="A594" s="1056" t="s">
        <v>1545</v>
      </c>
      <c r="B594" s="1057"/>
      <c r="C594" s="1057"/>
      <c r="D594" s="1057"/>
      <c r="E594" s="1057"/>
      <c r="F594" s="1057"/>
      <c r="G594" s="1058"/>
      <c r="H594" s="9" t="str">
        <f t="shared" ref="H594:H599" si="24">IF(A594="","",VLOOKUP(A594,AA_Materiales,7,FALSE))</f>
        <v>Unidad</v>
      </c>
      <c r="I594" s="1059">
        <f t="shared" ref="I594:I599" si="25">IF(A594="","",VLOOKUP(A594,AA_Materiales,8,FALSE))</f>
        <v>4529551.74</v>
      </c>
      <c r="J594" s="1058"/>
      <c r="K594" s="1060">
        <v>1</v>
      </c>
      <c r="L594" s="1058"/>
      <c r="M594" s="1059">
        <f t="shared" ref="M594:M599" si="26">IF(A594="","",I594*K594)</f>
        <v>4529551.74</v>
      </c>
      <c r="N594" s="1058"/>
    </row>
    <row r="595" spans="1:14" ht="12.75" customHeight="1" x14ac:dyDescent="0.2">
      <c r="A595" s="1061"/>
      <c r="B595" s="1057"/>
      <c r="C595" s="1057"/>
      <c r="D595" s="1057"/>
      <c r="E595" s="1057"/>
      <c r="F595" s="1057"/>
      <c r="G595" s="1058"/>
      <c r="H595" s="9" t="str">
        <f t="shared" si="24"/>
        <v/>
      </c>
      <c r="I595" s="1059" t="str">
        <f t="shared" si="25"/>
        <v/>
      </c>
      <c r="J595" s="1058"/>
      <c r="K595" s="1060"/>
      <c r="L595" s="1058"/>
      <c r="M595" s="1059" t="str">
        <f t="shared" si="26"/>
        <v/>
      </c>
      <c r="N595" s="1058"/>
    </row>
    <row r="596" spans="1:14" ht="12.75" customHeight="1" x14ac:dyDescent="0.2">
      <c r="A596" s="1061"/>
      <c r="B596" s="1057"/>
      <c r="C596" s="1057"/>
      <c r="D596" s="1057"/>
      <c r="E596" s="1057"/>
      <c r="F596" s="1057"/>
      <c r="G596" s="1058"/>
      <c r="H596" s="9" t="str">
        <f t="shared" si="24"/>
        <v/>
      </c>
      <c r="I596" s="1059" t="str">
        <f t="shared" si="25"/>
        <v/>
      </c>
      <c r="J596" s="1058"/>
      <c r="K596" s="1060"/>
      <c r="L596" s="1058"/>
      <c r="M596" s="1059" t="str">
        <f t="shared" si="26"/>
        <v/>
      </c>
      <c r="N596" s="1058"/>
    </row>
    <row r="597" spans="1:14" ht="12.75" customHeight="1" x14ac:dyDescent="0.2">
      <c r="A597" s="1061"/>
      <c r="B597" s="1057"/>
      <c r="C597" s="1057"/>
      <c r="D597" s="1057"/>
      <c r="E597" s="1057"/>
      <c r="F597" s="1057"/>
      <c r="G597" s="1058"/>
      <c r="H597" s="9" t="str">
        <f t="shared" si="24"/>
        <v/>
      </c>
      <c r="I597" s="1059" t="str">
        <f t="shared" si="25"/>
        <v/>
      </c>
      <c r="J597" s="1058"/>
      <c r="K597" s="1060"/>
      <c r="L597" s="1058"/>
      <c r="M597" s="1059" t="str">
        <f t="shared" si="26"/>
        <v/>
      </c>
      <c r="N597" s="1058"/>
    </row>
    <row r="598" spans="1:14" ht="12.75" customHeight="1" x14ac:dyDescent="0.2">
      <c r="A598" s="1061"/>
      <c r="B598" s="1057"/>
      <c r="C598" s="1057"/>
      <c r="D598" s="1057"/>
      <c r="E598" s="1057"/>
      <c r="F598" s="1057"/>
      <c r="G598" s="1058"/>
      <c r="H598" s="9" t="str">
        <f t="shared" si="24"/>
        <v/>
      </c>
      <c r="I598" s="1059" t="str">
        <f t="shared" si="25"/>
        <v/>
      </c>
      <c r="J598" s="1058"/>
      <c r="K598" s="1060"/>
      <c r="L598" s="1058"/>
      <c r="M598" s="1059" t="str">
        <f t="shared" si="26"/>
        <v/>
      </c>
      <c r="N598" s="1058"/>
    </row>
    <row r="599" spans="1:14" ht="12.75" customHeight="1" x14ac:dyDescent="0.2">
      <c r="A599" s="1061"/>
      <c r="B599" s="1057"/>
      <c r="C599" s="1057"/>
      <c r="D599" s="1057"/>
      <c r="E599" s="1057"/>
      <c r="F599" s="1057"/>
      <c r="G599" s="1058"/>
      <c r="H599" s="9" t="str">
        <f t="shared" si="24"/>
        <v/>
      </c>
      <c r="I599" s="1059" t="str">
        <f t="shared" si="25"/>
        <v/>
      </c>
      <c r="J599" s="1058"/>
      <c r="K599" s="1060"/>
      <c r="L599" s="1058"/>
      <c r="M599" s="1059" t="str">
        <f t="shared" si="26"/>
        <v/>
      </c>
      <c r="N599" s="1058"/>
    </row>
    <row r="600" spans="1:14" ht="12.75" customHeight="1" x14ac:dyDescent="0.25">
      <c r="A600" s="3"/>
      <c r="B600" s="3"/>
      <c r="C600" s="3"/>
      <c r="D600" s="3"/>
      <c r="E600" s="3"/>
      <c r="F600" s="3"/>
      <c r="G600" s="3"/>
      <c r="H600" s="3"/>
      <c r="I600" s="3"/>
      <c r="J600" s="3"/>
      <c r="K600" s="1066" t="s">
        <v>201</v>
      </c>
      <c r="L600" s="1058"/>
      <c r="M600" s="1059">
        <f>SUM(M594:N599)</f>
        <v>4529551.74</v>
      </c>
      <c r="N600" s="1058"/>
    </row>
    <row r="601" spans="1:14" ht="12.75" customHeight="1" x14ac:dyDescent="0.25">
      <c r="A601" s="3"/>
      <c r="B601" s="3"/>
      <c r="C601" s="3"/>
      <c r="D601" s="3"/>
      <c r="E601" s="3"/>
      <c r="F601" s="3"/>
      <c r="G601" s="3"/>
      <c r="H601" s="3"/>
      <c r="I601" s="3"/>
      <c r="J601" s="3"/>
      <c r="K601" s="3"/>
      <c r="L601" s="3"/>
      <c r="M601" s="3"/>
      <c r="N601" s="3"/>
    </row>
    <row r="602" spans="1:14" ht="12.75" customHeight="1" x14ac:dyDescent="0.2">
      <c r="A602" s="1065" t="s">
        <v>390</v>
      </c>
      <c r="B602" s="1057"/>
      <c r="C602" s="1057"/>
      <c r="D602" s="1057"/>
      <c r="E602" s="1057"/>
      <c r="F602" s="1057"/>
      <c r="G602" s="1057"/>
      <c r="H602" s="1057"/>
      <c r="I602" s="1057"/>
      <c r="J602" s="1057"/>
      <c r="K602" s="1057"/>
      <c r="L602" s="1057"/>
      <c r="M602" s="1057"/>
      <c r="N602" s="1058"/>
    </row>
    <row r="603" spans="1:14" ht="12.75" customHeight="1" x14ac:dyDescent="0.2">
      <c r="A603" s="1066" t="s">
        <v>38</v>
      </c>
      <c r="B603" s="1057"/>
      <c r="C603" s="1057"/>
      <c r="D603" s="1057"/>
      <c r="E603" s="1057"/>
      <c r="F603" s="1057"/>
      <c r="G603" s="1058"/>
      <c r="H603" s="28" t="s">
        <v>39</v>
      </c>
      <c r="I603" s="1062" t="s">
        <v>385</v>
      </c>
      <c r="J603" s="1058"/>
      <c r="K603" s="1062" t="s">
        <v>132</v>
      </c>
      <c r="L603" s="1058"/>
      <c r="M603" s="1062" t="s">
        <v>386</v>
      </c>
      <c r="N603" s="1058"/>
    </row>
    <row r="604" spans="1:14" ht="12.75" customHeight="1" x14ac:dyDescent="0.2">
      <c r="A604" s="1061" t="s">
        <v>391</v>
      </c>
      <c r="B604" s="1057"/>
      <c r="C604" s="1057"/>
      <c r="D604" s="1057"/>
      <c r="E604" s="1057"/>
      <c r="F604" s="1057"/>
      <c r="G604" s="1058"/>
      <c r="H604" s="9" t="str">
        <f>IF(A604="","",VLOOKUP(A604,AA_Equipos,7,FALSE))</f>
        <v>% M.O.</v>
      </c>
      <c r="I604" s="1059">
        <f>+M627</f>
        <v>347003.41590000002</v>
      </c>
      <c r="J604" s="1058"/>
      <c r="K604" s="1064">
        <v>0.05</v>
      </c>
      <c r="L604" s="1058"/>
      <c r="M604" s="1059">
        <f>IF(A604="","",I604*K604)</f>
        <v>17350.170795000002</v>
      </c>
      <c r="N604" s="1058"/>
    </row>
    <row r="605" spans="1:14" ht="12.75" customHeight="1" x14ac:dyDescent="0.2">
      <c r="A605" s="1056"/>
      <c r="B605" s="1057"/>
      <c r="C605" s="1057"/>
      <c r="D605" s="1057"/>
      <c r="E605" s="1057"/>
      <c r="F605" s="1057"/>
      <c r="G605" s="1058"/>
      <c r="H605" s="9" t="str">
        <f>IF(A605="","",VLOOKUP(A605,AA_Equipos,7,FALSE))</f>
        <v/>
      </c>
      <c r="I605" s="1059" t="str">
        <f>IF(A605="","",VLOOKUP(A605,AA_Equipos,8,FALSE))</f>
        <v/>
      </c>
      <c r="J605" s="1058"/>
      <c r="K605" s="1067"/>
      <c r="L605" s="1058"/>
      <c r="M605" s="1059" t="str">
        <f>IF(A605="","",I605*K605)</f>
        <v/>
      </c>
      <c r="N605" s="1058"/>
    </row>
    <row r="606" spans="1:14" ht="12.75" customHeight="1" x14ac:dyDescent="0.2">
      <c r="A606" s="1061"/>
      <c r="B606" s="1057"/>
      <c r="C606" s="1057"/>
      <c r="D606" s="1057"/>
      <c r="E606" s="1057"/>
      <c r="F606" s="1057"/>
      <c r="G606" s="1058"/>
      <c r="H606" s="9" t="str">
        <f>IF(A606="","",VLOOKUP(A606,AA_Equipos,7,FALSE))</f>
        <v/>
      </c>
      <c r="I606" s="1059" t="str">
        <f>IF(A606="","",VLOOKUP(A606,AA_Equipos,8,FALSE))</f>
        <v/>
      </c>
      <c r="J606" s="1058"/>
      <c r="K606" s="1070"/>
      <c r="L606" s="1058"/>
      <c r="M606" s="1059" t="str">
        <f>IF(A606="","",I606*K606)</f>
        <v/>
      </c>
      <c r="N606" s="1058"/>
    </row>
    <row r="607" spans="1:14" ht="12.75" customHeight="1" x14ac:dyDescent="0.2">
      <c r="A607" s="1061"/>
      <c r="B607" s="1057"/>
      <c r="C607" s="1057"/>
      <c r="D607" s="1057"/>
      <c r="E607" s="1057"/>
      <c r="F607" s="1057"/>
      <c r="G607" s="1058"/>
      <c r="H607" s="9" t="str">
        <f>IF(A607="","",VLOOKUP(A607,AA_Equipos,7,FALSE))</f>
        <v/>
      </c>
      <c r="I607" s="1059" t="str">
        <f>IF(A607="","",VLOOKUP(A607,AA_Equipos,8,FALSE))</f>
        <v/>
      </c>
      <c r="J607" s="1058"/>
      <c r="K607" s="1060"/>
      <c r="L607" s="1058"/>
      <c r="M607" s="1059" t="str">
        <f>IF(A607="","",I607*K607)</f>
        <v/>
      </c>
      <c r="N607" s="1058"/>
    </row>
    <row r="608" spans="1:14" ht="12.75" customHeight="1" x14ac:dyDescent="0.2">
      <c r="A608" s="1061"/>
      <c r="B608" s="1057"/>
      <c r="C608" s="1057"/>
      <c r="D608" s="1057"/>
      <c r="E608" s="1057"/>
      <c r="F608" s="1057"/>
      <c r="G608" s="1058"/>
      <c r="H608" s="9" t="str">
        <f>IF(A608="","",VLOOKUP(A608,AA_Equipos,7,FALSE))</f>
        <v/>
      </c>
      <c r="I608" s="1059" t="str">
        <f>IF(A608="","",VLOOKUP(A608,AA_Equipos,8,FALSE))</f>
        <v/>
      </c>
      <c r="J608" s="1058"/>
      <c r="K608" s="1060"/>
      <c r="L608" s="1058"/>
      <c r="M608" s="1059" t="str">
        <f>IF(A608="","",I608*K608)</f>
        <v/>
      </c>
      <c r="N608" s="1058"/>
    </row>
    <row r="609" spans="1:14" ht="12.75" customHeight="1" x14ac:dyDescent="0.25">
      <c r="A609" s="3"/>
      <c r="B609" s="3"/>
      <c r="C609" s="3"/>
      <c r="D609" s="3"/>
      <c r="E609" s="3"/>
      <c r="F609" s="3"/>
      <c r="G609" s="3"/>
      <c r="H609" s="3"/>
      <c r="I609" s="3"/>
      <c r="J609" s="3"/>
      <c r="K609" s="1066" t="s">
        <v>201</v>
      </c>
      <c r="L609" s="1058"/>
      <c r="M609" s="1059">
        <f>SUM(M604:N608)</f>
        <v>17350.170795000002</v>
      </c>
      <c r="N609" s="1058"/>
    </row>
    <row r="610" spans="1:14" ht="12.75" customHeight="1" x14ac:dyDescent="0.25">
      <c r="A610" s="3"/>
      <c r="B610" s="3"/>
      <c r="C610" s="3"/>
      <c r="D610" s="3"/>
      <c r="E610" s="3"/>
      <c r="F610" s="3"/>
      <c r="G610" s="3"/>
      <c r="H610" s="3"/>
      <c r="I610" s="3"/>
      <c r="J610" s="3"/>
      <c r="K610" s="3"/>
      <c r="L610" s="3"/>
      <c r="M610" s="3"/>
      <c r="N610" s="3"/>
    </row>
    <row r="611" spans="1:14" ht="12.75" customHeight="1" x14ac:dyDescent="0.2">
      <c r="A611" s="1065" t="s">
        <v>392</v>
      </c>
      <c r="B611" s="1057"/>
      <c r="C611" s="1057"/>
      <c r="D611" s="1057"/>
      <c r="E611" s="1057"/>
      <c r="F611" s="1057"/>
      <c r="G611" s="1057"/>
      <c r="H611" s="1057"/>
      <c r="I611" s="1057"/>
      <c r="J611" s="1057"/>
      <c r="K611" s="1057"/>
      <c r="L611" s="1057"/>
      <c r="M611" s="1057"/>
      <c r="N611" s="1058"/>
    </row>
    <row r="612" spans="1:14" ht="12.75" customHeight="1" x14ac:dyDescent="0.2">
      <c r="A612" s="1066" t="s">
        <v>38</v>
      </c>
      <c r="B612" s="1057"/>
      <c r="C612" s="1057"/>
      <c r="D612" s="1057"/>
      <c r="E612" s="1057"/>
      <c r="F612" s="1057"/>
      <c r="G612" s="1058"/>
      <c r="H612" s="28" t="s">
        <v>39</v>
      </c>
      <c r="I612" s="1062" t="s">
        <v>385</v>
      </c>
      <c r="J612" s="1058"/>
      <c r="K612" s="1062" t="s">
        <v>132</v>
      </c>
      <c r="L612" s="1058"/>
      <c r="M612" s="1062" t="s">
        <v>386</v>
      </c>
      <c r="N612" s="1058"/>
    </row>
    <row r="613" spans="1:14" ht="12.75" customHeight="1" x14ac:dyDescent="0.2">
      <c r="A613" s="1061"/>
      <c r="B613" s="1057"/>
      <c r="C613" s="1057"/>
      <c r="D613" s="1057"/>
      <c r="E613" s="1057"/>
      <c r="F613" s="1057"/>
      <c r="G613" s="1058"/>
      <c r="H613" s="9"/>
      <c r="I613" s="1059"/>
      <c r="J613" s="1058"/>
      <c r="K613" s="1060"/>
      <c r="L613" s="1058"/>
      <c r="M613" s="1059" t="str">
        <f>IF(A613="","",I613*K613)</f>
        <v/>
      </c>
      <c r="N613" s="1058"/>
    </row>
    <row r="614" spans="1:14" ht="12.75" customHeight="1" x14ac:dyDescent="0.2">
      <c r="A614" s="1056"/>
      <c r="B614" s="1057"/>
      <c r="C614" s="1057"/>
      <c r="D614" s="1057"/>
      <c r="E614" s="1057"/>
      <c r="F614" s="1057"/>
      <c r="G614" s="1058"/>
      <c r="H614" s="9"/>
      <c r="I614" s="1059"/>
      <c r="J614" s="1058"/>
      <c r="K614" s="1064"/>
      <c r="L614" s="1058"/>
      <c r="M614" s="1059" t="str">
        <f>IF(A614="","",I614*K614)</f>
        <v/>
      </c>
      <c r="N614" s="1058"/>
    </row>
    <row r="615" spans="1:14" ht="12.75" customHeight="1" x14ac:dyDescent="0.2">
      <c r="A615" s="1061"/>
      <c r="B615" s="1057"/>
      <c r="C615" s="1057"/>
      <c r="D615" s="1057"/>
      <c r="E615" s="1057"/>
      <c r="F615" s="1057"/>
      <c r="G615" s="1058"/>
      <c r="H615" s="9"/>
      <c r="I615" s="1059"/>
      <c r="J615" s="1058"/>
      <c r="K615" s="1060"/>
      <c r="L615" s="1058"/>
      <c r="M615" s="1059" t="str">
        <f>IF(A615="","",I615*K615)</f>
        <v/>
      </c>
      <c r="N615" s="1058"/>
    </row>
    <row r="616" spans="1:14" ht="12.75" customHeight="1" x14ac:dyDescent="0.2">
      <c r="A616" s="1061"/>
      <c r="B616" s="1057"/>
      <c r="C616" s="1057"/>
      <c r="D616" s="1057"/>
      <c r="E616" s="1057"/>
      <c r="F616" s="1057"/>
      <c r="G616" s="1058"/>
      <c r="H616" s="9"/>
      <c r="I616" s="1059"/>
      <c r="J616" s="1058"/>
      <c r="K616" s="1060"/>
      <c r="L616" s="1058"/>
      <c r="M616" s="1059" t="str">
        <f>IF(A616="","",I616*K616)</f>
        <v/>
      </c>
      <c r="N616" s="1058"/>
    </row>
    <row r="617" spans="1:14" ht="12.75" customHeight="1" x14ac:dyDescent="0.2">
      <c r="A617" s="1061"/>
      <c r="B617" s="1057"/>
      <c r="C617" s="1057"/>
      <c r="D617" s="1057"/>
      <c r="E617" s="1057"/>
      <c r="F617" s="1057"/>
      <c r="G617" s="1058"/>
      <c r="H617" s="9"/>
      <c r="I617" s="1059"/>
      <c r="J617" s="1058"/>
      <c r="K617" s="1060"/>
      <c r="L617" s="1058"/>
      <c r="M617" s="1059" t="str">
        <f>IF(A617="","",I617*K617)</f>
        <v/>
      </c>
      <c r="N617" s="1058"/>
    </row>
    <row r="618" spans="1:14" ht="12.75" customHeight="1" x14ac:dyDescent="0.25">
      <c r="A618" s="3"/>
      <c r="B618" s="3"/>
      <c r="C618" s="3"/>
      <c r="D618" s="3"/>
      <c r="E618" s="3"/>
      <c r="F618" s="3"/>
      <c r="G618" s="3"/>
      <c r="H618" s="3"/>
      <c r="I618" s="3"/>
      <c r="J618" s="3"/>
      <c r="K618" s="1066" t="s">
        <v>201</v>
      </c>
      <c r="L618" s="1058"/>
      <c r="M618" s="1059">
        <f>SUM(M613:N617)</f>
        <v>0</v>
      </c>
      <c r="N618" s="1058"/>
    </row>
    <row r="619" spans="1:14" ht="12.75" customHeight="1" x14ac:dyDescent="0.25">
      <c r="A619" s="3"/>
      <c r="B619" s="3"/>
      <c r="C619" s="3"/>
      <c r="D619" s="3"/>
      <c r="E619" s="3"/>
      <c r="F619" s="3"/>
      <c r="G619" s="3"/>
      <c r="H619" s="3"/>
      <c r="I619" s="3"/>
      <c r="J619" s="3"/>
      <c r="K619" s="3"/>
      <c r="L619" s="3"/>
      <c r="M619" s="3"/>
      <c r="N619" s="3"/>
    </row>
    <row r="620" spans="1:14" ht="12.75" customHeight="1" x14ac:dyDescent="0.2">
      <c r="A620" s="1065" t="s">
        <v>394</v>
      </c>
      <c r="B620" s="1057"/>
      <c r="C620" s="1057"/>
      <c r="D620" s="1057"/>
      <c r="E620" s="1057"/>
      <c r="F620" s="1057"/>
      <c r="G620" s="1057"/>
      <c r="H620" s="1057"/>
      <c r="I620" s="1057"/>
      <c r="J620" s="1057"/>
      <c r="K620" s="1057"/>
      <c r="L620" s="1057"/>
      <c r="M620" s="1057"/>
      <c r="N620" s="1058"/>
    </row>
    <row r="621" spans="1:14" ht="12.75" customHeight="1" x14ac:dyDescent="0.2">
      <c r="A621" s="1066" t="s">
        <v>38</v>
      </c>
      <c r="B621" s="1057"/>
      <c r="C621" s="1057"/>
      <c r="D621" s="1057"/>
      <c r="E621" s="1057"/>
      <c r="F621" s="1057"/>
      <c r="G621" s="1058"/>
      <c r="H621" s="28" t="s">
        <v>39</v>
      </c>
      <c r="I621" s="1062" t="s">
        <v>385</v>
      </c>
      <c r="J621" s="1058"/>
      <c r="K621" s="30" t="s">
        <v>193</v>
      </c>
      <c r="L621" s="31" t="s">
        <v>395</v>
      </c>
      <c r="M621" s="1062" t="s">
        <v>386</v>
      </c>
      <c r="N621" s="1058"/>
    </row>
    <row r="622" spans="1:14" ht="12.75" customHeight="1" x14ac:dyDescent="0.25">
      <c r="A622" s="1063" t="s">
        <v>423</v>
      </c>
      <c r="B622" s="1057"/>
      <c r="C622" s="1057"/>
      <c r="D622" s="1057"/>
      <c r="E622" s="1057"/>
      <c r="F622" s="1057"/>
      <c r="G622" s="1058"/>
      <c r="H622" s="9" t="str">
        <f>IF(A622="","",VLOOKUP(A622,AA_Cuadrillas,4,FALSE))</f>
        <v>Cuadrilla</v>
      </c>
      <c r="I622" s="1059">
        <f>IF(A622="","",VLOOKUP(A622,AA_Cuadrillas,5,FALSE))</f>
        <v>134236</v>
      </c>
      <c r="J622" s="1058"/>
      <c r="K622" s="1">
        <f>IF(A622="","",'06'!$J$3)</f>
        <v>1.7233500000000002</v>
      </c>
      <c r="L622" s="32">
        <v>1.5</v>
      </c>
      <c r="M622" s="1059">
        <f>IF(A622="","",I622*K622*L622)</f>
        <v>347003.41590000002</v>
      </c>
      <c r="N622" s="1058"/>
    </row>
    <row r="623" spans="1:14" ht="12.75" customHeight="1" x14ac:dyDescent="0.25">
      <c r="A623" s="1063"/>
      <c r="B623" s="1057"/>
      <c r="C623" s="1057"/>
      <c r="D623" s="1057"/>
      <c r="E623" s="1057"/>
      <c r="F623" s="1057"/>
      <c r="G623" s="1058"/>
      <c r="H623" s="9" t="str">
        <f>IF(A623="","",VLOOKUP(A623,AA_Cuadrillas,4,FALSE))</f>
        <v/>
      </c>
      <c r="I623" s="1059" t="str">
        <f>IF(A623="","",VLOOKUP(A623,AA_Cuadrillas,5,FALSE))</f>
        <v/>
      </c>
      <c r="J623" s="1058"/>
      <c r="K623" s="1" t="str">
        <f>IF(A623="","",'06'!$J$3)</f>
        <v/>
      </c>
      <c r="L623" s="1"/>
      <c r="M623" s="1059" t="str">
        <f>IF(A623="","",I623*K623*L623)</f>
        <v/>
      </c>
      <c r="N623" s="1058"/>
    </row>
    <row r="624" spans="1:14" ht="12.75" customHeight="1" x14ac:dyDescent="0.25">
      <c r="A624" s="1063"/>
      <c r="B624" s="1057"/>
      <c r="C624" s="1057"/>
      <c r="D624" s="1057"/>
      <c r="E624" s="1057"/>
      <c r="F624" s="1057"/>
      <c r="G624" s="1058"/>
      <c r="H624" s="9" t="str">
        <f>IF(A624="","",VLOOKUP(A624,AA_Cuadrillas,4,FALSE))</f>
        <v/>
      </c>
      <c r="I624" s="1059" t="str">
        <f>IF(A624="","",VLOOKUP(A624,AA_Cuadrillas,5,FALSE))</f>
        <v/>
      </c>
      <c r="J624" s="1058"/>
      <c r="K624" s="1" t="str">
        <f>IF(A624="","",'06'!$J$3)</f>
        <v/>
      </c>
      <c r="L624" s="10"/>
      <c r="M624" s="1059" t="str">
        <f>IF(A624="","",I624*K624*L624)</f>
        <v/>
      </c>
      <c r="N624" s="1058"/>
    </row>
    <row r="625" spans="1:15" ht="12.75" customHeight="1" x14ac:dyDescent="0.25">
      <c r="A625" s="1063"/>
      <c r="B625" s="1057"/>
      <c r="C625" s="1057"/>
      <c r="D625" s="1057"/>
      <c r="E625" s="1057"/>
      <c r="F625" s="1057"/>
      <c r="G625" s="1058"/>
      <c r="H625" s="9" t="str">
        <f>IF(A625="","",VLOOKUP(A625,AA_Cuadrillas,4,FALSE))</f>
        <v/>
      </c>
      <c r="I625" s="1059" t="str">
        <f>IF(A625="","",VLOOKUP(A625,AA_Cuadrillas,5,FALSE))</f>
        <v/>
      </c>
      <c r="J625" s="1058"/>
      <c r="K625" s="1" t="str">
        <f>IF(A625="","",'06'!$J$3)</f>
        <v/>
      </c>
      <c r="L625" s="10"/>
      <c r="M625" s="1059" t="str">
        <f>IF(A625="","",I625*K625*L625)</f>
        <v/>
      </c>
      <c r="N625" s="1058"/>
    </row>
    <row r="626" spans="1:15" ht="12.75" customHeight="1" x14ac:dyDescent="0.25">
      <c r="A626" s="1063"/>
      <c r="B626" s="1057"/>
      <c r="C626" s="1057"/>
      <c r="D626" s="1057"/>
      <c r="E626" s="1057"/>
      <c r="F626" s="1057"/>
      <c r="G626" s="1058"/>
      <c r="H626" s="9" t="str">
        <f>IF(A626="","",VLOOKUP(A626,AA_Cuadrillas,4,FALSE))</f>
        <v/>
      </c>
      <c r="I626" s="1059" t="str">
        <f>IF(A626="","",VLOOKUP(A626,AA_Cuadrillas,5,FALSE))</f>
        <v/>
      </c>
      <c r="J626" s="1058"/>
      <c r="K626" s="1" t="str">
        <f>IF(A626="","",'06'!$J$3)</f>
        <v/>
      </c>
      <c r="L626" s="10"/>
      <c r="M626" s="1059" t="str">
        <f>IF(A626="","",I626*K626*L626)</f>
        <v/>
      </c>
      <c r="N626" s="1058"/>
    </row>
    <row r="627" spans="1:15" ht="12.75" customHeight="1" x14ac:dyDescent="0.25">
      <c r="A627" s="3"/>
      <c r="B627" s="3"/>
      <c r="C627" s="3"/>
      <c r="D627" s="3"/>
      <c r="E627" s="3"/>
      <c r="F627" s="3"/>
      <c r="G627" s="3"/>
      <c r="H627" s="3"/>
      <c r="I627" s="3"/>
      <c r="J627" s="3"/>
      <c r="K627" s="1066" t="s">
        <v>201</v>
      </c>
      <c r="L627" s="1058"/>
      <c r="M627" s="1059">
        <f>SUM(M622:N626)</f>
        <v>347003.41590000002</v>
      </c>
      <c r="N627" s="1058"/>
    </row>
    <row r="628" spans="1:15" ht="12.75" customHeight="1" x14ac:dyDescent="0.2"/>
    <row r="629" spans="1:15" ht="12.75" customHeight="1" x14ac:dyDescent="0.2">
      <c r="A629" s="1068" t="s">
        <v>1680</v>
      </c>
      <c r="B629" s="1052"/>
      <c r="C629" s="1052"/>
      <c r="D629" s="1052"/>
      <c r="E629" s="1052"/>
      <c r="F629" s="1052"/>
      <c r="G629" s="1052"/>
      <c r="H629" s="1052"/>
      <c r="I629" s="1052"/>
      <c r="J629" s="1052"/>
      <c r="K629" s="1052"/>
      <c r="L629" s="1052"/>
      <c r="M629" s="1052"/>
      <c r="N629" s="1053"/>
      <c r="O629" s="7"/>
    </row>
    <row r="630" spans="1:15" ht="12.75" customHeight="1" x14ac:dyDescent="0.2">
      <c r="A630" s="1031"/>
      <c r="B630" s="1032"/>
      <c r="C630" s="1032"/>
      <c r="D630" s="1032"/>
      <c r="E630" s="1032"/>
      <c r="F630" s="1032"/>
      <c r="G630" s="1032"/>
      <c r="H630" s="1032"/>
      <c r="I630" s="1032"/>
      <c r="J630" s="1032"/>
      <c r="K630" s="1032"/>
      <c r="L630" s="1032"/>
      <c r="M630" s="1032"/>
      <c r="N630" s="1055"/>
      <c r="O630" s="7"/>
    </row>
    <row r="631" spans="1:15" ht="12.75" customHeight="1" x14ac:dyDescent="0.2">
      <c r="A631" s="16"/>
      <c r="B631" s="16"/>
      <c r="C631" s="16"/>
      <c r="D631" s="16"/>
      <c r="E631" s="16"/>
      <c r="F631" s="16"/>
      <c r="G631" s="16"/>
      <c r="H631" s="16"/>
      <c r="I631" s="16"/>
      <c r="J631" s="16"/>
      <c r="K631" s="16"/>
      <c r="L631" s="16"/>
      <c r="M631" s="16"/>
      <c r="N631" s="16"/>
    </row>
    <row r="632" spans="1:15" ht="12.75" customHeight="1" x14ac:dyDescent="0.3">
      <c r="A632" s="18" t="s">
        <v>305</v>
      </c>
      <c r="B632" s="19" t="str">
        <f>A629</f>
        <v>SUMINISTRO E INSTALACIÓN VÁLVULA REDUCTORA DE PRESION PROPORCIONAL Ø3". MODELO 720-PD-EN/ES. INCLUYE TRANSPORTE</v>
      </c>
      <c r="C632" s="20" t="s">
        <v>382</v>
      </c>
      <c r="D632" s="127" t="s">
        <v>424</v>
      </c>
      <c r="E632" s="22" t="s">
        <v>125</v>
      </c>
      <c r="F632" s="26">
        <f>(H632+J632+L632+N632)*$O$2</f>
        <v>18509880.093159001</v>
      </c>
      <c r="G632" s="22" t="s">
        <v>285</v>
      </c>
      <c r="H632" s="26">
        <f>M651</f>
        <v>127234.58583</v>
      </c>
      <c r="I632" s="22" t="s">
        <v>383</v>
      </c>
      <c r="J632" s="36">
        <f>M642</f>
        <v>11566443</v>
      </c>
      <c r="K632" s="22" t="s">
        <v>287</v>
      </c>
      <c r="L632" s="26">
        <f>M660</f>
        <v>0</v>
      </c>
      <c r="M632" s="22" t="s">
        <v>288</v>
      </c>
      <c r="N632" s="36">
        <f>M669</f>
        <v>2544691.7165999999</v>
      </c>
    </row>
    <row r="633" spans="1:15" ht="12.75" customHeight="1" x14ac:dyDescent="0.25">
      <c r="A633" s="27"/>
      <c r="B633" s="27"/>
      <c r="C633" s="27"/>
      <c r="D633" s="27"/>
      <c r="E633" s="27"/>
      <c r="F633" s="27"/>
      <c r="G633" s="27"/>
      <c r="J633" s="27"/>
      <c r="K633" s="27"/>
      <c r="L633" s="27"/>
      <c r="M633" s="27"/>
      <c r="N633" s="27"/>
    </row>
    <row r="634" spans="1:15" ht="12.75" customHeight="1" x14ac:dyDescent="0.2">
      <c r="A634" s="1065" t="s">
        <v>384</v>
      </c>
      <c r="B634" s="1057"/>
      <c r="C634" s="1057"/>
      <c r="D634" s="1057"/>
      <c r="E634" s="1057"/>
      <c r="F634" s="1057"/>
      <c r="G634" s="1057"/>
      <c r="H634" s="1057"/>
      <c r="I634" s="1057"/>
      <c r="J634" s="1057"/>
      <c r="K634" s="1057"/>
      <c r="L634" s="1057"/>
      <c r="M634" s="1057"/>
      <c r="N634" s="1058"/>
    </row>
    <row r="635" spans="1:15" ht="12.75" customHeight="1" x14ac:dyDescent="0.2">
      <c r="A635" s="1066" t="s">
        <v>38</v>
      </c>
      <c r="B635" s="1057"/>
      <c r="C635" s="1057"/>
      <c r="D635" s="1057"/>
      <c r="E635" s="1057"/>
      <c r="F635" s="1057"/>
      <c r="G635" s="1058"/>
      <c r="H635" s="28" t="s">
        <v>39</v>
      </c>
      <c r="I635" s="1062" t="s">
        <v>385</v>
      </c>
      <c r="J635" s="1058"/>
      <c r="K635" s="1062" t="s">
        <v>132</v>
      </c>
      <c r="L635" s="1058"/>
      <c r="M635" s="1062" t="s">
        <v>386</v>
      </c>
      <c r="N635" s="1058"/>
    </row>
    <row r="636" spans="1:15" ht="12.75" customHeight="1" x14ac:dyDescent="0.2">
      <c r="A636" s="1056" t="s">
        <v>1516</v>
      </c>
      <c r="B636" s="1057"/>
      <c r="C636" s="1057"/>
      <c r="D636" s="1057"/>
      <c r="E636" s="1057"/>
      <c r="F636" s="1057"/>
      <c r="G636" s="1058"/>
      <c r="H636" s="9" t="str">
        <f t="shared" ref="H636:H641" si="27">IF(A636="","",VLOOKUP(A636,AA_Materiales,7,FALSE))</f>
        <v>Unidad</v>
      </c>
      <c r="I636" s="1059">
        <f t="shared" ref="I636:I641" si="28">IF(A636="","",VLOOKUP(A636,AA_Materiales,8,FALSE))</f>
        <v>6999580</v>
      </c>
      <c r="J636" s="1058"/>
      <c r="K636" s="1060">
        <v>1</v>
      </c>
      <c r="L636" s="1058"/>
      <c r="M636" s="1059">
        <f t="shared" ref="M636:M641" si="29">IF(A636="","",I636*K636)</f>
        <v>6999580</v>
      </c>
      <c r="N636" s="1058"/>
    </row>
    <row r="637" spans="1:15" ht="12.75" customHeight="1" x14ac:dyDescent="0.2">
      <c r="A637" s="1056" t="s">
        <v>1928</v>
      </c>
      <c r="B637" s="1057"/>
      <c r="C637" s="1057"/>
      <c r="D637" s="1057"/>
      <c r="E637" s="1057"/>
      <c r="F637" s="1057"/>
      <c r="G637" s="1058"/>
      <c r="H637" s="9" t="str">
        <f t="shared" si="27"/>
        <v>Unidad</v>
      </c>
      <c r="I637" s="1059">
        <f t="shared" si="28"/>
        <v>1094443</v>
      </c>
      <c r="J637" s="1058"/>
      <c r="K637" s="1060">
        <v>1</v>
      </c>
      <c r="L637" s="1058"/>
      <c r="M637" s="1059">
        <f t="shared" si="29"/>
        <v>1094443</v>
      </c>
      <c r="N637" s="1058"/>
    </row>
    <row r="638" spans="1:15" ht="12.75" customHeight="1" x14ac:dyDescent="0.2">
      <c r="A638" s="1056" t="s">
        <v>1536</v>
      </c>
      <c r="B638" s="1057"/>
      <c r="C638" s="1057"/>
      <c r="D638" s="1057"/>
      <c r="E638" s="1057"/>
      <c r="F638" s="1057"/>
      <c r="G638" s="1058"/>
      <c r="H638" s="9" t="str">
        <f t="shared" si="27"/>
        <v>Unidad</v>
      </c>
      <c r="I638" s="1059">
        <f t="shared" si="28"/>
        <v>3472420</v>
      </c>
      <c r="J638" s="1058"/>
      <c r="K638" s="1060">
        <v>1</v>
      </c>
      <c r="L638" s="1058"/>
      <c r="M638" s="1059">
        <f t="shared" si="29"/>
        <v>3472420</v>
      </c>
      <c r="N638" s="1058"/>
    </row>
    <row r="639" spans="1:15" ht="12.75" customHeight="1" x14ac:dyDescent="0.2">
      <c r="A639" s="1056"/>
      <c r="B639" s="1057"/>
      <c r="C639" s="1057"/>
      <c r="D639" s="1057"/>
      <c r="E639" s="1057"/>
      <c r="F639" s="1057"/>
      <c r="G639" s="1058"/>
      <c r="H639" s="9" t="str">
        <f t="shared" si="27"/>
        <v/>
      </c>
      <c r="I639" s="1059" t="str">
        <f t="shared" si="28"/>
        <v/>
      </c>
      <c r="J639" s="1058"/>
      <c r="K639" s="1060"/>
      <c r="L639" s="1058"/>
      <c r="M639" s="1059" t="str">
        <f t="shared" si="29"/>
        <v/>
      </c>
      <c r="N639" s="1058"/>
    </row>
    <row r="640" spans="1:15" ht="12.75" customHeight="1" x14ac:dyDescent="0.2">
      <c r="A640" s="1056"/>
      <c r="B640" s="1057"/>
      <c r="C640" s="1057"/>
      <c r="D640" s="1057"/>
      <c r="E640" s="1057"/>
      <c r="F640" s="1057"/>
      <c r="G640" s="1058"/>
      <c r="H640" s="9" t="str">
        <f t="shared" si="27"/>
        <v/>
      </c>
      <c r="I640" s="1059" t="str">
        <f t="shared" si="28"/>
        <v/>
      </c>
      <c r="J640" s="1058"/>
      <c r="K640" s="1060"/>
      <c r="L640" s="1058"/>
      <c r="M640" s="1059" t="str">
        <f t="shared" si="29"/>
        <v/>
      </c>
      <c r="N640" s="1058"/>
    </row>
    <row r="641" spans="1:14" ht="12.75" customHeight="1" x14ac:dyDescent="0.2">
      <c r="A641" s="1056"/>
      <c r="B641" s="1057"/>
      <c r="C641" s="1057"/>
      <c r="D641" s="1057"/>
      <c r="E641" s="1057"/>
      <c r="F641" s="1057"/>
      <c r="G641" s="1058"/>
      <c r="H641" s="9" t="str">
        <f t="shared" si="27"/>
        <v/>
      </c>
      <c r="I641" s="1059" t="str">
        <f t="shared" si="28"/>
        <v/>
      </c>
      <c r="J641" s="1058"/>
      <c r="K641" s="1060"/>
      <c r="L641" s="1058"/>
      <c r="M641" s="1059" t="str">
        <f t="shared" si="29"/>
        <v/>
      </c>
      <c r="N641" s="1058"/>
    </row>
    <row r="642" spans="1:14" ht="12.75" customHeight="1" x14ac:dyDescent="0.25">
      <c r="A642" s="3"/>
      <c r="B642" s="3"/>
      <c r="C642" s="3"/>
      <c r="D642" s="3"/>
      <c r="E642" s="3"/>
      <c r="F642" s="3"/>
      <c r="G642" s="3"/>
      <c r="H642" s="3"/>
      <c r="I642" s="3"/>
      <c r="J642" s="3"/>
      <c r="K642" s="1066" t="s">
        <v>201</v>
      </c>
      <c r="L642" s="1058"/>
      <c r="M642" s="1059">
        <f>SUM(M636:N641)</f>
        <v>11566443</v>
      </c>
      <c r="N642" s="1058"/>
    </row>
    <row r="643" spans="1:14" ht="12.75" customHeight="1" x14ac:dyDescent="0.25">
      <c r="A643" s="3"/>
      <c r="B643" s="3"/>
      <c r="C643" s="3"/>
      <c r="D643" s="3"/>
      <c r="E643" s="3"/>
      <c r="F643" s="3"/>
      <c r="G643" s="3"/>
      <c r="H643" s="3"/>
      <c r="I643" s="3"/>
      <c r="J643" s="3"/>
      <c r="K643" s="3"/>
      <c r="L643" s="3"/>
      <c r="M643" s="3"/>
      <c r="N643" s="3"/>
    </row>
    <row r="644" spans="1:14" ht="12.75" customHeight="1" x14ac:dyDescent="0.2">
      <c r="A644" s="1065" t="s">
        <v>390</v>
      </c>
      <c r="B644" s="1057"/>
      <c r="C644" s="1057"/>
      <c r="D644" s="1057"/>
      <c r="E644" s="1057"/>
      <c r="F644" s="1057"/>
      <c r="G644" s="1057"/>
      <c r="H644" s="1057"/>
      <c r="I644" s="1057"/>
      <c r="J644" s="1057"/>
      <c r="K644" s="1057"/>
      <c r="L644" s="1057"/>
      <c r="M644" s="1057"/>
      <c r="N644" s="1058"/>
    </row>
    <row r="645" spans="1:14" ht="12.75" customHeight="1" x14ac:dyDescent="0.2">
      <c r="A645" s="1066" t="s">
        <v>38</v>
      </c>
      <c r="B645" s="1057"/>
      <c r="C645" s="1057"/>
      <c r="D645" s="1057"/>
      <c r="E645" s="1057"/>
      <c r="F645" s="1057"/>
      <c r="G645" s="1058"/>
      <c r="H645" s="28" t="s">
        <v>39</v>
      </c>
      <c r="I645" s="1062" t="s">
        <v>385</v>
      </c>
      <c r="J645" s="1058"/>
      <c r="K645" s="1062" t="s">
        <v>132</v>
      </c>
      <c r="L645" s="1058"/>
      <c r="M645" s="1062" t="s">
        <v>386</v>
      </c>
      <c r="N645" s="1058"/>
    </row>
    <row r="646" spans="1:14" ht="12.75" customHeight="1" x14ac:dyDescent="0.2">
      <c r="A646" s="1061" t="s">
        <v>391</v>
      </c>
      <c r="B646" s="1057"/>
      <c r="C646" s="1057"/>
      <c r="D646" s="1057"/>
      <c r="E646" s="1057"/>
      <c r="F646" s="1057"/>
      <c r="G646" s="1058"/>
      <c r="H646" s="9" t="str">
        <f>IF(A646="","",VLOOKUP(A646,AA_Equipos,7,FALSE))</f>
        <v>% M.O.</v>
      </c>
      <c r="I646" s="1059">
        <f>+M669</f>
        <v>2544691.7165999999</v>
      </c>
      <c r="J646" s="1058"/>
      <c r="K646" s="1064">
        <v>0.05</v>
      </c>
      <c r="L646" s="1058"/>
      <c r="M646" s="1059">
        <f>IF(A646="","",I646*K646)</f>
        <v>127234.58583</v>
      </c>
      <c r="N646" s="1058"/>
    </row>
    <row r="647" spans="1:14" ht="12.75" customHeight="1" x14ac:dyDescent="0.2">
      <c r="A647" s="1056"/>
      <c r="B647" s="1057"/>
      <c r="C647" s="1057"/>
      <c r="D647" s="1057"/>
      <c r="E647" s="1057"/>
      <c r="F647" s="1057"/>
      <c r="G647" s="1058"/>
      <c r="H647" s="9" t="str">
        <f>IF(A647="","",VLOOKUP(A647,AA_Equipos,7,FALSE))</f>
        <v/>
      </c>
      <c r="I647" s="1059" t="str">
        <f>IF(A647="","",VLOOKUP(A647,AA_Equipos,8,FALSE))</f>
        <v/>
      </c>
      <c r="J647" s="1058"/>
      <c r="K647" s="1067"/>
      <c r="L647" s="1058"/>
      <c r="M647" s="1059" t="str">
        <f>IF(A647="","",I647*K647)</f>
        <v/>
      </c>
      <c r="N647" s="1058"/>
    </row>
    <row r="648" spans="1:14" ht="12.75" customHeight="1" x14ac:dyDescent="0.2">
      <c r="A648" s="1061"/>
      <c r="B648" s="1057"/>
      <c r="C648" s="1057"/>
      <c r="D648" s="1057"/>
      <c r="E648" s="1057"/>
      <c r="F648" s="1057"/>
      <c r="G648" s="1058"/>
      <c r="H648" s="9" t="str">
        <f>IF(A648="","",VLOOKUP(A648,AA_Equipos,7,FALSE))</f>
        <v/>
      </c>
      <c r="I648" s="1059" t="str">
        <f>IF(A648="","",VLOOKUP(A648,AA_Equipos,8,FALSE))</f>
        <v/>
      </c>
      <c r="J648" s="1058"/>
      <c r="K648" s="1070"/>
      <c r="L648" s="1058"/>
      <c r="M648" s="1059" t="str">
        <f>IF(A648="","",I648*K648)</f>
        <v/>
      </c>
      <c r="N648" s="1058"/>
    </row>
    <row r="649" spans="1:14" ht="12.75" customHeight="1" x14ac:dyDescent="0.2">
      <c r="A649" s="1061"/>
      <c r="B649" s="1057"/>
      <c r="C649" s="1057"/>
      <c r="D649" s="1057"/>
      <c r="E649" s="1057"/>
      <c r="F649" s="1057"/>
      <c r="G649" s="1058"/>
      <c r="H649" s="9" t="str">
        <f>IF(A649="","",VLOOKUP(A649,AA_Equipos,7,FALSE))</f>
        <v/>
      </c>
      <c r="I649" s="1059" t="str">
        <f>IF(A649="","",VLOOKUP(A649,AA_Equipos,8,FALSE))</f>
        <v/>
      </c>
      <c r="J649" s="1058"/>
      <c r="K649" s="1060"/>
      <c r="L649" s="1058"/>
      <c r="M649" s="1059" t="str">
        <f>IF(A649="","",I649*K649)</f>
        <v/>
      </c>
      <c r="N649" s="1058"/>
    </row>
    <row r="650" spans="1:14" ht="12.75" customHeight="1" x14ac:dyDescent="0.2">
      <c r="A650" s="1061"/>
      <c r="B650" s="1057"/>
      <c r="C650" s="1057"/>
      <c r="D650" s="1057"/>
      <c r="E650" s="1057"/>
      <c r="F650" s="1057"/>
      <c r="G650" s="1058"/>
      <c r="H650" s="9" t="str">
        <f>IF(A650="","",VLOOKUP(A650,AA_Equipos,7,FALSE))</f>
        <v/>
      </c>
      <c r="I650" s="1059" t="str">
        <f>IF(A650="","",VLOOKUP(A650,AA_Equipos,8,FALSE))</f>
        <v/>
      </c>
      <c r="J650" s="1058"/>
      <c r="K650" s="1060"/>
      <c r="L650" s="1058"/>
      <c r="M650" s="1059" t="str">
        <f>IF(A650="","",I650*K650)</f>
        <v/>
      </c>
      <c r="N650" s="1058"/>
    </row>
    <row r="651" spans="1:14" ht="12.75" customHeight="1" x14ac:dyDescent="0.25">
      <c r="A651" s="3"/>
      <c r="B651" s="3"/>
      <c r="C651" s="3"/>
      <c r="D651" s="3"/>
      <c r="E651" s="3"/>
      <c r="F651" s="3"/>
      <c r="G651" s="3"/>
      <c r="H651" s="3"/>
      <c r="I651" s="3"/>
      <c r="J651" s="3"/>
      <c r="K651" s="1066" t="s">
        <v>201</v>
      </c>
      <c r="L651" s="1058"/>
      <c r="M651" s="1059">
        <f>SUM(M646:N650)</f>
        <v>127234.58583</v>
      </c>
      <c r="N651" s="1058"/>
    </row>
    <row r="652" spans="1:14" ht="12.75" customHeight="1" x14ac:dyDescent="0.25">
      <c r="A652" s="3"/>
      <c r="B652" s="3"/>
      <c r="C652" s="3"/>
      <c r="D652" s="3"/>
      <c r="E652" s="3"/>
      <c r="F652" s="3"/>
      <c r="G652" s="3"/>
      <c r="H652" s="3"/>
      <c r="I652" s="3"/>
      <c r="J652" s="3"/>
      <c r="K652" s="3"/>
      <c r="L652" s="3"/>
      <c r="M652" s="3"/>
      <c r="N652" s="3"/>
    </row>
    <row r="653" spans="1:14" ht="12.75" customHeight="1" x14ac:dyDescent="0.2">
      <c r="A653" s="1065" t="s">
        <v>392</v>
      </c>
      <c r="B653" s="1057"/>
      <c r="C653" s="1057"/>
      <c r="D653" s="1057"/>
      <c r="E653" s="1057"/>
      <c r="F653" s="1057"/>
      <c r="G653" s="1057"/>
      <c r="H653" s="1057"/>
      <c r="I653" s="1057"/>
      <c r="J653" s="1057"/>
      <c r="K653" s="1057"/>
      <c r="L653" s="1057"/>
      <c r="M653" s="1057"/>
      <c r="N653" s="1058"/>
    </row>
    <row r="654" spans="1:14" ht="12.75" customHeight="1" x14ac:dyDescent="0.2">
      <c r="A654" s="1066" t="s">
        <v>38</v>
      </c>
      <c r="B654" s="1057"/>
      <c r="C654" s="1057"/>
      <c r="D654" s="1057"/>
      <c r="E654" s="1057"/>
      <c r="F654" s="1057"/>
      <c r="G654" s="1058"/>
      <c r="H654" s="28" t="s">
        <v>39</v>
      </c>
      <c r="I654" s="1062" t="s">
        <v>385</v>
      </c>
      <c r="J654" s="1058"/>
      <c r="K654" s="1062" t="s">
        <v>132</v>
      </c>
      <c r="L654" s="1058"/>
      <c r="M654" s="1062" t="s">
        <v>386</v>
      </c>
      <c r="N654" s="1058"/>
    </row>
    <row r="655" spans="1:14" ht="12.75" customHeight="1" x14ac:dyDescent="0.2">
      <c r="A655" s="1061"/>
      <c r="B655" s="1057"/>
      <c r="C655" s="1057"/>
      <c r="D655" s="1057"/>
      <c r="E655" s="1057"/>
      <c r="F655" s="1057"/>
      <c r="G655" s="1058"/>
      <c r="H655" s="9"/>
      <c r="I655" s="1059"/>
      <c r="J655" s="1058"/>
      <c r="K655" s="1064"/>
      <c r="L655" s="1058"/>
      <c r="M655" s="1059" t="str">
        <f>IF(A655="","",I655*K655)</f>
        <v/>
      </c>
      <c r="N655" s="1058"/>
    </row>
    <row r="656" spans="1:14" ht="12.75" customHeight="1" x14ac:dyDescent="0.2">
      <c r="A656" s="1056"/>
      <c r="B656" s="1057"/>
      <c r="C656" s="1057"/>
      <c r="D656" s="1057"/>
      <c r="E656" s="1057"/>
      <c r="F656" s="1057"/>
      <c r="G656" s="1058"/>
      <c r="H656" s="9"/>
      <c r="I656" s="1059"/>
      <c r="J656" s="1058"/>
      <c r="K656" s="1064"/>
      <c r="L656" s="1058"/>
      <c r="M656" s="1059" t="str">
        <f>IF(A656="","",I656*K656)</f>
        <v/>
      </c>
      <c r="N656" s="1058"/>
    </row>
    <row r="657" spans="1:15" ht="12.75" customHeight="1" x14ac:dyDescent="0.2">
      <c r="A657" s="1061"/>
      <c r="B657" s="1057"/>
      <c r="C657" s="1057"/>
      <c r="D657" s="1057"/>
      <c r="E657" s="1057"/>
      <c r="F657" s="1057"/>
      <c r="G657" s="1058"/>
      <c r="H657" s="9"/>
      <c r="I657" s="1059"/>
      <c r="J657" s="1058"/>
      <c r="K657" s="1060"/>
      <c r="L657" s="1058"/>
      <c r="M657" s="1059" t="str">
        <f>IF(A657="","",I657*K657)</f>
        <v/>
      </c>
      <c r="N657" s="1058"/>
    </row>
    <row r="658" spans="1:15" ht="12.75" customHeight="1" x14ac:dyDescent="0.2">
      <c r="A658" s="1061"/>
      <c r="B658" s="1057"/>
      <c r="C658" s="1057"/>
      <c r="D658" s="1057"/>
      <c r="E658" s="1057"/>
      <c r="F658" s="1057"/>
      <c r="G658" s="1058"/>
      <c r="H658" s="9"/>
      <c r="I658" s="1059"/>
      <c r="J658" s="1058"/>
      <c r="K658" s="1060"/>
      <c r="L658" s="1058"/>
      <c r="M658" s="1059" t="str">
        <f>IF(A658="","",I658*K658)</f>
        <v/>
      </c>
      <c r="N658" s="1058"/>
    </row>
    <row r="659" spans="1:15" ht="12.75" customHeight="1" x14ac:dyDescent="0.2">
      <c r="A659" s="1061"/>
      <c r="B659" s="1057"/>
      <c r="C659" s="1057"/>
      <c r="D659" s="1057"/>
      <c r="E659" s="1057"/>
      <c r="F659" s="1057"/>
      <c r="G659" s="1058"/>
      <c r="H659" s="9"/>
      <c r="I659" s="1059"/>
      <c r="J659" s="1058"/>
      <c r="K659" s="1060"/>
      <c r="L659" s="1058"/>
      <c r="M659" s="1059" t="str">
        <f>IF(A659="","",I659*K659)</f>
        <v/>
      </c>
      <c r="N659" s="1058"/>
    </row>
    <row r="660" spans="1:15" ht="12.75" customHeight="1" x14ac:dyDescent="0.25">
      <c r="A660" s="3"/>
      <c r="B660" s="3"/>
      <c r="C660" s="3"/>
      <c r="D660" s="3"/>
      <c r="E660" s="3"/>
      <c r="F660" s="3"/>
      <c r="G660" s="3"/>
      <c r="H660" s="3"/>
      <c r="I660" s="3"/>
      <c r="J660" s="3"/>
      <c r="K660" s="1066" t="s">
        <v>201</v>
      </c>
      <c r="L660" s="1058"/>
      <c r="M660" s="1059">
        <f>SUM(M655:N659)</f>
        <v>0</v>
      </c>
      <c r="N660" s="1058"/>
    </row>
    <row r="661" spans="1:15" ht="12.75" customHeight="1" x14ac:dyDescent="0.25">
      <c r="A661" s="3"/>
      <c r="B661" s="3"/>
      <c r="C661" s="3"/>
      <c r="D661" s="3"/>
      <c r="E661" s="3"/>
      <c r="F661" s="3"/>
      <c r="G661" s="3"/>
      <c r="H661" s="3"/>
      <c r="I661" s="3"/>
      <c r="J661" s="3"/>
      <c r="K661" s="3"/>
      <c r="L661" s="3"/>
      <c r="M661" s="3"/>
      <c r="N661" s="3"/>
    </row>
    <row r="662" spans="1:15" ht="12.75" customHeight="1" x14ac:dyDescent="0.2">
      <c r="A662" s="1065" t="s">
        <v>394</v>
      </c>
      <c r="B662" s="1057"/>
      <c r="C662" s="1057"/>
      <c r="D662" s="1057"/>
      <c r="E662" s="1057"/>
      <c r="F662" s="1057"/>
      <c r="G662" s="1057"/>
      <c r="H662" s="1057"/>
      <c r="I662" s="1057"/>
      <c r="J662" s="1057"/>
      <c r="K662" s="1057"/>
      <c r="L662" s="1057"/>
      <c r="M662" s="1057"/>
      <c r="N662" s="1058"/>
    </row>
    <row r="663" spans="1:15" ht="12.75" customHeight="1" x14ac:dyDescent="0.2">
      <c r="A663" s="1066" t="s">
        <v>38</v>
      </c>
      <c r="B663" s="1057"/>
      <c r="C663" s="1057"/>
      <c r="D663" s="1057"/>
      <c r="E663" s="1057"/>
      <c r="F663" s="1057"/>
      <c r="G663" s="1058"/>
      <c r="H663" s="28" t="s">
        <v>39</v>
      </c>
      <c r="I663" s="1062" t="s">
        <v>385</v>
      </c>
      <c r="J663" s="1058"/>
      <c r="K663" s="30" t="s">
        <v>193</v>
      </c>
      <c r="L663" s="31" t="s">
        <v>395</v>
      </c>
      <c r="M663" s="1062" t="s">
        <v>386</v>
      </c>
      <c r="N663" s="1058"/>
    </row>
    <row r="664" spans="1:15" ht="12.75" customHeight="1" x14ac:dyDescent="0.25">
      <c r="A664" s="1063" t="s">
        <v>423</v>
      </c>
      <c r="B664" s="1057"/>
      <c r="C664" s="1057"/>
      <c r="D664" s="1057"/>
      <c r="E664" s="1057"/>
      <c r="F664" s="1057"/>
      <c r="G664" s="1058"/>
      <c r="H664" s="9" t="str">
        <f>IF(A664="","",VLOOKUP(A664,AA_Cuadrillas,4,FALSE))</f>
        <v>Cuadrilla</v>
      </c>
      <c r="I664" s="1059">
        <f>IF(A664="","",VLOOKUP(A664,AA_Cuadrillas,5,FALSE))</f>
        <v>134236</v>
      </c>
      <c r="J664" s="1058"/>
      <c r="K664" s="1">
        <f>IF(A664="","",'06'!$J$3)</f>
        <v>1.7233500000000002</v>
      </c>
      <c r="L664" s="32">
        <v>11</v>
      </c>
      <c r="M664" s="1059">
        <f>IF(A664="","",I664*K664*L664)</f>
        <v>2544691.7165999999</v>
      </c>
      <c r="N664" s="1058"/>
    </row>
    <row r="665" spans="1:15" ht="12.75" customHeight="1" x14ac:dyDescent="0.25">
      <c r="A665" s="1063"/>
      <c r="B665" s="1057"/>
      <c r="C665" s="1057"/>
      <c r="D665" s="1057"/>
      <c r="E665" s="1057"/>
      <c r="F665" s="1057"/>
      <c r="G665" s="1058"/>
      <c r="H665" s="9" t="str">
        <f>IF(A665="","",VLOOKUP(A665,AA_Cuadrillas,4,FALSE))</f>
        <v/>
      </c>
      <c r="I665" s="1059" t="str">
        <f>IF(A665="","",VLOOKUP(A665,AA_Cuadrillas,5,FALSE))</f>
        <v/>
      </c>
      <c r="J665" s="1058"/>
      <c r="K665" s="1" t="str">
        <f>IF(A665="","",'06'!$J$3)</f>
        <v/>
      </c>
      <c r="L665" s="1"/>
      <c r="M665" s="1059" t="str">
        <f>IF(A665="","",I665*K665*L665)</f>
        <v/>
      </c>
      <c r="N665" s="1058"/>
    </row>
    <row r="666" spans="1:15" ht="12.75" customHeight="1" x14ac:dyDescent="0.25">
      <c r="A666" s="1063"/>
      <c r="B666" s="1057"/>
      <c r="C666" s="1057"/>
      <c r="D666" s="1057"/>
      <c r="E666" s="1057"/>
      <c r="F666" s="1057"/>
      <c r="G666" s="1058"/>
      <c r="H666" s="9" t="str">
        <f>IF(A666="","",VLOOKUP(A666,AA_Cuadrillas,4,FALSE))</f>
        <v/>
      </c>
      <c r="I666" s="1059" t="str">
        <f>IF(A666="","",VLOOKUP(A666,AA_Cuadrillas,5,FALSE))</f>
        <v/>
      </c>
      <c r="J666" s="1058"/>
      <c r="K666" s="1" t="str">
        <f>IF(A666="","",'06'!$J$3)</f>
        <v/>
      </c>
      <c r="L666" s="10"/>
      <c r="M666" s="1059" t="str">
        <f>IF(A666="","",I666*K666*L666)</f>
        <v/>
      </c>
      <c r="N666" s="1058"/>
    </row>
    <row r="667" spans="1:15" ht="12.75" customHeight="1" x14ac:dyDescent="0.25">
      <c r="A667" s="1063"/>
      <c r="B667" s="1057"/>
      <c r="C667" s="1057"/>
      <c r="D667" s="1057"/>
      <c r="E667" s="1057"/>
      <c r="F667" s="1057"/>
      <c r="G667" s="1058"/>
      <c r="H667" s="9" t="str">
        <f>IF(A667="","",VLOOKUP(A667,AA_Cuadrillas,4,FALSE))</f>
        <v/>
      </c>
      <c r="I667" s="1059" t="str">
        <f>IF(A667="","",VLOOKUP(A667,AA_Cuadrillas,5,FALSE))</f>
        <v/>
      </c>
      <c r="J667" s="1058"/>
      <c r="K667" s="1" t="str">
        <f>IF(A667="","",'06'!$J$3)</f>
        <v/>
      </c>
      <c r="L667" s="10"/>
      <c r="M667" s="1059" t="str">
        <f>IF(A667="","",I667*K667*L667)</f>
        <v/>
      </c>
      <c r="N667" s="1058"/>
    </row>
    <row r="668" spans="1:15" ht="12.75" customHeight="1" x14ac:dyDescent="0.25">
      <c r="A668" s="1063"/>
      <c r="B668" s="1057"/>
      <c r="C668" s="1057"/>
      <c r="D668" s="1057"/>
      <c r="E668" s="1057"/>
      <c r="F668" s="1057"/>
      <c r="G668" s="1058"/>
      <c r="H668" s="9" t="str">
        <f>IF(A668="","",VLOOKUP(A668,AA_Cuadrillas,4,FALSE))</f>
        <v/>
      </c>
      <c r="I668" s="1059" t="str">
        <f>IF(A668="","",VLOOKUP(A668,AA_Cuadrillas,5,FALSE))</f>
        <v/>
      </c>
      <c r="J668" s="1058"/>
      <c r="K668" s="1" t="str">
        <f>IF(A668="","",'06'!$J$3)</f>
        <v/>
      </c>
      <c r="L668" s="10"/>
      <c r="M668" s="1059" t="str">
        <f>IF(A668="","",I668*K668*L668)</f>
        <v/>
      </c>
      <c r="N668" s="1058"/>
    </row>
    <row r="669" spans="1:15" ht="12.75" customHeight="1" x14ac:dyDescent="0.25">
      <c r="A669" s="3"/>
      <c r="B669" s="3"/>
      <c r="C669" s="3"/>
      <c r="D669" s="3"/>
      <c r="E669" s="3"/>
      <c r="F669" s="3"/>
      <c r="G669" s="3"/>
      <c r="H669" s="3"/>
      <c r="I669" s="3"/>
      <c r="J669" s="3"/>
      <c r="K669" s="1066" t="s">
        <v>201</v>
      </c>
      <c r="L669" s="1058"/>
      <c r="M669" s="1059">
        <f>SUM(M664:N668)</f>
        <v>2544691.7165999999</v>
      </c>
      <c r="N669" s="1058"/>
    </row>
    <row r="670" spans="1:15" ht="12.75" customHeight="1" x14ac:dyDescent="0.2"/>
    <row r="671" spans="1:15" ht="12.75" customHeight="1" x14ac:dyDescent="0.2">
      <c r="A671" s="1068" t="s">
        <v>1681</v>
      </c>
      <c r="B671" s="1052"/>
      <c r="C671" s="1052"/>
      <c r="D671" s="1052"/>
      <c r="E671" s="1052"/>
      <c r="F671" s="1052"/>
      <c r="G671" s="1052"/>
      <c r="H671" s="1052"/>
      <c r="I671" s="1052"/>
      <c r="J671" s="1052"/>
      <c r="K671" s="1052"/>
      <c r="L671" s="1052"/>
      <c r="M671" s="1052"/>
      <c r="N671" s="1053"/>
      <c r="O671" s="7"/>
    </row>
    <row r="672" spans="1:15" ht="12.75" customHeight="1" x14ac:dyDescent="0.2">
      <c r="A672" s="1031"/>
      <c r="B672" s="1032"/>
      <c r="C672" s="1032"/>
      <c r="D672" s="1032"/>
      <c r="E672" s="1032"/>
      <c r="F672" s="1032"/>
      <c r="G672" s="1032"/>
      <c r="H672" s="1032"/>
      <c r="I672" s="1032"/>
      <c r="J672" s="1032"/>
      <c r="K672" s="1032"/>
      <c r="L672" s="1032"/>
      <c r="M672" s="1032"/>
      <c r="N672" s="1055"/>
      <c r="O672" s="7"/>
    </row>
    <row r="673" spans="1:14" ht="12.75" customHeight="1" x14ac:dyDescent="0.2">
      <c r="A673" s="16"/>
      <c r="B673" s="16"/>
      <c r="C673" s="16"/>
      <c r="D673" s="16"/>
      <c r="E673" s="16"/>
      <c r="F673" s="16"/>
      <c r="G673" s="16"/>
      <c r="H673" s="16"/>
      <c r="I673" s="16"/>
      <c r="J673" s="16"/>
      <c r="K673" s="16"/>
      <c r="L673" s="16"/>
      <c r="M673" s="16"/>
      <c r="N673" s="16"/>
    </row>
    <row r="674" spans="1:14" ht="12.75" customHeight="1" x14ac:dyDescent="0.3">
      <c r="A674" s="18" t="s">
        <v>306</v>
      </c>
      <c r="B674" s="19" t="str">
        <f>A671</f>
        <v>SUMINISTRO E INSTALACIÓN VÁLVULA DE CORTE (INCLUYE ACCESORIOS) Ø3". INCLUYE TRANSPORTE</v>
      </c>
      <c r="C674" s="20" t="s">
        <v>382</v>
      </c>
      <c r="D674" s="127" t="s">
        <v>424</v>
      </c>
      <c r="E674" s="22" t="s">
        <v>125</v>
      </c>
      <c r="F674" s="26">
        <f>(H674+J674+L674+N674)*$O$2</f>
        <v>4893073.7301628003</v>
      </c>
      <c r="G674" s="22" t="s">
        <v>285</v>
      </c>
      <c r="H674" s="26">
        <f>M684</f>
        <v>3472420</v>
      </c>
      <c r="I674" s="22" t="s">
        <v>383</v>
      </c>
      <c r="J674" s="26">
        <f>M693</f>
        <v>13880.136636000003</v>
      </c>
      <c r="K674" s="22" t="s">
        <v>287</v>
      </c>
      <c r="L674" s="26">
        <f>M702</f>
        <v>0</v>
      </c>
      <c r="M674" s="22" t="s">
        <v>288</v>
      </c>
      <c r="N674" s="26">
        <f>M711</f>
        <v>277602.73272000003</v>
      </c>
    </row>
    <row r="675" spans="1:14" ht="12.75" customHeight="1" x14ac:dyDescent="0.25">
      <c r="A675" s="27"/>
      <c r="B675" s="27"/>
      <c r="C675" s="27"/>
      <c r="D675" s="27"/>
      <c r="E675" s="27"/>
      <c r="F675" s="27"/>
      <c r="G675" s="27"/>
      <c r="J675" s="27"/>
      <c r="K675" s="27"/>
      <c r="L675" s="27"/>
      <c r="M675" s="27"/>
      <c r="N675" s="27"/>
    </row>
    <row r="676" spans="1:14" ht="12.75" customHeight="1" x14ac:dyDescent="0.2">
      <c r="A676" s="1065" t="s">
        <v>384</v>
      </c>
      <c r="B676" s="1057"/>
      <c r="C676" s="1057"/>
      <c r="D676" s="1057"/>
      <c r="E676" s="1057"/>
      <c r="F676" s="1057"/>
      <c r="G676" s="1057"/>
      <c r="H676" s="1057"/>
      <c r="I676" s="1057"/>
      <c r="J676" s="1057"/>
      <c r="K676" s="1057"/>
      <c r="L676" s="1057"/>
      <c r="M676" s="1057"/>
      <c r="N676" s="1058"/>
    </row>
    <row r="677" spans="1:14" ht="12.75" customHeight="1" x14ac:dyDescent="0.2">
      <c r="A677" s="1066" t="s">
        <v>38</v>
      </c>
      <c r="B677" s="1057"/>
      <c r="C677" s="1057"/>
      <c r="D677" s="1057"/>
      <c r="E677" s="1057"/>
      <c r="F677" s="1057"/>
      <c r="G677" s="1058"/>
      <c r="H677" s="28" t="s">
        <v>39</v>
      </c>
      <c r="I677" s="1062" t="s">
        <v>385</v>
      </c>
      <c r="J677" s="1058"/>
      <c r="K677" s="1062" t="s">
        <v>132</v>
      </c>
      <c r="L677" s="1058"/>
      <c r="M677" s="1062" t="s">
        <v>386</v>
      </c>
      <c r="N677" s="1058"/>
    </row>
    <row r="678" spans="1:14" ht="12.75" customHeight="1" x14ac:dyDescent="0.2">
      <c r="A678" s="1056" t="s">
        <v>1536</v>
      </c>
      <c r="B678" s="1057"/>
      <c r="C678" s="1057"/>
      <c r="D678" s="1057"/>
      <c r="E678" s="1057"/>
      <c r="F678" s="1057"/>
      <c r="G678" s="1058"/>
      <c r="H678" s="9" t="str">
        <f t="shared" ref="H678:H683" si="30">IF(A678="","",VLOOKUP(A678,AA_Materiales,7,FALSE))</f>
        <v>Unidad</v>
      </c>
      <c r="I678" s="1059">
        <f t="shared" ref="I678:I683" si="31">IF(A678="","",VLOOKUP(A678,AA_Materiales,8,FALSE))</f>
        <v>3472420</v>
      </c>
      <c r="J678" s="1058"/>
      <c r="K678" s="1060">
        <v>1</v>
      </c>
      <c r="L678" s="1058"/>
      <c r="M678" s="1059">
        <f t="shared" ref="M678:M683" si="32">IF(A678="","",I678*K678)</f>
        <v>3472420</v>
      </c>
      <c r="N678" s="1058"/>
    </row>
    <row r="679" spans="1:14" ht="12.75" customHeight="1" x14ac:dyDescent="0.2">
      <c r="A679" s="1061"/>
      <c r="B679" s="1057"/>
      <c r="C679" s="1057"/>
      <c r="D679" s="1057"/>
      <c r="E679" s="1057"/>
      <c r="F679" s="1057"/>
      <c r="G679" s="1058"/>
      <c r="H679" s="9" t="str">
        <f t="shared" si="30"/>
        <v/>
      </c>
      <c r="I679" s="1059" t="str">
        <f t="shared" si="31"/>
        <v/>
      </c>
      <c r="J679" s="1058"/>
      <c r="K679" s="1060"/>
      <c r="L679" s="1058"/>
      <c r="M679" s="1059" t="str">
        <f t="shared" si="32"/>
        <v/>
      </c>
      <c r="N679" s="1058"/>
    </row>
    <row r="680" spans="1:14" ht="12.75" customHeight="1" x14ac:dyDescent="0.2">
      <c r="A680" s="1061"/>
      <c r="B680" s="1057"/>
      <c r="C680" s="1057"/>
      <c r="D680" s="1057"/>
      <c r="E680" s="1057"/>
      <c r="F680" s="1057"/>
      <c r="G680" s="1058"/>
      <c r="H680" s="9" t="str">
        <f t="shared" si="30"/>
        <v/>
      </c>
      <c r="I680" s="1059" t="str">
        <f t="shared" si="31"/>
        <v/>
      </c>
      <c r="J680" s="1058"/>
      <c r="K680" s="1060"/>
      <c r="L680" s="1058"/>
      <c r="M680" s="1059" t="str">
        <f t="shared" si="32"/>
        <v/>
      </c>
      <c r="N680" s="1058"/>
    </row>
    <row r="681" spans="1:14" ht="12.75" customHeight="1" x14ac:dyDescent="0.2">
      <c r="A681" s="1061"/>
      <c r="B681" s="1057"/>
      <c r="C681" s="1057"/>
      <c r="D681" s="1057"/>
      <c r="E681" s="1057"/>
      <c r="F681" s="1057"/>
      <c r="G681" s="1058"/>
      <c r="H681" s="9" t="str">
        <f t="shared" si="30"/>
        <v/>
      </c>
      <c r="I681" s="1059" t="str">
        <f t="shared" si="31"/>
        <v/>
      </c>
      <c r="J681" s="1058"/>
      <c r="K681" s="1060"/>
      <c r="L681" s="1058"/>
      <c r="M681" s="1059" t="str">
        <f t="shared" si="32"/>
        <v/>
      </c>
      <c r="N681" s="1058"/>
    </row>
    <row r="682" spans="1:14" ht="12.75" customHeight="1" x14ac:dyDescent="0.2">
      <c r="A682" s="1061"/>
      <c r="B682" s="1057"/>
      <c r="C682" s="1057"/>
      <c r="D682" s="1057"/>
      <c r="E682" s="1057"/>
      <c r="F682" s="1057"/>
      <c r="G682" s="1058"/>
      <c r="H682" s="9" t="str">
        <f t="shared" si="30"/>
        <v/>
      </c>
      <c r="I682" s="1059" t="str">
        <f t="shared" si="31"/>
        <v/>
      </c>
      <c r="J682" s="1058"/>
      <c r="K682" s="1060"/>
      <c r="L682" s="1058"/>
      <c r="M682" s="1059" t="str">
        <f t="shared" si="32"/>
        <v/>
      </c>
      <c r="N682" s="1058"/>
    </row>
    <row r="683" spans="1:14" ht="12.75" customHeight="1" x14ac:dyDescent="0.2">
      <c r="A683" s="1061"/>
      <c r="B683" s="1057"/>
      <c r="C683" s="1057"/>
      <c r="D683" s="1057"/>
      <c r="E683" s="1057"/>
      <c r="F683" s="1057"/>
      <c r="G683" s="1058"/>
      <c r="H683" s="9" t="str">
        <f t="shared" si="30"/>
        <v/>
      </c>
      <c r="I683" s="1059" t="str">
        <f t="shared" si="31"/>
        <v/>
      </c>
      <c r="J683" s="1058"/>
      <c r="K683" s="1060"/>
      <c r="L683" s="1058"/>
      <c r="M683" s="1059" t="str">
        <f t="shared" si="32"/>
        <v/>
      </c>
      <c r="N683" s="1058"/>
    </row>
    <row r="684" spans="1:14" ht="12.75" customHeight="1" x14ac:dyDescent="0.25">
      <c r="A684" s="3"/>
      <c r="B684" s="3"/>
      <c r="C684" s="3"/>
      <c r="D684" s="3"/>
      <c r="E684" s="3"/>
      <c r="F684" s="3"/>
      <c r="G684" s="3"/>
      <c r="H684" s="3"/>
      <c r="I684" s="3"/>
      <c r="J684" s="3"/>
      <c r="K684" s="1066" t="s">
        <v>201</v>
      </c>
      <c r="L684" s="1058"/>
      <c r="M684" s="1059">
        <f>SUM(M678:N683)</f>
        <v>3472420</v>
      </c>
      <c r="N684" s="1058"/>
    </row>
    <row r="685" spans="1:14" ht="12.75" customHeight="1" x14ac:dyDescent="0.25">
      <c r="A685" s="3"/>
      <c r="B685" s="3"/>
      <c r="C685" s="3"/>
      <c r="D685" s="3"/>
      <c r="E685" s="3"/>
      <c r="F685" s="3"/>
      <c r="G685" s="3"/>
      <c r="H685" s="3"/>
      <c r="I685" s="3"/>
      <c r="J685" s="3"/>
      <c r="K685" s="3"/>
      <c r="L685" s="3"/>
      <c r="M685" s="3"/>
      <c r="N685" s="3"/>
    </row>
    <row r="686" spans="1:14" ht="12.75" customHeight="1" x14ac:dyDescent="0.2">
      <c r="A686" s="1065" t="s">
        <v>390</v>
      </c>
      <c r="B686" s="1057"/>
      <c r="C686" s="1057"/>
      <c r="D686" s="1057"/>
      <c r="E686" s="1057"/>
      <c r="F686" s="1057"/>
      <c r="G686" s="1057"/>
      <c r="H686" s="1057"/>
      <c r="I686" s="1057"/>
      <c r="J686" s="1057"/>
      <c r="K686" s="1057"/>
      <c r="L686" s="1057"/>
      <c r="M686" s="1057"/>
      <c r="N686" s="1058"/>
    </row>
    <row r="687" spans="1:14" ht="12.75" customHeight="1" x14ac:dyDescent="0.2">
      <c r="A687" s="1066" t="s">
        <v>38</v>
      </c>
      <c r="B687" s="1057"/>
      <c r="C687" s="1057"/>
      <c r="D687" s="1057"/>
      <c r="E687" s="1057"/>
      <c r="F687" s="1057"/>
      <c r="G687" s="1058"/>
      <c r="H687" s="28" t="s">
        <v>39</v>
      </c>
      <c r="I687" s="1062" t="s">
        <v>385</v>
      </c>
      <c r="J687" s="1058"/>
      <c r="K687" s="1062" t="s">
        <v>132</v>
      </c>
      <c r="L687" s="1058"/>
      <c r="M687" s="1062" t="s">
        <v>386</v>
      </c>
      <c r="N687" s="1058"/>
    </row>
    <row r="688" spans="1:14" ht="12.75" customHeight="1" x14ac:dyDescent="0.2">
      <c r="A688" s="1061" t="s">
        <v>391</v>
      </c>
      <c r="B688" s="1057"/>
      <c r="C688" s="1057"/>
      <c r="D688" s="1057"/>
      <c r="E688" s="1057"/>
      <c r="F688" s="1057"/>
      <c r="G688" s="1058"/>
      <c r="H688" s="9" t="str">
        <f>IF(A688="","",VLOOKUP(A688,AA_Equipos,7,FALSE))</f>
        <v>% M.O.</v>
      </c>
      <c r="I688" s="1059">
        <f>+M711</f>
        <v>277602.73272000003</v>
      </c>
      <c r="J688" s="1058"/>
      <c r="K688" s="1064">
        <v>0.05</v>
      </c>
      <c r="L688" s="1058"/>
      <c r="M688" s="1059">
        <f>IF(A688="","",I688*K688)</f>
        <v>13880.136636000003</v>
      </c>
      <c r="N688" s="1058"/>
    </row>
    <row r="689" spans="1:14" ht="12.75" customHeight="1" x14ac:dyDescent="0.2">
      <c r="A689" s="1056"/>
      <c r="B689" s="1057"/>
      <c r="C689" s="1057"/>
      <c r="D689" s="1057"/>
      <c r="E689" s="1057"/>
      <c r="F689" s="1057"/>
      <c r="G689" s="1058"/>
      <c r="H689" s="9" t="str">
        <f>IF(A689="","",VLOOKUP(A689,AA_Equipos,7,FALSE))</f>
        <v/>
      </c>
      <c r="I689" s="1059" t="str">
        <f>IF(A689="","",VLOOKUP(A689,AA_Equipos,8,FALSE))</f>
        <v/>
      </c>
      <c r="J689" s="1058"/>
      <c r="K689" s="1067"/>
      <c r="L689" s="1058"/>
      <c r="M689" s="1059" t="str">
        <f>IF(A689="","",I689*K689)</f>
        <v/>
      </c>
      <c r="N689" s="1058"/>
    </row>
    <row r="690" spans="1:14" ht="12.75" customHeight="1" x14ac:dyDescent="0.2">
      <c r="A690" s="1061"/>
      <c r="B690" s="1057"/>
      <c r="C690" s="1057"/>
      <c r="D690" s="1057"/>
      <c r="E690" s="1057"/>
      <c r="F690" s="1057"/>
      <c r="G690" s="1058"/>
      <c r="H690" s="9" t="str">
        <f>IF(A690="","",VLOOKUP(A690,AA_Equipos,7,FALSE))</f>
        <v/>
      </c>
      <c r="I690" s="1059" t="str">
        <f>IF(A690="","",VLOOKUP(A690,AA_Equipos,8,FALSE))</f>
        <v/>
      </c>
      <c r="J690" s="1058"/>
      <c r="K690" s="1070"/>
      <c r="L690" s="1058"/>
      <c r="M690" s="1059" t="str">
        <f>IF(A690="","",I690*K690)</f>
        <v/>
      </c>
      <c r="N690" s="1058"/>
    </row>
    <row r="691" spans="1:14" ht="12.75" customHeight="1" x14ac:dyDescent="0.2">
      <c r="A691" s="1061"/>
      <c r="B691" s="1057"/>
      <c r="C691" s="1057"/>
      <c r="D691" s="1057"/>
      <c r="E691" s="1057"/>
      <c r="F691" s="1057"/>
      <c r="G691" s="1058"/>
      <c r="H691" s="9" t="str">
        <f>IF(A691="","",VLOOKUP(A691,AA_Equipos,7,FALSE))</f>
        <v/>
      </c>
      <c r="I691" s="1059" t="str">
        <f>IF(A691="","",VLOOKUP(A691,AA_Equipos,8,FALSE))</f>
        <v/>
      </c>
      <c r="J691" s="1058"/>
      <c r="K691" s="1060"/>
      <c r="L691" s="1058"/>
      <c r="M691" s="1059" t="str">
        <f>IF(A691="","",I691*K691)</f>
        <v/>
      </c>
      <c r="N691" s="1058"/>
    </row>
    <row r="692" spans="1:14" ht="12.75" customHeight="1" x14ac:dyDescent="0.2">
      <c r="A692" s="1061"/>
      <c r="B692" s="1057"/>
      <c r="C692" s="1057"/>
      <c r="D692" s="1057"/>
      <c r="E692" s="1057"/>
      <c r="F692" s="1057"/>
      <c r="G692" s="1058"/>
      <c r="H692" s="9" t="str">
        <f>IF(A692="","",VLOOKUP(A692,AA_Equipos,7,FALSE))</f>
        <v/>
      </c>
      <c r="I692" s="1059" t="str">
        <f>IF(A692="","",VLOOKUP(A692,AA_Equipos,8,FALSE))</f>
        <v/>
      </c>
      <c r="J692" s="1058"/>
      <c r="K692" s="1060"/>
      <c r="L692" s="1058"/>
      <c r="M692" s="1059" t="str">
        <f>IF(A692="","",I692*K692)</f>
        <v/>
      </c>
      <c r="N692" s="1058"/>
    </row>
    <row r="693" spans="1:14" ht="12.75" customHeight="1" x14ac:dyDescent="0.25">
      <c r="A693" s="3"/>
      <c r="B693" s="3"/>
      <c r="C693" s="3"/>
      <c r="D693" s="3"/>
      <c r="E693" s="3"/>
      <c r="F693" s="3"/>
      <c r="G693" s="3"/>
      <c r="H693" s="3"/>
      <c r="I693" s="3"/>
      <c r="J693" s="3"/>
      <c r="K693" s="1066" t="s">
        <v>201</v>
      </c>
      <c r="L693" s="1058"/>
      <c r="M693" s="1059">
        <f>SUM(M688:N692)</f>
        <v>13880.136636000003</v>
      </c>
      <c r="N693" s="1058"/>
    </row>
    <row r="694" spans="1:14" ht="12.75" customHeight="1" x14ac:dyDescent="0.25">
      <c r="A694" s="3"/>
      <c r="B694" s="3"/>
      <c r="C694" s="3"/>
      <c r="D694" s="3"/>
      <c r="E694" s="3"/>
      <c r="F694" s="3"/>
      <c r="G694" s="3"/>
      <c r="H694" s="3"/>
      <c r="I694" s="3"/>
      <c r="J694" s="3"/>
      <c r="K694" s="3"/>
      <c r="L694" s="3"/>
      <c r="M694" s="3"/>
      <c r="N694" s="3"/>
    </row>
    <row r="695" spans="1:14" ht="12.75" customHeight="1" x14ac:dyDescent="0.2">
      <c r="A695" s="1065" t="s">
        <v>392</v>
      </c>
      <c r="B695" s="1057"/>
      <c r="C695" s="1057"/>
      <c r="D695" s="1057"/>
      <c r="E695" s="1057"/>
      <c r="F695" s="1057"/>
      <c r="G695" s="1057"/>
      <c r="H695" s="1057"/>
      <c r="I695" s="1057"/>
      <c r="J695" s="1057"/>
      <c r="K695" s="1057"/>
      <c r="L695" s="1057"/>
      <c r="M695" s="1057"/>
      <c r="N695" s="1058"/>
    </row>
    <row r="696" spans="1:14" ht="12.75" customHeight="1" x14ac:dyDescent="0.2">
      <c r="A696" s="1066" t="s">
        <v>38</v>
      </c>
      <c r="B696" s="1057"/>
      <c r="C696" s="1057"/>
      <c r="D696" s="1057"/>
      <c r="E696" s="1057"/>
      <c r="F696" s="1057"/>
      <c r="G696" s="1058"/>
      <c r="H696" s="28" t="s">
        <v>39</v>
      </c>
      <c r="I696" s="1062" t="s">
        <v>385</v>
      </c>
      <c r="J696" s="1058"/>
      <c r="K696" s="1062" t="s">
        <v>132</v>
      </c>
      <c r="L696" s="1058"/>
      <c r="M696" s="1062" t="s">
        <v>386</v>
      </c>
      <c r="N696" s="1058"/>
    </row>
    <row r="697" spans="1:14" ht="12.75" customHeight="1" x14ac:dyDescent="0.2">
      <c r="A697" s="1061"/>
      <c r="B697" s="1057"/>
      <c r="C697" s="1057"/>
      <c r="D697" s="1057"/>
      <c r="E697" s="1057"/>
      <c r="F697" s="1057"/>
      <c r="G697" s="1058"/>
      <c r="H697" s="9"/>
      <c r="I697" s="1059"/>
      <c r="J697" s="1058"/>
      <c r="K697" s="1064"/>
      <c r="L697" s="1058"/>
      <c r="M697" s="1059" t="str">
        <f>IF(A697="","",I697*K697)</f>
        <v/>
      </c>
      <c r="N697" s="1058"/>
    </row>
    <row r="698" spans="1:14" ht="12.75" customHeight="1" x14ac:dyDescent="0.2">
      <c r="A698" s="1056"/>
      <c r="B698" s="1057"/>
      <c r="C698" s="1057"/>
      <c r="D698" s="1057"/>
      <c r="E698" s="1057"/>
      <c r="F698" s="1057"/>
      <c r="G698" s="1058"/>
      <c r="H698" s="9"/>
      <c r="I698" s="1059"/>
      <c r="J698" s="1058"/>
      <c r="K698" s="1064"/>
      <c r="L698" s="1058"/>
      <c r="M698" s="1059" t="str">
        <f>IF(A698="","",I698*K698)</f>
        <v/>
      </c>
      <c r="N698" s="1058"/>
    </row>
    <row r="699" spans="1:14" ht="12.75" customHeight="1" x14ac:dyDescent="0.2">
      <c r="A699" s="1061"/>
      <c r="B699" s="1057"/>
      <c r="C699" s="1057"/>
      <c r="D699" s="1057"/>
      <c r="E699" s="1057"/>
      <c r="F699" s="1057"/>
      <c r="G699" s="1058"/>
      <c r="H699" s="9"/>
      <c r="I699" s="1059"/>
      <c r="J699" s="1058"/>
      <c r="K699" s="1060"/>
      <c r="L699" s="1058"/>
      <c r="M699" s="1059" t="str">
        <f>IF(A699="","",I699*K699)</f>
        <v/>
      </c>
      <c r="N699" s="1058"/>
    </row>
    <row r="700" spans="1:14" ht="12.75" customHeight="1" x14ac:dyDescent="0.2">
      <c r="A700" s="1061"/>
      <c r="B700" s="1057"/>
      <c r="C700" s="1057"/>
      <c r="D700" s="1057"/>
      <c r="E700" s="1057"/>
      <c r="F700" s="1057"/>
      <c r="G700" s="1058"/>
      <c r="H700" s="9"/>
      <c r="I700" s="1059"/>
      <c r="J700" s="1058"/>
      <c r="K700" s="1060"/>
      <c r="L700" s="1058"/>
      <c r="M700" s="1059" t="str">
        <f>IF(A700="","",I700*K700)</f>
        <v/>
      </c>
      <c r="N700" s="1058"/>
    </row>
    <row r="701" spans="1:14" ht="12.75" customHeight="1" x14ac:dyDescent="0.2">
      <c r="A701" s="1061"/>
      <c r="B701" s="1057"/>
      <c r="C701" s="1057"/>
      <c r="D701" s="1057"/>
      <c r="E701" s="1057"/>
      <c r="F701" s="1057"/>
      <c r="G701" s="1058"/>
      <c r="H701" s="9"/>
      <c r="I701" s="1059"/>
      <c r="J701" s="1058"/>
      <c r="K701" s="1060"/>
      <c r="L701" s="1058"/>
      <c r="M701" s="1059" t="str">
        <f>IF(A701="","",I701*K701)</f>
        <v/>
      </c>
      <c r="N701" s="1058"/>
    </row>
    <row r="702" spans="1:14" ht="12.75" customHeight="1" x14ac:dyDescent="0.25">
      <c r="A702" s="3"/>
      <c r="B702" s="3"/>
      <c r="C702" s="3"/>
      <c r="D702" s="3"/>
      <c r="E702" s="3"/>
      <c r="F702" s="3"/>
      <c r="G702" s="3"/>
      <c r="H702" s="3"/>
      <c r="I702" s="3"/>
      <c r="J702" s="3"/>
      <c r="K702" s="1066" t="s">
        <v>201</v>
      </c>
      <c r="L702" s="1058"/>
      <c r="M702" s="1059">
        <f>SUM(M697:N701)</f>
        <v>0</v>
      </c>
      <c r="N702" s="1058"/>
    </row>
    <row r="703" spans="1:14" ht="12.75" customHeight="1" x14ac:dyDescent="0.25">
      <c r="A703" s="3"/>
      <c r="B703" s="3"/>
      <c r="C703" s="3"/>
      <c r="D703" s="3"/>
      <c r="E703" s="3"/>
      <c r="F703" s="3"/>
      <c r="G703" s="3"/>
      <c r="H703" s="3"/>
      <c r="I703" s="3"/>
      <c r="J703" s="3"/>
      <c r="K703" s="3"/>
      <c r="L703" s="3"/>
      <c r="M703" s="3"/>
      <c r="N703" s="3"/>
    </row>
    <row r="704" spans="1:14" ht="12.75" customHeight="1" x14ac:dyDescent="0.2">
      <c r="A704" s="1065" t="s">
        <v>394</v>
      </c>
      <c r="B704" s="1057"/>
      <c r="C704" s="1057"/>
      <c r="D704" s="1057"/>
      <c r="E704" s="1057"/>
      <c r="F704" s="1057"/>
      <c r="G704" s="1057"/>
      <c r="H704" s="1057"/>
      <c r="I704" s="1057"/>
      <c r="J704" s="1057"/>
      <c r="K704" s="1057"/>
      <c r="L704" s="1057"/>
      <c r="M704" s="1057"/>
      <c r="N704" s="1058"/>
    </row>
    <row r="705" spans="1:15" ht="12.75" customHeight="1" x14ac:dyDescent="0.2">
      <c r="A705" s="1066" t="s">
        <v>38</v>
      </c>
      <c r="B705" s="1057"/>
      <c r="C705" s="1057"/>
      <c r="D705" s="1057"/>
      <c r="E705" s="1057"/>
      <c r="F705" s="1057"/>
      <c r="G705" s="1058"/>
      <c r="H705" s="28" t="s">
        <v>39</v>
      </c>
      <c r="I705" s="1062" t="s">
        <v>385</v>
      </c>
      <c r="J705" s="1058"/>
      <c r="K705" s="30" t="s">
        <v>193</v>
      </c>
      <c r="L705" s="31" t="s">
        <v>395</v>
      </c>
      <c r="M705" s="1062" t="s">
        <v>386</v>
      </c>
      <c r="N705" s="1058"/>
    </row>
    <row r="706" spans="1:15" ht="12.75" customHeight="1" x14ac:dyDescent="0.25">
      <c r="A706" s="1063" t="s">
        <v>423</v>
      </c>
      <c r="B706" s="1057"/>
      <c r="C706" s="1057"/>
      <c r="D706" s="1057"/>
      <c r="E706" s="1057"/>
      <c r="F706" s="1057"/>
      <c r="G706" s="1058"/>
      <c r="H706" s="9" t="str">
        <f>IF(A706="","",VLOOKUP(A706,AA_Cuadrillas,4,FALSE))</f>
        <v>Cuadrilla</v>
      </c>
      <c r="I706" s="1059">
        <f>IF(A706="","",VLOOKUP(A706,AA_Cuadrillas,5,FALSE))</f>
        <v>134236</v>
      </c>
      <c r="J706" s="1058"/>
      <c r="K706" s="1">
        <f>IF(A706="","",'06'!$J$3)</f>
        <v>1.7233500000000002</v>
      </c>
      <c r="L706" s="32">
        <v>1.2</v>
      </c>
      <c r="M706" s="1059">
        <f>IF(A706="","",I706*K706*L706)</f>
        <v>277602.73272000003</v>
      </c>
      <c r="N706" s="1058"/>
    </row>
    <row r="707" spans="1:15" ht="12.75" customHeight="1" x14ac:dyDescent="0.25">
      <c r="A707" s="1063"/>
      <c r="B707" s="1057"/>
      <c r="C707" s="1057"/>
      <c r="D707" s="1057"/>
      <c r="E707" s="1057"/>
      <c r="F707" s="1057"/>
      <c r="G707" s="1058"/>
      <c r="H707" s="9" t="str">
        <f>IF(A707="","",VLOOKUP(A707,AA_Cuadrillas,4,FALSE))</f>
        <v/>
      </c>
      <c r="I707" s="1059" t="str">
        <f>IF(A707="","",VLOOKUP(A707,AA_Cuadrillas,5,FALSE))</f>
        <v/>
      </c>
      <c r="J707" s="1058"/>
      <c r="K707" s="1" t="str">
        <f>IF(A707="","",'06'!$J$3)</f>
        <v/>
      </c>
      <c r="L707" s="1"/>
      <c r="M707" s="1059" t="str">
        <f>IF(A707="","",I707*K707*L707)</f>
        <v/>
      </c>
      <c r="N707" s="1058"/>
    </row>
    <row r="708" spans="1:15" ht="12.75" customHeight="1" x14ac:dyDescent="0.25">
      <c r="A708" s="1063"/>
      <c r="B708" s="1057"/>
      <c r="C708" s="1057"/>
      <c r="D708" s="1057"/>
      <c r="E708" s="1057"/>
      <c r="F708" s="1057"/>
      <c r="G708" s="1058"/>
      <c r="H708" s="9" t="str">
        <f>IF(A708="","",VLOOKUP(A708,AA_Cuadrillas,4,FALSE))</f>
        <v/>
      </c>
      <c r="I708" s="1059" t="str">
        <f>IF(A708="","",VLOOKUP(A708,AA_Cuadrillas,5,FALSE))</f>
        <v/>
      </c>
      <c r="J708" s="1058"/>
      <c r="K708" s="1" t="str">
        <f>IF(A708="","",'06'!$J$3)</f>
        <v/>
      </c>
      <c r="L708" s="10"/>
      <c r="M708" s="1059" t="str">
        <f>IF(A708="","",I708*K708*L708)</f>
        <v/>
      </c>
      <c r="N708" s="1058"/>
    </row>
    <row r="709" spans="1:15" ht="12.75" customHeight="1" x14ac:dyDescent="0.25">
      <c r="A709" s="1063"/>
      <c r="B709" s="1057"/>
      <c r="C709" s="1057"/>
      <c r="D709" s="1057"/>
      <c r="E709" s="1057"/>
      <c r="F709" s="1057"/>
      <c r="G709" s="1058"/>
      <c r="H709" s="9" t="str">
        <f>IF(A709="","",VLOOKUP(A709,AA_Cuadrillas,4,FALSE))</f>
        <v/>
      </c>
      <c r="I709" s="1059" t="str">
        <f>IF(A709="","",VLOOKUP(A709,AA_Cuadrillas,5,FALSE))</f>
        <v/>
      </c>
      <c r="J709" s="1058"/>
      <c r="K709" s="1" t="str">
        <f>IF(A709="","",'06'!$J$3)</f>
        <v/>
      </c>
      <c r="L709" s="10"/>
      <c r="M709" s="1059" t="str">
        <f>IF(A709="","",I709*K709*L709)</f>
        <v/>
      </c>
      <c r="N709" s="1058"/>
    </row>
    <row r="710" spans="1:15" ht="12.75" customHeight="1" x14ac:dyDescent="0.25">
      <c r="A710" s="1063"/>
      <c r="B710" s="1057"/>
      <c r="C710" s="1057"/>
      <c r="D710" s="1057"/>
      <c r="E710" s="1057"/>
      <c r="F710" s="1057"/>
      <c r="G710" s="1058"/>
      <c r="H710" s="9" t="str">
        <f>IF(A710="","",VLOOKUP(A710,AA_Cuadrillas,4,FALSE))</f>
        <v/>
      </c>
      <c r="I710" s="1059" t="str">
        <f>IF(A710="","",VLOOKUP(A710,AA_Cuadrillas,5,FALSE))</f>
        <v/>
      </c>
      <c r="J710" s="1058"/>
      <c r="K710" s="1" t="str">
        <f>IF(A710="","",'06'!$J$3)</f>
        <v/>
      </c>
      <c r="L710" s="10"/>
      <c r="M710" s="1059" t="str">
        <f>IF(A710="","",I710*K710*L710)</f>
        <v/>
      </c>
      <c r="N710" s="1058"/>
    </row>
    <row r="711" spans="1:15" ht="12.75" customHeight="1" x14ac:dyDescent="0.25">
      <c r="A711" s="3"/>
      <c r="B711" s="3"/>
      <c r="C711" s="3"/>
      <c r="D711" s="3"/>
      <c r="E711" s="3"/>
      <c r="F711" s="3"/>
      <c r="G711" s="3"/>
      <c r="H711" s="3"/>
      <c r="I711" s="3"/>
      <c r="J711" s="3"/>
      <c r="K711" s="1066" t="s">
        <v>201</v>
      </c>
      <c r="L711" s="1058"/>
      <c r="M711" s="1059">
        <f>SUM(M706:N710)</f>
        <v>277602.73272000003</v>
      </c>
      <c r="N711" s="1058"/>
    </row>
    <row r="712" spans="1:15" ht="12.75" customHeight="1" x14ac:dyDescent="0.2"/>
    <row r="713" spans="1:15" ht="12.75" customHeight="1" x14ac:dyDescent="0.2">
      <c r="A713" s="1068" t="s">
        <v>1682</v>
      </c>
      <c r="B713" s="1052"/>
      <c r="C713" s="1052"/>
      <c r="D713" s="1052"/>
      <c r="E713" s="1052"/>
      <c r="F713" s="1052"/>
      <c r="G713" s="1052"/>
      <c r="H713" s="1052"/>
      <c r="I713" s="1052"/>
      <c r="J713" s="1052"/>
      <c r="K713" s="1052"/>
      <c r="L713" s="1052"/>
      <c r="M713" s="1052"/>
      <c r="N713" s="1053"/>
      <c r="O713" s="7"/>
    </row>
    <row r="714" spans="1:15" ht="12.75" customHeight="1" x14ac:dyDescent="0.2">
      <c r="A714" s="1031"/>
      <c r="B714" s="1032"/>
      <c r="C714" s="1032"/>
      <c r="D714" s="1032"/>
      <c r="E714" s="1032"/>
      <c r="F714" s="1032"/>
      <c r="G714" s="1032"/>
      <c r="H714" s="1032"/>
      <c r="I714" s="1032"/>
      <c r="J714" s="1032"/>
      <c r="K714" s="1032"/>
      <c r="L714" s="1032"/>
      <c r="M714" s="1032"/>
      <c r="N714" s="1055"/>
      <c r="O714" s="7"/>
    </row>
    <row r="715" spans="1:15" ht="12.75" customHeight="1" x14ac:dyDescent="0.2">
      <c r="A715" s="16"/>
      <c r="B715" s="16"/>
      <c r="C715" s="16"/>
      <c r="D715" s="16"/>
      <c r="E715" s="16"/>
      <c r="F715" s="16"/>
      <c r="G715" s="16"/>
      <c r="H715" s="16"/>
      <c r="I715" s="16"/>
      <c r="J715" s="16"/>
      <c r="K715" s="16"/>
      <c r="L715" s="16"/>
      <c r="M715" s="16"/>
      <c r="N715" s="16"/>
    </row>
    <row r="716" spans="1:15" ht="12.75" customHeight="1" x14ac:dyDescent="0.3">
      <c r="A716" s="18" t="s">
        <v>307</v>
      </c>
      <c r="B716" s="19" t="str">
        <f>A713</f>
        <v>SUMINISTRO E INSTALACIÓN VÁLVULA DE CORTE (INCLUYE ACCESORIOS) Ø12". INCLUYE TRANSPORTE</v>
      </c>
      <c r="C716" s="20" t="s">
        <v>382</v>
      </c>
      <c r="D716" s="21" t="s">
        <v>424</v>
      </c>
      <c r="E716" s="22" t="s">
        <v>125</v>
      </c>
      <c r="F716" s="26">
        <f>(H716+J716+L716+N716)*$O$2</f>
        <v>6267344.9921628004</v>
      </c>
      <c r="G716" s="22" t="s">
        <v>285</v>
      </c>
      <c r="H716" s="26">
        <f>M735</f>
        <v>13880.136636000003</v>
      </c>
      <c r="I716" s="22" t="s">
        <v>383</v>
      </c>
      <c r="J716" s="26">
        <f>M726</f>
        <v>4529551.74</v>
      </c>
      <c r="K716" s="22" t="s">
        <v>287</v>
      </c>
      <c r="L716" s="26">
        <f>M744</f>
        <v>0</v>
      </c>
      <c r="M716" s="22" t="s">
        <v>288</v>
      </c>
      <c r="N716" s="26">
        <f>M753</f>
        <v>277602.73272000003</v>
      </c>
    </row>
    <row r="717" spans="1:15" ht="12.75" customHeight="1" x14ac:dyDescent="0.25">
      <c r="A717" s="27"/>
      <c r="B717" s="27"/>
      <c r="C717" s="27"/>
      <c r="D717" s="27"/>
      <c r="E717" s="27"/>
      <c r="F717" s="27"/>
      <c r="G717" s="27"/>
      <c r="J717" s="27"/>
      <c r="K717" s="27"/>
      <c r="L717" s="27"/>
      <c r="M717" s="27"/>
      <c r="N717" s="27"/>
    </row>
    <row r="718" spans="1:15" ht="12.75" customHeight="1" x14ac:dyDescent="0.2">
      <c r="A718" s="1065" t="s">
        <v>384</v>
      </c>
      <c r="B718" s="1057"/>
      <c r="C718" s="1057"/>
      <c r="D718" s="1057"/>
      <c r="E718" s="1057"/>
      <c r="F718" s="1057"/>
      <c r="G718" s="1057"/>
      <c r="H718" s="1057"/>
      <c r="I718" s="1057"/>
      <c r="J718" s="1057"/>
      <c r="K718" s="1057"/>
      <c r="L718" s="1057"/>
      <c r="M718" s="1057"/>
      <c r="N718" s="1058"/>
    </row>
    <row r="719" spans="1:15" ht="12.75" customHeight="1" x14ac:dyDescent="0.2">
      <c r="A719" s="1066" t="s">
        <v>38</v>
      </c>
      <c r="B719" s="1057"/>
      <c r="C719" s="1057"/>
      <c r="D719" s="1057"/>
      <c r="E719" s="1057"/>
      <c r="F719" s="1057"/>
      <c r="G719" s="1058"/>
      <c r="H719" s="28" t="s">
        <v>39</v>
      </c>
      <c r="I719" s="1062" t="s">
        <v>385</v>
      </c>
      <c r="J719" s="1058"/>
      <c r="K719" s="1062" t="s">
        <v>132</v>
      </c>
      <c r="L719" s="1058"/>
      <c r="M719" s="1062" t="s">
        <v>386</v>
      </c>
      <c r="N719" s="1058"/>
    </row>
    <row r="720" spans="1:15" ht="13.5" x14ac:dyDescent="0.2">
      <c r="A720" s="1056" t="s">
        <v>1545</v>
      </c>
      <c r="B720" s="1057"/>
      <c r="C720" s="1057"/>
      <c r="D720" s="1057"/>
      <c r="E720" s="1057"/>
      <c r="F720" s="1057"/>
      <c r="G720" s="1058"/>
      <c r="H720" s="9" t="str">
        <f t="shared" ref="H720:H725" si="33">IF(A720="","",VLOOKUP(A720,AA_Materiales,7,FALSE))</f>
        <v>Unidad</v>
      </c>
      <c r="I720" s="1059">
        <f t="shared" ref="I720:I725" si="34">IF(A720="","",VLOOKUP(A720,AA_Materiales,8,FALSE))</f>
        <v>4529551.74</v>
      </c>
      <c r="J720" s="1058"/>
      <c r="K720" s="1060">
        <v>1</v>
      </c>
      <c r="L720" s="1058"/>
      <c r="M720" s="1059">
        <f t="shared" ref="M720:M725" si="35">IF(A720="","",I720*K720)</f>
        <v>4529551.74</v>
      </c>
      <c r="N720" s="1058"/>
    </row>
    <row r="721" spans="1:14" ht="12.75" customHeight="1" x14ac:dyDescent="0.2">
      <c r="A721" s="1056"/>
      <c r="B721" s="1057"/>
      <c r="C721" s="1057"/>
      <c r="D721" s="1057"/>
      <c r="E721" s="1057"/>
      <c r="F721" s="1057"/>
      <c r="G721" s="1058"/>
      <c r="H721" s="9" t="str">
        <f t="shared" si="33"/>
        <v/>
      </c>
      <c r="I721" s="1059" t="str">
        <f t="shared" si="34"/>
        <v/>
      </c>
      <c r="J721" s="1058"/>
      <c r="K721" s="1060"/>
      <c r="L721" s="1058"/>
      <c r="M721" s="1059" t="str">
        <f t="shared" si="35"/>
        <v/>
      </c>
      <c r="N721" s="1058"/>
    </row>
    <row r="722" spans="1:14" ht="12.75" customHeight="1" x14ac:dyDescent="0.2">
      <c r="A722" s="1056"/>
      <c r="B722" s="1057"/>
      <c r="C722" s="1057"/>
      <c r="D722" s="1057"/>
      <c r="E722" s="1057"/>
      <c r="F722" s="1057"/>
      <c r="G722" s="1058"/>
      <c r="H722" s="9" t="str">
        <f t="shared" si="33"/>
        <v/>
      </c>
      <c r="I722" s="1059" t="str">
        <f t="shared" si="34"/>
        <v/>
      </c>
      <c r="J722" s="1058"/>
      <c r="K722" s="1060"/>
      <c r="L722" s="1058"/>
      <c r="M722" s="1059" t="str">
        <f t="shared" si="35"/>
        <v/>
      </c>
      <c r="N722" s="1058"/>
    </row>
    <row r="723" spans="1:14" ht="12.75" customHeight="1" x14ac:dyDescent="0.2">
      <c r="A723" s="1056"/>
      <c r="B723" s="1057"/>
      <c r="C723" s="1057"/>
      <c r="D723" s="1057"/>
      <c r="E723" s="1057"/>
      <c r="F723" s="1057"/>
      <c r="G723" s="1058"/>
      <c r="H723" s="9" t="str">
        <f t="shared" si="33"/>
        <v/>
      </c>
      <c r="I723" s="1059" t="str">
        <f t="shared" si="34"/>
        <v/>
      </c>
      <c r="J723" s="1058"/>
      <c r="K723" s="1060"/>
      <c r="L723" s="1058"/>
      <c r="M723" s="1059" t="str">
        <f t="shared" si="35"/>
        <v/>
      </c>
      <c r="N723" s="1058"/>
    </row>
    <row r="724" spans="1:14" ht="12.75" customHeight="1" x14ac:dyDescent="0.2">
      <c r="A724" s="1056"/>
      <c r="B724" s="1057"/>
      <c r="C724" s="1057"/>
      <c r="D724" s="1057"/>
      <c r="E724" s="1057"/>
      <c r="F724" s="1057"/>
      <c r="G724" s="1058"/>
      <c r="H724" s="9" t="str">
        <f t="shared" si="33"/>
        <v/>
      </c>
      <c r="I724" s="1059" t="str">
        <f t="shared" si="34"/>
        <v/>
      </c>
      <c r="J724" s="1058"/>
      <c r="K724" s="1060"/>
      <c r="L724" s="1058"/>
      <c r="M724" s="1059" t="str">
        <f t="shared" si="35"/>
        <v/>
      </c>
      <c r="N724" s="1058"/>
    </row>
    <row r="725" spans="1:14" ht="12.75" customHeight="1" x14ac:dyDescent="0.2">
      <c r="A725" s="1056"/>
      <c r="B725" s="1057"/>
      <c r="C725" s="1057"/>
      <c r="D725" s="1057"/>
      <c r="E725" s="1057"/>
      <c r="F725" s="1057"/>
      <c r="G725" s="1058"/>
      <c r="H725" s="9" t="str">
        <f t="shared" si="33"/>
        <v/>
      </c>
      <c r="I725" s="1059" t="str">
        <f t="shared" si="34"/>
        <v/>
      </c>
      <c r="J725" s="1058"/>
      <c r="K725" s="1060"/>
      <c r="L725" s="1058"/>
      <c r="M725" s="1059" t="str">
        <f t="shared" si="35"/>
        <v/>
      </c>
      <c r="N725" s="1058"/>
    </row>
    <row r="726" spans="1:14" ht="12.75" customHeight="1" x14ac:dyDescent="0.25">
      <c r="A726" s="3"/>
      <c r="B726" s="3"/>
      <c r="C726" s="3"/>
      <c r="D726" s="3"/>
      <c r="E726" s="3"/>
      <c r="F726" s="3"/>
      <c r="G726" s="3"/>
      <c r="H726" s="3"/>
      <c r="I726" s="3"/>
      <c r="J726" s="3"/>
      <c r="K726" s="1066" t="s">
        <v>201</v>
      </c>
      <c r="L726" s="1058"/>
      <c r="M726" s="1059">
        <f>SUM(M720:N725)</f>
        <v>4529551.74</v>
      </c>
      <c r="N726" s="1058"/>
    </row>
    <row r="727" spans="1:14" ht="12.75" customHeight="1" x14ac:dyDescent="0.25">
      <c r="A727" s="3"/>
      <c r="B727" s="3"/>
      <c r="C727" s="3"/>
      <c r="D727" s="3"/>
      <c r="E727" s="3"/>
      <c r="F727" s="3"/>
      <c r="G727" s="3"/>
      <c r="H727" s="3"/>
      <c r="I727" s="3"/>
      <c r="J727" s="3"/>
      <c r="K727" s="3"/>
      <c r="L727" s="3"/>
      <c r="M727" s="3"/>
      <c r="N727" s="3"/>
    </row>
    <row r="728" spans="1:14" ht="12.75" customHeight="1" x14ac:dyDescent="0.2">
      <c r="A728" s="1065" t="s">
        <v>390</v>
      </c>
      <c r="B728" s="1057"/>
      <c r="C728" s="1057"/>
      <c r="D728" s="1057"/>
      <c r="E728" s="1057"/>
      <c r="F728" s="1057"/>
      <c r="G728" s="1057"/>
      <c r="H728" s="1057"/>
      <c r="I728" s="1057"/>
      <c r="J728" s="1057"/>
      <c r="K728" s="1057"/>
      <c r="L728" s="1057"/>
      <c r="M728" s="1057"/>
      <c r="N728" s="1058"/>
    </row>
    <row r="729" spans="1:14" ht="12.75" customHeight="1" x14ac:dyDescent="0.2">
      <c r="A729" s="1066" t="s">
        <v>38</v>
      </c>
      <c r="B729" s="1057"/>
      <c r="C729" s="1057"/>
      <c r="D729" s="1057"/>
      <c r="E729" s="1057"/>
      <c r="F729" s="1057"/>
      <c r="G729" s="1058"/>
      <c r="H729" s="28" t="s">
        <v>39</v>
      </c>
      <c r="I729" s="1062" t="s">
        <v>385</v>
      </c>
      <c r="J729" s="1058"/>
      <c r="K729" s="1062" t="s">
        <v>132</v>
      </c>
      <c r="L729" s="1058"/>
      <c r="M729" s="1062" t="s">
        <v>386</v>
      </c>
      <c r="N729" s="1058"/>
    </row>
    <row r="730" spans="1:14" ht="12.75" customHeight="1" x14ac:dyDescent="0.2">
      <c r="A730" s="1061" t="s">
        <v>391</v>
      </c>
      <c r="B730" s="1057"/>
      <c r="C730" s="1057"/>
      <c r="D730" s="1057"/>
      <c r="E730" s="1057"/>
      <c r="F730" s="1057"/>
      <c r="G730" s="1058"/>
      <c r="H730" s="9" t="str">
        <f>IF(A730="","",VLOOKUP(A730,AA_Equipos,7,FALSE))</f>
        <v>% M.O.</v>
      </c>
      <c r="I730" s="1059">
        <f>+M753</f>
        <v>277602.73272000003</v>
      </c>
      <c r="J730" s="1058"/>
      <c r="K730" s="1064">
        <v>0.05</v>
      </c>
      <c r="L730" s="1058"/>
      <c r="M730" s="1059">
        <f>IF(A730="","",I730*K730)</f>
        <v>13880.136636000003</v>
      </c>
      <c r="N730" s="1058"/>
    </row>
    <row r="731" spans="1:14" ht="12.75" customHeight="1" x14ac:dyDescent="0.2">
      <c r="A731" s="1056"/>
      <c r="B731" s="1057"/>
      <c r="C731" s="1057"/>
      <c r="D731" s="1057"/>
      <c r="E731" s="1057"/>
      <c r="F731" s="1057"/>
      <c r="G731" s="1058"/>
      <c r="H731" s="9" t="str">
        <f>IF(A731="","",VLOOKUP(A731,AA_Equipos,7,FALSE))</f>
        <v/>
      </c>
      <c r="I731" s="1059" t="str">
        <f>IF(A731="","",VLOOKUP(A731,AA_Equipos,8,FALSE))</f>
        <v/>
      </c>
      <c r="J731" s="1058"/>
      <c r="K731" s="1067"/>
      <c r="L731" s="1058"/>
      <c r="M731" s="1059" t="str">
        <f>IF(A731="","",I731*K731)</f>
        <v/>
      </c>
      <c r="N731" s="1058"/>
    </row>
    <row r="732" spans="1:14" ht="12.75" customHeight="1" x14ac:dyDescent="0.2">
      <c r="A732" s="1056"/>
      <c r="B732" s="1057"/>
      <c r="C732" s="1057"/>
      <c r="D732" s="1057"/>
      <c r="E732" s="1057"/>
      <c r="F732" s="1057"/>
      <c r="G732" s="1058"/>
      <c r="H732" s="9" t="str">
        <f>IF(A732="","",VLOOKUP(A732,AA_Equipos,7,FALSE))</f>
        <v/>
      </c>
      <c r="I732" s="1059" t="str">
        <f>IF(A732="","",VLOOKUP(A732,AA_Equipos,8,FALSE))</f>
        <v/>
      </c>
      <c r="J732" s="1058"/>
      <c r="K732" s="1070"/>
      <c r="L732" s="1058"/>
      <c r="M732" s="1059" t="str">
        <f>IF(A732="","",I732*K732)</f>
        <v/>
      </c>
      <c r="N732" s="1058"/>
    </row>
    <row r="733" spans="1:14" ht="12.75" customHeight="1" x14ac:dyDescent="0.2">
      <c r="A733" s="1061"/>
      <c r="B733" s="1057"/>
      <c r="C733" s="1057"/>
      <c r="D733" s="1057"/>
      <c r="E733" s="1057"/>
      <c r="F733" s="1057"/>
      <c r="G733" s="1058"/>
      <c r="H733" s="9" t="str">
        <f>IF(A733="","",VLOOKUP(A733,AA_Equipos,7,FALSE))</f>
        <v/>
      </c>
      <c r="I733" s="1059" t="str">
        <f>IF(A733="","",VLOOKUP(A733,AA_Equipos,8,FALSE))</f>
        <v/>
      </c>
      <c r="J733" s="1058"/>
      <c r="K733" s="1060"/>
      <c r="L733" s="1058"/>
      <c r="M733" s="1059" t="str">
        <f>IF(A733="","",I733*K733)</f>
        <v/>
      </c>
      <c r="N733" s="1058"/>
    </row>
    <row r="734" spans="1:14" ht="12.75" customHeight="1" x14ac:dyDescent="0.2">
      <c r="A734" s="1061"/>
      <c r="B734" s="1057"/>
      <c r="C734" s="1057"/>
      <c r="D734" s="1057"/>
      <c r="E734" s="1057"/>
      <c r="F734" s="1057"/>
      <c r="G734" s="1058"/>
      <c r="H734" s="9" t="str">
        <f>IF(A734="","",VLOOKUP(A734,AA_Equipos,7,FALSE))</f>
        <v/>
      </c>
      <c r="I734" s="1059" t="str">
        <f>IF(A734="","",VLOOKUP(A734,AA_Equipos,8,FALSE))</f>
        <v/>
      </c>
      <c r="J734" s="1058"/>
      <c r="K734" s="1060"/>
      <c r="L734" s="1058"/>
      <c r="M734" s="1059" t="str">
        <f>IF(A734="","",I734*K734)</f>
        <v/>
      </c>
      <c r="N734" s="1058"/>
    </row>
    <row r="735" spans="1:14" ht="12.75" customHeight="1" x14ac:dyDescent="0.25">
      <c r="A735" s="3"/>
      <c r="B735" s="3"/>
      <c r="C735" s="3"/>
      <c r="D735" s="3"/>
      <c r="E735" s="3"/>
      <c r="F735" s="3"/>
      <c r="G735" s="3"/>
      <c r="H735" s="3"/>
      <c r="I735" s="3"/>
      <c r="J735" s="3"/>
      <c r="K735" s="1066" t="s">
        <v>201</v>
      </c>
      <c r="L735" s="1058"/>
      <c r="M735" s="1059">
        <f>SUM(M730:N734)</f>
        <v>13880.136636000003</v>
      </c>
      <c r="N735" s="1058"/>
    </row>
    <row r="736" spans="1:14" ht="12.75" customHeight="1" x14ac:dyDescent="0.25">
      <c r="A736" s="3"/>
      <c r="B736" s="3"/>
      <c r="C736" s="3"/>
      <c r="D736" s="3"/>
      <c r="E736" s="3"/>
      <c r="F736" s="3"/>
      <c r="G736" s="3"/>
      <c r="H736" s="3"/>
      <c r="I736" s="3"/>
      <c r="J736" s="3"/>
      <c r="K736" s="3"/>
      <c r="L736" s="3"/>
      <c r="M736" s="3"/>
      <c r="N736" s="3"/>
    </row>
    <row r="737" spans="1:14" ht="12.75" customHeight="1" x14ac:dyDescent="0.2">
      <c r="A737" s="1065" t="s">
        <v>392</v>
      </c>
      <c r="B737" s="1057"/>
      <c r="C737" s="1057"/>
      <c r="D737" s="1057"/>
      <c r="E737" s="1057"/>
      <c r="F737" s="1057"/>
      <c r="G737" s="1057"/>
      <c r="H737" s="1057"/>
      <c r="I737" s="1057"/>
      <c r="J737" s="1057"/>
      <c r="K737" s="1057"/>
      <c r="L737" s="1057"/>
      <c r="M737" s="1057"/>
      <c r="N737" s="1058"/>
    </row>
    <row r="738" spans="1:14" ht="12.75" customHeight="1" x14ac:dyDescent="0.2">
      <c r="A738" s="1066" t="s">
        <v>38</v>
      </c>
      <c r="B738" s="1057"/>
      <c r="C738" s="1057"/>
      <c r="D738" s="1057"/>
      <c r="E738" s="1057"/>
      <c r="F738" s="1057"/>
      <c r="G738" s="1058"/>
      <c r="H738" s="28" t="s">
        <v>39</v>
      </c>
      <c r="I738" s="1062" t="s">
        <v>385</v>
      </c>
      <c r="J738" s="1058"/>
      <c r="K738" s="1062" t="s">
        <v>132</v>
      </c>
      <c r="L738" s="1058"/>
      <c r="M738" s="1062" t="s">
        <v>386</v>
      </c>
      <c r="N738" s="1058"/>
    </row>
    <row r="739" spans="1:14" ht="12.75" customHeight="1" x14ac:dyDescent="0.2">
      <c r="A739" s="1061"/>
      <c r="B739" s="1057"/>
      <c r="C739" s="1057"/>
      <c r="D739" s="1057"/>
      <c r="E739" s="1057"/>
      <c r="F739" s="1057"/>
      <c r="G739" s="1058"/>
      <c r="H739" s="9"/>
      <c r="I739" s="1059"/>
      <c r="J739" s="1058"/>
      <c r="K739" s="1064"/>
      <c r="L739" s="1058"/>
      <c r="M739" s="1059" t="str">
        <f>IF(A739="","",I739*K739)</f>
        <v/>
      </c>
      <c r="N739" s="1058"/>
    </row>
    <row r="740" spans="1:14" ht="12.75" customHeight="1" x14ac:dyDescent="0.2">
      <c r="A740" s="1056"/>
      <c r="B740" s="1057"/>
      <c r="C740" s="1057"/>
      <c r="D740" s="1057"/>
      <c r="E740" s="1057"/>
      <c r="F740" s="1057"/>
      <c r="G740" s="1058"/>
      <c r="H740" s="9"/>
      <c r="I740" s="1059"/>
      <c r="J740" s="1058"/>
      <c r="K740" s="1064"/>
      <c r="L740" s="1058"/>
      <c r="M740" s="1059" t="str">
        <f>IF(A740="","",I740*K740)</f>
        <v/>
      </c>
      <c r="N740" s="1058"/>
    </row>
    <row r="741" spans="1:14" ht="12.75" customHeight="1" x14ac:dyDescent="0.2">
      <c r="A741" s="1061"/>
      <c r="B741" s="1057"/>
      <c r="C741" s="1057"/>
      <c r="D741" s="1057"/>
      <c r="E741" s="1057"/>
      <c r="F741" s="1057"/>
      <c r="G741" s="1058"/>
      <c r="H741" s="9"/>
      <c r="I741" s="1059"/>
      <c r="J741" s="1058"/>
      <c r="K741" s="1060"/>
      <c r="L741" s="1058"/>
      <c r="M741" s="1059" t="str">
        <f>IF(A741="","",I741*K741)</f>
        <v/>
      </c>
      <c r="N741" s="1058"/>
    </row>
    <row r="742" spans="1:14" ht="12.75" customHeight="1" x14ac:dyDescent="0.2">
      <c r="A742" s="1061"/>
      <c r="B742" s="1057"/>
      <c r="C742" s="1057"/>
      <c r="D742" s="1057"/>
      <c r="E742" s="1057"/>
      <c r="F742" s="1057"/>
      <c r="G742" s="1058"/>
      <c r="H742" s="9"/>
      <c r="I742" s="1059"/>
      <c r="J742" s="1058"/>
      <c r="K742" s="1060"/>
      <c r="L742" s="1058"/>
      <c r="M742" s="1059" t="str">
        <f>IF(A742="","",I742*K742)</f>
        <v/>
      </c>
      <c r="N742" s="1058"/>
    </row>
    <row r="743" spans="1:14" ht="12.75" customHeight="1" x14ac:dyDescent="0.2">
      <c r="A743" s="1061"/>
      <c r="B743" s="1057"/>
      <c r="C743" s="1057"/>
      <c r="D743" s="1057"/>
      <c r="E743" s="1057"/>
      <c r="F743" s="1057"/>
      <c r="G743" s="1058"/>
      <c r="H743" s="9"/>
      <c r="I743" s="1059"/>
      <c r="J743" s="1058"/>
      <c r="K743" s="1060"/>
      <c r="L743" s="1058"/>
      <c r="M743" s="1059" t="str">
        <f>IF(A743="","",I743*K743)</f>
        <v/>
      </c>
      <c r="N743" s="1058"/>
    </row>
    <row r="744" spans="1:14" ht="12.75" customHeight="1" x14ac:dyDescent="0.25">
      <c r="A744" s="3"/>
      <c r="B744" s="3"/>
      <c r="C744" s="3"/>
      <c r="D744" s="3"/>
      <c r="E744" s="3"/>
      <c r="F744" s="3"/>
      <c r="G744" s="3"/>
      <c r="H744" s="3"/>
      <c r="I744" s="3"/>
      <c r="J744" s="3"/>
      <c r="K744" s="1066" t="s">
        <v>201</v>
      </c>
      <c r="L744" s="1058"/>
      <c r="M744" s="1059">
        <f>SUM(M739:N743)</f>
        <v>0</v>
      </c>
      <c r="N744" s="1058"/>
    </row>
    <row r="745" spans="1:14" ht="12.75" customHeight="1" x14ac:dyDescent="0.25">
      <c r="A745" s="3"/>
      <c r="B745" s="3"/>
      <c r="C745" s="3"/>
      <c r="D745" s="3"/>
      <c r="E745" s="3"/>
      <c r="F745" s="3"/>
      <c r="G745" s="3"/>
      <c r="H745" s="3"/>
      <c r="I745" s="3"/>
      <c r="J745" s="3"/>
      <c r="K745" s="3"/>
      <c r="L745" s="3"/>
      <c r="M745" s="3"/>
      <c r="N745" s="3"/>
    </row>
    <row r="746" spans="1:14" ht="12.75" customHeight="1" x14ac:dyDescent="0.2">
      <c r="A746" s="1065" t="s">
        <v>394</v>
      </c>
      <c r="B746" s="1057"/>
      <c r="C746" s="1057"/>
      <c r="D746" s="1057"/>
      <c r="E746" s="1057"/>
      <c r="F746" s="1057"/>
      <c r="G746" s="1057"/>
      <c r="H746" s="1057"/>
      <c r="I746" s="1057"/>
      <c r="J746" s="1057"/>
      <c r="K746" s="1057"/>
      <c r="L746" s="1057"/>
      <c r="M746" s="1057"/>
      <c r="N746" s="1058"/>
    </row>
    <row r="747" spans="1:14" ht="12.75" customHeight="1" x14ac:dyDescent="0.2">
      <c r="A747" s="1066" t="s">
        <v>38</v>
      </c>
      <c r="B747" s="1057"/>
      <c r="C747" s="1057"/>
      <c r="D747" s="1057"/>
      <c r="E747" s="1057"/>
      <c r="F747" s="1057"/>
      <c r="G747" s="1058"/>
      <c r="H747" s="28" t="s">
        <v>39</v>
      </c>
      <c r="I747" s="1062" t="s">
        <v>385</v>
      </c>
      <c r="J747" s="1058"/>
      <c r="K747" s="30" t="s">
        <v>193</v>
      </c>
      <c r="L747" s="31" t="s">
        <v>395</v>
      </c>
      <c r="M747" s="1062" t="s">
        <v>386</v>
      </c>
      <c r="N747" s="1058"/>
    </row>
    <row r="748" spans="1:14" ht="12.75" customHeight="1" x14ac:dyDescent="0.25">
      <c r="A748" s="1063" t="s">
        <v>423</v>
      </c>
      <c r="B748" s="1057"/>
      <c r="C748" s="1057"/>
      <c r="D748" s="1057"/>
      <c r="E748" s="1057"/>
      <c r="F748" s="1057"/>
      <c r="G748" s="1058"/>
      <c r="H748" s="9" t="str">
        <f>IF(A748="","",VLOOKUP(A748,AA_Cuadrillas,4,FALSE))</f>
        <v>Cuadrilla</v>
      </c>
      <c r="I748" s="1059">
        <f>IF(A748="","",VLOOKUP(A748,AA_Cuadrillas,5,FALSE))</f>
        <v>134236</v>
      </c>
      <c r="J748" s="1058"/>
      <c r="K748" s="1">
        <f>IF(A748="","",'06'!$J$3)</f>
        <v>1.7233500000000002</v>
      </c>
      <c r="L748" s="37">
        <v>1.2</v>
      </c>
      <c r="M748" s="1059">
        <f>IF(A748="","",I748*K748*L748)</f>
        <v>277602.73272000003</v>
      </c>
      <c r="N748" s="1058"/>
    </row>
    <row r="749" spans="1:14" ht="12.75" customHeight="1" x14ac:dyDescent="0.25">
      <c r="A749" s="1063"/>
      <c r="B749" s="1057"/>
      <c r="C749" s="1057"/>
      <c r="D749" s="1057"/>
      <c r="E749" s="1057"/>
      <c r="F749" s="1057"/>
      <c r="G749" s="1058"/>
      <c r="H749" s="9" t="str">
        <f>IF(A749="","",VLOOKUP(A749,AA_Cuadrillas,4,FALSE))</f>
        <v/>
      </c>
      <c r="I749" s="1059" t="str">
        <f>IF(A749="","",VLOOKUP(A749,AA_Cuadrillas,5,FALSE))</f>
        <v/>
      </c>
      <c r="J749" s="1058"/>
      <c r="K749" s="1" t="str">
        <f>IF(A749="","",'06'!$J$3)</f>
        <v/>
      </c>
      <c r="L749" s="1"/>
      <c r="M749" s="1059" t="str">
        <f>IF(A749="","",I749*K749*L749)</f>
        <v/>
      </c>
      <c r="N749" s="1058"/>
    </row>
    <row r="750" spans="1:14" ht="12.75" customHeight="1" x14ac:dyDescent="0.25">
      <c r="A750" s="1063"/>
      <c r="B750" s="1057"/>
      <c r="C750" s="1057"/>
      <c r="D750" s="1057"/>
      <c r="E750" s="1057"/>
      <c r="F750" s="1057"/>
      <c r="G750" s="1058"/>
      <c r="H750" s="9" t="str">
        <f>IF(A750="","",VLOOKUP(A750,AA_Cuadrillas,4,FALSE))</f>
        <v/>
      </c>
      <c r="I750" s="1059" t="str">
        <f>IF(A750="","",VLOOKUP(A750,AA_Cuadrillas,5,FALSE))</f>
        <v/>
      </c>
      <c r="J750" s="1058"/>
      <c r="K750" s="1" t="str">
        <f>IF(A750="","",'06'!$J$3)</f>
        <v/>
      </c>
      <c r="L750" s="10"/>
      <c r="M750" s="1059" t="str">
        <f>IF(A750="","",I750*K750*L750)</f>
        <v/>
      </c>
      <c r="N750" s="1058"/>
    </row>
    <row r="751" spans="1:14" ht="12.75" customHeight="1" x14ac:dyDescent="0.25">
      <c r="A751" s="1063"/>
      <c r="B751" s="1057"/>
      <c r="C751" s="1057"/>
      <c r="D751" s="1057"/>
      <c r="E751" s="1057"/>
      <c r="F751" s="1057"/>
      <c r="G751" s="1058"/>
      <c r="H751" s="9" t="str">
        <f>IF(A751="","",VLOOKUP(A751,AA_Cuadrillas,4,FALSE))</f>
        <v/>
      </c>
      <c r="I751" s="1059" t="str">
        <f>IF(A751="","",VLOOKUP(A751,AA_Cuadrillas,5,FALSE))</f>
        <v/>
      </c>
      <c r="J751" s="1058"/>
      <c r="K751" s="1" t="str">
        <f>IF(A751="","",'06'!$J$3)</f>
        <v/>
      </c>
      <c r="L751" s="10"/>
      <c r="M751" s="1059" t="str">
        <f>IF(A751="","",I751*K751*L751)</f>
        <v/>
      </c>
      <c r="N751" s="1058"/>
    </row>
    <row r="752" spans="1:14" ht="12.75" customHeight="1" x14ac:dyDescent="0.25">
      <c r="A752" s="1063"/>
      <c r="B752" s="1057"/>
      <c r="C752" s="1057"/>
      <c r="D752" s="1057"/>
      <c r="E752" s="1057"/>
      <c r="F752" s="1057"/>
      <c r="G752" s="1058"/>
      <c r="H752" s="9" t="str">
        <f>IF(A752="","",VLOOKUP(A752,AA_Cuadrillas,4,FALSE))</f>
        <v/>
      </c>
      <c r="I752" s="1059" t="str">
        <f>IF(A752="","",VLOOKUP(A752,AA_Cuadrillas,5,FALSE))</f>
        <v/>
      </c>
      <c r="J752" s="1058"/>
      <c r="K752" s="1" t="str">
        <f>IF(A752="","",'06'!$J$3)</f>
        <v/>
      </c>
      <c r="L752" s="10"/>
      <c r="M752" s="1059" t="str">
        <f>IF(A752="","",I752*K752*L752)</f>
        <v/>
      </c>
      <c r="N752" s="1058"/>
    </row>
    <row r="753" spans="1:15" ht="12.75" customHeight="1" x14ac:dyDescent="0.25">
      <c r="A753" s="3"/>
      <c r="B753" s="3"/>
      <c r="C753" s="3"/>
      <c r="D753" s="3"/>
      <c r="E753" s="3"/>
      <c r="F753" s="3"/>
      <c r="G753" s="3"/>
      <c r="H753" s="3"/>
      <c r="I753" s="3"/>
      <c r="J753" s="3"/>
      <c r="K753" s="1066" t="s">
        <v>201</v>
      </c>
      <c r="L753" s="1058"/>
      <c r="M753" s="1059">
        <f>SUM(M748:N752)</f>
        <v>277602.73272000003</v>
      </c>
      <c r="N753" s="1058"/>
    </row>
    <row r="754" spans="1:15" ht="12.75" customHeight="1" x14ac:dyDescent="0.2"/>
    <row r="755" spans="1:15" ht="12.75" customHeight="1" x14ac:dyDescent="0.2">
      <c r="A755" s="1068" t="s">
        <v>1683</v>
      </c>
      <c r="B755" s="1052"/>
      <c r="C755" s="1052"/>
      <c r="D755" s="1052"/>
      <c r="E755" s="1052"/>
      <c r="F755" s="1052"/>
      <c r="G755" s="1052"/>
      <c r="H755" s="1052"/>
      <c r="I755" s="1052"/>
      <c r="J755" s="1052"/>
      <c r="K755" s="1052"/>
      <c r="L755" s="1052"/>
      <c r="M755" s="1052"/>
      <c r="N755" s="1053"/>
      <c r="O755" s="7"/>
    </row>
    <row r="756" spans="1:15" ht="12.75" customHeight="1" x14ac:dyDescent="0.2">
      <c r="A756" s="1031"/>
      <c r="B756" s="1032"/>
      <c r="C756" s="1032"/>
      <c r="D756" s="1032"/>
      <c r="E756" s="1032"/>
      <c r="F756" s="1032"/>
      <c r="G756" s="1032"/>
      <c r="H756" s="1032"/>
      <c r="I756" s="1032"/>
      <c r="J756" s="1032"/>
      <c r="K756" s="1032"/>
      <c r="L756" s="1032"/>
      <c r="M756" s="1032"/>
      <c r="N756" s="1055"/>
      <c r="O756" s="7"/>
    </row>
    <row r="757" spans="1:15" ht="12.75" customHeight="1" x14ac:dyDescent="0.2">
      <c r="A757" s="16"/>
      <c r="B757" s="16"/>
      <c r="C757" s="16"/>
      <c r="D757" s="16"/>
      <c r="E757" s="16"/>
      <c r="F757" s="16"/>
      <c r="G757" s="16"/>
      <c r="H757" s="16"/>
      <c r="I757" s="16"/>
      <c r="J757" s="16"/>
      <c r="K757" s="16"/>
      <c r="L757" s="16"/>
      <c r="M757" s="16"/>
      <c r="N757" s="16"/>
    </row>
    <row r="758" spans="1:15" ht="12.75" customHeight="1" x14ac:dyDescent="0.3">
      <c r="A758" s="18" t="s">
        <v>308</v>
      </c>
      <c r="B758" s="19" t="str">
        <f>A755</f>
        <v>SUMINISTRO E INSTALACIÓN ACOMETIDA DOMICILIARIA 1/2" (INCLUYE TODOSO LOS ACCESORIOS Y MACROMEDIDOR)</v>
      </c>
      <c r="C758" s="20" t="s">
        <v>382</v>
      </c>
      <c r="D758" s="21" t="s">
        <v>424</v>
      </c>
      <c r="E758" s="22" t="s">
        <v>125</v>
      </c>
      <c r="F758" s="26">
        <f>(H758+J758+L758+N758)*$O$2</f>
        <v>921608.6792996201</v>
      </c>
      <c r="G758" s="22" t="s">
        <v>285</v>
      </c>
      <c r="H758" s="26">
        <f>M779</f>
        <v>11335.444919400001</v>
      </c>
      <c r="I758" s="22" t="s">
        <v>383</v>
      </c>
      <c r="J758" s="36">
        <f>M770</f>
        <v>470885.41000000003</v>
      </c>
      <c r="K758" s="22" t="s">
        <v>287</v>
      </c>
      <c r="L758" s="26">
        <f>M788</f>
        <v>0</v>
      </c>
      <c r="M758" s="22" t="s">
        <v>288</v>
      </c>
      <c r="N758" s="26">
        <f>M797</f>
        <v>226708.898388</v>
      </c>
    </row>
    <row r="759" spans="1:15" ht="12.75" customHeight="1" x14ac:dyDescent="0.25">
      <c r="A759" s="27"/>
      <c r="B759" s="27"/>
      <c r="C759" s="27"/>
      <c r="D759" s="27"/>
      <c r="E759" s="27"/>
      <c r="F759" s="27"/>
      <c r="G759" s="27"/>
      <c r="J759" s="27"/>
      <c r="K759" s="27"/>
      <c r="L759" s="27"/>
      <c r="M759" s="27"/>
      <c r="N759" s="27"/>
    </row>
    <row r="760" spans="1:15" ht="12.75" customHeight="1" x14ac:dyDescent="0.2">
      <c r="A760" s="1065" t="s">
        <v>384</v>
      </c>
      <c r="B760" s="1057"/>
      <c r="C760" s="1057"/>
      <c r="D760" s="1057"/>
      <c r="E760" s="1057"/>
      <c r="F760" s="1057"/>
      <c r="G760" s="1057"/>
      <c r="H760" s="1057"/>
      <c r="I760" s="1057"/>
      <c r="J760" s="1057"/>
      <c r="K760" s="1057"/>
      <c r="L760" s="1057"/>
      <c r="M760" s="1057"/>
      <c r="N760" s="1058"/>
    </row>
    <row r="761" spans="1:15" ht="12.75" customHeight="1" x14ac:dyDescent="0.2">
      <c r="A761" s="1066" t="s">
        <v>38</v>
      </c>
      <c r="B761" s="1057"/>
      <c r="C761" s="1057"/>
      <c r="D761" s="1057"/>
      <c r="E761" s="1057"/>
      <c r="F761" s="1057"/>
      <c r="G761" s="1058"/>
      <c r="H761" s="28" t="s">
        <v>39</v>
      </c>
      <c r="I761" s="1062" t="s">
        <v>385</v>
      </c>
      <c r="J761" s="1058"/>
      <c r="K761" s="1062" t="s">
        <v>132</v>
      </c>
      <c r="L761" s="1058"/>
      <c r="M761" s="1062" t="s">
        <v>386</v>
      </c>
      <c r="N761" s="1058"/>
    </row>
    <row r="762" spans="1:15" ht="12.75" customHeight="1" x14ac:dyDescent="0.2">
      <c r="A762" s="1056" t="s">
        <v>1517</v>
      </c>
      <c r="B762" s="1057"/>
      <c r="C762" s="1057"/>
      <c r="D762" s="1057"/>
      <c r="E762" s="1057"/>
      <c r="F762" s="1057"/>
      <c r="G762" s="1058"/>
      <c r="H762" s="9" t="str">
        <f t="shared" ref="H762:H767" si="36">IF(A762="","",VLOOKUP(A762,AA_Materiales,7,FALSE))</f>
        <v>Unidad</v>
      </c>
      <c r="I762" s="1059">
        <f t="shared" ref="I762:I767" si="37">IF(A762="","",VLOOKUP(A762,AA_Materiales,8,FALSE))</f>
        <v>35700</v>
      </c>
      <c r="J762" s="1058"/>
      <c r="K762" s="1060">
        <v>1</v>
      </c>
      <c r="L762" s="1058"/>
      <c r="M762" s="1059">
        <f t="shared" ref="M762:M767" si="38">IF(A762="","",I762*K762)</f>
        <v>35700</v>
      </c>
      <c r="N762" s="1058"/>
    </row>
    <row r="763" spans="1:15" ht="12.75" customHeight="1" x14ac:dyDescent="0.2">
      <c r="A763" s="1056" t="s">
        <v>1518</v>
      </c>
      <c r="B763" s="1057"/>
      <c r="C763" s="1057"/>
      <c r="D763" s="1057"/>
      <c r="E763" s="1057"/>
      <c r="F763" s="1057"/>
      <c r="G763" s="1058"/>
      <c r="H763" s="9" t="str">
        <f t="shared" si="36"/>
        <v>Unidad</v>
      </c>
      <c r="I763" s="1059">
        <f t="shared" si="37"/>
        <v>30702</v>
      </c>
      <c r="J763" s="1058"/>
      <c r="K763" s="1060">
        <v>2</v>
      </c>
      <c r="L763" s="1058"/>
      <c r="M763" s="1059">
        <f t="shared" si="38"/>
        <v>61404</v>
      </c>
      <c r="N763" s="1058"/>
    </row>
    <row r="764" spans="1:15" ht="12.75" customHeight="1" x14ac:dyDescent="0.2">
      <c r="A764" s="1056" t="s">
        <v>1519</v>
      </c>
      <c r="B764" s="1057"/>
      <c r="C764" s="1057"/>
      <c r="D764" s="1057"/>
      <c r="E764" s="1057"/>
      <c r="F764" s="1057"/>
      <c r="G764" s="1058"/>
      <c r="H764" s="9" t="str">
        <f t="shared" si="36"/>
        <v>Unidad</v>
      </c>
      <c r="I764" s="1059">
        <f t="shared" si="37"/>
        <v>11543</v>
      </c>
      <c r="J764" s="1058"/>
      <c r="K764" s="1060">
        <v>1</v>
      </c>
      <c r="L764" s="1058"/>
      <c r="M764" s="1059">
        <f t="shared" si="38"/>
        <v>11543</v>
      </c>
      <c r="N764" s="1058"/>
    </row>
    <row r="765" spans="1:15" ht="12.75" customHeight="1" x14ac:dyDescent="0.2">
      <c r="A765" s="1056" t="s">
        <v>1520</v>
      </c>
      <c r="B765" s="1057"/>
      <c r="C765" s="1057"/>
      <c r="D765" s="1057"/>
      <c r="E765" s="1057"/>
      <c r="F765" s="1057"/>
      <c r="G765" s="1058"/>
      <c r="H765" s="9" t="str">
        <f t="shared" si="36"/>
        <v>Unidad</v>
      </c>
      <c r="I765" s="1059">
        <f t="shared" si="37"/>
        <v>179394.88</v>
      </c>
      <c r="J765" s="1058"/>
      <c r="K765" s="1060">
        <v>1</v>
      </c>
      <c r="L765" s="1058"/>
      <c r="M765" s="1059">
        <f t="shared" si="38"/>
        <v>179394.88</v>
      </c>
      <c r="N765" s="1058"/>
    </row>
    <row r="766" spans="1:15" ht="12.75" customHeight="1" x14ac:dyDescent="0.2">
      <c r="A766" s="1056" t="s">
        <v>1521</v>
      </c>
      <c r="B766" s="1057"/>
      <c r="C766" s="1057"/>
      <c r="D766" s="1057"/>
      <c r="E766" s="1057"/>
      <c r="F766" s="1057"/>
      <c r="G766" s="1058"/>
      <c r="H766" s="9" t="str">
        <f t="shared" si="36"/>
        <v>Unidad</v>
      </c>
      <c r="I766" s="1059">
        <f t="shared" si="37"/>
        <v>64956.149999999994</v>
      </c>
      <c r="J766" s="1058"/>
      <c r="K766" s="1060">
        <v>1</v>
      </c>
      <c r="L766" s="1058"/>
      <c r="M766" s="1059">
        <f t="shared" si="38"/>
        <v>64956.149999999994</v>
      </c>
      <c r="N766" s="1058"/>
    </row>
    <row r="767" spans="1:15" ht="12.75" customHeight="1" x14ac:dyDescent="0.2">
      <c r="A767" s="1056" t="s">
        <v>1507</v>
      </c>
      <c r="B767" s="1057"/>
      <c r="C767" s="1057"/>
      <c r="D767" s="1057"/>
      <c r="E767" s="1057"/>
      <c r="F767" s="1057"/>
      <c r="G767" s="1058"/>
      <c r="H767" s="9" t="str">
        <f t="shared" si="36"/>
        <v>m</v>
      </c>
      <c r="I767" s="1059">
        <f t="shared" si="37"/>
        <v>10120.949999999999</v>
      </c>
      <c r="J767" s="1058"/>
      <c r="K767" s="1060">
        <v>6</v>
      </c>
      <c r="L767" s="1058"/>
      <c r="M767" s="1059">
        <f t="shared" si="38"/>
        <v>60725.7</v>
      </c>
      <c r="N767" s="1058"/>
    </row>
    <row r="768" spans="1:15" ht="12.75" customHeight="1" x14ac:dyDescent="0.2">
      <c r="A768" s="1056" t="s">
        <v>1548</v>
      </c>
      <c r="B768" s="1057"/>
      <c r="C768" s="1057"/>
      <c r="D768" s="1057"/>
      <c r="E768" s="1057"/>
      <c r="F768" s="1057"/>
      <c r="G768" s="1058"/>
      <c r="H768" s="9" t="str">
        <f t="shared" ref="H768:H769" si="39">IF(A768="","",VLOOKUP(A768,AA_Materiales,7,FALSE))</f>
        <v>Unidad</v>
      </c>
      <c r="I768" s="1059">
        <f t="shared" ref="I768:I769" si="40">IF(A768="","",VLOOKUP(A768,AA_Materiales,8,FALSE))</f>
        <v>20900</v>
      </c>
      <c r="J768" s="1058"/>
      <c r="K768" s="1060">
        <v>1</v>
      </c>
      <c r="L768" s="1058"/>
      <c r="M768" s="1059">
        <f t="shared" ref="M768:M769" si="41">IF(A768="","",I768*K768)</f>
        <v>20900</v>
      </c>
      <c r="N768" s="1058"/>
    </row>
    <row r="769" spans="1:14" ht="12.75" customHeight="1" x14ac:dyDescent="0.2">
      <c r="A769" s="1056" t="s">
        <v>1580</v>
      </c>
      <c r="B769" s="1057"/>
      <c r="C769" s="1057"/>
      <c r="D769" s="1057"/>
      <c r="E769" s="1057"/>
      <c r="F769" s="1057"/>
      <c r="G769" s="1058"/>
      <c r="H769" s="9" t="str">
        <f t="shared" si="39"/>
        <v>Unidad</v>
      </c>
      <c r="I769" s="1059">
        <f t="shared" si="40"/>
        <v>18130.84</v>
      </c>
      <c r="J769" s="1058"/>
      <c r="K769" s="1060">
        <v>2</v>
      </c>
      <c r="L769" s="1058"/>
      <c r="M769" s="1059">
        <f t="shared" si="41"/>
        <v>36261.68</v>
      </c>
      <c r="N769" s="1058"/>
    </row>
    <row r="770" spans="1:14" ht="12.75" customHeight="1" x14ac:dyDescent="0.25">
      <c r="A770" s="3"/>
      <c r="B770" s="3"/>
      <c r="C770" s="3"/>
      <c r="D770" s="3"/>
      <c r="E770" s="3"/>
      <c r="F770" s="3"/>
      <c r="G770" s="3"/>
      <c r="H770" s="3"/>
      <c r="I770" s="3"/>
      <c r="J770" s="3"/>
      <c r="K770" s="1066" t="s">
        <v>201</v>
      </c>
      <c r="L770" s="1058"/>
      <c r="M770" s="1059">
        <f>SUM(M762:N769)</f>
        <v>470885.41000000003</v>
      </c>
      <c r="N770" s="1058"/>
    </row>
    <row r="771" spans="1:14" ht="12.75" customHeight="1" x14ac:dyDescent="0.25">
      <c r="A771" s="3"/>
      <c r="B771" s="3"/>
      <c r="C771" s="3"/>
      <c r="D771" s="3"/>
      <c r="E771" s="3"/>
      <c r="F771" s="3"/>
      <c r="G771" s="3"/>
      <c r="H771" s="3"/>
      <c r="I771" s="3"/>
      <c r="J771" s="3"/>
      <c r="K771" s="3"/>
      <c r="L771" s="3"/>
      <c r="M771" s="3"/>
      <c r="N771" s="3"/>
    </row>
    <row r="772" spans="1:14" ht="12.75" customHeight="1" x14ac:dyDescent="0.2">
      <c r="A772" s="1065" t="s">
        <v>390</v>
      </c>
      <c r="B772" s="1057"/>
      <c r="C772" s="1057"/>
      <c r="D772" s="1057"/>
      <c r="E772" s="1057"/>
      <c r="F772" s="1057"/>
      <c r="G772" s="1057"/>
      <c r="H772" s="1057"/>
      <c r="I772" s="1057"/>
      <c r="J772" s="1057"/>
      <c r="K772" s="1057"/>
      <c r="L772" s="1057"/>
      <c r="M772" s="1057"/>
      <c r="N772" s="1058"/>
    </row>
    <row r="773" spans="1:14" ht="12.75" customHeight="1" x14ac:dyDescent="0.2">
      <c r="A773" s="1066" t="s">
        <v>38</v>
      </c>
      <c r="B773" s="1057"/>
      <c r="C773" s="1057"/>
      <c r="D773" s="1057"/>
      <c r="E773" s="1057"/>
      <c r="F773" s="1057"/>
      <c r="G773" s="1058"/>
      <c r="H773" s="28" t="s">
        <v>39</v>
      </c>
      <c r="I773" s="1062" t="s">
        <v>385</v>
      </c>
      <c r="J773" s="1058"/>
      <c r="K773" s="1062" t="s">
        <v>132</v>
      </c>
      <c r="L773" s="1058"/>
      <c r="M773" s="1062" t="s">
        <v>386</v>
      </c>
      <c r="N773" s="1058"/>
    </row>
    <row r="774" spans="1:14" ht="12.75" customHeight="1" x14ac:dyDescent="0.2">
      <c r="A774" s="1061" t="s">
        <v>391</v>
      </c>
      <c r="B774" s="1057"/>
      <c r="C774" s="1057"/>
      <c r="D774" s="1057"/>
      <c r="E774" s="1057"/>
      <c r="F774" s="1057"/>
      <c r="G774" s="1058"/>
      <c r="H774" s="9" t="str">
        <f>IF(A774="","",VLOOKUP(A774,AA_Equipos,7,FALSE))</f>
        <v>% M.O.</v>
      </c>
      <c r="I774" s="1059">
        <f>+M797</f>
        <v>226708.898388</v>
      </c>
      <c r="J774" s="1058"/>
      <c r="K774" s="1064">
        <v>0.05</v>
      </c>
      <c r="L774" s="1058"/>
      <c r="M774" s="1059">
        <f>IF(A774="","",I774*K774)</f>
        <v>11335.444919400001</v>
      </c>
      <c r="N774" s="1058"/>
    </row>
    <row r="775" spans="1:14" ht="12.75" customHeight="1" x14ac:dyDescent="0.2">
      <c r="A775" s="1056"/>
      <c r="B775" s="1057"/>
      <c r="C775" s="1057"/>
      <c r="D775" s="1057"/>
      <c r="E775" s="1057"/>
      <c r="F775" s="1057"/>
      <c r="G775" s="1058"/>
      <c r="H775" s="9" t="str">
        <f>IF(A775="","",VLOOKUP(A775,AA_Equipos,7,FALSE))</f>
        <v/>
      </c>
      <c r="I775" s="1059" t="str">
        <f>IF(A775="","",VLOOKUP(A775,AA_Equipos,8,FALSE))</f>
        <v/>
      </c>
      <c r="J775" s="1058"/>
      <c r="K775" s="1067"/>
      <c r="L775" s="1058"/>
      <c r="M775" s="1059" t="str">
        <f>IF(A775="","",I775*K775)</f>
        <v/>
      </c>
      <c r="N775" s="1058"/>
    </row>
    <row r="776" spans="1:14" ht="12.75" customHeight="1" x14ac:dyDescent="0.2">
      <c r="A776" s="1061"/>
      <c r="B776" s="1057"/>
      <c r="C776" s="1057"/>
      <c r="D776" s="1057"/>
      <c r="E776" s="1057"/>
      <c r="F776" s="1057"/>
      <c r="G776" s="1058"/>
      <c r="H776" s="9" t="str">
        <f>IF(A776="","",VLOOKUP(A776,AA_Equipos,7,FALSE))</f>
        <v/>
      </c>
      <c r="I776" s="1059" t="str">
        <f>IF(A776="","",VLOOKUP(A776,AA_Equipos,8,FALSE))</f>
        <v/>
      </c>
      <c r="J776" s="1058"/>
      <c r="K776" s="1070"/>
      <c r="L776" s="1058"/>
      <c r="M776" s="1059" t="str">
        <f>IF(A776="","",I776*K776)</f>
        <v/>
      </c>
      <c r="N776" s="1058"/>
    </row>
    <row r="777" spans="1:14" ht="12.75" customHeight="1" x14ac:dyDescent="0.2">
      <c r="A777" s="1061"/>
      <c r="B777" s="1057"/>
      <c r="C777" s="1057"/>
      <c r="D777" s="1057"/>
      <c r="E777" s="1057"/>
      <c r="F777" s="1057"/>
      <c r="G777" s="1058"/>
      <c r="H777" s="9" t="str">
        <f>IF(A777="","",VLOOKUP(A777,AA_Equipos,7,FALSE))</f>
        <v/>
      </c>
      <c r="I777" s="1059" t="str">
        <f>IF(A777="","",VLOOKUP(A777,AA_Equipos,8,FALSE))</f>
        <v/>
      </c>
      <c r="J777" s="1058"/>
      <c r="K777" s="1060"/>
      <c r="L777" s="1058"/>
      <c r="M777" s="1059" t="str">
        <f>IF(A777="","",I777*K777)</f>
        <v/>
      </c>
      <c r="N777" s="1058"/>
    </row>
    <row r="778" spans="1:14" ht="12.75" customHeight="1" x14ac:dyDescent="0.2">
      <c r="A778" s="1061"/>
      <c r="B778" s="1057"/>
      <c r="C778" s="1057"/>
      <c r="D778" s="1057"/>
      <c r="E778" s="1057"/>
      <c r="F778" s="1057"/>
      <c r="G778" s="1058"/>
      <c r="H778" s="9" t="str">
        <f>IF(A778="","",VLOOKUP(A778,AA_Equipos,7,FALSE))</f>
        <v/>
      </c>
      <c r="I778" s="1059" t="str">
        <f>IF(A778="","",VLOOKUP(A778,AA_Equipos,8,FALSE))</f>
        <v/>
      </c>
      <c r="J778" s="1058"/>
      <c r="K778" s="1060"/>
      <c r="L778" s="1058"/>
      <c r="M778" s="1059" t="str">
        <f>IF(A778="","",I778*K778)</f>
        <v/>
      </c>
      <c r="N778" s="1058"/>
    </row>
    <row r="779" spans="1:14" ht="12.75" customHeight="1" x14ac:dyDescent="0.25">
      <c r="A779" s="3"/>
      <c r="B779" s="3"/>
      <c r="C779" s="3"/>
      <c r="D779" s="3"/>
      <c r="E779" s="3"/>
      <c r="F779" s="3"/>
      <c r="G779" s="3"/>
      <c r="H779" s="3"/>
      <c r="I779" s="3"/>
      <c r="J779" s="3"/>
      <c r="K779" s="1066" t="s">
        <v>201</v>
      </c>
      <c r="L779" s="1058"/>
      <c r="M779" s="1059">
        <f>SUM(M774:N778)</f>
        <v>11335.444919400001</v>
      </c>
      <c r="N779" s="1058"/>
    </row>
    <row r="780" spans="1:14" ht="12.75" customHeight="1" x14ac:dyDescent="0.25">
      <c r="A780" s="3"/>
      <c r="B780" s="3"/>
      <c r="C780" s="3"/>
      <c r="D780" s="3"/>
      <c r="E780" s="3"/>
      <c r="F780" s="3"/>
      <c r="G780" s="3"/>
      <c r="H780" s="3"/>
      <c r="I780" s="3"/>
      <c r="J780" s="3"/>
      <c r="K780" s="3"/>
      <c r="L780" s="3"/>
      <c r="M780" s="3"/>
      <c r="N780" s="3"/>
    </row>
    <row r="781" spans="1:14" ht="12.75" customHeight="1" x14ac:dyDescent="0.2">
      <c r="A781" s="1065" t="s">
        <v>392</v>
      </c>
      <c r="B781" s="1057"/>
      <c r="C781" s="1057"/>
      <c r="D781" s="1057"/>
      <c r="E781" s="1057"/>
      <c r="F781" s="1057"/>
      <c r="G781" s="1057"/>
      <c r="H781" s="1057"/>
      <c r="I781" s="1057"/>
      <c r="J781" s="1057"/>
      <c r="K781" s="1057"/>
      <c r="L781" s="1057"/>
      <c r="M781" s="1057"/>
      <c r="N781" s="1058"/>
    </row>
    <row r="782" spans="1:14" ht="12.75" customHeight="1" x14ac:dyDescent="0.2">
      <c r="A782" s="1066" t="s">
        <v>38</v>
      </c>
      <c r="B782" s="1057"/>
      <c r="C782" s="1057"/>
      <c r="D782" s="1057"/>
      <c r="E782" s="1057"/>
      <c r="F782" s="1057"/>
      <c r="G782" s="1058"/>
      <c r="H782" s="28" t="s">
        <v>39</v>
      </c>
      <c r="I782" s="1062" t="s">
        <v>385</v>
      </c>
      <c r="J782" s="1058"/>
      <c r="K782" s="1062" t="s">
        <v>132</v>
      </c>
      <c r="L782" s="1058"/>
      <c r="M782" s="1062" t="s">
        <v>386</v>
      </c>
      <c r="N782" s="1058"/>
    </row>
    <row r="783" spans="1:14" ht="12.75" customHeight="1" x14ac:dyDescent="0.2">
      <c r="A783" s="1061"/>
      <c r="B783" s="1057"/>
      <c r="C783" s="1057"/>
      <c r="D783" s="1057"/>
      <c r="E783" s="1057"/>
      <c r="F783" s="1057"/>
      <c r="G783" s="1058"/>
      <c r="H783" s="9"/>
      <c r="I783" s="1059"/>
      <c r="J783" s="1058"/>
      <c r="K783" s="1064"/>
      <c r="L783" s="1058"/>
      <c r="M783" s="1059" t="str">
        <f>IF(A783="","",I783*K783)</f>
        <v/>
      </c>
      <c r="N783" s="1058"/>
    </row>
    <row r="784" spans="1:14" ht="12.75" customHeight="1" x14ac:dyDescent="0.2">
      <c r="A784" s="1056"/>
      <c r="B784" s="1057"/>
      <c r="C784" s="1057"/>
      <c r="D784" s="1057"/>
      <c r="E784" s="1057"/>
      <c r="F784" s="1057"/>
      <c r="G784" s="1058"/>
      <c r="H784" s="9"/>
      <c r="I784" s="1059"/>
      <c r="J784" s="1058"/>
      <c r="K784" s="1064"/>
      <c r="L784" s="1058"/>
      <c r="M784" s="1059" t="str">
        <f>IF(A784="","",I784*K784)</f>
        <v/>
      </c>
      <c r="N784" s="1058"/>
    </row>
    <row r="785" spans="1:15" ht="12.75" customHeight="1" x14ac:dyDescent="0.2">
      <c r="A785" s="1061"/>
      <c r="B785" s="1057"/>
      <c r="C785" s="1057"/>
      <c r="D785" s="1057"/>
      <c r="E785" s="1057"/>
      <c r="F785" s="1057"/>
      <c r="G785" s="1058"/>
      <c r="H785" s="9"/>
      <c r="I785" s="1059"/>
      <c r="J785" s="1058"/>
      <c r="K785" s="1060"/>
      <c r="L785" s="1058"/>
      <c r="M785" s="1059" t="str">
        <f>IF(A785="","",I785*K785)</f>
        <v/>
      </c>
      <c r="N785" s="1058"/>
    </row>
    <row r="786" spans="1:15" ht="12.75" customHeight="1" x14ac:dyDescent="0.2">
      <c r="A786" s="1061"/>
      <c r="B786" s="1057"/>
      <c r="C786" s="1057"/>
      <c r="D786" s="1057"/>
      <c r="E786" s="1057"/>
      <c r="F786" s="1057"/>
      <c r="G786" s="1058"/>
      <c r="H786" s="9"/>
      <c r="I786" s="1059"/>
      <c r="J786" s="1058"/>
      <c r="K786" s="1060"/>
      <c r="L786" s="1058"/>
      <c r="M786" s="1059" t="str">
        <f>IF(A786="","",I786*K786)</f>
        <v/>
      </c>
      <c r="N786" s="1058"/>
    </row>
    <row r="787" spans="1:15" ht="12.75" customHeight="1" x14ac:dyDescent="0.2">
      <c r="A787" s="1061"/>
      <c r="B787" s="1057"/>
      <c r="C787" s="1057"/>
      <c r="D787" s="1057"/>
      <c r="E787" s="1057"/>
      <c r="F787" s="1057"/>
      <c r="G787" s="1058"/>
      <c r="H787" s="9"/>
      <c r="I787" s="1059"/>
      <c r="J787" s="1058"/>
      <c r="K787" s="1060"/>
      <c r="L787" s="1058"/>
      <c r="M787" s="1059" t="str">
        <f>IF(A787="","",I787*K787)</f>
        <v/>
      </c>
      <c r="N787" s="1058"/>
    </row>
    <row r="788" spans="1:15" ht="12.75" customHeight="1" x14ac:dyDescent="0.25">
      <c r="A788" s="3"/>
      <c r="B788" s="3"/>
      <c r="C788" s="3"/>
      <c r="D788" s="3"/>
      <c r="E788" s="3"/>
      <c r="F788" s="3"/>
      <c r="G788" s="3"/>
      <c r="H788" s="3"/>
      <c r="I788" s="3"/>
      <c r="J788" s="3"/>
      <c r="K788" s="1066" t="s">
        <v>201</v>
      </c>
      <c r="L788" s="1058"/>
      <c r="M788" s="1059">
        <f>SUM(M783:N787)</f>
        <v>0</v>
      </c>
      <c r="N788" s="1058"/>
    </row>
    <row r="789" spans="1:15" ht="12.75" customHeight="1" x14ac:dyDescent="0.25">
      <c r="A789" s="3"/>
      <c r="B789" s="3"/>
      <c r="C789" s="3"/>
      <c r="D789" s="3"/>
      <c r="E789" s="3"/>
      <c r="F789" s="3"/>
      <c r="G789" s="3"/>
      <c r="H789" s="3"/>
      <c r="I789" s="3"/>
      <c r="J789" s="3"/>
      <c r="K789" s="3"/>
      <c r="L789" s="3"/>
      <c r="M789" s="3"/>
      <c r="N789" s="3"/>
    </row>
    <row r="790" spans="1:15" ht="12.75" customHeight="1" x14ac:dyDescent="0.2">
      <c r="A790" s="1065" t="s">
        <v>394</v>
      </c>
      <c r="B790" s="1057"/>
      <c r="C790" s="1057"/>
      <c r="D790" s="1057"/>
      <c r="E790" s="1057"/>
      <c r="F790" s="1057"/>
      <c r="G790" s="1057"/>
      <c r="H790" s="1057"/>
      <c r="I790" s="1057"/>
      <c r="J790" s="1057"/>
      <c r="K790" s="1057"/>
      <c r="L790" s="1057"/>
      <c r="M790" s="1057"/>
      <c r="N790" s="1058"/>
    </row>
    <row r="791" spans="1:15" ht="12.75" customHeight="1" x14ac:dyDescent="0.2">
      <c r="A791" s="1066" t="s">
        <v>38</v>
      </c>
      <c r="B791" s="1057"/>
      <c r="C791" s="1057"/>
      <c r="D791" s="1057"/>
      <c r="E791" s="1057"/>
      <c r="F791" s="1057"/>
      <c r="G791" s="1058"/>
      <c r="H791" s="28" t="s">
        <v>39</v>
      </c>
      <c r="I791" s="1062" t="s">
        <v>385</v>
      </c>
      <c r="J791" s="1058"/>
      <c r="K791" s="30" t="s">
        <v>193</v>
      </c>
      <c r="L791" s="31" t="s">
        <v>395</v>
      </c>
      <c r="M791" s="1062" t="s">
        <v>386</v>
      </c>
      <c r="N791" s="1058"/>
    </row>
    <row r="792" spans="1:15" ht="12.75" customHeight="1" x14ac:dyDescent="0.25">
      <c r="A792" s="1063" t="s">
        <v>423</v>
      </c>
      <c r="B792" s="1057"/>
      <c r="C792" s="1057"/>
      <c r="D792" s="1057"/>
      <c r="E792" s="1057"/>
      <c r="F792" s="1057"/>
      <c r="G792" s="1058"/>
      <c r="H792" s="9" t="str">
        <f>IF(A792="","",VLOOKUP(A792,AA_Cuadrillas,4,FALSE))</f>
        <v>Cuadrilla</v>
      </c>
      <c r="I792" s="1059">
        <f>IF(A792="","",VLOOKUP(A792,AA_Cuadrillas,5,FALSE))</f>
        <v>134236</v>
      </c>
      <c r="J792" s="1058"/>
      <c r="K792" s="1">
        <f>IF(A792="","",'06'!$J$3)</f>
        <v>1.7233500000000002</v>
      </c>
      <c r="L792" s="37">
        <v>0.98</v>
      </c>
      <c r="M792" s="1059">
        <f>IF(A792="","",I792*K792*L792)</f>
        <v>226708.898388</v>
      </c>
      <c r="N792" s="1058"/>
    </row>
    <row r="793" spans="1:15" ht="12.75" customHeight="1" x14ac:dyDescent="0.25">
      <c r="A793" s="1063"/>
      <c r="B793" s="1057"/>
      <c r="C793" s="1057"/>
      <c r="D793" s="1057"/>
      <c r="E793" s="1057"/>
      <c r="F793" s="1057"/>
      <c r="G793" s="1058"/>
      <c r="H793" s="9" t="str">
        <f>IF(A793="","",VLOOKUP(A793,AA_Cuadrillas,4,FALSE))</f>
        <v/>
      </c>
      <c r="I793" s="1059" t="str">
        <f>IF(A793="","",VLOOKUP(A793,AA_Cuadrillas,5,FALSE))</f>
        <v/>
      </c>
      <c r="J793" s="1058"/>
      <c r="K793" s="1" t="str">
        <f>IF(A793="","",'06'!$J$3)</f>
        <v/>
      </c>
      <c r="L793" s="1"/>
      <c r="M793" s="1059" t="str">
        <f>IF(A793="","",I793*K793*L793)</f>
        <v/>
      </c>
      <c r="N793" s="1058"/>
    </row>
    <row r="794" spans="1:15" ht="12.75" customHeight="1" x14ac:dyDescent="0.25">
      <c r="A794" s="1063"/>
      <c r="B794" s="1057"/>
      <c r="C794" s="1057"/>
      <c r="D794" s="1057"/>
      <c r="E794" s="1057"/>
      <c r="F794" s="1057"/>
      <c r="G794" s="1058"/>
      <c r="H794" s="9" t="str">
        <f>IF(A794="","",VLOOKUP(A794,AA_Cuadrillas,4,FALSE))</f>
        <v/>
      </c>
      <c r="I794" s="1059" t="str">
        <f>IF(A794="","",VLOOKUP(A794,AA_Cuadrillas,5,FALSE))</f>
        <v/>
      </c>
      <c r="J794" s="1058"/>
      <c r="K794" s="1" t="str">
        <f>IF(A794="","",'06'!$J$3)</f>
        <v/>
      </c>
      <c r="L794" s="10"/>
      <c r="M794" s="1059" t="str">
        <f>IF(A794="","",I794*K794*L794)</f>
        <v/>
      </c>
      <c r="N794" s="1058"/>
    </row>
    <row r="795" spans="1:15" ht="12.75" customHeight="1" x14ac:dyDescent="0.25">
      <c r="A795" s="1063"/>
      <c r="B795" s="1057"/>
      <c r="C795" s="1057"/>
      <c r="D795" s="1057"/>
      <c r="E795" s="1057"/>
      <c r="F795" s="1057"/>
      <c r="G795" s="1058"/>
      <c r="H795" s="9" t="str">
        <f>IF(A795="","",VLOOKUP(A795,AA_Cuadrillas,4,FALSE))</f>
        <v/>
      </c>
      <c r="I795" s="1059" t="str">
        <f>IF(A795="","",VLOOKUP(A795,AA_Cuadrillas,5,FALSE))</f>
        <v/>
      </c>
      <c r="J795" s="1058"/>
      <c r="K795" s="1" t="str">
        <f>IF(A795="","",'06'!$J$3)</f>
        <v/>
      </c>
      <c r="L795" s="10"/>
      <c r="M795" s="1059" t="str">
        <f>IF(A795="","",I795*K795*L795)</f>
        <v/>
      </c>
      <c r="N795" s="1058"/>
    </row>
    <row r="796" spans="1:15" ht="12.75" customHeight="1" x14ac:dyDescent="0.25">
      <c r="A796" s="1063"/>
      <c r="B796" s="1057"/>
      <c r="C796" s="1057"/>
      <c r="D796" s="1057"/>
      <c r="E796" s="1057"/>
      <c r="F796" s="1057"/>
      <c r="G796" s="1058"/>
      <c r="H796" s="9" t="str">
        <f>IF(A796="","",VLOOKUP(A796,AA_Cuadrillas,4,FALSE))</f>
        <v/>
      </c>
      <c r="I796" s="1059" t="str">
        <f>IF(A796="","",VLOOKUP(A796,AA_Cuadrillas,5,FALSE))</f>
        <v/>
      </c>
      <c r="J796" s="1058"/>
      <c r="K796" s="1" t="str">
        <f>IF(A796="","",'06'!$J$3)</f>
        <v/>
      </c>
      <c r="L796" s="10"/>
      <c r="M796" s="1059" t="str">
        <f>IF(A796="","",I796*K796*L796)</f>
        <v/>
      </c>
      <c r="N796" s="1058"/>
    </row>
    <row r="797" spans="1:15" ht="12.75" customHeight="1" x14ac:dyDescent="0.25">
      <c r="A797" s="3"/>
      <c r="B797" s="3"/>
      <c r="C797" s="3"/>
      <c r="D797" s="3"/>
      <c r="E797" s="3"/>
      <c r="F797" s="3"/>
      <c r="G797" s="3"/>
      <c r="H797" s="3"/>
      <c r="I797" s="3"/>
      <c r="J797" s="3"/>
      <c r="K797" s="1066" t="s">
        <v>201</v>
      </c>
      <c r="L797" s="1058"/>
      <c r="M797" s="1059">
        <f>SUM(M792:N796)</f>
        <v>226708.898388</v>
      </c>
      <c r="N797" s="1058"/>
    </row>
    <row r="798" spans="1:15" ht="12.75" customHeight="1" x14ac:dyDescent="0.2"/>
    <row r="799" spans="1:15" ht="12.75" customHeight="1" x14ac:dyDescent="0.2">
      <c r="A799" s="1072" t="s">
        <v>1684</v>
      </c>
      <c r="B799" s="1052"/>
      <c r="C799" s="1052"/>
      <c r="D799" s="1052"/>
      <c r="E799" s="1052"/>
      <c r="F799" s="1052"/>
      <c r="G799" s="1052"/>
      <c r="H799" s="1052"/>
      <c r="I799" s="1052"/>
      <c r="J799" s="1052"/>
      <c r="K799" s="1052"/>
      <c r="L799" s="1052"/>
      <c r="M799" s="1052"/>
      <c r="N799" s="1053"/>
      <c r="O799" s="7"/>
    </row>
    <row r="800" spans="1:15" ht="12.75" customHeight="1" x14ac:dyDescent="0.2">
      <c r="A800" s="1031"/>
      <c r="B800" s="1032"/>
      <c r="C800" s="1032"/>
      <c r="D800" s="1032"/>
      <c r="E800" s="1032"/>
      <c r="F800" s="1032"/>
      <c r="G800" s="1032"/>
      <c r="H800" s="1032"/>
      <c r="I800" s="1032"/>
      <c r="J800" s="1032"/>
      <c r="K800" s="1032"/>
      <c r="L800" s="1032"/>
      <c r="M800" s="1032"/>
      <c r="N800" s="1055"/>
      <c r="O800" s="7"/>
    </row>
    <row r="801" spans="1:14" ht="12.75" customHeight="1" x14ac:dyDescent="0.2">
      <c r="A801" s="16"/>
      <c r="B801" s="16"/>
      <c r="C801" s="16"/>
      <c r="D801" s="16"/>
      <c r="E801" s="16"/>
      <c r="F801" s="16"/>
      <c r="G801" s="16"/>
      <c r="H801" s="16"/>
      <c r="I801" s="16"/>
      <c r="J801" s="16"/>
      <c r="K801" s="16"/>
      <c r="L801" s="16"/>
      <c r="M801" s="16"/>
      <c r="N801" s="16"/>
    </row>
    <row r="802" spans="1:14" ht="12.75" customHeight="1" x14ac:dyDescent="0.3">
      <c r="A802" s="18" t="s">
        <v>309</v>
      </c>
      <c r="B802" s="19" t="str">
        <f>A799</f>
        <v>CONSTRUCIÓN DE CAJA PARA PROTECCIÓN DE VÁLVULA DE 1,2*0,60*0,60M LIBRES: ESPESOR DE PAREDES DE 0,10M EN MAMPOSTERIA (PARA MONTAJE DE 3 VALVULAS EN SERIE)</v>
      </c>
      <c r="C802" s="20" t="s">
        <v>382</v>
      </c>
      <c r="D802" s="21" t="s">
        <v>424</v>
      </c>
      <c r="E802" s="22" t="s">
        <v>125</v>
      </c>
      <c r="F802" s="26">
        <f>(H802+J802+L802+N802)*$O$2</f>
        <v>1118912.33365665</v>
      </c>
      <c r="G802" s="22" t="s">
        <v>285</v>
      </c>
      <c r="H802" s="26">
        <f>M824</f>
        <v>5984.5569105000004</v>
      </c>
      <c r="I802" s="22" t="s">
        <v>383</v>
      </c>
      <c r="J802" s="38">
        <f>M815</f>
        <v>657114</v>
      </c>
      <c r="K802" s="22" t="s">
        <v>287</v>
      </c>
      <c r="L802" s="26">
        <f>M833</f>
        <v>77912.100000000006</v>
      </c>
      <c r="M802" s="22" t="s">
        <v>288</v>
      </c>
      <c r="N802" s="26">
        <f>M842</f>
        <v>119691.13821</v>
      </c>
    </row>
    <row r="803" spans="1:14" ht="12.75" customHeight="1" x14ac:dyDescent="0.25">
      <c r="A803" s="27"/>
      <c r="B803" s="27"/>
      <c r="C803" s="27"/>
      <c r="D803" s="27"/>
      <c r="E803" s="27"/>
      <c r="F803" s="27"/>
      <c r="G803" s="27"/>
      <c r="J803" s="27"/>
      <c r="K803" s="27"/>
      <c r="L803" s="27"/>
      <c r="M803" s="27"/>
      <c r="N803" s="27"/>
    </row>
    <row r="804" spans="1:14" ht="12.75" customHeight="1" x14ac:dyDescent="0.2">
      <c r="A804" s="1065" t="s">
        <v>384</v>
      </c>
      <c r="B804" s="1057"/>
      <c r="C804" s="1057"/>
      <c r="D804" s="1057"/>
      <c r="E804" s="1057"/>
      <c r="F804" s="1057"/>
      <c r="G804" s="1057"/>
      <c r="H804" s="1057"/>
      <c r="I804" s="1057"/>
      <c r="J804" s="1057"/>
      <c r="K804" s="1057"/>
      <c r="L804" s="1057"/>
      <c r="M804" s="1057"/>
      <c r="N804" s="1058"/>
    </row>
    <row r="805" spans="1:14" ht="12.75" customHeight="1" x14ac:dyDescent="0.2">
      <c r="A805" s="1066" t="s">
        <v>38</v>
      </c>
      <c r="B805" s="1057"/>
      <c r="C805" s="1057"/>
      <c r="D805" s="1057"/>
      <c r="E805" s="1057"/>
      <c r="F805" s="1057"/>
      <c r="G805" s="1058"/>
      <c r="H805" s="28" t="s">
        <v>39</v>
      </c>
      <c r="I805" s="1062" t="s">
        <v>385</v>
      </c>
      <c r="J805" s="1058"/>
      <c r="K805" s="1062" t="s">
        <v>132</v>
      </c>
      <c r="L805" s="1058"/>
      <c r="M805" s="1062" t="s">
        <v>386</v>
      </c>
      <c r="N805" s="1058"/>
    </row>
    <row r="806" spans="1:14" ht="12.75" customHeight="1" x14ac:dyDescent="0.2">
      <c r="A806" s="1056" t="s">
        <v>1540</v>
      </c>
      <c r="B806" s="1057"/>
      <c r="C806" s="1057"/>
      <c r="D806" s="1057"/>
      <c r="E806" s="1057"/>
      <c r="F806" s="1057"/>
      <c r="G806" s="1058"/>
      <c r="H806" s="9" t="str">
        <f t="shared" ref="H806:H812" si="42">IF(A806="","",VLOOKUP(A806,AA_Materiales,7,FALSE))</f>
        <v>Kg</v>
      </c>
      <c r="I806" s="1059">
        <f t="shared" ref="I806:I811" si="43">IF(A806="","",VLOOKUP(A806,AA_Materiales,8,FALSE))</f>
        <v>5300</v>
      </c>
      <c r="J806" s="1058"/>
      <c r="K806" s="1060">
        <v>3.5</v>
      </c>
      <c r="L806" s="1058"/>
      <c r="M806" s="1059">
        <f t="shared" ref="M806:M811" si="44">IF(A806="","",I806*K806)</f>
        <v>18550</v>
      </c>
      <c r="N806" s="1058"/>
    </row>
    <row r="807" spans="1:14" ht="12.75" customHeight="1" x14ac:dyDescent="0.2">
      <c r="A807" s="1056" t="s">
        <v>1522</v>
      </c>
      <c r="B807" s="1057"/>
      <c r="C807" s="1057"/>
      <c r="D807" s="1057"/>
      <c r="E807" s="1057"/>
      <c r="F807" s="1057"/>
      <c r="G807" s="1058"/>
      <c r="H807" s="9" t="str">
        <f t="shared" si="42"/>
        <v>Kg</v>
      </c>
      <c r="I807" s="1059">
        <f t="shared" si="43"/>
        <v>8500</v>
      </c>
      <c r="J807" s="1058"/>
      <c r="K807" s="1060">
        <v>0.05</v>
      </c>
      <c r="L807" s="1058"/>
      <c r="M807" s="1059">
        <f t="shared" si="44"/>
        <v>425</v>
      </c>
      <c r="N807" s="1058"/>
    </row>
    <row r="808" spans="1:14" ht="12.75" customHeight="1" x14ac:dyDescent="0.2">
      <c r="A808" s="1056" t="s">
        <v>1523</v>
      </c>
      <c r="B808" s="1057"/>
      <c r="C808" s="1057"/>
      <c r="D808" s="1057"/>
      <c r="E808" s="1057"/>
      <c r="F808" s="1057"/>
      <c r="G808" s="1058"/>
      <c r="H808" s="9" t="str">
        <f t="shared" si="42"/>
        <v>m3</v>
      </c>
      <c r="I808" s="1059">
        <f t="shared" si="43"/>
        <v>71400</v>
      </c>
      <c r="J808" s="1058"/>
      <c r="K808" s="1060">
        <v>0.23</v>
      </c>
      <c r="L808" s="1058"/>
      <c r="M808" s="1059">
        <f t="shared" si="44"/>
        <v>16422</v>
      </c>
      <c r="N808" s="1058"/>
    </row>
    <row r="809" spans="1:14" ht="12.75" customHeight="1" x14ac:dyDescent="0.2">
      <c r="A809" s="1056" t="s">
        <v>1524</v>
      </c>
      <c r="B809" s="1057"/>
      <c r="C809" s="1057"/>
      <c r="D809" s="1057"/>
      <c r="E809" s="1057"/>
      <c r="F809" s="1057"/>
      <c r="G809" s="1058"/>
      <c r="H809" s="9" t="str">
        <f t="shared" si="42"/>
        <v>m3</v>
      </c>
      <c r="I809" s="1059">
        <f t="shared" si="43"/>
        <v>71400</v>
      </c>
      <c r="J809" s="1058"/>
      <c r="K809" s="1060">
        <v>7.0000000000000007E-2</v>
      </c>
      <c r="L809" s="1058"/>
      <c r="M809" s="1059">
        <f t="shared" si="44"/>
        <v>4998.0000000000009</v>
      </c>
      <c r="N809" s="1058"/>
    </row>
    <row r="810" spans="1:14" ht="12.75" customHeight="1" x14ac:dyDescent="0.2">
      <c r="A810" s="1056" t="s">
        <v>405</v>
      </c>
      <c r="B810" s="1057"/>
      <c r="C810" s="1057"/>
      <c r="D810" s="1057"/>
      <c r="E810" s="1057"/>
      <c r="F810" s="1057"/>
      <c r="G810" s="1058"/>
      <c r="H810" s="9" t="str">
        <f t="shared" si="42"/>
        <v>Kg</v>
      </c>
      <c r="I810" s="1059">
        <f t="shared" si="43"/>
        <v>646</v>
      </c>
      <c r="J810" s="1058"/>
      <c r="K810" s="1060">
        <v>100</v>
      </c>
      <c r="L810" s="1058"/>
      <c r="M810" s="1059">
        <f t="shared" si="44"/>
        <v>64600</v>
      </c>
      <c r="N810" s="1058"/>
    </row>
    <row r="811" spans="1:14" ht="12.75" customHeight="1" x14ac:dyDescent="0.2">
      <c r="A811" s="1056" t="s">
        <v>1525</v>
      </c>
      <c r="B811" s="1057"/>
      <c r="C811" s="1057"/>
      <c r="D811" s="1057"/>
      <c r="E811" s="1057"/>
      <c r="F811" s="1057"/>
      <c r="G811" s="1058"/>
      <c r="H811" s="9" t="str">
        <f t="shared" si="42"/>
        <v>m3</v>
      </c>
      <c r="I811" s="1059">
        <f t="shared" si="43"/>
        <v>83300</v>
      </c>
      <c r="J811" s="1058"/>
      <c r="K811" s="1060">
        <v>0.27</v>
      </c>
      <c r="L811" s="1058"/>
      <c r="M811" s="1059">
        <f t="shared" si="44"/>
        <v>22491</v>
      </c>
      <c r="N811" s="1058"/>
    </row>
    <row r="812" spans="1:14" ht="12.75" customHeight="1" x14ac:dyDescent="0.2">
      <c r="A812" s="1056" t="s">
        <v>1526</v>
      </c>
      <c r="B812" s="1057"/>
      <c r="C812" s="1057"/>
      <c r="D812" s="1057"/>
      <c r="E812" s="1057"/>
      <c r="F812" s="1057"/>
      <c r="G812" s="1058"/>
      <c r="H812" s="9" t="str">
        <f t="shared" si="42"/>
        <v>Unidad</v>
      </c>
      <c r="I812" s="1059">
        <f t="shared" ref="I812" si="45">IF(A812="","",VLOOKUP(A812,AA_Materiales,8,FALSE))</f>
        <v>800</v>
      </c>
      <c r="J812" s="1058"/>
      <c r="K812" s="1060">
        <v>200</v>
      </c>
      <c r="L812" s="1058"/>
      <c r="M812" s="1059">
        <f t="shared" ref="M812" si="46">IF(A812="","",I812*K812)</f>
        <v>160000</v>
      </c>
      <c r="N812" s="1058"/>
    </row>
    <row r="813" spans="1:14" ht="12.75" customHeight="1" x14ac:dyDescent="0.2">
      <c r="A813" s="1056" t="s">
        <v>422</v>
      </c>
      <c r="B813" s="1057"/>
      <c r="C813" s="1057"/>
      <c r="D813" s="1057"/>
      <c r="E813" s="1057"/>
      <c r="F813" s="1057"/>
      <c r="G813" s="1058"/>
      <c r="H813" s="9" t="str">
        <f t="shared" ref="H813" si="47">IF(A813="","",VLOOKUP(A813,AA_Materiales,7,FALSE))</f>
        <v>m3</v>
      </c>
      <c r="I813" s="1059">
        <f t="shared" ref="I813" si="48">IF(A813="","",VLOOKUP(A813,AA_Materiales,8,FALSE))</f>
        <v>47600</v>
      </c>
      <c r="J813" s="1058"/>
      <c r="K813" s="1060">
        <v>0.83</v>
      </c>
      <c r="L813" s="1058"/>
      <c r="M813" s="1059">
        <f t="shared" ref="M813" si="49">IF(A813="","",I813*K813)</f>
        <v>39508</v>
      </c>
      <c r="N813" s="1058"/>
    </row>
    <row r="814" spans="1:14" ht="12.75" customHeight="1" x14ac:dyDescent="0.2">
      <c r="A814" s="1056" t="s">
        <v>1539</v>
      </c>
      <c r="B814" s="1057"/>
      <c r="C814" s="1057"/>
      <c r="D814" s="1057"/>
      <c r="E814" s="1057"/>
      <c r="F814" s="1057"/>
      <c r="G814" s="1058"/>
      <c r="H814" s="9" t="str">
        <f t="shared" ref="H814" si="50">IF(A814="","",VLOOKUP(A814,AA_Materiales,7,FALSE))</f>
        <v>Unidad</v>
      </c>
      <c r="I814" s="1059">
        <f t="shared" ref="I814" si="51">IF(A814="","",VLOOKUP(A814,AA_Materiales,8,FALSE))</f>
        <v>330120</v>
      </c>
      <c r="J814" s="1058"/>
      <c r="K814" s="1060">
        <v>1</v>
      </c>
      <c r="L814" s="1058"/>
      <c r="M814" s="1059">
        <f t="shared" ref="M814" si="52">IF(A814="","",I814*K814)</f>
        <v>330120</v>
      </c>
      <c r="N814" s="1058"/>
    </row>
    <row r="815" spans="1:14" ht="12.75" customHeight="1" x14ac:dyDescent="0.25">
      <c r="A815" s="3"/>
      <c r="B815" s="3"/>
      <c r="C815" s="3"/>
      <c r="D815" s="3"/>
      <c r="E815" s="3"/>
      <c r="F815" s="3"/>
      <c r="G815" s="3"/>
      <c r="H815" s="3"/>
      <c r="I815" s="3"/>
      <c r="J815" s="3"/>
      <c r="K815" s="1066" t="s">
        <v>201</v>
      </c>
      <c r="L815" s="1058"/>
      <c r="M815" s="1059">
        <f>SUM(M806:N814)</f>
        <v>657114</v>
      </c>
      <c r="N815" s="1058"/>
    </row>
    <row r="816" spans="1:14" ht="12.75" customHeight="1" x14ac:dyDescent="0.25">
      <c r="A816" s="3"/>
      <c r="B816" s="3"/>
      <c r="C816" s="3"/>
      <c r="D816" s="3"/>
      <c r="E816" s="3"/>
      <c r="F816" s="3"/>
      <c r="G816" s="3"/>
      <c r="H816" s="3"/>
      <c r="I816" s="3"/>
      <c r="J816" s="3"/>
      <c r="K816" s="3"/>
      <c r="L816" s="3"/>
      <c r="M816" s="3"/>
      <c r="N816" s="3"/>
    </row>
    <row r="817" spans="1:14" ht="12.75" customHeight="1" x14ac:dyDescent="0.2">
      <c r="A817" s="1065" t="s">
        <v>390</v>
      </c>
      <c r="B817" s="1057"/>
      <c r="C817" s="1057"/>
      <c r="D817" s="1057"/>
      <c r="E817" s="1057"/>
      <c r="F817" s="1057"/>
      <c r="G817" s="1057"/>
      <c r="H817" s="1057"/>
      <c r="I817" s="1057"/>
      <c r="J817" s="1057"/>
      <c r="K817" s="1057"/>
      <c r="L817" s="1057"/>
      <c r="M817" s="1057"/>
      <c r="N817" s="1058"/>
    </row>
    <row r="818" spans="1:14" ht="12.75" customHeight="1" x14ac:dyDescent="0.2">
      <c r="A818" s="1066" t="s">
        <v>38</v>
      </c>
      <c r="B818" s="1057"/>
      <c r="C818" s="1057"/>
      <c r="D818" s="1057"/>
      <c r="E818" s="1057"/>
      <c r="F818" s="1057"/>
      <c r="G818" s="1058"/>
      <c r="H818" s="28" t="s">
        <v>39</v>
      </c>
      <c r="I818" s="1062" t="s">
        <v>385</v>
      </c>
      <c r="J818" s="1058"/>
      <c r="K818" s="1062" t="s">
        <v>132</v>
      </c>
      <c r="L818" s="1058"/>
      <c r="M818" s="1062" t="s">
        <v>386</v>
      </c>
      <c r="N818" s="1058"/>
    </row>
    <row r="819" spans="1:14" ht="12.75" customHeight="1" x14ac:dyDescent="0.2">
      <c r="A819" s="1061" t="s">
        <v>391</v>
      </c>
      <c r="B819" s="1057"/>
      <c r="C819" s="1057"/>
      <c r="D819" s="1057"/>
      <c r="E819" s="1057"/>
      <c r="F819" s="1057"/>
      <c r="G819" s="1058"/>
      <c r="H819" s="9" t="str">
        <f>IF(A819="","",VLOOKUP(A819,AA_Equipos,7,FALSE))</f>
        <v>% M.O.</v>
      </c>
      <c r="I819" s="1059">
        <f>+M842</f>
        <v>119691.13821</v>
      </c>
      <c r="J819" s="1058"/>
      <c r="K819" s="1064">
        <v>0.05</v>
      </c>
      <c r="L819" s="1058"/>
      <c r="M819" s="1059">
        <f>IF(A819="","",I819*K819)</f>
        <v>5984.5569105000004</v>
      </c>
      <c r="N819" s="1058"/>
    </row>
    <row r="820" spans="1:14" ht="12.75" customHeight="1" x14ac:dyDescent="0.2">
      <c r="A820" s="1056"/>
      <c r="B820" s="1057"/>
      <c r="C820" s="1057"/>
      <c r="D820" s="1057"/>
      <c r="E820" s="1057"/>
      <c r="F820" s="1057"/>
      <c r="G820" s="1058"/>
      <c r="H820" s="9" t="str">
        <f>IF(A820="","",VLOOKUP(A820,AA_Equipos,7,FALSE))</f>
        <v/>
      </c>
      <c r="I820" s="1059" t="str">
        <f>IF(A820="","",VLOOKUP(A820,AA_Equipos,8,FALSE))</f>
        <v/>
      </c>
      <c r="J820" s="1058"/>
      <c r="K820" s="1067"/>
      <c r="L820" s="1058"/>
      <c r="M820" s="1059" t="str">
        <f>IF(A820="","",I820*K820)</f>
        <v/>
      </c>
      <c r="N820" s="1058"/>
    </row>
    <row r="821" spans="1:14" ht="12.75" customHeight="1" x14ac:dyDescent="0.2">
      <c r="A821" s="1061"/>
      <c r="B821" s="1057"/>
      <c r="C821" s="1057"/>
      <c r="D821" s="1057"/>
      <c r="E821" s="1057"/>
      <c r="F821" s="1057"/>
      <c r="G821" s="1058"/>
      <c r="H821" s="9" t="str">
        <f>IF(A821="","",VLOOKUP(A821,AA_Equipos,7,FALSE))</f>
        <v/>
      </c>
      <c r="I821" s="1059" t="str">
        <f>IF(A821="","",VLOOKUP(A821,AA_Equipos,8,FALSE))</f>
        <v/>
      </c>
      <c r="J821" s="1058"/>
      <c r="K821" s="1070"/>
      <c r="L821" s="1058"/>
      <c r="M821" s="1059" t="str">
        <f>IF(A821="","",I821*K821)</f>
        <v/>
      </c>
      <c r="N821" s="1058"/>
    </row>
    <row r="822" spans="1:14" ht="12.75" customHeight="1" x14ac:dyDescent="0.2">
      <c r="A822" s="1061"/>
      <c r="B822" s="1057"/>
      <c r="C822" s="1057"/>
      <c r="D822" s="1057"/>
      <c r="E822" s="1057"/>
      <c r="F822" s="1057"/>
      <c r="G822" s="1058"/>
      <c r="H822" s="9" t="str">
        <f>IF(A822="","",VLOOKUP(A822,AA_Equipos,7,FALSE))</f>
        <v/>
      </c>
      <c r="I822" s="1059" t="str">
        <f>IF(A822="","",VLOOKUP(A822,AA_Equipos,8,FALSE))</f>
        <v/>
      </c>
      <c r="J822" s="1058"/>
      <c r="K822" s="1060"/>
      <c r="L822" s="1058"/>
      <c r="M822" s="1059" t="str">
        <f>IF(A822="","",I822*K822)</f>
        <v/>
      </c>
      <c r="N822" s="1058"/>
    </row>
    <row r="823" spans="1:14" ht="12.75" customHeight="1" x14ac:dyDescent="0.2">
      <c r="A823" s="1061"/>
      <c r="B823" s="1057"/>
      <c r="C823" s="1057"/>
      <c r="D823" s="1057"/>
      <c r="E823" s="1057"/>
      <c r="F823" s="1057"/>
      <c r="G823" s="1058"/>
      <c r="H823" s="9" t="str">
        <f>IF(A823="","",VLOOKUP(A823,AA_Equipos,7,FALSE))</f>
        <v/>
      </c>
      <c r="I823" s="1059" t="str">
        <f>IF(A823="","",VLOOKUP(A823,AA_Equipos,8,FALSE))</f>
        <v/>
      </c>
      <c r="J823" s="1058"/>
      <c r="K823" s="1060"/>
      <c r="L823" s="1058"/>
      <c r="M823" s="1059" t="str">
        <f>IF(A823="","",I823*K823)</f>
        <v/>
      </c>
      <c r="N823" s="1058"/>
    </row>
    <row r="824" spans="1:14" ht="12.75" customHeight="1" x14ac:dyDescent="0.25">
      <c r="A824" s="3"/>
      <c r="B824" s="3"/>
      <c r="C824" s="3"/>
      <c r="D824" s="3"/>
      <c r="E824" s="3"/>
      <c r="F824" s="3"/>
      <c r="G824" s="3"/>
      <c r="H824" s="3"/>
      <c r="I824" s="3"/>
      <c r="J824" s="3"/>
      <c r="K824" s="1066" t="s">
        <v>201</v>
      </c>
      <c r="L824" s="1058"/>
      <c r="M824" s="1059">
        <f>SUM(M819:N823)</f>
        <v>5984.5569105000004</v>
      </c>
      <c r="N824" s="1058"/>
    </row>
    <row r="825" spans="1:14" ht="12.75" customHeight="1" x14ac:dyDescent="0.25">
      <c r="A825" s="3"/>
      <c r="B825" s="3"/>
      <c r="C825" s="3"/>
      <c r="D825" s="3"/>
      <c r="E825" s="3"/>
      <c r="F825" s="3"/>
      <c r="G825" s="3"/>
      <c r="H825" s="3"/>
      <c r="I825" s="3"/>
      <c r="J825" s="3"/>
      <c r="K825" s="3"/>
      <c r="L825" s="3"/>
      <c r="M825" s="3"/>
      <c r="N825" s="3"/>
    </row>
    <row r="826" spans="1:14" ht="12.75" customHeight="1" x14ac:dyDescent="0.2">
      <c r="A826" s="1065" t="s">
        <v>392</v>
      </c>
      <c r="B826" s="1057"/>
      <c r="C826" s="1057"/>
      <c r="D826" s="1057"/>
      <c r="E826" s="1057"/>
      <c r="F826" s="1057"/>
      <c r="G826" s="1057"/>
      <c r="H826" s="1057"/>
      <c r="I826" s="1057"/>
      <c r="J826" s="1057"/>
      <c r="K826" s="1057"/>
      <c r="L826" s="1057"/>
      <c r="M826" s="1057"/>
      <c r="N826" s="1058"/>
    </row>
    <row r="827" spans="1:14" ht="12.75" customHeight="1" x14ac:dyDescent="0.2">
      <c r="A827" s="1066" t="s">
        <v>38</v>
      </c>
      <c r="B827" s="1057"/>
      <c r="C827" s="1057"/>
      <c r="D827" s="1057"/>
      <c r="E827" s="1057"/>
      <c r="F827" s="1057"/>
      <c r="G827" s="1058"/>
      <c r="H827" s="28" t="s">
        <v>132</v>
      </c>
      <c r="I827" s="1062" t="s">
        <v>385</v>
      </c>
      <c r="J827" s="1058"/>
      <c r="K827" s="1062" t="s">
        <v>132</v>
      </c>
      <c r="L827" s="1058"/>
      <c r="M827" s="1062" t="s">
        <v>386</v>
      </c>
      <c r="N827" s="1058"/>
    </row>
    <row r="828" spans="1:14" ht="12.75" customHeight="1" x14ac:dyDescent="0.2">
      <c r="A828" s="1061" t="s">
        <v>413</v>
      </c>
      <c r="B828" s="1057"/>
      <c r="C828" s="1057"/>
      <c r="D828" s="1057"/>
      <c r="E828" s="1057"/>
      <c r="F828" s="1057"/>
      <c r="G828" s="1058"/>
      <c r="H828" s="1">
        <f>+K813</f>
        <v>0.83</v>
      </c>
      <c r="I828" s="1059">
        <v>2100</v>
      </c>
      <c r="J828" s="1058"/>
      <c r="K828" s="1060">
        <v>44.7</v>
      </c>
      <c r="L828" s="1083"/>
      <c r="M828" s="1059">
        <f>IF(A828="","",H828*I828*K828)</f>
        <v>77912.100000000006</v>
      </c>
      <c r="N828" s="1058"/>
    </row>
    <row r="829" spans="1:14" ht="12.75" customHeight="1" x14ac:dyDescent="0.2">
      <c r="A829" s="1056"/>
      <c r="B829" s="1057"/>
      <c r="C829" s="1057"/>
      <c r="D829" s="1057"/>
      <c r="E829" s="1057"/>
      <c r="F829" s="1057"/>
      <c r="G829" s="1058"/>
      <c r="H829" s="9"/>
      <c r="I829" s="1059"/>
      <c r="J829" s="1058"/>
      <c r="K829" s="1064"/>
      <c r="L829" s="1058"/>
      <c r="M829" s="1059" t="str">
        <f>IF(A829="","",I829*K829)</f>
        <v/>
      </c>
      <c r="N829" s="1058"/>
    </row>
    <row r="830" spans="1:14" ht="12.75" customHeight="1" x14ac:dyDescent="0.2">
      <c r="A830" s="1061"/>
      <c r="B830" s="1057"/>
      <c r="C830" s="1057"/>
      <c r="D830" s="1057"/>
      <c r="E830" s="1057"/>
      <c r="F830" s="1057"/>
      <c r="G830" s="1058"/>
      <c r="H830" s="9"/>
      <c r="I830" s="1059"/>
      <c r="J830" s="1058"/>
      <c r="K830" s="1060"/>
      <c r="L830" s="1058"/>
      <c r="M830" s="1059" t="str">
        <f>IF(A830="","",I830*K830)</f>
        <v/>
      </c>
      <c r="N830" s="1058"/>
    </row>
    <row r="831" spans="1:14" ht="12.75" customHeight="1" x14ac:dyDescent="0.2">
      <c r="A831" s="1061"/>
      <c r="B831" s="1057"/>
      <c r="C831" s="1057"/>
      <c r="D831" s="1057"/>
      <c r="E831" s="1057"/>
      <c r="F831" s="1057"/>
      <c r="G831" s="1058"/>
      <c r="H831" s="9"/>
      <c r="I831" s="1059"/>
      <c r="J831" s="1058"/>
      <c r="K831" s="1060"/>
      <c r="L831" s="1058"/>
      <c r="M831" s="1059" t="str">
        <f>IF(A831="","",I831*K831)</f>
        <v/>
      </c>
      <c r="N831" s="1058"/>
    </row>
    <row r="832" spans="1:14" ht="12.75" customHeight="1" x14ac:dyDescent="0.2">
      <c r="A832" s="1061"/>
      <c r="B832" s="1057"/>
      <c r="C832" s="1057"/>
      <c r="D832" s="1057"/>
      <c r="E832" s="1057"/>
      <c r="F832" s="1057"/>
      <c r="G832" s="1058"/>
      <c r="H832" s="9"/>
      <c r="I832" s="1059"/>
      <c r="J832" s="1058"/>
      <c r="K832" s="1060"/>
      <c r="L832" s="1058"/>
      <c r="M832" s="1059" t="str">
        <f>IF(A832="","",I832*K832)</f>
        <v/>
      </c>
      <c r="N832" s="1058"/>
    </row>
    <row r="833" spans="1:15" ht="12.75" customHeight="1" x14ac:dyDescent="0.25">
      <c r="A833" s="3"/>
      <c r="B833" s="3"/>
      <c r="C833" s="3"/>
      <c r="D833" s="3"/>
      <c r="E833" s="3"/>
      <c r="F833" s="3"/>
      <c r="G833" s="3"/>
      <c r="H833" s="3"/>
      <c r="I833" s="3"/>
      <c r="J833" s="3"/>
      <c r="K833" s="1066" t="s">
        <v>201</v>
      </c>
      <c r="L833" s="1058"/>
      <c r="M833" s="1059">
        <f>SUM(M828:N832)</f>
        <v>77912.100000000006</v>
      </c>
      <c r="N833" s="1058"/>
    </row>
    <row r="834" spans="1:15" ht="12.75" customHeight="1" x14ac:dyDescent="0.25">
      <c r="A834" s="3"/>
      <c r="B834" s="3"/>
      <c r="C834" s="3"/>
      <c r="D834" s="3"/>
      <c r="E834" s="3"/>
      <c r="F834" s="3"/>
      <c r="G834" s="3"/>
      <c r="H834" s="3"/>
      <c r="I834" s="3"/>
      <c r="J834" s="3"/>
      <c r="K834" s="3"/>
      <c r="L834" s="3"/>
      <c r="M834" s="3"/>
      <c r="N834" s="3"/>
    </row>
    <row r="835" spans="1:15" ht="12.75" customHeight="1" x14ac:dyDescent="0.2">
      <c r="A835" s="1065" t="s">
        <v>394</v>
      </c>
      <c r="B835" s="1057"/>
      <c r="C835" s="1057"/>
      <c r="D835" s="1057"/>
      <c r="E835" s="1057"/>
      <c r="F835" s="1057"/>
      <c r="G835" s="1057"/>
      <c r="H835" s="1057"/>
      <c r="I835" s="1057"/>
      <c r="J835" s="1057"/>
      <c r="K835" s="1057"/>
      <c r="L835" s="1057"/>
      <c r="M835" s="1057"/>
      <c r="N835" s="1058"/>
    </row>
    <row r="836" spans="1:15" ht="12.75" customHeight="1" x14ac:dyDescent="0.2">
      <c r="A836" s="1066" t="s">
        <v>38</v>
      </c>
      <c r="B836" s="1057"/>
      <c r="C836" s="1057"/>
      <c r="D836" s="1057"/>
      <c r="E836" s="1057"/>
      <c r="F836" s="1057"/>
      <c r="G836" s="1058"/>
      <c r="H836" s="28" t="s">
        <v>39</v>
      </c>
      <c r="I836" s="1062" t="s">
        <v>385</v>
      </c>
      <c r="J836" s="1058"/>
      <c r="K836" s="30" t="s">
        <v>193</v>
      </c>
      <c r="L836" s="31" t="s">
        <v>395</v>
      </c>
      <c r="M836" s="1062" t="s">
        <v>386</v>
      </c>
      <c r="N836" s="1058"/>
    </row>
    <row r="837" spans="1:15" ht="12.75" customHeight="1" x14ac:dyDescent="0.25">
      <c r="A837" s="1063" t="s">
        <v>530</v>
      </c>
      <c r="B837" s="1057"/>
      <c r="C837" s="1057"/>
      <c r="D837" s="1057"/>
      <c r="E837" s="1057"/>
      <c r="F837" s="1057"/>
      <c r="G837" s="1058"/>
      <c r="H837" s="9" t="str">
        <f>IF(A837="","",VLOOKUP(A837,AA_Cuadrillas,4,FALSE))</f>
        <v>Cuadrilla</v>
      </c>
      <c r="I837" s="1059">
        <f>IF(A837="","",VLOOKUP(A837,AA_Cuadrillas,5,FALSE))</f>
        <v>347263</v>
      </c>
      <c r="J837" s="1058"/>
      <c r="K837" s="1">
        <f>IF(A837="","",'06'!$J$3)</f>
        <v>1.7233500000000002</v>
      </c>
      <c r="L837" s="37">
        <v>0.2</v>
      </c>
      <c r="M837" s="1059">
        <f>IF(A837="","",I837*K837*L837)</f>
        <v>119691.13821</v>
      </c>
      <c r="N837" s="1058"/>
    </row>
    <row r="838" spans="1:15" ht="12.75" customHeight="1" x14ac:dyDescent="0.25">
      <c r="A838" s="1063"/>
      <c r="B838" s="1057"/>
      <c r="C838" s="1057"/>
      <c r="D838" s="1057"/>
      <c r="E838" s="1057"/>
      <c r="F838" s="1057"/>
      <c r="G838" s="1058"/>
      <c r="H838" s="9" t="str">
        <f>IF(A838="","",VLOOKUP(A838,AA_Cuadrillas,4,FALSE))</f>
        <v/>
      </c>
      <c r="I838" s="1059" t="str">
        <f>IF(A838="","",VLOOKUP(A838,AA_Cuadrillas,5,FALSE))</f>
        <v/>
      </c>
      <c r="J838" s="1058"/>
      <c r="K838" s="1" t="str">
        <f>IF(A838="","",'06'!$J$3)</f>
        <v/>
      </c>
      <c r="L838" s="1"/>
      <c r="M838" s="1059" t="str">
        <f>IF(A838="","",I838*K838*L838)</f>
        <v/>
      </c>
      <c r="N838" s="1058"/>
    </row>
    <row r="839" spans="1:15" ht="12.75" customHeight="1" x14ac:dyDescent="0.25">
      <c r="A839" s="1063"/>
      <c r="B839" s="1057"/>
      <c r="C839" s="1057"/>
      <c r="D839" s="1057"/>
      <c r="E839" s="1057"/>
      <c r="F839" s="1057"/>
      <c r="G839" s="1058"/>
      <c r="H839" s="9" t="str">
        <f>IF(A839="","",VLOOKUP(A839,AA_Cuadrillas,4,FALSE))</f>
        <v/>
      </c>
      <c r="I839" s="1059" t="str">
        <f>IF(A839="","",VLOOKUP(A839,AA_Cuadrillas,5,FALSE))</f>
        <v/>
      </c>
      <c r="J839" s="1058"/>
      <c r="K839" s="1" t="str">
        <f>IF(A839="","",'06'!$J$3)</f>
        <v/>
      </c>
      <c r="L839" s="10"/>
      <c r="M839" s="1059" t="str">
        <f>IF(A839="","",I839*K839*L839)</f>
        <v/>
      </c>
      <c r="N839" s="1058"/>
    </row>
    <row r="840" spans="1:15" ht="12.75" customHeight="1" x14ac:dyDescent="0.25">
      <c r="A840" s="1063"/>
      <c r="B840" s="1057"/>
      <c r="C840" s="1057"/>
      <c r="D840" s="1057"/>
      <c r="E840" s="1057"/>
      <c r="F840" s="1057"/>
      <c r="G840" s="1058"/>
      <c r="H840" s="9" t="str">
        <f>IF(A840="","",VLOOKUP(A840,AA_Cuadrillas,4,FALSE))</f>
        <v/>
      </c>
      <c r="I840" s="1059" t="str">
        <f>IF(A840="","",VLOOKUP(A840,AA_Cuadrillas,5,FALSE))</f>
        <v/>
      </c>
      <c r="J840" s="1058"/>
      <c r="K840" s="1" t="str">
        <f>IF(A840="","",'06'!$J$3)</f>
        <v/>
      </c>
      <c r="L840" s="10"/>
      <c r="M840" s="1059" t="str">
        <f>IF(A840="","",I840*K840*L840)</f>
        <v/>
      </c>
      <c r="N840" s="1058"/>
    </row>
    <row r="841" spans="1:15" ht="12.75" customHeight="1" x14ac:dyDescent="0.25">
      <c r="A841" s="1063"/>
      <c r="B841" s="1057"/>
      <c r="C841" s="1057"/>
      <c r="D841" s="1057"/>
      <c r="E841" s="1057"/>
      <c r="F841" s="1057"/>
      <c r="G841" s="1058"/>
      <c r="H841" s="9" t="str">
        <f>IF(A841="","",VLOOKUP(A841,AA_Cuadrillas,4,FALSE))</f>
        <v/>
      </c>
      <c r="I841" s="1059" t="str">
        <f>IF(A841="","",VLOOKUP(A841,AA_Cuadrillas,5,FALSE))</f>
        <v/>
      </c>
      <c r="J841" s="1058"/>
      <c r="K841" s="1" t="str">
        <f>IF(A841="","",'06'!$J$3)</f>
        <v/>
      </c>
      <c r="L841" s="10"/>
      <c r="M841" s="1059" t="str">
        <f>IF(A841="","",I841*K841*L841)</f>
        <v/>
      </c>
      <c r="N841" s="1058"/>
    </row>
    <row r="842" spans="1:15" ht="12.75" customHeight="1" x14ac:dyDescent="0.25">
      <c r="A842" s="3"/>
      <c r="B842" s="3"/>
      <c r="C842" s="3"/>
      <c r="D842" s="3"/>
      <c r="E842" s="3"/>
      <c r="F842" s="3"/>
      <c r="G842" s="3"/>
      <c r="H842" s="3"/>
      <c r="I842" s="3"/>
      <c r="J842" s="3"/>
      <c r="K842" s="1066" t="s">
        <v>201</v>
      </c>
      <c r="L842" s="1058"/>
      <c r="M842" s="1059">
        <f>SUM(M837:N841)</f>
        <v>119691.13821</v>
      </c>
      <c r="N842" s="1058"/>
    </row>
    <row r="843" spans="1:15" ht="12.75" customHeight="1" x14ac:dyDescent="0.2"/>
    <row r="844" spans="1:15" ht="12.75" customHeight="1" x14ac:dyDescent="0.2">
      <c r="A844" s="1072" t="s">
        <v>1685</v>
      </c>
      <c r="B844" s="1052"/>
      <c r="C844" s="1052"/>
      <c r="D844" s="1052"/>
      <c r="E844" s="1052"/>
      <c r="F844" s="1052"/>
      <c r="G844" s="1052"/>
      <c r="H844" s="1052"/>
      <c r="I844" s="1052"/>
      <c r="J844" s="1052"/>
      <c r="K844" s="1052"/>
      <c r="L844" s="1052"/>
      <c r="M844" s="1052"/>
      <c r="N844" s="1053"/>
      <c r="O844" s="7"/>
    </row>
    <row r="845" spans="1:15" ht="12.75" customHeight="1" x14ac:dyDescent="0.2">
      <c r="A845" s="1031"/>
      <c r="B845" s="1032"/>
      <c r="C845" s="1032"/>
      <c r="D845" s="1032"/>
      <c r="E845" s="1032"/>
      <c r="F845" s="1032"/>
      <c r="G845" s="1032"/>
      <c r="H845" s="1032"/>
      <c r="I845" s="1032"/>
      <c r="J845" s="1032"/>
      <c r="K845" s="1032"/>
      <c r="L845" s="1032"/>
      <c r="M845" s="1032"/>
      <c r="N845" s="1055"/>
      <c r="O845" s="7"/>
    </row>
    <row r="846" spans="1:15" ht="12.75" customHeight="1" x14ac:dyDescent="0.2">
      <c r="A846" s="16"/>
      <c r="B846" s="16"/>
      <c r="C846" s="16"/>
      <c r="D846" s="16"/>
      <c r="E846" s="16"/>
      <c r="F846" s="16"/>
      <c r="G846" s="16"/>
      <c r="H846" s="16"/>
      <c r="I846" s="16"/>
      <c r="J846" s="16"/>
      <c r="K846" s="16"/>
      <c r="L846" s="16"/>
      <c r="M846" s="16"/>
      <c r="N846" s="16"/>
    </row>
    <row r="847" spans="1:15" ht="12.75" customHeight="1" x14ac:dyDescent="0.3">
      <c r="A847" s="18" t="s">
        <v>310</v>
      </c>
      <c r="B847" s="19" t="str">
        <f>A844</f>
        <v xml:space="preserve">CONSTRUCIÓN DE CAJA PARA VENTOSA Y DE COMPUERTA HASTA DE 6" DE 0,60X0,60M BASE Y TAPA EN CONCRETO 21MPA (3000 PSI) MUROS EN MAMPOSTERÍA </v>
      </c>
      <c r="C847" s="20" t="s">
        <v>382</v>
      </c>
      <c r="D847" s="21" t="s">
        <v>424</v>
      </c>
      <c r="E847" s="22" t="s">
        <v>125</v>
      </c>
      <c r="F847" s="26">
        <f>(H847+J847+L847+N847)*$O$2</f>
        <v>989491.25457081257</v>
      </c>
      <c r="G847" s="22" t="s">
        <v>285</v>
      </c>
      <c r="H847" s="26">
        <f>M869</f>
        <v>7480.6961381250003</v>
      </c>
      <c r="I847" s="22" t="s">
        <v>383</v>
      </c>
      <c r="J847" s="38">
        <f>M860</f>
        <v>571198</v>
      </c>
      <c r="K847" s="22" t="s">
        <v>287</v>
      </c>
      <c r="L847" s="26">
        <f>M878</f>
        <v>32854.5</v>
      </c>
      <c r="M847" s="22" t="s">
        <v>288</v>
      </c>
      <c r="N847" s="26">
        <f>M887</f>
        <v>149613.92276250001</v>
      </c>
    </row>
    <row r="848" spans="1:15" ht="12.75" customHeight="1" x14ac:dyDescent="0.25">
      <c r="A848" s="27"/>
      <c r="B848" s="27"/>
      <c r="C848" s="27"/>
      <c r="D848" s="27"/>
      <c r="E848" s="27"/>
      <c r="F848" s="27"/>
      <c r="G848" s="27"/>
      <c r="J848" s="27"/>
      <c r="K848" s="27"/>
      <c r="L848" s="27"/>
      <c r="M848" s="27"/>
      <c r="N848" s="27"/>
    </row>
    <row r="849" spans="1:14" ht="12.75" customHeight="1" x14ac:dyDescent="0.2">
      <c r="A849" s="1065" t="s">
        <v>384</v>
      </c>
      <c r="B849" s="1057"/>
      <c r="C849" s="1057"/>
      <c r="D849" s="1057"/>
      <c r="E849" s="1057"/>
      <c r="F849" s="1057"/>
      <c r="G849" s="1057"/>
      <c r="H849" s="1057"/>
      <c r="I849" s="1057"/>
      <c r="J849" s="1057"/>
      <c r="K849" s="1057"/>
      <c r="L849" s="1057"/>
      <c r="M849" s="1057"/>
      <c r="N849" s="1058"/>
    </row>
    <row r="850" spans="1:14" ht="12.75" customHeight="1" x14ac:dyDescent="0.2">
      <c r="A850" s="1066" t="s">
        <v>38</v>
      </c>
      <c r="B850" s="1057"/>
      <c r="C850" s="1057"/>
      <c r="D850" s="1057"/>
      <c r="E850" s="1057"/>
      <c r="F850" s="1057"/>
      <c r="G850" s="1058"/>
      <c r="H850" s="28" t="s">
        <v>39</v>
      </c>
      <c r="I850" s="1062" t="s">
        <v>385</v>
      </c>
      <c r="J850" s="1058"/>
      <c r="K850" s="1062" t="s">
        <v>132</v>
      </c>
      <c r="L850" s="1058"/>
      <c r="M850" s="1062" t="s">
        <v>386</v>
      </c>
      <c r="N850" s="1058"/>
    </row>
    <row r="851" spans="1:14" ht="12.75" customHeight="1" x14ac:dyDescent="0.2">
      <c r="A851" s="1056" t="s">
        <v>1540</v>
      </c>
      <c r="B851" s="1057"/>
      <c r="C851" s="1057"/>
      <c r="D851" s="1057"/>
      <c r="E851" s="1057"/>
      <c r="F851" s="1057"/>
      <c r="G851" s="1058"/>
      <c r="H851" s="9" t="str">
        <f t="shared" ref="H851:H856" si="53">IF(A851="","",VLOOKUP(A851,AA_Materiales,7,FALSE))</f>
        <v>Kg</v>
      </c>
      <c r="I851" s="1059">
        <f t="shared" ref="I851:I856" si="54">IF(A851="","",VLOOKUP(A851,AA_Materiales,8,FALSE))</f>
        <v>5300</v>
      </c>
      <c r="J851" s="1058"/>
      <c r="K851" s="1060">
        <v>0.6</v>
      </c>
      <c r="L851" s="1058"/>
      <c r="M851" s="1059">
        <f t="shared" ref="M851:M856" si="55">IF(A851="","",I851*K851)</f>
        <v>3180</v>
      </c>
      <c r="N851" s="1058"/>
    </row>
    <row r="852" spans="1:14" ht="12.75" customHeight="1" x14ac:dyDescent="0.2">
      <c r="A852" s="1056" t="s">
        <v>1522</v>
      </c>
      <c r="B852" s="1057"/>
      <c r="C852" s="1057"/>
      <c r="D852" s="1057"/>
      <c r="E852" s="1057"/>
      <c r="F852" s="1057"/>
      <c r="G852" s="1058"/>
      <c r="H852" s="9" t="str">
        <f t="shared" si="53"/>
        <v>Kg</v>
      </c>
      <c r="I852" s="1059">
        <f t="shared" si="54"/>
        <v>8500</v>
      </c>
      <c r="J852" s="1058"/>
      <c r="K852" s="1060">
        <v>0.03</v>
      </c>
      <c r="L852" s="1058"/>
      <c r="M852" s="1059">
        <f t="shared" si="55"/>
        <v>255</v>
      </c>
      <c r="N852" s="1058"/>
    </row>
    <row r="853" spans="1:14" ht="12.75" customHeight="1" x14ac:dyDescent="0.2">
      <c r="A853" s="1056" t="s">
        <v>1523</v>
      </c>
      <c r="B853" s="1057"/>
      <c r="C853" s="1057"/>
      <c r="D853" s="1057"/>
      <c r="E853" s="1057"/>
      <c r="F853" s="1057"/>
      <c r="G853" s="1058"/>
      <c r="H853" s="9" t="str">
        <f t="shared" si="53"/>
        <v>m3</v>
      </c>
      <c r="I853" s="1059">
        <f t="shared" si="54"/>
        <v>71400</v>
      </c>
      <c r="J853" s="1058"/>
      <c r="K853" s="1060">
        <v>0.19</v>
      </c>
      <c r="L853" s="1058"/>
      <c r="M853" s="1059">
        <f t="shared" si="55"/>
        <v>13566</v>
      </c>
      <c r="N853" s="1058"/>
    </row>
    <row r="854" spans="1:14" ht="12.75" customHeight="1" x14ac:dyDescent="0.2">
      <c r="A854" s="1056" t="s">
        <v>1524</v>
      </c>
      <c r="B854" s="1057"/>
      <c r="C854" s="1057"/>
      <c r="D854" s="1057"/>
      <c r="E854" s="1057"/>
      <c r="F854" s="1057"/>
      <c r="G854" s="1058"/>
      <c r="H854" s="9" t="str">
        <f t="shared" si="53"/>
        <v>m3</v>
      </c>
      <c r="I854" s="1059">
        <f t="shared" si="54"/>
        <v>71400</v>
      </c>
      <c r="J854" s="1058"/>
      <c r="K854" s="1060">
        <v>0.05</v>
      </c>
      <c r="L854" s="1058"/>
      <c r="M854" s="1059">
        <f t="shared" si="55"/>
        <v>3570</v>
      </c>
      <c r="N854" s="1058"/>
    </row>
    <row r="855" spans="1:14" ht="12.75" customHeight="1" x14ac:dyDescent="0.2">
      <c r="A855" s="1056" t="s">
        <v>405</v>
      </c>
      <c r="B855" s="1057"/>
      <c r="C855" s="1057"/>
      <c r="D855" s="1057"/>
      <c r="E855" s="1057"/>
      <c r="F855" s="1057"/>
      <c r="G855" s="1058"/>
      <c r="H855" s="9" t="str">
        <f t="shared" si="53"/>
        <v>Kg</v>
      </c>
      <c r="I855" s="1059">
        <f t="shared" si="54"/>
        <v>646</v>
      </c>
      <c r="J855" s="1058"/>
      <c r="K855" s="1060">
        <v>60</v>
      </c>
      <c r="L855" s="1058"/>
      <c r="M855" s="1059">
        <f t="shared" si="55"/>
        <v>38760</v>
      </c>
      <c r="N855" s="1058"/>
    </row>
    <row r="856" spans="1:14" ht="12.75" customHeight="1" x14ac:dyDescent="0.2">
      <c r="A856" s="1056" t="s">
        <v>1525</v>
      </c>
      <c r="B856" s="1057"/>
      <c r="C856" s="1057"/>
      <c r="D856" s="1057"/>
      <c r="E856" s="1057"/>
      <c r="F856" s="1057"/>
      <c r="G856" s="1058"/>
      <c r="H856" s="9" t="str">
        <f t="shared" si="53"/>
        <v>m3</v>
      </c>
      <c r="I856" s="1059">
        <f t="shared" si="54"/>
        <v>83300</v>
      </c>
      <c r="J856" s="1058"/>
      <c r="K856" s="1060">
        <v>0.27</v>
      </c>
      <c r="L856" s="1058"/>
      <c r="M856" s="1059">
        <f t="shared" si="55"/>
        <v>22491</v>
      </c>
      <c r="N856" s="1058"/>
    </row>
    <row r="857" spans="1:14" ht="12.75" customHeight="1" x14ac:dyDescent="0.2">
      <c r="A857" s="1056" t="s">
        <v>1526</v>
      </c>
      <c r="B857" s="1057"/>
      <c r="C857" s="1057"/>
      <c r="D857" s="1057"/>
      <c r="E857" s="1057"/>
      <c r="F857" s="1057"/>
      <c r="G857" s="1058"/>
      <c r="H857" s="9" t="str">
        <f t="shared" ref="H857:H859" si="56">IF(A857="","",VLOOKUP(A857,AA_Materiales,7,FALSE))</f>
        <v>Unidad</v>
      </c>
      <c r="I857" s="1059">
        <f t="shared" ref="I857:I859" si="57">IF(A857="","",VLOOKUP(A857,AA_Materiales,8,FALSE))</f>
        <v>800</v>
      </c>
      <c r="J857" s="1058"/>
      <c r="K857" s="1060">
        <v>150</v>
      </c>
      <c r="L857" s="1058"/>
      <c r="M857" s="1059">
        <f t="shared" ref="M857:M859" si="58">IF(A857="","",I857*K857)</f>
        <v>120000</v>
      </c>
      <c r="N857" s="1058"/>
    </row>
    <row r="858" spans="1:14" ht="12.75" customHeight="1" x14ac:dyDescent="0.2">
      <c r="A858" s="1056" t="s">
        <v>422</v>
      </c>
      <c r="B858" s="1057"/>
      <c r="C858" s="1057"/>
      <c r="D858" s="1057"/>
      <c r="E858" s="1057"/>
      <c r="F858" s="1057"/>
      <c r="G858" s="1058"/>
      <c r="H858" s="9" t="str">
        <f t="shared" si="56"/>
        <v>m3</v>
      </c>
      <c r="I858" s="1059">
        <f t="shared" si="57"/>
        <v>47600</v>
      </c>
      <c r="J858" s="1058"/>
      <c r="K858" s="1060">
        <v>0.11</v>
      </c>
      <c r="L858" s="1058"/>
      <c r="M858" s="1059">
        <f t="shared" si="58"/>
        <v>5236</v>
      </c>
      <c r="N858" s="1058"/>
    </row>
    <row r="859" spans="1:14" ht="12.75" customHeight="1" x14ac:dyDescent="0.2">
      <c r="A859" s="1056" t="s">
        <v>1538</v>
      </c>
      <c r="B859" s="1057"/>
      <c r="C859" s="1057"/>
      <c r="D859" s="1057"/>
      <c r="E859" s="1057"/>
      <c r="F859" s="1057"/>
      <c r="G859" s="1058"/>
      <c r="H859" s="9" t="str">
        <f t="shared" si="56"/>
        <v>Unidad</v>
      </c>
      <c r="I859" s="1059">
        <f t="shared" si="57"/>
        <v>364140</v>
      </c>
      <c r="J859" s="1058"/>
      <c r="K859" s="1060">
        <v>1</v>
      </c>
      <c r="L859" s="1058"/>
      <c r="M859" s="1059">
        <f t="shared" si="58"/>
        <v>364140</v>
      </c>
      <c r="N859" s="1058"/>
    </row>
    <row r="860" spans="1:14" ht="12.75" customHeight="1" x14ac:dyDescent="0.25">
      <c r="A860" s="3"/>
      <c r="B860" s="3"/>
      <c r="C860" s="3"/>
      <c r="D860" s="3"/>
      <c r="E860" s="3"/>
      <c r="F860" s="3"/>
      <c r="G860" s="3"/>
      <c r="H860" s="3"/>
      <c r="I860" s="3"/>
      <c r="J860" s="3"/>
      <c r="K860" s="1066" t="s">
        <v>201</v>
      </c>
      <c r="L860" s="1058"/>
      <c r="M860" s="1059">
        <f>SUM(M851:N859)</f>
        <v>571198</v>
      </c>
      <c r="N860" s="1058"/>
    </row>
    <row r="861" spans="1:14" ht="12.75" customHeight="1" x14ac:dyDescent="0.25">
      <c r="A861" s="3"/>
      <c r="B861" s="3"/>
      <c r="C861" s="3"/>
      <c r="D861" s="3"/>
      <c r="E861" s="3"/>
      <c r="F861" s="3"/>
      <c r="G861" s="3"/>
      <c r="H861" s="3"/>
      <c r="I861" s="3"/>
      <c r="J861" s="3"/>
      <c r="K861" s="3"/>
      <c r="L861" s="3"/>
      <c r="M861" s="3"/>
      <c r="N861" s="3"/>
    </row>
    <row r="862" spans="1:14" ht="12.75" customHeight="1" x14ac:dyDescent="0.2">
      <c r="A862" s="1065" t="s">
        <v>390</v>
      </c>
      <c r="B862" s="1057"/>
      <c r="C862" s="1057"/>
      <c r="D862" s="1057"/>
      <c r="E862" s="1057"/>
      <c r="F862" s="1057"/>
      <c r="G862" s="1057"/>
      <c r="H862" s="1057"/>
      <c r="I862" s="1057"/>
      <c r="J862" s="1057"/>
      <c r="K862" s="1057"/>
      <c r="L862" s="1057"/>
      <c r="M862" s="1057"/>
      <c r="N862" s="1058"/>
    </row>
    <row r="863" spans="1:14" ht="12.75" customHeight="1" x14ac:dyDescent="0.2">
      <c r="A863" s="1066" t="s">
        <v>38</v>
      </c>
      <c r="B863" s="1057"/>
      <c r="C863" s="1057"/>
      <c r="D863" s="1057"/>
      <c r="E863" s="1057"/>
      <c r="F863" s="1057"/>
      <c r="G863" s="1058"/>
      <c r="H863" s="28" t="s">
        <v>39</v>
      </c>
      <c r="I863" s="1062" t="s">
        <v>385</v>
      </c>
      <c r="J863" s="1058"/>
      <c r="K863" s="1062" t="s">
        <v>132</v>
      </c>
      <c r="L863" s="1058"/>
      <c r="M863" s="1062" t="s">
        <v>386</v>
      </c>
      <c r="N863" s="1058"/>
    </row>
    <row r="864" spans="1:14" ht="12.75" customHeight="1" x14ac:dyDescent="0.2">
      <c r="A864" s="1061" t="s">
        <v>391</v>
      </c>
      <c r="B864" s="1057"/>
      <c r="C864" s="1057"/>
      <c r="D864" s="1057"/>
      <c r="E864" s="1057"/>
      <c r="F864" s="1057"/>
      <c r="G864" s="1058"/>
      <c r="H864" s="9" t="str">
        <f>IF(A864="","",VLOOKUP(A864,AA_Equipos,7,FALSE))</f>
        <v>% M.O.</v>
      </c>
      <c r="I864" s="1059">
        <f>+M887</f>
        <v>149613.92276250001</v>
      </c>
      <c r="J864" s="1058"/>
      <c r="K864" s="1064">
        <v>0.05</v>
      </c>
      <c r="L864" s="1058"/>
      <c r="M864" s="1059">
        <f>IF(A864="","",I864*K864)</f>
        <v>7480.6961381250003</v>
      </c>
      <c r="N864" s="1058"/>
    </row>
    <row r="865" spans="1:14" ht="12.75" customHeight="1" x14ac:dyDescent="0.2">
      <c r="A865" s="1056"/>
      <c r="B865" s="1057"/>
      <c r="C865" s="1057"/>
      <c r="D865" s="1057"/>
      <c r="E865" s="1057"/>
      <c r="F865" s="1057"/>
      <c r="G865" s="1058"/>
      <c r="H865" s="9" t="str">
        <f>IF(A865="","",VLOOKUP(A865,AA_Equipos,7,FALSE))</f>
        <v/>
      </c>
      <c r="I865" s="1059" t="str">
        <f>IF(A865="","",VLOOKUP(A865,AA_Equipos,8,FALSE))</f>
        <v/>
      </c>
      <c r="J865" s="1058"/>
      <c r="K865" s="1067"/>
      <c r="L865" s="1058"/>
      <c r="M865" s="1059" t="str">
        <f>IF(A865="","",I865*K865)</f>
        <v/>
      </c>
      <c r="N865" s="1058"/>
    </row>
    <row r="866" spans="1:14" ht="12.75" customHeight="1" x14ac:dyDescent="0.2">
      <c r="A866" s="1061"/>
      <c r="B866" s="1057"/>
      <c r="C866" s="1057"/>
      <c r="D866" s="1057"/>
      <c r="E866" s="1057"/>
      <c r="F866" s="1057"/>
      <c r="G866" s="1058"/>
      <c r="H866" s="9" t="str">
        <f>IF(A866="","",VLOOKUP(A866,AA_Equipos,7,FALSE))</f>
        <v/>
      </c>
      <c r="I866" s="1059" t="str">
        <f>IF(A866="","",VLOOKUP(A866,AA_Equipos,8,FALSE))</f>
        <v/>
      </c>
      <c r="J866" s="1058"/>
      <c r="K866" s="1070"/>
      <c r="L866" s="1058"/>
      <c r="M866" s="1059" t="str">
        <f>IF(A866="","",I866*K866)</f>
        <v/>
      </c>
      <c r="N866" s="1058"/>
    </row>
    <row r="867" spans="1:14" ht="12.75" customHeight="1" x14ac:dyDescent="0.2">
      <c r="A867" s="1061"/>
      <c r="B867" s="1057"/>
      <c r="C867" s="1057"/>
      <c r="D867" s="1057"/>
      <c r="E867" s="1057"/>
      <c r="F867" s="1057"/>
      <c r="G867" s="1058"/>
      <c r="H867" s="9" t="str">
        <f>IF(A867="","",VLOOKUP(A867,AA_Equipos,7,FALSE))</f>
        <v/>
      </c>
      <c r="I867" s="1059" t="str">
        <f>IF(A867="","",VLOOKUP(A867,AA_Equipos,8,FALSE))</f>
        <v/>
      </c>
      <c r="J867" s="1058"/>
      <c r="K867" s="1060"/>
      <c r="L867" s="1058"/>
      <c r="M867" s="1059" t="str">
        <f>IF(A867="","",I867*K867)</f>
        <v/>
      </c>
      <c r="N867" s="1058"/>
    </row>
    <row r="868" spans="1:14" ht="12.75" customHeight="1" x14ac:dyDescent="0.2">
      <c r="A868" s="1061"/>
      <c r="B868" s="1057"/>
      <c r="C868" s="1057"/>
      <c r="D868" s="1057"/>
      <c r="E868" s="1057"/>
      <c r="F868" s="1057"/>
      <c r="G868" s="1058"/>
      <c r="H868" s="9" t="str">
        <f>IF(A868="","",VLOOKUP(A868,AA_Equipos,7,FALSE))</f>
        <v/>
      </c>
      <c r="I868" s="1059" t="str">
        <f>IF(A868="","",VLOOKUP(A868,AA_Equipos,8,FALSE))</f>
        <v/>
      </c>
      <c r="J868" s="1058"/>
      <c r="K868" s="1060"/>
      <c r="L868" s="1058"/>
      <c r="M868" s="1059" t="str">
        <f>IF(A868="","",I868*K868)</f>
        <v/>
      </c>
      <c r="N868" s="1058"/>
    </row>
    <row r="869" spans="1:14" ht="12.75" customHeight="1" x14ac:dyDescent="0.25">
      <c r="A869" s="3"/>
      <c r="B869" s="3"/>
      <c r="C869" s="3"/>
      <c r="D869" s="3"/>
      <c r="E869" s="3"/>
      <c r="F869" s="3"/>
      <c r="G869" s="3"/>
      <c r="H869" s="3"/>
      <c r="I869" s="3"/>
      <c r="J869" s="3"/>
      <c r="K869" s="1066" t="s">
        <v>201</v>
      </c>
      <c r="L869" s="1058"/>
      <c r="M869" s="1059">
        <f>SUM(M864:N868)</f>
        <v>7480.6961381250003</v>
      </c>
      <c r="N869" s="1058"/>
    </row>
    <row r="870" spans="1:14" ht="12.75" customHeight="1" x14ac:dyDescent="0.25">
      <c r="A870" s="3"/>
      <c r="B870" s="3"/>
      <c r="C870" s="3"/>
      <c r="D870" s="3"/>
      <c r="E870" s="3"/>
      <c r="F870" s="3"/>
      <c r="G870" s="3"/>
      <c r="H870" s="3"/>
      <c r="I870" s="3"/>
      <c r="J870" s="3"/>
      <c r="K870" s="3"/>
      <c r="L870" s="3"/>
      <c r="M870" s="3"/>
      <c r="N870" s="3"/>
    </row>
    <row r="871" spans="1:14" ht="12.75" customHeight="1" x14ac:dyDescent="0.2">
      <c r="A871" s="1065" t="s">
        <v>392</v>
      </c>
      <c r="B871" s="1057"/>
      <c r="C871" s="1057"/>
      <c r="D871" s="1057"/>
      <c r="E871" s="1057"/>
      <c r="F871" s="1057"/>
      <c r="G871" s="1057"/>
      <c r="H871" s="1057"/>
      <c r="I871" s="1057"/>
      <c r="J871" s="1057"/>
      <c r="K871" s="1057"/>
      <c r="L871" s="1057"/>
      <c r="M871" s="1057"/>
      <c r="N871" s="1058"/>
    </row>
    <row r="872" spans="1:14" ht="12.75" customHeight="1" x14ac:dyDescent="0.2">
      <c r="A872" s="1066" t="s">
        <v>38</v>
      </c>
      <c r="B872" s="1057"/>
      <c r="C872" s="1057"/>
      <c r="D872" s="1057"/>
      <c r="E872" s="1057"/>
      <c r="F872" s="1057"/>
      <c r="G872" s="1058"/>
      <c r="H872" s="28" t="s">
        <v>132</v>
      </c>
      <c r="I872" s="1062" t="s">
        <v>385</v>
      </c>
      <c r="J872" s="1058"/>
      <c r="K872" s="1062" t="s">
        <v>132</v>
      </c>
      <c r="L872" s="1058"/>
      <c r="M872" s="1062" t="s">
        <v>386</v>
      </c>
      <c r="N872" s="1058"/>
    </row>
    <row r="873" spans="1:14" ht="12.75" customHeight="1" x14ac:dyDescent="0.2">
      <c r="A873" s="1061" t="s">
        <v>413</v>
      </c>
      <c r="B873" s="1057"/>
      <c r="C873" s="1057"/>
      <c r="D873" s="1057"/>
      <c r="E873" s="1057"/>
      <c r="F873" s="1057"/>
      <c r="G873" s="1058"/>
      <c r="H873" s="1">
        <f>+K858+K853+K854</f>
        <v>0.35</v>
      </c>
      <c r="I873" s="1059">
        <v>2100</v>
      </c>
      <c r="J873" s="1058"/>
      <c r="K873" s="1060">
        <v>44.7</v>
      </c>
      <c r="L873" s="1083"/>
      <c r="M873" s="1059">
        <f>IF(A873="","",H873*I873*K873)</f>
        <v>32854.5</v>
      </c>
      <c r="N873" s="1058"/>
    </row>
    <row r="874" spans="1:14" ht="12.75" customHeight="1" x14ac:dyDescent="0.2">
      <c r="A874" s="1056"/>
      <c r="B874" s="1057"/>
      <c r="C874" s="1057"/>
      <c r="D874" s="1057"/>
      <c r="E874" s="1057"/>
      <c r="F874" s="1057"/>
      <c r="G874" s="1058"/>
      <c r="H874" s="9"/>
      <c r="I874" s="1059"/>
      <c r="J874" s="1058"/>
      <c r="K874" s="1064"/>
      <c r="L874" s="1058"/>
      <c r="M874" s="1059" t="str">
        <f>IF(A874="","",I874*K874)</f>
        <v/>
      </c>
      <c r="N874" s="1058"/>
    </row>
    <row r="875" spans="1:14" ht="12.75" customHeight="1" x14ac:dyDescent="0.2">
      <c r="A875" s="1061"/>
      <c r="B875" s="1057"/>
      <c r="C875" s="1057"/>
      <c r="D875" s="1057"/>
      <c r="E875" s="1057"/>
      <c r="F875" s="1057"/>
      <c r="G875" s="1058"/>
      <c r="H875" s="9"/>
      <c r="I875" s="1059"/>
      <c r="J875" s="1058"/>
      <c r="K875" s="1060"/>
      <c r="L875" s="1058"/>
      <c r="M875" s="1059" t="str">
        <f>IF(A875="","",I875*K875)</f>
        <v/>
      </c>
      <c r="N875" s="1058"/>
    </row>
    <row r="876" spans="1:14" ht="12.75" customHeight="1" x14ac:dyDescent="0.2">
      <c r="A876" s="1061"/>
      <c r="B876" s="1057"/>
      <c r="C876" s="1057"/>
      <c r="D876" s="1057"/>
      <c r="E876" s="1057"/>
      <c r="F876" s="1057"/>
      <c r="G876" s="1058"/>
      <c r="H876" s="9"/>
      <c r="I876" s="1059"/>
      <c r="J876" s="1058"/>
      <c r="K876" s="1060"/>
      <c r="L876" s="1058"/>
      <c r="M876" s="1059" t="str">
        <f>IF(A876="","",I876*K876)</f>
        <v/>
      </c>
      <c r="N876" s="1058"/>
    </row>
    <row r="877" spans="1:14" ht="12.75" customHeight="1" x14ac:dyDescent="0.2">
      <c r="A877" s="1061"/>
      <c r="B877" s="1057"/>
      <c r="C877" s="1057"/>
      <c r="D877" s="1057"/>
      <c r="E877" s="1057"/>
      <c r="F877" s="1057"/>
      <c r="G877" s="1058"/>
      <c r="H877" s="9"/>
      <c r="I877" s="1059"/>
      <c r="J877" s="1058"/>
      <c r="K877" s="1060"/>
      <c r="L877" s="1058"/>
      <c r="M877" s="1059" t="str">
        <f>IF(A877="","",I877*K877)</f>
        <v/>
      </c>
      <c r="N877" s="1058"/>
    </row>
    <row r="878" spans="1:14" ht="12.75" customHeight="1" x14ac:dyDescent="0.25">
      <c r="A878" s="3"/>
      <c r="B878" s="3"/>
      <c r="C878" s="3"/>
      <c r="D878" s="3"/>
      <c r="E878" s="3"/>
      <c r="F878" s="3"/>
      <c r="G878" s="3"/>
      <c r="H878" s="3"/>
      <c r="I878" s="3"/>
      <c r="J878" s="3"/>
      <c r="K878" s="1066" t="s">
        <v>201</v>
      </c>
      <c r="L878" s="1058"/>
      <c r="M878" s="1059">
        <f>SUM(M873:N877)</f>
        <v>32854.5</v>
      </c>
      <c r="N878" s="1058"/>
    </row>
    <row r="879" spans="1:14" ht="12.75" customHeight="1" x14ac:dyDescent="0.25">
      <c r="A879" s="3"/>
      <c r="B879" s="3"/>
      <c r="C879" s="3"/>
      <c r="D879" s="3"/>
      <c r="E879" s="3"/>
      <c r="F879" s="3"/>
      <c r="G879" s="3"/>
      <c r="H879" s="3"/>
      <c r="I879" s="3"/>
      <c r="J879" s="3"/>
      <c r="K879" s="3"/>
      <c r="L879" s="3"/>
      <c r="M879" s="3"/>
      <c r="N879" s="3"/>
    </row>
    <row r="880" spans="1:14" ht="12.75" customHeight="1" x14ac:dyDescent="0.2">
      <c r="A880" s="1065" t="s">
        <v>394</v>
      </c>
      <c r="B880" s="1057"/>
      <c r="C880" s="1057"/>
      <c r="D880" s="1057"/>
      <c r="E880" s="1057"/>
      <c r="F880" s="1057"/>
      <c r="G880" s="1057"/>
      <c r="H880" s="1057"/>
      <c r="I880" s="1057"/>
      <c r="J880" s="1057"/>
      <c r="K880" s="1057"/>
      <c r="L880" s="1057"/>
      <c r="M880" s="1057"/>
      <c r="N880" s="1058"/>
    </row>
    <row r="881" spans="1:15" ht="12.75" customHeight="1" x14ac:dyDescent="0.2">
      <c r="A881" s="1066" t="s">
        <v>38</v>
      </c>
      <c r="B881" s="1057"/>
      <c r="C881" s="1057"/>
      <c r="D881" s="1057"/>
      <c r="E881" s="1057"/>
      <c r="F881" s="1057"/>
      <c r="G881" s="1058"/>
      <c r="H881" s="28" t="s">
        <v>39</v>
      </c>
      <c r="I881" s="1062" t="s">
        <v>385</v>
      </c>
      <c r="J881" s="1058"/>
      <c r="K881" s="30" t="s">
        <v>193</v>
      </c>
      <c r="L881" s="31" t="s">
        <v>395</v>
      </c>
      <c r="M881" s="1062" t="s">
        <v>386</v>
      </c>
      <c r="N881" s="1058"/>
    </row>
    <row r="882" spans="1:15" ht="12.75" customHeight="1" x14ac:dyDescent="0.25">
      <c r="A882" s="1063" t="s">
        <v>530</v>
      </c>
      <c r="B882" s="1057"/>
      <c r="C882" s="1057"/>
      <c r="D882" s="1057"/>
      <c r="E882" s="1057"/>
      <c r="F882" s="1057"/>
      <c r="G882" s="1058"/>
      <c r="H882" s="9" t="str">
        <f>IF(A882="","",VLOOKUP(A882,AA_Cuadrillas,4,FALSE))</f>
        <v>Cuadrilla</v>
      </c>
      <c r="I882" s="1059">
        <f>IF(A882="","",VLOOKUP(A882,AA_Cuadrillas,5,FALSE))</f>
        <v>347263</v>
      </c>
      <c r="J882" s="1058"/>
      <c r="K882" s="1">
        <f>IF(A882="","",'06'!$J$3)</f>
        <v>1.7233500000000002</v>
      </c>
      <c r="L882" s="37">
        <v>0.25</v>
      </c>
      <c r="M882" s="1059">
        <f>IF(A882="","",I882*K882*L882)</f>
        <v>149613.92276250001</v>
      </c>
      <c r="N882" s="1058"/>
    </row>
    <row r="883" spans="1:15" ht="12.75" customHeight="1" x14ac:dyDescent="0.25">
      <c r="A883" s="1063"/>
      <c r="B883" s="1057"/>
      <c r="C883" s="1057"/>
      <c r="D883" s="1057"/>
      <c r="E883" s="1057"/>
      <c r="F883" s="1057"/>
      <c r="G883" s="1058"/>
      <c r="H883" s="9" t="str">
        <f>IF(A883="","",VLOOKUP(A883,AA_Cuadrillas,4,FALSE))</f>
        <v/>
      </c>
      <c r="I883" s="1059" t="str">
        <f>IF(A883="","",VLOOKUP(A883,AA_Cuadrillas,5,FALSE))</f>
        <v/>
      </c>
      <c r="J883" s="1058"/>
      <c r="K883" s="1" t="str">
        <f>IF(A883="","",'06'!$J$3)</f>
        <v/>
      </c>
      <c r="L883" s="1"/>
      <c r="M883" s="1059" t="str">
        <f>IF(A883="","",I883*K883*L883)</f>
        <v/>
      </c>
      <c r="N883" s="1058"/>
    </row>
    <row r="884" spans="1:15" ht="12.75" customHeight="1" x14ac:dyDescent="0.25">
      <c r="A884" s="1063"/>
      <c r="B884" s="1057"/>
      <c r="C884" s="1057"/>
      <c r="D884" s="1057"/>
      <c r="E884" s="1057"/>
      <c r="F884" s="1057"/>
      <c r="G884" s="1058"/>
      <c r="H884" s="9" t="str">
        <f>IF(A884="","",VLOOKUP(A884,AA_Cuadrillas,4,FALSE))</f>
        <v/>
      </c>
      <c r="I884" s="1059" t="str">
        <f>IF(A884="","",VLOOKUP(A884,AA_Cuadrillas,5,FALSE))</f>
        <v/>
      </c>
      <c r="J884" s="1058"/>
      <c r="K884" s="1" t="str">
        <f>IF(A884="","",'06'!$J$3)</f>
        <v/>
      </c>
      <c r="L884" s="10"/>
      <c r="M884" s="1059" t="str">
        <f>IF(A884="","",I884*K884*L884)</f>
        <v/>
      </c>
      <c r="N884" s="1058"/>
    </row>
    <row r="885" spans="1:15" ht="12.75" customHeight="1" x14ac:dyDescent="0.25">
      <c r="A885" s="1063"/>
      <c r="B885" s="1057"/>
      <c r="C885" s="1057"/>
      <c r="D885" s="1057"/>
      <c r="E885" s="1057"/>
      <c r="F885" s="1057"/>
      <c r="G885" s="1058"/>
      <c r="H885" s="9" t="str">
        <f>IF(A885="","",VLOOKUP(A885,AA_Cuadrillas,4,FALSE))</f>
        <v/>
      </c>
      <c r="I885" s="1059" t="str">
        <f>IF(A885="","",VLOOKUP(A885,AA_Cuadrillas,5,FALSE))</f>
        <v/>
      </c>
      <c r="J885" s="1058"/>
      <c r="K885" s="1" t="str">
        <f>IF(A885="","",'06'!$J$3)</f>
        <v/>
      </c>
      <c r="L885" s="37"/>
      <c r="M885" s="1059" t="str">
        <f>IF(A885="","",I885*K885*L885)</f>
        <v/>
      </c>
      <c r="N885" s="1058"/>
    </row>
    <row r="886" spans="1:15" ht="12.75" customHeight="1" x14ac:dyDescent="0.25">
      <c r="A886" s="1063"/>
      <c r="B886" s="1057"/>
      <c r="C886" s="1057"/>
      <c r="D886" s="1057"/>
      <c r="E886" s="1057"/>
      <c r="F886" s="1057"/>
      <c r="G886" s="1058"/>
      <c r="H886" s="9" t="str">
        <f>IF(A886="","",VLOOKUP(A886,AA_Cuadrillas,4,FALSE))</f>
        <v/>
      </c>
      <c r="I886" s="1059" t="str">
        <f>IF(A886="","",VLOOKUP(A886,AA_Cuadrillas,5,FALSE))</f>
        <v/>
      </c>
      <c r="J886" s="1058"/>
      <c r="K886" s="1" t="str">
        <f>IF(A886="","",'06'!$J$3)</f>
        <v/>
      </c>
      <c r="L886" s="10"/>
      <c r="M886" s="1059" t="str">
        <f>IF(A886="","",I886*K886*L886)</f>
        <v/>
      </c>
      <c r="N886" s="1058"/>
    </row>
    <row r="887" spans="1:15" ht="12.75" customHeight="1" x14ac:dyDescent="0.25">
      <c r="A887" s="3"/>
      <c r="B887" s="3"/>
      <c r="C887" s="3"/>
      <c r="D887" s="3"/>
      <c r="E887" s="3"/>
      <c r="F887" s="3"/>
      <c r="G887" s="3"/>
      <c r="H887" s="3"/>
      <c r="I887" s="3"/>
      <c r="J887" s="3"/>
      <c r="K887" s="1066" t="s">
        <v>201</v>
      </c>
      <c r="L887" s="1058"/>
      <c r="M887" s="1059">
        <f>SUM(M882:N886)</f>
        <v>149613.92276250001</v>
      </c>
      <c r="N887" s="1058"/>
    </row>
    <row r="888" spans="1:15" ht="12.75" customHeight="1" x14ac:dyDescent="0.2"/>
    <row r="889" spans="1:15" ht="12.75" customHeight="1" x14ac:dyDescent="0.2">
      <c r="A889" s="1072" t="s">
        <v>1686</v>
      </c>
      <c r="B889" s="1052"/>
      <c r="C889" s="1052"/>
      <c r="D889" s="1052"/>
      <c r="E889" s="1052"/>
      <c r="F889" s="1052"/>
      <c r="G889" s="1052"/>
      <c r="H889" s="1052"/>
      <c r="I889" s="1052"/>
      <c r="J889" s="1052"/>
      <c r="K889" s="1052"/>
      <c r="L889" s="1052"/>
      <c r="M889" s="1052"/>
      <c r="N889" s="1053"/>
      <c r="O889" s="7"/>
    </row>
    <row r="890" spans="1:15" ht="12.75" customHeight="1" x14ac:dyDescent="0.2">
      <c r="A890" s="1031"/>
      <c r="B890" s="1032"/>
      <c r="C890" s="1032"/>
      <c r="D890" s="1032"/>
      <c r="E890" s="1032"/>
      <c r="F890" s="1032"/>
      <c r="G890" s="1032"/>
      <c r="H890" s="1032"/>
      <c r="I890" s="1032"/>
      <c r="J890" s="1032"/>
      <c r="K890" s="1032"/>
      <c r="L890" s="1032"/>
      <c r="M890" s="1032"/>
      <c r="N890" s="1055"/>
      <c r="O890" s="7"/>
    </row>
    <row r="891" spans="1:15" ht="12.75" customHeight="1" x14ac:dyDescent="0.2">
      <c r="A891" s="16"/>
      <c r="B891" s="16"/>
      <c r="C891" s="16"/>
      <c r="D891" s="16"/>
      <c r="E891" s="16"/>
      <c r="F891" s="16"/>
      <c r="G891" s="16"/>
      <c r="H891" s="16"/>
      <c r="I891" s="16"/>
      <c r="J891" s="16"/>
      <c r="K891" s="16"/>
      <c r="L891" s="16"/>
      <c r="M891" s="16"/>
      <c r="N891" s="16"/>
    </row>
    <row r="892" spans="1:15" ht="12.75" customHeight="1" x14ac:dyDescent="0.3">
      <c r="A892" s="18" t="s">
        <v>311</v>
      </c>
      <c r="B892" s="19" t="str">
        <f>A889</f>
        <v>CONSTRUCIÓN DE CAJA PARA PURGA DE 1,00M X 1,00M BASE Y TAPA EN CONCRETO 21 MPA (3000PSI) MUROS EN MAMPOSTERIA)</v>
      </c>
      <c r="C892" s="20" t="s">
        <v>382</v>
      </c>
      <c r="D892" s="21" t="s">
        <v>424</v>
      </c>
      <c r="E892" s="22" t="s">
        <v>125</v>
      </c>
      <c r="F892" s="26">
        <f>(H892+J892+L892+N892)*$O$2</f>
        <v>1200221.4440223151</v>
      </c>
      <c r="G892" s="22" t="s">
        <v>285</v>
      </c>
      <c r="H892" s="26">
        <f>M914</f>
        <v>6583.0126015500009</v>
      </c>
      <c r="I892" s="22" t="s">
        <v>383</v>
      </c>
      <c r="J892" s="36">
        <f>M905</f>
        <v>691134</v>
      </c>
      <c r="K892" s="22" t="s">
        <v>287</v>
      </c>
      <c r="L892" s="26">
        <f>M923</f>
        <v>93870</v>
      </c>
      <c r="M892" s="22" t="s">
        <v>288</v>
      </c>
      <c r="N892" s="26">
        <f>M932</f>
        <v>131660.25203100001</v>
      </c>
    </row>
    <row r="893" spans="1:15" ht="12.75" customHeight="1" x14ac:dyDescent="0.25">
      <c r="A893" s="27"/>
      <c r="B893" s="27"/>
      <c r="C893" s="27"/>
      <c r="D893" s="27"/>
      <c r="E893" s="27"/>
      <c r="F893" s="27"/>
      <c r="G893" s="27"/>
      <c r="J893" s="27"/>
      <c r="K893" s="27"/>
      <c r="L893" s="27"/>
      <c r="M893" s="27"/>
      <c r="N893" s="27"/>
    </row>
    <row r="894" spans="1:15" ht="12.75" customHeight="1" x14ac:dyDescent="0.2">
      <c r="A894" s="1065" t="s">
        <v>384</v>
      </c>
      <c r="B894" s="1057"/>
      <c r="C894" s="1057"/>
      <c r="D894" s="1057"/>
      <c r="E894" s="1057"/>
      <c r="F894" s="1057"/>
      <c r="G894" s="1057"/>
      <c r="H894" s="1057"/>
      <c r="I894" s="1057"/>
      <c r="J894" s="1057"/>
      <c r="K894" s="1057"/>
      <c r="L894" s="1057"/>
      <c r="M894" s="1057"/>
      <c r="N894" s="1058"/>
    </row>
    <row r="895" spans="1:15" ht="12.75" customHeight="1" x14ac:dyDescent="0.2">
      <c r="A895" s="1066" t="s">
        <v>38</v>
      </c>
      <c r="B895" s="1057"/>
      <c r="C895" s="1057"/>
      <c r="D895" s="1057"/>
      <c r="E895" s="1057"/>
      <c r="F895" s="1057"/>
      <c r="G895" s="1058"/>
      <c r="H895" s="28" t="s">
        <v>39</v>
      </c>
      <c r="I895" s="1062" t="s">
        <v>385</v>
      </c>
      <c r="J895" s="1058"/>
      <c r="K895" s="1062" t="s">
        <v>132</v>
      </c>
      <c r="L895" s="1058"/>
      <c r="M895" s="1062" t="s">
        <v>386</v>
      </c>
      <c r="N895" s="1058"/>
    </row>
    <row r="896" spans="1:15" ht="12.75" customHeight="1" x14ac:dyDescent="0.2">
      <c r="A896" s="1056" t="s">
        <v>1540</v>
      </c>
      <c r="B896" s="1057"/>
      <c r="C896" s="1057"/>
      <c r="D896" s="1057"/>
      <c r="E896" s="1057"/>
      <c r="F896" s="1057"/>
      <c r="G896" s="1058"/>
      <c r="H896" s="9" t="str">
        <f t="shared" ref="H896:H904" si="59">IF(A896="","",VLOOKUP(A896,AA_Materiales,7,FALSE))</f>
        <v>Kg</v>
      </c>
      <c r="I896" s="1059">
        <f t="shared" ref="I896:I904" si="60">IF(A896="","",VLOOKUP(A896,AA_Materiales,8,FALSE))</f>
        <v>5300</v>
      </c>
      <c r="J896" s="1058"/>
      <c r="K896" s="1060">
        <v>3.5</v>
      </c>
      <c r="L896" s="1058"/>
      <c r="M896" s="1059">
        <f t="shared" ref="M896:M904" si="61">IF(A896="","",I896*K896)</f>
        <v>18550</v>
      </c>
      <c r="N896" s="1058"/>
    </row>
    <row r="897" spans="1:14" ht="12.75" customHeight="1" x14ac:dyDescent="0.2">
      <c r="A897" s="1056" t="s">
        <v>1522</v>
      </c>
      <c r="B897" s="1057"/>
      <c r="C897" s="1057"/>
      <c r="D897" s="1057"/>
      <c r="E897" s="1057"/>
      <c r="F897" s="1057"/>
      <c r="G897" s="1058"/>
      <c r="H897" s="9" t="str">
        <f t="shared" si="59"/>
        <v>Kg</v>
      </c>
      <c r="I897" s="1059">
        <f t="shared" si="60"/>
        <v>8500</v>
      </c>
      <c r="J897" s="1058"/>
      <c r="K897" s="1060">
        <v>0.05</v>
      </c>
      <c r="L897" s="1058"/>
      <c r="M897" s="1059">
        <f t="shared" si="61"/>
        <v>425</v>
      </c>
      <c r="N897" s="1058"/>
    </row>
    <row r="898" spans="1:14" ht="12.75" customHeight="1" x14ac:dyDescent="0.2">
      <c r="A898" s="1056" t="s">
        <v>1523</v>
      </c>
      <c r="B898" s="1057"/>
      <c r="C898" s="1057"/>
      <c r="D898" s="1057"/>
      <c r="E898" s="1057"/>
      <c r="F898" s="1057"/>
      <c r="G898" s="1058"/>
      <c r="H898" s="9" t="str">
        <f t="shared" si="59"/>
        <v>m3</v>
      </c>
      <c r="I898" s="1059">
        <f t="shared" si="60"/>
        <v>71400</v>
      </c>
      <c r="J898" s="1058"/>
      <c r="K898" s="1060">
        <v>0.23</v>
      </c>
      <c r="L898" s="1058"/>
      <c r="M898" s="1059">
        <f t="shared" si="61"/>
        <v>16422</v>
      </c>
      <c r="N898" s="1058"/>
    </row>
    <row r="899" spans="1:14" ht="12.75" customHeight="1" x14ac:dyDescent="0.2">
      <c r="A899" s="1056" t="s">
        <v>1524</v>
      </c>
      <c r="B899" s="1057"/>
      <c r="C899" s="1057"/>
      <c r="D899" s="1057"/>
      <c r="E899" s="1057"/>
      <c r="F899" s="1057"/>
      <c r="G899" s="1058"/>
      <c r="H899" s="9" t="str">
        <f t="shared" si="59"/>
        <v>m3</v>
      </c>
      <c r="I899" s="1059">
        <f t="shared" si="60"/>
        <v>71400</v>
      </c>
      <c r="J899" s="1058"/>
      <c r="K899" s="1060">
        <v>7.0000000000000007E-2</v>
      </c>
      <c r="L899" s="1058"/>
      <c r="M899" s="1059">
        <f t="shared" si="61"/>
        <v>4998.0000000000009</v>
      </c>
      <c r="N899" s="1058"/>
    </row>
    <row r="900" spans="1:14" ht="12.75" customHeight="1" x14ac:dyDescent="0.2">
      <c r="A900" s="1056" t="s">
        <v>405</v>
      </c>
      <c r="B900" s="1057"/>
      <c r="C900" s="1057"/>
      <c r="D900" s="1057"/>
      <c r="E900" s="1057"/>
      <c r="F900" s="1057"/>
      <c r="G900" s="1058"/>
      <c r="H900" s="9" t="str">
        <f t="shared" si="59"/>
        <v>Kg</v>
      </c>
      <c r="I900" s="1059">
        <f t="shared" si="60"/>
        <v>646</v>
      </c>
      <c r="J900" s="1058"/>
      <c r="K900" s="1060">
        <v>100</v>
      </c>
      <c r="L900" s="1058"/>
      <c r="M900" s="1059">
        <f t="shared" si="61"/>
        <v>64600</v>
      </c>
      <c r="N900" s="1058"/>
    </row>
    <row r="901" spans="1:14" ht="12.75" customHeight="1" x14ac:dyDescent="0.2">
      <c r="A901" s="1056" t="s">
        <v>1525</v>
      </c>
      <c r="B901" s="1057"/>
      <c r="C901" s="1057"/>
      <c r="D901" s="1057"/>
      <c r="E901" s="1057"/>
      <c r="F901" s="1057"/>
      <c r="G901" s="1058"/>
      <c r="H901" s="9" t="str">
        <f t="shared" si="59"/>
        <v>m3</v>
      </c>
      <c r="I901" s="1059">
        <f t="shared" si="60"/>
        <v>83300</v>
      </c>
      <c r="J901" s="1058"/>
      <c r="K901" s="1060">
        <v>0.27</v>
      </c>
      <c r="L901" s="1058"/>
      <c r="M901" s="1059">
        <f t="shared" si="61"/>
        <v>22491</v>
      </c>
      <c r="N901" s="1058"/>
    </row>
    <row r="902" spans="1:14" ht="12.75" customHeight="1" x14ac:dyDescent="0.2">
      <c r="A902" s="1056" t="s">
        <v>1526</v>
      </c>
      <c r="B902" s="1057"/>
      <c r="C902" s="1057"/>
      <c r="D902" s="1057"/>
      <c r="E902" s="1057"/>
      <c r="F902" s="1057"/>
      <c r="G902" s="1058"/>
      <c r="H902" s="9" t="str">
        <f t="shared" si="59"/>
        <v>Unidad</v>
      </c>
      <c r="I902" s="1059">
        <f t="shared" si="60"/>
        <v>800</v>
      </c>
      <c r="J902" s="1058"/>
      <c r="K902" s="1060">
        <v>200</v>
      </c>
      <c r="L902" s="1058"/>
      <c r="M902" s="1059">
        <f t="shared" si="61"/>
        <v>160000</v>
      </c>
      <c r="N902" s="1058"/>
    </row>
    <row r="903" spans="1:14" ht="12.75" customHeight="1" x14ac:dyDescent="0.2">
      <c r="A903" s="1056" t="s">
        <v>422</v>
      </c>
      <c r="B903" s="1057"/>
      <c r="C903" s="1057"/>
      <c r="D903" s="1057"/>
      <c r="E903" s="1057"/>
      <c r="F903" s="1057"/>
      <c r="G903" s="1058"/>
      <c r="H903" s="9" t="str">
        <f t="shared" si="59"/>
        <v>m3</v>
      </c>
      <c r="I903" s="1059">
        <f t="shared" si="60"/>
        <v>47600</v>
      </c>
      <c r="J903" s="1058"/>
      <c r="K903" s="1060">
        <v>0.83</v>
      </c>
      <c r="L903" s="1058"/>
      <c r="M903" s="1059">
        <f t="shared" si="61"/>
        <v>39508</v>
      </c>
      <c r="N903" s="1058"/>
    </row>
    <row r="904" spans="1:14" ht="12.75" customHeight="1" x14ac:dyDescent="0.2">
      <c r="A904" s="1056" t="s">
        <v>1538</v>
      </c>
      <c r="B904" s="1057"/>
      <c r="C904" s="1057"/>
      <c r="D904" s="1057"/>
      <c r="E904" s="1057"/>
      <c r="F904" s="1057"/>
      <c r="G904" s="1058"/>
      <c r="H904" s="9" t="str">
        <f t="shared" si="59"/>
        <v>Unidad</v>
      </c>
      <c r="I904" s="1059">
        <f t="shared" si="60"/>
        <v>364140</v>
      </c>
      <c r="J904" s="1058"/>
      <c r="K904" s="1060">
        <v>1</v>
      </c>
      <c r="L904" s="1058"/>
      <c r="M904" s="1059">
        <f t="shared" si="61"/>
        <v>364140</v>
      </c>
      <c r="N904" s="1058"/>
    </row>
    <row r="905" spans="1:14" ht="12.75" customHeight="1" x14ac:dyDescent="0.25">
      <c r="A905" s="3"/>
      <c r="B905" s="3"/>
      <c r="C905" s="3"/>
      <c r="D905" s="3"/>
      <c r="E905" s="3"/>
      <c r="F905" s="3"/>
      <c r="G905" s="3"/>
      <c r="H905" s="3"/>
      <c r="I905" s="3"/>
      <c r="J905" s="3"/>
      <c r="K905" s="1066" t="s">
        <v>201</v>
      </c>
      <c r="L905" s="1058"/>
      <c r="M905" s="1059">
        <f>SUM(M896:N904)</f>
        <v>691134</v>
      </c>
      <c r="N905" s="1058"/>
    </row>
    <row r="906" spans="1:14" ht="12.75" customHeight="1" x14ac:dyDescent="0.25">
      <c r="A906" s="3"/>
      <c r="B906" s="3"/>
      <c r="C906" s="3"/>
      <c r="D906" s="3"/>
      <c r="E906" s="3"/>
      <c r="F906" s="3"/>
      <c r="G906" s="3"/>
      <c r="H906" s="3"/>
      <c r="I906" s="3"/>
      <c r="J906" s="3"/>
      <c r="K906" s="3"/>
      <c r="L906" s="3"/>
      <c r="M906" s="3"/>
      <c r="N906" s="3"/>
    </row>
    <row r="907" spans="1:14" ht="12.75" customHeight="1" x14ac:dyDescent="0.2">
      <c r="A907" s="1065" t="s">
        <v>390</v>
      </c>
      <c r="B907" s="1057"/>
      <c r="C907" s="1057"/>
      <c r="D907" s="1057"/>
      <c r="E907" s="1057"/>
      <c r="F907" s="1057"/>
      <c r="G907" s="1057"/>
      <c r="H907" s="1057"/>
      <c r="I907" s="1057"/>
      <c r="J907" s="1057"/>
      <c r="K907" s="1057"/>
      <c r="L907" s="1057"/>
      <c r="M907" s="1057"/>
      <c r="N907" s="1058"/>
    </row>
    <row r="908" spans="1:14" ht="12.75" customHeight="1" x14ac:dyDescent="0.2">
      <c r="A908" s="1066" t="s">
        <v>38</v>
      </c>
      <c r="B908" s="1057"/>
      <c r="C908" s="1057"/>
      <c r="D908" s="1057"/>
      <c r="E908" s="1057"/>
      <c r="F908" s="1057"/>
      <c r="G908" s="1058"/>
      <c r="H908" s="28" t="s">
        <v>39</v>
      </c>
      <c r="I908" s="1062" t="s">
        <v>385</v>
      </c>
      <c r="J908" s="1058"/>
      <c r="K908" s="1062" t="s">
        <v>132</v>
      </c>
      <c r="L908" s="1058"/>
      <c r="M908" s="1062" t="s">
        <v>386</v>
      </c>
      <c r="N908" s="1058"/>
    </row>
    <row r="909" spans="1:14" ht="12.75" customHeight="1" x14ac:dyDescent="0.2">
      <c r="A909" s="1061" t="s">
        <v>391</v>
      </c>
      <c r="B909" s="1057"/>
      <c r="C909" s="1057"/>
      <c r="D909" s="1057"/>
      <c r="E909" s="1057"/>
      <c r="F909" s="1057"/>
      <c r="G909" s="1058"/>
      <c r="H909" s="9" t="str">
        <f>IF(A909="","",VLOOKUP(A909,AA_Equipos,7,FALSE))</f>
        <v>% M.O.</v>
      </c>
      <c r="I909" s="1059">
        <f>+M932</f>
        <v>131660.25203100001</v>
      </c>
      <c r="J909" s="1058"/>
      <c r="K909" s="1064">
        <v>0.05</v>
      </c>
      <c r="L909" s="1058"/>
      <c r="M909" s="1059">
        <f>IF(A909="","",I909*K909)</f>
        <v>6583.0126015500009</v>
      </c>
      <c r="N909" s="1058"/>
    </row>
    <row r="910" spans="1:14" ht="12.75" customHeight="1" x14ac:dyDescent="0.2">
      <c r="A910" s="1056"/>
      <c r="B910" s="1057"/>
      <c r="C910" s="1057"/>
      <c r="D910" s="1057"/>
      <c r="E910" s="1057"/>
      <c r="F910" s="1057"/>
      <c r="G910" s="1058"/>
      <c r="H910" s="9" t="str">
        <f>IF(A910="","",VLOOKUP(A910,AA_Equipos,7,FALSE))</f>
        <v/>
      </c>
      <c r="I910" s="1059" t="str">
        <f>IF(A910="","",VLOOKUP(A910,AA_Equipos,8,FALSE))</f>
        <v/>
      </c>
      <c r="J910" s="1058"/>
      <c r="K910" s="1060"/>
      <c r="L910" s="1058"/>
      <c r="M910" s="1059" t="str">
        <f>IF(A910="","",I910*K910)</f>
        <v/>
      </c>
      <c r="N910" s="1058"/>
    </row>
    <row r="911" spans="1:14" ht="12.75" customHeight="1" x14ac:dyDescent="0.2">
      <c r="A911" s="1061"/>
      <c r="B911" s="1057"/>
      <c r="C911" s="1057"/>
      <c r="D911" s="1057"/>
      <c r="E911" s="1057"/>
      <c r="F911" s="1057"/>
      <c r="G911" s="1058"/>
      <c r="H911" s="9" t="str">
        <f>IF(A911="","",VLOOKUP(A911,AA_Equipos,7,FALSE))</f>
        <v/>
      </c>
      <c r="I911" s="1059" t="str">
        <f>IF(A911="","",VLOOKUP(A911,AA_Equipos,8,FALSE))</f>
        <v/>
      </c>
      <c r="J911" s="1058"/>
      <c r="K911" s="1060"/>
      <c r="L911" s="1058"/>
      <c r="M911" s="1059" t="str">
        <f>IF(A911="","",I911*K911)</f>
        <v/>
      </c>
      <c r="N911" s="1058"/>
    </row>
    <row r="912" spans="1:14" ht="12.75" customHeight="1" x14ac:dyDescent="0.2">
      <c r="A912" s="1061"/>
      <c r="B912" s="1057"/>
      <c r="C912" s="1057"/>
      <c r="D912" s="1057"/>
      <c r="E912" s="1057"/>
      <c r="F912" s="1057"/>
      <c r="G912" s="1058"/>
      <c r="H912" s="9" t="str">
        <f>IF(A912="","",VLOOKUP(A912,AA_Equipos,7,FALSE))</f>
        <v/>
      </c>
      <c r="I912" s="1059" t="str">
        <f>IF(A912="","",VLOOKUP(A912,AA_Equipos,8,FALSE))</f>
        <v/>
      </c>
      <c r="J912" s="1058"/>
      <c r="K912" s="1060"/>
      <c r="L912" s="1058"/>
      <c r="M912" s="1059" t="str">
        <f>IF(A912="","",I912*K912)</f>
        <v/>
      </c>
      <c r="N912" s="1058"/>
    </row>
    <row r="913" spans="1:14" ht="12.75" customHeight="1" x14ac:dyDescent="0.2">
      <c r="A913" s="1061"/>
      <c r="B913" s="1057"/>
      <c r="C913" s="1057"/>
      <c r="D913" s="1057"/>
      <c r="E913" s="1057"/>
      <c r="F913" s="1057"/>
      <c r="G913" s="1058"/>
      <c r="H913" s="9" t="str">
        <f>IF(A913="","",VLOOKUP(A913,AA_Equipos,7,FALSE))</f>
        <v/>
      </c>
      <c r="I913" s="1059" t="str">
        <f>IF(A913="","",VLOOKUP(A913,AA_Equipos,8,FALSE))</f>
        <v/>
      </c>
      <c r="J913" s="1058"/>
      <c r="K913" s="1060"/>
      <c r="L913" s="1058"/>
      <c r="M913" s="1059" t="str">
        <f>IF(A913="","",I913*K913)</f>
        <v/>
      </c>
      <c r="N913" s="1058"/>
    </row>
    <row r="914" spans="1:14" ht="12.75" customHeight="1" x14ac:dyDescent="0.25">
      <c r="A914" s="3"/>
      <c r="B914" s="3"/>
      <c r="C914" s="3"/>
      <c r="D914" s="3"/>
      <c r="E914" s="3"/>
      <c r="F914" s="3"/>
      <c r="G914" s="3"/>
      <c r="H914" s="3"/>
      <c r="I914" s="3"/>
      <c r="J914" s="3"/>
      <c r="K914" s="1066" t="s">
        <v>201</v>
      </c>
      <c r="L914" s="1058"/>
      <c r="M914" s="1059">
        <f>SUM(M909:N913)</f>
        <v>6583.0126015500009</v>
      </c>
      <c r="N914" s="1058"/>
    </row>
    <row r="915" spans="1:14" ht="12.75" customHeight="1" x14ac:dyDescent="0.25">
      <c r="A915" s="3"/>
      <c r="B915" s="3"/>
      <c r="C915" s="3"/>
      <c r="D915" s="3"/>
      <c r="E915" s="3"/>
      <c r="F915" s="3"/>
      <c r="G915" s="3"/>
      <c r="H915" s="3"/>
      <c r="I915" s="3"/>
      <c r="J915" s="3"/>
      <c r="K915" s="3"/>
      <c r="L915" s="3"/>
      <c r="M915" s="3"/>
      <c r="N915" s="3"/>
    </row>
    <row r="916" spans="1:14" ht="12.75" customHeight="1" x14ac:dyDescent="0.2">
      <c r="A916" s="1065" t="s">
        <v>392</v>
      </c>
      <c r="B916" s="1057"/>
      <c r="C916" s="1057"/>
      <c r="D916" s="1057"/>
      <c r="E916" s="1057"/>
      <c r="F916" s="1057"/>
      <c r="G916" s="1057"/>
      <c r="H916" s="1057"/>
      <c r="I916" s="1057"/>
      <c r="J916" s="1057"/>
      <c r="K916" s="1057"/>
      <c r="L916" s="1057"/>
      <c r="M916" s="1057"/>
      <c r="N916" s="1058"/>
    </row>
    <row r="917" spans="1:14" ht="12.75" customHeight="1" x14ac:dyDescent="0.2">
      <c r="A917" s="1066" t="s">
        <v>38</v>
      </c>
      <c r="B917" s="1057"/>
      <c r="C917" s="1057"/>
      <c r="D917" s="1057"/>
      <c r="E917" s="1057"/>
      <c r="F917" s="1057"/>
      <c r="G917" s="1058"/>
      <c r="H917" s="28" t="s">
        <v>132</v>
      </c>
      <c r="I917" s="1062" t="s">
        <v>385</v>
      </c>
      <c r="J917" s="1058"/>
      <c r="K917" s="1062" t="s">
        <v>132</v>
      </c>
      <c r="L917" s="1058"/>
      <c r="M917" s="1062" t="s">
        <v>386</v>
      </c>
      <c r="N917" s="1058"/>
    </row>
    <row r="918" spans="1:14" ht="12.75" customHeight="1" x14ac:dyDescent="0.2">
      <c r="A918" s="1061" t="s">
        <v>413</v>
      </c>
      <c r="B918" s="1057"/>
      <c r="C918" s="1057"/>
      <c r="D918" s="1057"/>
      <c r="E918" s="1057"/>
      <c r="F918" s="1057"/>
      <c r="G918" s="1058"/>
      <c r="H918" s="1">
        <f>+K903+K898+K899</f>
        <v>1.1300000000000001</v>
      </c>
      <c r="I918" s="1059">
        <v>2100</v>
      </c>
      <c r="J918" s="1058"/>
      <c r="K918" s="1060">
        <v>44.7</v>
      </c>
      <c r="L918" s="1083"/>
      <c r="M918" s="1059">
        <f>IF(A918="","",I918*K918)</f>
        <v>93870</v>
      </c>
      <c r="N918" s="1058"/>
    </row>
    <row r="919" spans="1:14" ht="12.75" customHeight="1" x14ac:dyDescent="0.2">
      <c r="A919" s="1056"/>
      <c r="B919" s="1057"/>
      <c r="C919" s="1057"/>
      <c r="D919" s="1057"/>
      <c r="E919" s="1057"/>
      <c r="F919" s="1057"/>
      <c r="G919" s="1058"/>
      <c r="H919" s="9"/>
      <c r="I919" s="1059"/>
      <c r="J919" s="1058"/>
      <c r="K919" s="1064"/>
      <c r="L919" s="1058"/>
      <c r="M919" s="1059" t="str">
        <f>IF(A919="","",I919*K919)</f>
        <v/>
      </c>
      <c r="N919" s="1058"/>
    </row>
    <row r="920" spans="1:14" ht="12.75" customHeight="1" x14ac:dyDescent="0.2">
      <c r="A920" s="1061"/>
      <c r="B920" s="1057"/>
      <c r="C920" s="1057"/>
      <c r="D920" s="1057"/>
      <c r="E920" s="1057"/>
      <c r="F920" s="1057"/>
      <c r="G920" s="1058"/>
      <c r="H920" s="9"/>
      <c r="I920" s="1059"/>
      <c r="J920" s="1058"/>
      <c r="K920" s="1060"/>
      <c r="L920" s="1058"/>
      <c r="M920" s="1059" t="str">
        <f>IF(A920="","",I920*K920)</f>
        <v/>
      </c>
      <c r="N920" s="1058"/>
    </row>
    <row r="921" spans="1:14" ht="12.75" customHeight="1" x14ac:dyDescent="0.2">
      <c r="A921" s="1061"/>
      <c r="B921" s="1057"/>
      <c r="C921" s="1057"/>
      <c r="D921" s="1057"/>
      <c r="E921" s="1057"/>
      <c r="F921" s="1057"/>
      <c r="G921" s="1058"/>
      <c r="H921" s="9"/>
      <c r="I921" s="1059"/>
      <c r="J921" s="1058"/>
      <c r="K921" s="1060"/>
      <c r="L921" s="1058"/>
      <c r="M921" s="1059" t="str">
        <f>IF(A921="","",I921*K921)</f>
        <v/>
      </c>
      <c r="N921" s="1058"/>
    </row>
    <row r="922" spans="1:14" ht="12.75" customHeight="1" x14ac:dyDescent="0.2">
      <c r="A922" s="1061"/>
      <c r="B922" s="1057"/>
      <c r="C922" s="1057"/>
      <c r="D922" s="1057"/>
      <c r="E922" s="1057"/>
      <c r="F922" s="1057"/>
      <c r="G922" s="1058"/>
      <c r="H922" s="9"/>
      <c r="I922" s="1059"/>
      <c r="J922" s="1058"/>
      <c r="K922" s="1060"/>
      <c r="L922" s="1058"/>
      <c r="M922" s="1059" t="str">
        <f>IF(A922="","",I922*K922)</f>
        <v/>
      </c>
      <c r="N922" s="1058"/>
    </row>
    <row r="923" spans="1:14" ht="12.75" customHeight="1" x14ac:dyDescent="0.25">
      <c r="A923" s="3"/>
      <c r="B923" s="3"/>
      <c r="C923" s="3"/>
      <c r="D923" s="3"/>
      <c r="E923" s="3"/>
      <c r="F923" s="3"/>
      <c r="G923" s="3"/>
      <c r="H923" s="3"/>
      <c r="I923" s="3"/>
      <c r="J923" s="3"/>
      <c r="K923" s="1066" t="s">
        <v>201</v>
      </c>
      <c r="L923" s="1058"/>
      <c r="M923" s="1059">
        <f>SUM(M918:N922)</f>
        <v>93870</v>
      </c>
      <c r="N923" s="1058"/>
    </row>
    <row r="924" spans="1:14" ht="12.75" customHeight="1" x14ac:dyDescent="0.25">
      <c r="A924" s="3"/>
      <c r="B924" s="3"/>
      <c r="C924" s="3"/>
      <c r="D924" s="3"/>
      <c r="E924" s="3"/>
      <c r="F924" s="3"/>
      <c r="G924" s="3"/>
      <c r="H924" s="3"/>
      <c r="I924" s="3"/>
      <c r="J924" s="3"/>
      <c r="K924" s="3"/>
      <c r="L924" s="3"/>
      <c r="M924" s="3"/>
      <c r="N924" s="3"/>
    </row>
    <row r="925" spans="1:14" ht="12.75" customHeight="1" x14ac:dyDescent="0.2">
      <c r="A925" s="1065" t="s">
        <v>394</v>
      </c>
      <c r="B925" s="1057"/>
      <c r="C925" s="1057"/>
      <c r="D925" s="1057"/>
      <c r="E925" s="1057"/>
      <c r="F925" s="1057"/>
      <c r="G925" s="1057"/>
      <c r="H925" s="1057"/>
      <c r="I925" s="1057"/>
      <c r="J925" s="1057"/>
      <c r="K925" s="1057"/>
      <c r="L925" s="1057"/>
      <c r="M925" s="1057"/>
      <c r="N925" s="1058"/>
    </row>
    <row r="926" spans="1:14" ht="12.75" customHeight="1" x14ac:dyDescent="0.2">
      <c r="A926" s="1066" t="s">
        <v>38</v>
      </c>
      <c r="B926" s="1057"/>
      <c r="C926" s="1057"/>
      <c r="D926" s="1057"/>
      <c r="E926" s="1057"/>
      <c r="F926" s="1057"/>
      <c r="G926" s="1058"/>
      <c r="H926" s="28" t="s">
        <v>39</v>
      </c>
      <c r="I926" s="1062" t="s">
        <v>385</v>
      </c>
      <c r="J926" s="1058"/>
      <c r="K926" s="30" t="s">
        <v>193</v>
      </c>
      <c r="L926" s="31" t="s">
        <v>395</v>
      </c>
      <c r="M926" s="1062" t="s">
        <v>386</v>
      </c>
      <c r="N926" s="1058"/>
    </row>
    <row r="927" spans="1:14" ht="12.75" customHeight="1" x14ac:dyDescent="0.25">
      <c r="A927" s="1063" t="s">
        <v>530</v>
      </c>
      <c r="B927" s="1057"/>
      <c r="C927" s="1057"/>
      <c r="D927" s="1057"/>
      <c r="E927" s="1057"/>
      <c r="F927" s="1057"/>
      <c r="G927" s="1058"/>
      <c r="H927" s="9" t="str">
        <f>IF(A927="","",VLOOKUP(A927,AA_Cuadrillas,4,FALSE))</f>
        <v>Cuadrilla</v>
      </c>
      <c r="I927" s="1059">
        <f>IF(A927="","",VLOOKUP(A927,AA_Cuadrillas,5,FALSE))</f>
        <v>347263</v>
      </c>
      <c r="J927" s="1058"/>
      <c r="K927" s="1">
        <f>IF(A927="","",'06'!$J$3)</f>
        <v>1.7233500000000002</v>
      </c>
      <c r="L927" s="37">
        <v>0.22</v>
      </c>
      <c r="M927" s="1059">
        <f>IF(A927="","",I927*K927*L927)</f>
        <v>131660.25203100001</v>
      </c>
      <c r="N927" s="1058"/>
    </row>
    <row r="928" spans="1:14" ht="12.75" customHeight="1" x14ac:dyDescent="0.25">
      <c r="A928" s="1063"/>
      <c r="B928" s="1057"/>
      <c r="C928" s="1057"/>
      <c r="D928" s="1057"/>
      <c r="E928" s="1057"/>
      <c r="F928" s="1057"/>
      <c r="G928" s="1058"/>
      <c r="H928" s="9" t="str">
        <f>IF(A928="","",VLOOKUP(A928,AA_Cuadrillas,4,FALSE))</f>
        <v/>
      </c>
      <c r="I928" s="1059" t="str">
        <f>IF(A928="","",VLOOKUP(A928,AA_Cuadrillas,5,FALSE))</f>
        <v/>
      </c>
      <c r="J928" s="1058"/>
      <c r="K928" s="1" t="str">
        <f>IF(A928="","",'06'!$J$3)</f>
        <v/>
      </c>
      <c r="L928" s="1"/>
      <c r="M928" s="1059" t="str">
        <f>IF(A928="","",I928*K928*L928)</f>
        <v/>
      </c>
      <c r="N928" s="1058"/>
    </row>
    <row r="929" spans="1:15" ht="12.75" customHeight="1" x14ac:dyDescent="0.25">
      <c r="A929" s="1063"/>
      <c r="B929" s="1057"/>
      <c r="C929" s="1057"/>
      <c r="D929" s="1057"/>
      <c r="E929" s="1057"/>
      <c r="F929" s="1057"/>
      <c r="G929" s="1058"/>
      <c r="H929" s="9" t="str">
        <f>IF(A929="","",VLOOKUP(A929,AA_Cuadrillas,4,FALSE))</f>
        <v/>
      </c>
      <c r="I929" s="1059" t="str">
        <f>IF(A929="","",VLOOKUP(A929,AA_Cuadrillas,5,FALSE))</f>
        <v/>
      </c>
      <c r="J929" s="1058"/>
      <c r="K929" s="1" t="str">
        <f>IF(A929="","",'06'!$J$3)</f>
        <v/>
      </c>
      <c r="L929" s="10"/>
      <c r="M929" s="1059" t="str">
        <f>IF(A929="","",I929*K929*L929)</f>
        <v/>
      </c>
      <c r="N929" s="1058"/>
    </row>
    <row r="930" spans="1:15" ht="12.75" customHeight="1" x14ac:dyDescent="0.25">
      <c r="A930" s="1063"/>
      <c r="B930" s="1057"/>
      <c r="C930" s="1057"/>
      <c r="D930" s="1057"/>
      <c r="E930" s="1057"/>
      <c r="F930" s="1057"/>
      <c r="G930" s="1058"/>
      <c r="H930" s="9" t="str">
        <f>IF(A930="","",VLOOKUP(A930,AA_Cuadrillas,4,FALSE))</f>
        <v/>
      </c>
      <c r="I930" s="1059" t="str">
        <f>IF(A930="","",VLOOKUP(A930,AA_Cuadrillas,5,FALSE))</f>
        <v/>
      </c>
      <c r="J930" s="1058"/>
      <c r="K930" s="1" t="str">
        <f>IF(A930="","",'06'!$J$3)</f>
        <v/>
      </c>
      <c r="L930" s="10"/>
      <c r="M930" s="1059" t="str">
        <f>IF(A930="","",I930*K930*L930)</f>
        <v/>
      </c>
      <c r="N930" s="1058"/>
    </row>
    <row r="931" spans="1:15" ht="12.75" customHeight="1" x14ac:dyDescent="0.25">
      <c r="A931" s="1063"/>
      <c r="B931" s="1057"/>
      <c r="C931" s="1057"/>
      <c r="D931" s="1057"/>
      <c r="E931" s="1057"/>
      <c r="F931" s="1057"/>
      <c r="G931" s="1058"/>
      <c r="H931" s="9" t="str">
        <f>IF(A931="","",VLOOKUP(A931,AA_Cuadrillas,4,FALSE))</f>
        <v/>
      </c>
      <c r="I931" s="1059" t="str">
        <f>IF(A931="","",VLOOKUP(A931,AA_Cuadrillas,5,FALSE))</f>
        <v/>
      </c>
      <c r="J931" s="1058"/>
      <c r="K931" s="1" t="str">
        <f>IF(A931="","",'06'!$J$3)</f>
        <v/>
      </c>
      <c r="L931" s="10"/>
      <c r="M931" s="1059" t="str">
        <f>IF(A931="","",I931*K931*L931)</f>
        <v/>
      </c>
      <c r="N931" s="1058"/>
    </row>
    <row r="932" spans="1:15" ht="12.75" customHeight="1" x14ac:dyDescent="0.25">
      <c r="A932" s="3"/>
      <c r="B932" s="3"/>
      <c r="C932" s="3"/>
      <c r="D932" s="3"/>
      <c r="E932" s="3"/>
      <c r="F932" s="3"/>
      <c r="G932" s="3"/>
      <c r="H932" s="3"/>
      <c r="I932" s="3"/>
      <c r="J932" s="3"/>
      <c r="K932" s="1066" t="s">
        <v>201</v>
      </c>
      <c r="L932" s="1058"/>
      <c r="M932" s="1059">
        <f>SUM(M927:N931)</f>
        <v>131660.25203100001</v>
      </c>
      <c r="N932" s="1058"/>
    </row>
    <row r="933" spans="1:15" ht="12.75" customHeight="1" x14ac:dyDescent="0.2"/>
    <row r="934" spans="1:15" ht="12.75" customHeight="1" x14ac:dyDescent="0.2">
      <c r="A934" s="1072" t="s">
        <v>1687</v>
      </c>
      <c r="B934" s="1052"/>
      <c r="C934" s="1052"/>
      <c r="D934" s="1052"/>
      <c r="E934" s="1052"/>
      <c r="F934" s="1052"/>
      <c r="G934" s="1052"/>
      <c r="H934" s="1052"/>
      <c r="I934" s="1052"/>
      <c r="J934" s="1052"/>
      <c r="K934" s="1052"/>
      <c r="L934" s="1052"/>
      <c r="M934" s="1052"/>
      <c r="N934" s="1053"/>
      <c r="O934" s="7"/>
    </row>
    <row r="935" spans="1:15" ht="12.75" customHeight="1" x14ac:dyDescent="0.2">
      <c r="A935" s="1031"/>
      <c r="B935" s="1032"/>
      <c r="C935" s="1032"/>
      <c r="D935" s="1032"/>
      <c r="E935" s="1032"/>
      <c r="F935" s="1032"/>
      <c r="G935" s="1032"/>
      <c r="H935" s="1032"/>
      <c r="I935" s="1032"/>
      <c r="J935" s="1032"/>
      <c r="K935" s="1032"/>
      <c r="L935" s="1032"/>
      <c r="M935" s="1032"/>
      <c r="N935" s="1055"/>
      <c r="O935" s="7"/>
    </row>
    <row r="936" spans="1:15" ht="12.75" customHeight="1" x14ac:dyDescent="0.2">
      <c r="A936" s="16"/>
      <c r="B936" s="16"/>
      <c r="C936" s="16"/>
      <c r="D936" s="16"/>
      <c r="E936" s="16"/>
      <c r="F936" s="16"/>
      <c r="G936" s="16"/>
      <c r="H936" s="16"/>
      <c r="I936" s="16"/>
      <c r="J936" s="16"/>
      <c r="K936" s="16"/>
      <c r="L936" s="16"/>
      <c r="M936" s="16"/>
      <c r="N936" s="16"/>
    </row>
    <row r="937" spans="1:15" ht="12.75" customHeight="1" x14ac:dyDescent="0.3">
      <c r="A937" s="18" t="s">
        <v>312</v>
      </c>
      <c r="B937" s="19" t="str">
        <f>A934</f>
        <v>SUMINISTRO E INSTALACIÓN REDUCCIÓN PE100 Ø12" x Ø8" PEAD PN10 RDE 17. INCLUYE TRANSPORTE.</v>
      </c>
      <c r="C937" s="20" t="s">
        <v>382</v>
      </c>
      <c r="D937" s="21" t="s">
        <v>424</v>
      </c>
      <c r="E937" s="22" t="s">
        <v>125</v>
      </c>
      <c r="F937" s="26">
        <f>(H937+J937+L937+N937)*$O$2</f>
        <v>4320873.530162801</v>
      </c>
      <c r="G937" s="22" t="s">
        <v>285</v>
      </c>
      <c r="H937" s="26">
        <f>M956</f>
        <v>13880.136636000003</v>
      </c>
      <c r="I937" s="22" t="s">
        <v>383</v>
      </c>
      <c r="J937" s="36">
        <f>M947</f>
        <v>3032266</v>
      </c>
      <c r="K937" s="22" t="s">
        <v>287</v>
      </c>
      <c r="L937" s="26">
        <f>M965</f>
        <v>0</v>
      </c>
      <c r="M937" s="22" t="s">
        <v>288</v>
      </c>
      <c r="N937" s="26">
        <f>M974</f>
        <v>277602.73272000003</v>
      </c>
    </row>
    <row r="938" spans="1:15" ht="12.75" customHeight="1" x14ac:dyDescent="0.25">
      <c r="A938" s="27"/>
      <c r="B938" s="27"/>
      <c r="C938" s="27"/>
      <c r="D938" s="27"/>
      <c r="E938" s="27"/>
      <c r="F938" s="27"/>
      <c r="G938" s="27"/>
      <c r="J938" s="27"/>
      <c r="K938" s="27"/>
      <c r="L938" s="27"/>
      <c r="M938" s="27"/>
      <c r="N938" s="27"/>
    </row>
    <row r="939" spans="1:15" ht="12.75" customHeight="1" x14ac:dyDescent="0.2">
      <c r="A939" s="1065" t="s">
        <v>384</v>
      </c>
      <c r="B939" s="1057"/>
      <c r="C939" s="1057"/>
      <c r="D939" s="1057"/>
      <c r="E939" s="1057"/>
      <c r="F939" s="1057"/>
      <c r="G939" s="1057"/>
      <c r="H939" s="1057"/>
      <c r="I939" s="1057"/>
      <c r="J939" s="1057"/>
      <c r="K939" s="1057"/>
      <c r="L939" s="1057"/>
      <c r="M939" s="1057"/>
      <c r="N939" s="1058"/>
    </row>
    <row r="940" spans="1:15" ht="12.75" customHeight="1" x14ac:dyDescent="0.2">
      <c r="A940" s="1066" t="s">
        <v>38</v>
      </c>
      <c r="B940" s="1057"/>
      <c r="C940" s="1057"/>
      <c r="D940" s="1057"/>
      <c r="E940" s="1057"/>
      <c r="F940" s="1057"/>
      <c r="G940" s="1058"/>
      <c r="H940" s="28" t="s">
        <v>39</v>
      </c>
      <c r="I940" s="1062" t="s">
        <v>385</v>
      </c>
      <c r="J940" s="1058"/>
      <c r="K940" s="1062" t="s">
        <v>132</v>
      </c>
      <c r="L940" s="1058"/>
      <c r="M940" s="1062" t="s">
        <v>386</v>
      </c>
      <c r="N940" s="1058"/>
    </row>
    <row r="941" spans="1:15" ht="12.75" customHeight="1" x14ac:dyDescent="0.2">
      <c r="A941" s="1056" t="s">
        <v>1527</v>
      </c>
      <c r="B941" s="1057"/>
      <c r="C941" s="1057"/>
      <c r="D941" s="1057"/>
      <c r="E941" s="1057"/>
      <c r="F941" s="1057"/>
      <c r="G941" s="1058"/>
      <c r="H941" s="9" t="str">
        <f t="shared" ref="H941:H946" si="62">IF(A941="","",VLOOKUP(A941,AA_Materiales,7,FALSE))</f>
        <v>Unidad</v>
      </c>
      <c r="I941" s="1059">
        <f t="shared" ref="I941:I946" si="63">IF(A941="","",VLOOKUP(A941,AA_Materiales,8,FALSE))</f>
        <v>3032266</v>
      </c>
      <c r="J941" s="1058"/>
      <c r="K941" s="1060">
        <v>1</v>
      </c>
      <c r="L941" s="1058"/>
      <c r="M941" s="1059">
        <f t="shared" ref="M941:M946" si="64">IF(A941="","",I941*K941)</f>
        <v>3032266</v>
      </c>
      <c r="N941" s="1058"/>
    </row>
    <row r="942" spans="1:15" ht="12.75" customHeight="1" x14ac:dyDescent="0.2">
      <c r="A942" s="1056"/>
      <c r="B942" s="1057"/>
      <c r="C942" s="1057"/>
      <c r="D942" s="1057"/>
      <c r="E942" s="1057"/>
      <c r="F942" s="1057"/>
      <c r="G942" s="1058"/>
      <c r="H942" s="9" t="str">
        <f t="shared" si="62"/>
        <v/>
      </c>
      <c r="I942" s="1059" t="str">
        <f t="shared" si="63"/>
        <v/>
      </c>
      <c r="J942" s="1058"/>
      <c r="K942" s="1060"/>
      <c r="L942" s="1058"/>
      <c r="M942" s="1059" t="str">
        <f t="shared" si="64"/>
        <v/>
      </c>
      <c r="N942" s="1058"/>
    </row>
    <row r="943" spans="1:15" ht="12.75" customHeight="1" x14ac:dyDescent="0.2">
      <c r="A943" s="1056"/>
      <c r="B943" s="1057"/>
      <c r="C943" s="1057"/>
      <c r="D943" s="1057"/>
      <c r="E943" s="1057"/>
      <c r="F943" s="1057"/>
      <c r="G943" s="1058"/>
      <c r="H943" s="9" t="str">
        <f t="shared" si="62"/>
        <v/>
      </c>
      <c r="I943" s="1059" t="str">
        <f t="shared" si="63"/>
        <v/>
      </c>
      <c r="J943" s="1058"/>
      <c r="K943" s="1060"/>
      <c r="L943" s="1058"/>
      <c r="M943" s="1059" t="str">
        <f t="shared" si="64"/>
        <v/>
      </c>
      <c r="N943" s="1058"/>
    </row>
    <row r="944" spans="1:15" ht="12.75" customHeight="1" x14ac:dyDescent="0.2">
      <c r="A944" s="1056"/>
      <c r="B944" s="1057"/>
      <c r="C944" s="1057"/>
      <c r="D944" s="1057"/>
      <c r="E944" s="1057"/>
      <c r="F944" s="1057"/>
      <c r="G944" s="1058"/>
      <c r="H944" s="9" t="str">
        <f t="shared" si="62"/>
        <v/>
      </c>
      <c r="I944" s="1059" t="str">
        <f t="shared" si="63"/>
        <v/>
      </c>
      <c r="J944" s="1058"/>
      <c r="K944" s="1060"/>
      <c r="L944" s="1058"/>
      <c r="M944" s="1059" t="str">
        <f t="shared" si="64"/>
        <v/>
      </c>
      <c r="N944" s="1058"/>
    </row>
    <row r="945" spans="1:14" ht="12.75" customHeight="1" x14ac:dyDescent="0.2">
      <c r="A945" s="1056"/>
      <c r="B945" s="1057"/>
      <c r="C945" s="1057"/>
      <c r="D945" s="1057"/>
      <c r="E945" s="1057"/>
      <c r="F945" s="1057"/>
      <c r="G945" s="1058"/>
      <c r="H945" s="9" t="str">
        <f t="shared" si="62"/>
        <v/>
      </c>
      <c r="I945" s="1059" t="str">
        <f t="shared" si="63"/>
        <v/>
      </c>
      <c r="J945" s="1058"/>
      <c r="K945" s="1060"/>
      <c r="L945" s="1058"/>
      <c r="M945" s="1059" t="str">
        <f t="shared" si="64"/>
        <v/>
      </c>
      <c r="N945" s="1058"/>
    </row>
    <row r="946" spans="1:14" ht="12.75" customHeight="1" x14ac:dyDescent="0.2">
      <c r="A946" s="1056"/>
      <c r="B946" s="1057"/>
      <c r="C946" s="1057"/>
      <c r="D946" s="1057"/>
      <c r="E946" s="1057"/>
      <c r="F946" s="1057"/>
      <c r="G946" s="1058"/>
      <c r="H946" s="9" t="str">
        <f t="shared" si="62"/>
        <v/>
      </c>
      <c r="I946" s="1059" t="str">
        <f t="shared" si="63"/>
        <v/>
      </c>
      <c r="J946" s="1058"/>
      <c r="K946" s="1060"/>
      <c r="L946" s="1058"/>
      <c r="M946" s="1059" t="str">
        <f t="shared" si="64"/>
        <v/>
      </c>
      <c r="N946" s="1058"/>
    </row>
    <row r="947" spans="1:14" ht="12.75" customHeight="1" x14ac:dyDescent="0.25">
      <c r="A947" s="3"/>
      <c r="B947" s="3"/>
      <c r="C947" s="3"/>
      <c r="D947" s="3"/>
      <c r="E947" s="3"/>
      <c r="F947" s="3"/>
      <c r="G947" s="3"/>
      <c r="H947" s="3"/>
      <c r="I947" s="3"/>
      <c r="J947" s="3"/>
      <c r="K947" s="1066" t="s">
        <v>201</v>
      </c>
      <c r="L947" s="1058"/>
      <c r="M947" s="1059">
        <f>SUM(M941:N946)</f>
        <v>3032266</v>
      </c>
      <c r="N947" s="1058"/>
    </row>
    <row r="948" spans="1:14" ht="12.75" customHeight="1" x14ac:dyDescent="0.25">
      <c r="A948" s="3"/>
      <c r="B948" s="3"/>
      <c r="C948" s="3"/>
      <c r="D948" s="3"/>
      <c r="E948" s="3"/>
      <c r="F948" s="3"/>
      <c r="G948" s="3"/>
      <c r="H948" s="3"/>
      <c r="I948" s="3"/>
      <c r="J948" s="3"/>
      <c r="K948" s="3"/>
      <c r="L948" s="3"/>
      <c r="M948" s="3"/>
      <c r="N948" s="3"/>
    </row>
    <row r="949" spans="1:14" ht="12.75" customHeight="1" x14ac:dyDescent="0.2">
      <c r="A949" s="1065" t="s">
        <v>390</v>
      </c>
      <c r="B949" s="1057"/>
      <c r="C949" s="1057"/>
      <c r="D949" s="1057"/>
      <c r="E949" s="1057"/>
      <c r="F949" s="1057"/>
      <c r="G949" s="1057"/>
      <c r="H949" s="1057"/>
      <c r="I949" s="1057"/>
      <c r="J949" s="1057"/>
      <c r="K949" s="1057"/>
      <c r="L949" s="1057"/>
      <c r="M949" s="1057"/>
      <c r="N949" s="1058"/>
    </row>
    <row r="950" spans="1:14" ht="12.75" customHeight="1" x14ac:dyDescent="0.2">
      <c r="A950" s="1066" t="s">
        <v>38</v>
      </c>
      <c r="B950" s="1057"/>
      <c r="C950" s="1057"/>
      <c r="D950" s="1057"/>
      <c r="E950" s="1057"/>
      <c r="F950" s="1057"/>
      <c r="G950" s="1058"/>
      <c r="H950" s="28" t="s">
        <v>39</v>
      </c>
      <c r="I950" s="1062" t="s">
        <v>385</v>
      </c>
      <c r="J950" s="1058"/>
      <c r="K950" s="1062" t="s">
        <v>132</v>
      </c>
      <c r="L950" s="1058"/>
      <c r="M950" s="1062" t="s">
        <v>386</v>
      </c>
      <c r="N950" s="1058"/>
    </row>
    <row r="951" spans="1:14" ht="12.75" customHeight="1" x14ac:dyDescent="0.2">
      <c r="A951" s="1061" t="s">
        <v>391</v>
      </c>
      <c r="B951" s="1057"/>
      <c r="C951" s="1057"/>
      <c r="D951" s="1057"/>
      <c r="E951" s="1057"/>
      <c r="F951" s="1057"/>
      <c r="G951" s="1058"/>
      <c r="H951" s="9" t="str">
        <f>IF(A951="","",VLOOKUP(A951,AA_Equipos,7,FALSE))</f>
        <v>% M.O.</v>
      </c>
      <c r="I951" s="1059">
        <f>+M974</f>
        <v>277602.73272000003</v>
      </c>
      <c r="J951" s="1058"/>
      <c r="K951" s="1064">
        <v>0.05</v>
      </c>
      <c r="L951" s="1058"/>
      <c r="M951" s="1059">
        <f>IF(A951="","",I951*K951)</f>
        <v>13880.136636000003</v>
      </c>
      <c r="N951" s="1058"/>
    </row>
    <row r="952" spans="1:14" ht="12.75" customHeight="1" x14ac:dyDescent="0.2">
      <c r="A952" s="1056"/>
      <c r="B952" s="1057"/>
      <c r="C952" s="1057"/>
      <c r="D952" s="1057"/>
      <c r="E952" s="1057"/>
      <c r="F952" s="1057"/>
      <c r="G952" s="1058"/>
      <c r="H952" s="9" t="str">
        <f>IF(A952="","",VLOOKUP(A952,AA_Equipos,7,FALSE))</f>
        <v/>
      </c>
      <c r="I952" s="1059" t="str">
        <f>IF(A952="","",VLOOKUP(A952,AA_Equipos,8,FALSE))</f>
        <v/>
      </c>
      <c r="J952" s="1058"/>
      <c r="K952" s="1067"/>
      <c r="L952" s="1058"/>
      <c r="M952" s="1059" t="str">
        <f>IF(A952="","",I952*K952)</f>
        <v/>
      </c>
      <c r="N952" s="1058"/>
    </row>
    <row r="953" spans="1:14" ht="12.75" customHeight="1" x14ac:dyDescent="0.2">
      <c r="A953" s="1061"/>
      <c r="B953" s="1057"/>
      <c r="C953" s="1057"/>
      <c r="D953" s="1057"/>
      <c r="E953" s="1057"/>
      <c r="F953" s="1057"/>
      <c r="G953" s="1058"/>
      <c r="H953" s="9" t="str">
        <f>IF(A953="","",VLOOKUP(A953,AA_Equipos,7,FALSE))</f>
        <v/>
      </c>
      <c r="I953" s="1059" t="str">
        <f>IF(A953="","",VLOOKUP(A953,AA_Equipos,8,FALSE))</f>
        <v/>
      </c>
      <c r="J953" s="1058"/>
      <c r="K953" s="1070"/>
      <c r="L953" s="1058"/>
      <c r="M953" s="1059" t="str">
        <f>IF(A953="","",I953*K953)</f>
        <v/>
      </c>
      <c r="N953" s="1058"/>
    </row>
    <row r="954" spans="1:14" ht="12.75" customHeight="1" x14ac:dyDescent="0.2">
      <c r="A954" s="1061"/>
      <c r="B954" s="1057"/>
      <c r="C954" s="1057"/>
      <c r="D954" s="1057"/>
      <c r="E954" s="1057"/>
      <c r="F954" s="1057"/>
      <c r="G954" s="1058"/>
      <c r="H954" s="9" t="str">
        <f>IF(A954="","",VLOOKUP(A954,AA_Equipos,7,FALSE))</f>
        <v/>
      </c>
      <c r="I954" s="1059" t="str">
        <f>IF(A954="","",VLOOKUP(A954,AA_Equipos,8,FALSE))</f>
        <v/>
      </c>
      <c r="J954" s="1058"/>
      <c r="K954" s="1060"/>
      <c r="L954" s="1058"/>
      <c r="M954" s="1059" t="str">
        <f>IF(A954="","",I954*K954)</f>
        <v/>
      </c>
      <c r="N954" s="1058"/>
    </row>
    <row r="955" spans="1:14" ht="12.75" customHeight="1" x14ac:dyDescent="0.2">
      <c r="A955" s="1061"/>
      <c r="B955" s="1057"/>
      <c r="C955" s="1057"/>
      <c r="D955" s="1057"/>
      <c r="E955" s="1057"/>
      <c r="F955" s="1057"/>
      <c r="G955" s="1058"/>
      <c r="H955" s="9" t="str">
        <f>IF(A955="","",VLOOKUP(A955,AA_Equipos,7,FALSE))</f>
        <v/>
      </c>
      <c r="I955" s="1059" t="str">
        <f>IF(A955="","",VLOOKUP(A955,AA_Equipos,8,FALSE))</f>
        <v/>
      </c>
      <c r="J955" s="1058"/>
      <c r="K955" s="1060"/>
      <c r="L955" s="1058"/>
      <c r="M955" s="1059" t="str">
        <f>IF(A955="","",I955*K955)</f>
        <v/>
      </c>
      <c r="N955" s="1058"/>
    </row>
    <row r="956" spans="1:14" ht="12.75" customHeight="1" x14ac:dyDescent="0.25">
      <c r="A956" s="3"/>
      <c r="B956" s="3"/>
      <c r="C956" s="3"/>
      <c r="D956" s="3"/>
      <c r="E956" s="3"/>
      <c r="F956" s="3"/>
      <c r="G956" s="3"/>
      <c r="H956" s="3"/>
      <c r="I956" s="3"/>
      <c r="J956" s="3"/>
      <c r="K956" s="1066" t="s">
        <v>201</v>
      </c>
      <c r="L956" s="1058"/>
      <c r="M956" s="1059">
        <f>SUM(M951:N955)</f>
        <v>13880.136636000003</v>
      </c>
      <c r="N956" s="1058"/>
    </row>
    <row r="957" spans="1:14" ht="12.75" customHeight="1" x14ac:dyDescent="0.25">
      <c r="A957" s="3"/>
      <c r="B957" s="3"/>
      <c r="C957" s="3"/>
      <c r="D957" s="3"/>
      <c r="E957" s="3"/>
      <c r="F957" s="3"/>
      <c r="G957" s="3"/>
      <c r="H957" s="3"/>
      <c r="I957" s="3"/>
      <c r="J957" s="3"/>
      <c r="K957" s="3"/>
      <c r="L957" s="3"/>
      <c r="M957" s="3"/>
      <c r="N957" s="3"/>
    </row>
    <row r="958" spans="1:14" ht="12.75" customHeight="1" x14ac:dyDescent="0.2">
      <c r="A958" s="1065" t="s">
        <v>392</v>
      </c>
      <c r="B958" s="1057"/>
      <c r="C958" s="1057"/>
      <c r="D958" s="1057"/>
      <c r="E958" s="1057"/>
      <c r="F958" s="1057"/>
      <c r="G958" s="1057"/>
      <c r="H958" s="1057"/>
      <c r="I958" s="1057"/>
      <c r="J958" s="1057"/>
      <c r="K958" s="1057"/>
      <c r="L958" s="1057"/>
      <c r="M958" s="1057"/>
      <c r="N958" s="1058"/>
    </row>
    <row r="959" spans="1:14" ht="12.75" customHeight="1" x14ac:dyDescent="0.2">
      <c r="A959" s="1066" t="s">
        <v>38</v>
      </c>
      <c r="B959" s="1057"/>
      <c r="C959" s="1057"/>
      <c r="D959" s="1057"/>
      <c r="E959" s="1057"/>
      <c r="F959" s="1057"/>
      <c r="G959" s="1058"/>
      <c r="H959" s="28" t="s">
        <v>39</v>
      </c>
      <c r="I959" s="1062" t="s">
        <v>385</v>
      </c>
      <c r="J959" s="1058"/>
      <c r="K959" s="1062" t="s">
        <v>132</v>
      </c>
      <c r="L959" s="1058"/>
      <c r="M959" s="1062" t="s">
        <v>386</v>
      </c>
      <c r="N959" s="1058"/>
    </row>
    <row r="960" spans="1:14" ht="12.75" customHeight="1" x14ac:dyDescent="0.2">
      <c r="A960" s="1061"/>
      <c r="B960" s="1057"/>
      <c r="C960" s="1057"/>
      <c r="D960" s="1057"/>
      <c r="E960" s="1057"/>
      <c r="F960" s="1057"/>
      <c r="G960" s="1058"/>
      <c r="H960" s="9"/>
      <c r="I960" s="1059"/>
      <c r="J960" s="1058"/>
      <c r="K960" s="1064"/>
      <c r="L960" s="1058"/>
      <c r="M960" s="1059" t="str">
        <f>IF(A960="","",I960*K960)</f>
        <v/>
      </c>
      <c r="N960" s="1058"/>
    </row>
    <row r="961" spans="1:15" ht="12.75" customHeight="1" x14ac:dyDescent="0.2">
      <c r="A961" s="1056"/>
      <c r="B961" s="1057"/>
      <c r="C961" s="1057"/>
      <c r="D961" s="1057"/>
      <c r="E961" s="1057"/>
      <c r="F961" s="1057"/>
      <c r="G961" s="1058"/>
      <c r="H961" s="9"/>
      <c r="I961" s="1059"/>
      <c r="J961" s="1058"/>
      <c r="K961" s="1064"/>
      <c r="L961" s="1058"/>
      <c r="M961" s="1059" t="str">
        <f>IF(A961="","",I961*K961)</f>
        <v/>
      </c>
      <c r="N961" s="1058"/>
    </row>
    <row r="962" spans="1:15" ht="12.75" customHeight="1" x14ac:dyDescent="0.2">
      <c r="A962" s="1061"/>
      <c r="B962" s="1057"/>
      <c r="C962" s="1057"/>
      <c r="D962" s="1057"/>
      <c r="E962" s="1057"/>
      <c r="F962" s="1057"/>
      <c r="G962" s="1058"/>
      <c r="H962" s="9"/>
      <c r="I962" s="1059"/>
      <c r="J962" s="1058"/>
      <c r="K962" s="1060"/>
      <c r="L962" s="1058"/>
      <c r="M962" s="1059" t="str">
        <f>IF(A962="","",I962*K962)</f>
        <v/>
      </c>
      <c r="N962" s="1058"/>
    </row>
    <row r="963" spans="1:15" ht="12.75" customHeight="1" x14ac:dyDescent="0.2">
      <c r="A963" s="1061"/>
      <c r="B963" s="1057"/>
      <c r="C963" s="1057"/>
      <c r="D963" s="1057"/>
      <c r="E963" s="1057"/>
      <c r="F963" s="1057"/>
      <c r="G963" s="1058"/>
      <c r="H963" s="9"/>
      <c r="I963" s="1059"/>
      <c r="J963" s="1058"/>
      <c r="K963" s="1060"/>
      <c r="L963" s="1058"/>
      <c r="M963" s="1059" t="str">
        <f>IF(A963="","",I963*K963)</f>
        <v/>
      </c>
      <c r="N963" s="1058"/>
    </row>
    <row r="964" spans="1:15" ht="12.75" customHeight="1" x14ac:dyDescent="0.2">
      <c r="A964" s="1061"/>
      <c r="B964" s="1057"/>
      <c r="C964" s="1057"/>
      <c r="D964" s="1057"/>
      <c r="E964" s="1057"/>
      <c r="F964" s="1057"/>
      <c r="G964" s="1058"/>
      <c r="H964" s="9"/>
      <c r="I964" s="1059"/>
      <c r="J964" s="1058"/>
      <c r="K964" s="1060"/>
      <c r="L964" s="1058"/>
      <c r="M964" s="1059" t="str">
        <f>IF(A964="","",I964*K964)</f>
        <v/>
      </c>
      <c r="N964" s="1058"/>
    </row>
    <row r="965" spans="1:15" ht="12.75" customHeight="1" x14ac:dyDescent="0.25">
      <c r="A965" s="3"/>
      <c r="B965" s="3"/>
      <c r="C965" s="3"/>
      <c r="D965" s="3"/>
      <c r="E965" s="3"/>
      <c r="F965" s="3"/>
      <c r="G965" s="3"/>
      <c r="H965" s="3"/>
      <c r="I965" s="3"/>
      <c r="J965" s="3"/>
      <c r="K965" s="1066" t="s">
        <v>201</v>
      </c>
      <c r="L965" s="1058"/>
      <c r="M965" s="1059">
        <f>SUM(M960:N964)</f>
        <v>0</v>
      </c>
      <c r="N965" s="1058"/>
    </row>
    <row r="966" spans="1:15" ht="12.75" customHeight="1" x14ac:dyDescent="0.25">
      <c r="A966" s="3"/>
      <c r="B966" s="3"/>
      <c r="C966" s="3"/>
      <c r="D966" s="3"/>
      <c r="E966" s="3"/>
      <c r="F966" s="3"/>
      <c r="G966" s="3"/>
      <c r="H966" s="3"/>
      <c r="I966" s="3"/>
      <c r="J966" s="3"/>
      <c r="K966" s="3"/>
      <c r="L966" s="3"/>
      <c r="M966" s="3"/>
      <c r="N966" s="3"/>
    </row>
    <row r="967" spans="1:15" ht="12.75" customHeight="1" x14ac:dyDescent="0.2">
      <c r="A967" s="1065" t="s">
        <v>394</v>
      </c>
      <c r="B967" s="1057"/>
      <c r="C967" s="1057"/>
      <c r="D967" s="1057"/>
      <c r="E967" s="1057"/>
      <c r="F967" s="1057"/>
      <c r="G967" s="1057"/>
      <c r="H967" s="1057"/>
      <c r="I967" s="1057"/>
      <c r="J967" s="1057"/>
      <c r="K967" s="1057"/>
      <c r="L967" s="1057"/>
      <c r="M967" s="1057"/>
      <c r="N967" s="1058"/>
    </row>
    <row r="968" spans="1:15" ht="12.75" customHeight="1" x14ac:dyDescent="0.2">
      <c r="A968" s="1066" t="s">
        <v>38</v>
      </c>
      <c r="B968" s="1057"/>
      <c r="C968" s="1057"/>
      <c r="D968" s="1057"/>
      <c r="E968" s="1057"/>
      <c r="F968" s="1057"/>
      <c r="G968" s="1058"/>
      <c r="H968" s="28" t="s">
        <v>39</v>
      </c>
      <c r="I968" s="1062" t="s">
        <v>385</v>
      </c>
      <c r="J968" s="1058"/>
      <c r="K968" s="30" t="s">
        <v>193</v>
      </c>
      <c r="L968" s="31" t="s">
        <v>395</v>
      </c>
      <c r="M968" s="1062" t="s">
        <v>386</v>
      </c>
      <c r="N968" s="1058"/>
    </row>
    <row r="969" spans="1:15" ht="12.75" customHeight="1" x14ac:dyDescent="0.25">
      <c r="A969" s="1063" t="s">
        <v>423</v>
      </c>
      <c r="B969" s="1057"/>
      <c r="C969" s="1057"/>
      <c r="D969" s="1057"/>
      <c r="E969" s="1057"/>
      <c r="F969" s="1057"/>
      <c r="G969" s="1058"/>
      <c r="H969" s="9" t="str">
        <f>IF(A969="","",VLOOKUP(A969,AA_Cuadrillas,4,FALSE))</f>
        <v>Cuadrilla</v>
      </c>
      <c r="I969" s="1059">
        <f>IF(A969="","",VLOOKUP(A969,AA_Cuadrillas,5,FALSE))</f>
        <v>134236</v>
      </c>
      <c r="J969" s="1058"/>
      <c r="K969" s="1">
        <f>IF(A969="","",'06'!$J$3)</f>
        <v>1.7233500000000002</v>
      </c>
      <c r="L969" s="37">
        <v>1.2</v>
      </c>
      <c r="M969" s="1059">
        <f>IF(A969="","",I969*K969*L969)</f>
        <v>277602.73272000003</v>
      </c>
      <c r="N969" s="1058"/>
    </row>
    <row r="970" spans="1:15" ht="12.75" customHeight="1" x14ac:dyDescent="0.25">
      <c r="A970" s="1063"/>
      <c r="B970" s="1057"/>
      <c r="C970" s="1057"/>
      <c r="D970" s="1057"/>
      <c r="E970" s="1057"/>
      <c r="F970" s="1057"/>
      <c r="G970" s="1058"/>
      <c r="H970" s="9" t="str">
        <f>IF(A970="","",VLOOKUP(A970,AA_Cuadrillas,4,FALSE))</f>
        <v/>
      </c>
      <c r="I970" s="1059" t="str">
        <f>IF(A970="","",VLOOKUP(A970,AA_Cuadrillas,5,FALSE))</f>
        <v/>
      </c>
      <c r="J970" s="1058"/>
      <c r="K970" s="1" t="str">
        <f>IF(A970="","",'06'!$J$3)</f>
        <v/>
      </c>
      <c r="L970" s="1"/>
      <c r="M970" s="1059" t="str">
        <f>IF(A970="","",I970*K970*L970)</f>
        <v/>
      </c>
      <c r="N970" s="1058"/>
    </row>
    <row r="971" spans="1:15" ht="12.75" customHeight="1" x14ac:dyDescent="0.25">
      <c r="A971" s="1063"/>
      <c r="B971" s="1057"/>
      <c r="C971" s="1057"/>
      <c r="D971" s="1057"/>
      <c r="E971" s="1057"/>
      <c r="F971" s="1057"/>
      <c r="G971" s="1058"/>
      <c r="H971" s="9" t="str">
        <f>IF(A971="","",VLOOKUP(A971,AA_Cuadrillas,4,FALSE))</f>
        <v/>
      </c>
      <c r="I971" s="1059" t="str">
        <f>IF(A971="","",VLOOKUP(A971,AA_Cuadrillas,5,FALSE))</f>
        <v/>
      </c>
      <c r="J971" s="1058"/>
      <c r="K971" s="1" t="str">
        <f>IF(A971="","",'06'!$J$3)</f>
        <v/>
      </c>
      <c r="L971" s="10"/>
      <c r="M971" s="1059" t="str">
        <f>IF(A971="","",I971*K971*L971)</f>
        <v/>
      </c>
      <c r="N971" s="1058"/>
    </row>
    <row r="972" spans="1:15" ht="12.75" customHeight="1" x14ac:dyDescent="0.25">
      <c r="A972" s="1063"/>
      <c r="B972" s="1057"/>
      <c r="C972" s="1057"/>
      <c r="D972" s="1057"/>
      <c r="E972" s="1057"/>
      <c r="F972" s="1057"/>
      <c r="G972" s="1058"/>
      <c r="H972" s="9" t="str">
        <f>IF(A972="","",VLOOKUP(A972,AA_Cuadrillas,4,FALSE))</f>
        <v/>
      </c>
      <c r="I972" s="1059" t="str">
        <f>IF(A972="","",VLOOKUP(A972,AA_Cuadrillas,5,FALSE))</f>
        <v/>
      </c>
      <c r="J972" s="1058"/>
      <c r="K972" s="1" t="str">
        <f>IF(A972="","",'06'!$J$3)</f>
        <v/>
      </c>
      <c r="L972" s="10"/>
      <c r="M972" s="1059" t="str">
        <f>IF(A972="","",I972*K972*L972)</f>
        <v/>
      </c>
      <c r="N972" s="1058"/>
    </row>
    <row r="973" spans="1:15" ht="12.75" customHeight="1" x14ac:dyDescent="0.25">
      <c r="A973" s="1063"/>
      <c r="B973" s="1057"/>
      <c r="C973" s="1057"/>
      <c r="D973" s="1057"/>
      <c r="E973" s="1057"/>
      <c r="F973" s="1057"/>
      <c r="G973" s="1058"/>
      <c r="H973" s="9" t="str">
        <f>IF(A973="","",VLOOKUP(A973,AA_Cuadrillas,4,FALSE))</f>
        <v/>
      </c>
      <c r="I973" s="1059" t="str">
        <f>IF(A973="","",VLOOKUP(A973,AA_Cuadrillas,5,FALSE))</f>
        <v/>
      </c>
      <c r="J973" s="1058"/>
      <c r="K973" s="1" t="str">
        <f>IF(A973="","",'06'!$J$3)</f>
        <v/>
      </c>
      <c r="L973" s="10"/>
      <c r="M973" s="1059" t="str">
        <f>IF(A973="","",I973*K973*L973)</f>
        <v/>
      </c>
      <c r="N973" s="1058"/>
    </row>
    <row r="974" spans="1:15" ht="12.75" customHeight="1" x14ac:dyDescent="0.25">
      <c r="A974" s="3"/>
      <c r="B974" s="3"/>
      <c r="C974" s="3"/>
      <c r="D974" s="3"/>
      <c r="E974" s="3"/>
      <c r="F974" s="3"/>
      <c r="G974" s="3"/>
      <c r="H974" s="3"/>
      <c r="I974" s="3"/>
      <c r="J974" s="3"/>
      <c r="K974" s="1066" t="s">
        <v>201</v>
      </c>
      <c r="L974" s="1058"/>
      <c r="M974" s="1059">
        <f>SUM(M969:N973)</f>
        <v>277602.73272000003</v>
      </c>
      <c r="N974" s="1058"/>
    </row>
    <row r="975" spans="1:15" ht="12.75" customHeight="1" x14ac:dyDescent="0.2"/>
    <row r="976" spans="1:15" ht="12.75" customHeight="1" x14ac:dyDescent="0.2">
      <c r="A976" s="1072" t="s">
        <v>1688</v>
      </c>
      <c r="B976" s="1052"/>
      <c r="C976" s="1052"/>
      <c r="D976" s="1052"/>
      <c r="E976" s="1052"/>
      <c r="F976" s="1052"/>
      <c r="G976" s="1052"/>
      <c r="H976" s="1052"/>
      <c r="I976" s="1052"/>
      <c r="J976" s="1052"/>
      <c r="K976" s="1052"/>
      <c r="L976" s="1052"/>
      <c r="M976" s="1052"/>
      <c r="N976" s="1053"/>
      <c r="O976" s="7"/>
    </row>
    <row r="977" spans="1:15" ht="12.75" customHeight="1" x14ac:dyDescent="0.2">
      <c r="A977" s="1031"/>
      <c r="B977" s="1032"/>
      <c r="C977" s="1032"/>
      <c r="D977" s="1032"/>
      <c r="E977" s="1032"/>
      <c r="F977" s="1032"/>
      <c r="G977" s="1032"/>
      <c r="H977" s="1032"/>
      <c r="I977" s="1032"/>
      <c r="J977" s="1032"/>
      <c r="K977" s="1032"/>
      <c r="L977" s="1032"/>
      <c r="M977" s="1032"/>
      <c r="N977" s="1055"/>
      <c r="O977" s="7"/>
    </row>
    <row r="978" spans="1:15" ht="12.75" customHeight="1" x14ac:dyDescent="0.2">
      <c r="A978" s="16"/>
      <c r="B978" s="16"/>
      <c r="C978" s="16"/>
      <c r="D978" s="16"/>
      <c r="E978" s="16"/>
      <c r="F978" s="16"/>
      <c r="G978" s="16"/>
      <c r="H978" s="16"/>
      <c r="I978" s="16"/>
      <c r="J978" s="16"/>
      <c r="K978" s="16"/>
      <c r="L978" s="16"/>
      <c r="M978" s="16"/>
      <c r="N978" s="16"/>
    </row>
    <row r="979" spans="1:15" ht="12.75" customHeight="1" x14ac:dyDescent="0.3">
      <c r="A979" s="18" t="s">
        <v>313</v>
      </c>
      <c r="B979" s="19" t="str">
        <f>A976</f>
        <v>SUMINISTRO E INSTALACIÓN REDUCCIÓN PE100 Ø3" x Ø2" PEAD PN10 RDE 17. INCLUYE TRANSPORTE.</v>
      </c>
      <c r="C979" s="20" t="s">
        <v>382</v>
      </c>
      <c r="D979" s="21" t="s">
        <v>424</v>
      </c>
      <c r="E979" s="22" t="s">
        <v>125</v>
      </c>
      <c r="F979" s="26">
        <f>(H979+J979+L979+N979)*$O$2</f>
        <v>787825.88561950007</v>
      </c>
      <c r="G979" s="22" t="s">
        <v>285</v>
      </c>
      <c r="H979" s="26">
        <f>M998</f>
        <v>9655.7577150000016</v>
      </c>
      <c r="I979" s="22" t="s">
        <v>383</v>
      </c>
      <c r="J979" s="36">
        <f>M989</f>
        <v>403249</v>
      </c>
      <c r="K979" s="22" t="s">
        <v>287</v>
      </c>
      <c r="L979" s="26">
        <f>M1007</f>
        <v>0</v>
      </c>
      <c r="M979" s="22" t="s">
        <v>288</v>
      </c>
      <c r="N979" s="26">
        <f>M1016</f>
        <v>193115.15430000002</v>
      </c>
    </row>
    <row r="980" spans="1:15" ht="12.75" customHeight="1" x14ac:dyDescent="0.25">
      <c r="A980" s="27"/>
      <c r="B980" s="27"/>
      <c r="C980" s="27"/>
      <c r="D980" s="27"/>
      <c r="E980" s="27"/>
      <c r="F980" s="27"/>
      <c r="G980" s="27"/>
      <c r="J980" s="27"/>
      <c r="K980" s="27"/>
      <c r="L980" s="27"/>
      <c r="M980" s="27"/>
      <c r="N980" s="27"/>
    </row>
    <row r="981" spans="1:15" ht="12.75" customHeight="1" x14ac:dyDescent="0.2">
      <c r="A981" s="1065" t="s">
        <v>384</v>
      </c>
      <c r="B981" s="1057"/>
      <c r="C981" s="1057"/>
      <c r="D981" s="1057"/>
      <c r="E981" s="1057"/>
      <c r="F981" s="1057"/>
      <c r="G981" s="1057"/>
      <c r="H981" s="1057"/>
      <c r="I981" s="1057"/>
      <c r="J981" s="1057"/>
      <c r="K981" s="1057"/>
      <c r="L981" s="1057"/>
      <c r="M981" s="1057"/>
      <c r="N981" s="1058"/>
    </row>
    <row r="982" spans="1:15" ht="12.75" customHeight="1" x14ac:dyDescent="0.2">
      <c r="A982" s="1066" t="s">
        <v>38</v>
      </c>
      <c r="B982" s="1057"/>
      <c r="C982" s="1057"/>
      <c r="D982" s="1057"/>
      <c r="E982" s="1057"/>
      <c r="F982" s="1057"/>
      <c r="G982" s="1058"/>
      <c r="H982" s="28" t="s">
        <v>39</v>
      </c>
      <c r="I982" s="1062" t="s">
        <v>385</v>
      </c>
      <c r="J982" s="1058"/>
      <c r="K982" s="1062" t="s">
        <v>132</v>
      </c>
      <c r="L982" s="1058"/>
      <c r="M982" s="1062" t="s">
        <v>386</v>
      </c>
      <c r="N982" s="1058"/>
    </row>
    <row r="983" spans="1:15" ht="12.75" customHeight="1" x14ac:dyDescent="0.2">
      <c r="A983" s="1056" t="s">
        <v>1531</v>
      </c>
      <c r="B983" s="1057"/>
      <c r="C983" s="1057"/>
      <c r="D983" s="1057"/>
      <c r="E983" s="1057"/>
      <c r="F983" s="1057"/>
      <c r="G983" s="1058"/>
      <c r="H983" s="9" t="str">
        <f t="shared" ref="H983:H988" si="65">IF(A983="","",VLOOKUP(A983,AA_Materiales,7,FALSE))</f>
        <v>Unidad</v>
      </c>
      <c r="I983" s="1059">
        <f t="shared" ref="I983:I988" si="66">IF(A983="","",VLOOKUP(A983,AA_Materiales,8,FALSE))</f>
        <v>403249</v>
      </c>
      <c r="J983" s="1058"/>
      <c r="K983" s="1060">
        <v>1</v>
      </c>
      <c r="L983" s="1058"/>
      <c r="M983" s="1059">
        <f t="shared" ref="M983:M988" si="67">IF(A983="","",I983*K983)</f>
        <v>403249</v>
      </c>
      <c r="N983" s="1058"/>
    </row>
    <row r="984" spans="1:15" ht="12.75" customHeight="1" x14ac:dyDescent="0.2">
      <c r="A984" s="1056"/>
      <c r="B984" s="1057"/>
      <c r="C984" s="1057"/>
      <c r="D984" s="1057"/>
      <c r="E984" s="1057"/>
      <c r="F984" s="1057"/>
      <c r="G984" s="1058"/>
      <c r="H984" s="9" t="str">
        <f t="shared" si="65"/>
        <v/>
      </c>
      <c r="I984" s="1059" t="str">
        <f t="shared" si="66"/>
        <v/>
      </c>
      <c r="J984" s="1058"/>
      <c r="K984" s="1060"/>
      <c r="L984" s="1058"/>
      <c r="M984" s="1059" t="str">
        <f t="shared" si="67"/>
        <v/>
      </c>
      <c r="N984" s="1058"/>
    </row>
    <row r="985" spans="1:15" ht="12.75" customHeight="1" x14ac:dyDescent="0.2">
      <c r="A985" s="1056"/>
      <c r="B985" s="1057"/>
      <c r="C985" s="1057"/>
      <c r="D985" s="1057"/>
      <c r="E985" s="1057"/>
      <c r="F985" s="1057"/>
      <c r="G985" s="1058"/>
      <c r="H985" s="9" t="str">
        <f t="shared" si="65"/>
        <v/>
      </c>
      <c r="I985" s="1059" t="str">
        <f t="shared" si="66"/>
        <v/>
      </c>
      <c r="J985" s="1058"/>
      <c r="K985" s="1060"/>
      <c r="L985" s="1058"/>
      <c r="M985" s="1059" t="str">
        <f t="shared" si="67"/>
        <v/>
      </c>
      <c r="N985" s="1058"/>
    </row>
    <row r="986" spans="1:15" ht="12.75" customHeight="1" x14ac:dyDescent="0.2">
      <c r="A986" s="1056"/>
      <c r="B986" s="1057"/>
      <c r="C986" s="1057"/>
      <c r="D986" s="1057"/>
      <c r="E986" s="1057"/>
      <c r="F986" s="1057"/>
      <c r="G986" s="1058"/>
      <c r="H986" s="9" t="str">
        <f t="shared" si="65"/>
        <v/>
      </c>
      <c r="I986" s="1059" t="str">
        <f t="shared" si="66"/>
        <v/>
      </c>
      <c r="J986" s="1058"/>
      <c r="K986" s="1060"/>
      <c r="L986" s="1058"/>
      <c r="M986" s="1059" t="str">
        <f t="shared" si="67"/>
        <v/>
      </c>
      <c r="N986" s="1058"/>
    </row>
    <row r="987" spans="1:15" ht="12.75" customHeight="1" x14ac:dyDescent="0.2">
      <c r="A987" s="1056"/>
      <c r="B987" s="1057"/>
      <c r="C987" s="1057"/>
      <c r="D987" s="1057"/>
      <c r="E987" s="1057"/>
      <c r="F987" s="1057"/>
      <c r="G987" s="1058"/>
      <c r="H987" s="9" t="str">
        <f t="shared" si="65"/>
        <v/>
      </c>
      <c r="I987" s="1059" t="str">
        <f t="shared" si="66"/>
        <v/>
      </c>
      <c r="J987" s="1058"/>
      <c r="K987" s="1060"/>
      <c r="L987" s="1058"/>
      <c r="M987" s="1059" t="str">
        <f t="shared" si="67"/>
        <v/>
      </c>
      <c r="N987" s="1058"/>
    </row>
    <row r="988" spans="1:15" ht="12.75" customHeight="1" x14ac:dyDescent="0.2">
      <c r="A988" s="1056"/>
      <c r="B988" s="1057"/>
      <c r="C988" s="1057"/>
      <c r="D988" s="1057"/>
      <c r="E988" s="1057"/>
      <c r="F988" s="1057"/>
      <c r="G988" s="1058"/>
      <c r="H988" s="9" t="str">
        <f t="shared" si="65"/>
        <v/>
      </c>
      <c r="I988" s="1059" t="str">
        <f t="shared" si="66"/>
        <v/>
      </c>
      <c r="J988" s="1058"/>
      <c r="K988" s="1060"/>
      <c r="L988" s="1058"/>
      <c r="M988" s="1059" t="str">
        <f t="shared" si="67"/>
        <v/>
      </c>
      <c r="N988" s="1058"/>
    </row>
    <row r="989" spans="1:15" ht="12.75" customHeight="1" x14ac:dyDescent="0.25">
      <c r="A989" s="3"/>
      <c r="B989" s="3"/>
      <c r="C989" s="3"/>
      <c r="D989" s="3"/>
      <c r="E989" s="3"/>
      <c r="F989" s="3"/>
      <c r="G989" s="3"/>
      <c r="H989" s="3"/>
      <c r="I989" s="3"/>
      <c r="J989" s="3"/>
      <c r="K989" s="1066" t="s">
        <v>201</v>
      </c>
      <c r="L989" s="1058"/>
      <c r="M989" s="1059">
        <f>SUM(M983:N988)</f>
        <v>403249</v>
      </c>
      <c r="N989" s="1058"/>
    </row>
    <row r="990" spans="1:15" ht="12.75" customHeight="1" x14ac:dyDescent="0.25">
      <c r="A990" s="3"/>
      <c r="B990" s="3"/>
      <c r="C990" s="3"/>
      <c r="D990" s="3"/>
      <c r="E990" s="3"/>
      <c r="F990" s="3"/>
      <c r="G990" s="3"/>
      <c r="H990" s="3"/>
      <c r="I990" s="3"/>
      <c r="J990" s="3"/>
      <c r="K990" s="3"/>
      <c r="L990" s="3"/>
      <c r="M990" s="3"/>
      <c r="N990" s="3"/>
    </row>
    <row r="991" spans="1:15" ht="12.75" customHeight="1" x14ac:dyDescent="0.2">
      <c r="A991" s="1065" t="s">
        <v>390</v>
      </c>
      <c r="B991" s="1057"/>
      <c r="C991" s="1057"/>
      <c r="D991" s="1057"/>
      <c r="E991" s="1057"/>
      <c r="F991" s="1057"/>
      <c r="G991" s="1057"/>
      <c r="H991" s="1057"/>
      <c r="I991" s="1057"/>
      <c r="J991" s="1057"/>
      <c r="K991" s="1057"/>
      <c r="L991" s="1057"/>
      <c r="M991" s="1057"/>
      <c r="N991" s="1058"/>
    </row>
    <row r="992" spans="1:15" ht="12.75" customHeight="1" x14ac:dyDescent="0.2">
      <c r="A992" s="1066" t="s">
        <v>38</v>
      </c>
      <c r="B992" s="1057"/>
      <c r="C992" s="1057"/>
      <c r="D992" s="1057"/>
      <c r="E992" s="1057"/>
      <c r="F992" s="1057"/>
      <c r="G992" s="1058"/>
      <c r="H992" s="28" t="s">
        <v>39</v>
      </c>
      <c r="I992" s="1062" t="s">
        <v>385</v>
      </c>
      <c r="J992" s="1058"/>
      <c r="K992" s="1062" t="s">
        <v>132</v>
      </c>
      <c r="L992" s="1058"/>
      <c r="M992" s="1062" t="s">
        <v>386</v>
      </c>
      <c r="N992" s="1058"/>
    </row>
    <row r="993" spans="1:14" ht="12.75" customHeight="1" x14ac:dyDescent="0.2">
      <c r="A993" s="1061" t="s">
        <v>391</v>
      </c>
      <c r="B993" s="1057"/>
      <c r="C993" s="1057"/>
      <c r="D993" s="1057"/>
      <c r="E993" s="1057"/>
      <c r="F993" s="1057"/>
      <c r="G993" s="1058"/>
      <c r="H993" s="9" t="str">
        <f>IF(A993="","",VLOOKUP(A993,AA_Equipos,7,FALSE))</f>
        <v>% M.O.</v>
      </c>
      <c r="I993" s="1059">
        <f>+M1016</f>
        <v>193115.15430000002</v>
      </c>
      <c r="J993" s="1058"/>
      <c r="K993" s="1064">
        <v>0.05</v>
      </c>
      <c r="L993" s="1058"/>
      <c r="M993" s="1059">
        <f>IF(A993="","",I993*K993)</f>
        <v>9655.7577150000016</v>
      </c>
      <c r="N993" s="1058"/>
    </row>
    <row r="994" spans="1:14" ht="12.75" customHeight="1" x14ac:dyDescent="0.2">
      <c r="A994" s="1056"/>
      <c r="B994" s="1057"/>
      <c r="C994" s="1057"/>
      <c r="D994" s="1057"/>
      <c r="E994" s="1057"/>
      <c r="F994" s="1057"/>
      <c r="G994" s="1058"/>
      <c r="H994" s="9" t="str">
        <f>IF(A994="","",VLOOKUP(A994,AA_Equipos,7,FALSE))</f>
        <v/>
      </c>
      <c r="I994" s="1059" t="str">
        <f>IF(A994="","",VLOOKUP(A994,AA_Equipos,8,FALSE))</f>
        <v/>
      </c>
      <c r="J994" s="1058"/>
      <c r="K994" s="1067"/>
      <c r="L994" s="1058"/>
      <c r="M994" s="1059" t="str">
        <f>IF(A994="","",I994*K994)</f>
        <v/>
      </c>
      <c r="N994" s="1058"/>
    </row>
    <row r="995" spans="1:14" ht="12.75" customHeight="1" x14ac:dyDescent="0.2">
      <c r="A995" s="1061"/>
      <c r="B995" s="1057"/>
      <c r="C995" s="1057"/>
      <c r="D995" s="1057"/>
      <c r="E995" s="1057"/>
      <c r="F995" s="1057"/>
      <c r="G995" s="1058"/>
      <c r="H995" s="9" t="str">
        <f>IF(A995="","",VLOOKUP(A995,AA_Equipos,7,FALSE))</f>
        <v/>
      </c>
      <c r="I995" s="1059" t="str">
        <f>IF(A995="","",VLOOKUP(A995,AA_Equipos,8,FALSE))</f>
        <v/>
      </c>
      <c r="J995" s="1058"/>
      <c r="K995" s="1070"/>
      <c r="L995" s="1058"/>
      <c r="M995" s="1059" t="str">
        <f>IF(A995="","",I995*K995)</f>
        <v/>
      </c>
      <c r="N995" s="1058"/>
    </row>
    <row r="996" spans="1:14" ht="12.75" customHeight="1" x14ac:dyDescent="0.2">
      <c r="A996" s="1061"/>
      <c r="B996" s="1057"/>
      <c r="C996" s="1057"/>
      <c r="D996" s="1057"/>
      <c r="E996" s="1057"/>
      <c r="F996" s="1057"/>
      <c r="G996" s="1058"/>
      <c r="H996" s="9" t="str">
        <f>IF(A996="","",VLOOKUP(A996,AA_Equipos,7,FALSE))</f>
        <v/>
      </c>
      <c r="I996" s="1059" t="str">
        <f>IF(A996="","",VLOOKUP(A996,AA_Equipos,8,FALSE))</f>
        <v/>
      </c>
      <c r="J996" s="1058"/>
      <c r="K996" s="1060"/>
      <c r="L996" s="1058"/>
      <c r="M996" s="1059" t="str">
        <f>IF(A996="","",I996*K996)</f>
        <v/>
      </c>
      <c r="N996" s="1058"/>
    </row>
    <row r="997" spans="1:14" ht="12.75" customHeight="1" x14ac:dyDescent="0.2">
      <c r="A997" s="1061"/>
      <c r="B997" s="1057"/>
      <c r="C997" s="1057"/>
      <c r="D997" s="1057"/>
      <c r="E997" s="1057"/>
      <c r="F997" s="1057"/>
      <c r="G997" s="1058"/>
      <c r="H997" s="9" t="str">
        <f>IF(A997="","",VLOOKUP(A997,AA_Equipos,7,FALSE))</f>
        <v/>
      </c>
      <c r="I997" s="1059" t="str">
        <f>IF(A997="","",VLOOKUP(A997,AA_Equipos,8,FALSE))</f>
        <v/>
      </c>
      <c r="J997" s="1058"/>
      <c r="K997" s="1060"/>
      <c r="L997" s="1058"/>
      <c r="M997" s="1059" t="str">
        <f>IF(A997="","",I997*K997)</f>
        <v/>
      </c>
      <c r="N997" s="1058"/>
    </row>
    <row r="998" spans="1:14" ht="12.75" customHeight="1" x14ac:dyDescent="0.25">
      <c r="A998" s="3"/>
      <c r="B998" s="3"/>
      <c r="C998" s="3"/>
      <c r="D998" s="3"/>
      <c r="E998" s="3"/>
      <c r="F998" s="3"/>
      <c r="G998" s="3"/>
      <c r="H998" s="3"/>
      <c r="I998" s="3"/>
      <c r="J998" s="3"/>
      <c r="K998" s="1066" t="s">
        <v>201</v>
      </c>
      <c r="L998" s="1058"/>
      <c r="M998" s="1059">
        <f>SUM(M993:N997)</f>
        <v>9655.7577150000016</v>
      </c>
      <c r="N998" s="1058"/>
    </row>
    <row r="999" spans="1:14" ht="12.75" customHeight="1" x14ac:dyDescent="0.25">
      <c r="A999" s="3"/>
      <c r="B999" s="3"/>
      <c r="C999" s="3"/>
      <c r="D999" s="3"/>
      <c r="E999" s="3"/>
      <c r="F999" s="3"/>
      <c r="G999" s="3"/>
      <c r="H999" s="3"/>
      <c r="I999" s="3"/>
      <c r="J999" s="3"/>
      <c r="K999" s="3"/>
      <c r="L999" s="3"/>
      <c r="M999" s="3"/>
      <c r="N999" s="3"/>
    </row>
    <row r="1000" spans="1:14" ht="12.75" customHeight="1" x14ac:dyDescent="0.2">
      <c r="A1000" s="1065" t="s">
        <v>392</v>
      </c>
      <c r="B1000" s="1057"/>
      <c r="C1000" s="1057"/>
      <c r="D1000" s="1057"/>
      <c r="E1000" s="1057"/>
      <c r="F1000" s="1057"/>
      <c r="G1000" s="1057"/>
      <c r="H1000" s="1057"/>
      <c r="I1000" s="1057"/>
      <c r="J1000" s="1057"/>
      <c r="K1000" s="1057"/>
      <c r="L1000" s="1057"/>
      <c r="M1000" s="1057"/>
      <c r="N1000" s="1058"/>
    </row>
    <row r="1001" spans="1:14" ht="12.75" customHeight="1" x14ac:dyDescent="0.2">
      <c r="A1001" s="1066" t="s">
        <v>38</v>
      </c>
      <c r="B1001" s="1057"/>
      <c r="C1001" s="1057"/>
      <c r="D1001" s="1057"/>
      <c r="E1001" s="1057"/>
      <c r="F1001" s="1057"/>
      <c r="G1001" s="1058"/>
      <c r="H1001" s="28" t="s">
        <v>39</v>
      </c>
      <c r="I1001" s="1062" t="s">
        <v>385</v>
      </c>
      <c r="J1001" s="1058"/>
      <c r="K1001" s="1062" t="s">
        <v>132</v>
      </c>
      <c r="L1001" s="1058"/>
      <c r="M1001" s="1062" t="s">
        <v>386</v>
      </c>
      <c r="N1001" s="1058"/>
    </row>
    <row r="1002" spans="1:14" ht="12.75" customHeight="1" x14ac:dyDescent="0.2">
      <c r="A1002" s="1061"/>
      <c r="B1002" s="1057"/>
      <c r="C1002" s="1057"/>
      <c r="D1002" s="1057"/>
      <c r="E1002" s="1057"/>
      <c r="F1002" s="1057"/>
      <c r="G1002" s="1058"/>
      <c r="H1002" s="9"/>
      <c r="I1002" s="1059"/>
      <c r="J1002" s="1058"/>
      <c r="K1002" s="1064"/>
      <c r="L1002" s="1058"/>
      <c r="M1002" s="1059" t="str">
        <f>IF(A1002="","",I1002*K1002)</f>
        <v/>
      </c>
      <c r="N1002" s="1058"/>
    </row>
    <row r="1003" spans="1:14" ht="12.75" customHeight="1" x14ac:dyDescent="0.2">
      <c r="A1003" s="1056"/>
      <c r="B1003" s="1057"/>
      <c r="C1003" s="1057"/>
      <c r="D1003" s="1057"/>
      <c r="E1003" s="1057"/>
      <c r="F1003" s="1057"/>
      <c r="G1003" s="1058"/>
      <c r="H1003" s="9"/>
      <c r="I1003" s="1059"/>
      <c r="J1003" s="1058"/>
      <c r="K1003" s="1064"/>
      <c r="L1003" s="1058"/>
      <c r="M1003" s="1059" t="str">
        <f>IF(A1003="","",I1003*K1003)</f>
        <v/>
      </c>
      <c r="N1003" s="1058"/>
    </row>
    <row r="1004" spans="1:14" ht="12.75" customHeight="1" x14ac:dyDescent="0.2">
      <c r="A1004" s="1061"/>
      <c r="B1004" s="1057"/>
      <c r="C1004" s="1057"/>
      <c r="D1004" s="1057"/>
      <c r="E1004" s="1057"/>
      <c r="F1004" s="1057"/>
      <c r="G1004" s="1058"/>
      <c r="H1004" s="9"/>
      <c r="I1004" s="1059"/>
      <c r="J1004" s="1058"/>
      <c r="K1004" s="1060"/>
      <c r="L1004" s="1058"/>
      <c r="M1004" s="1059" t="str">
        <f>IF(A1004="","",I1004*K1004)</f>
        <v/>
      </c>
      <c r="N1004" s="1058"/>
    </row>
    <row r="1005" spans="1:14" ht="12.75" customHeight="1" x14ac:dyDescent="0.2">
      <c r="A1005" s="1061"/>
      <c r="B1005" s="1057"/>
      <c r="C1005" s="1057"/>
      <c r="D1005" s="1057"/>
      <c r="E1005" s="1057"/>
      <c r="F1005" s="1057"/>
      <c r="G1005" s="1058"/>
      <c r="H1005" s="9"/>
      <c r="I1005" s="1059"/>
      <c r="J1005" s="1058"/>
      <c r="K1005" s="1060"/>
      <c r="L1005" s="1058"/>
      <c r="M1005" s="1059" t="str">
        <f>IF(A1005="","",I1005*K1005)</f>
        <v/>
      </c>
      <c r="N1005" s="1058"/>
    </row>
    <row r="1006" spans="1:14" ht="12.75" customHeight="1" x14ac:dyDescent="0.2">
      <c r="A1006" s="1061"/>
      <c r="B1006" s="1057"/>
      <c r="C1006" s="1057"/>
      <c r="D1006" s="1057"/>
      <c r="E1006" s="1057"/>
      <c r="F1006" s="1057"/>
      <c r="G1006" s="1058"/>
      <c r="H1006" s="9"/>
      <c r="I1006" s="1059"/>
      <c r="J1006" s="1058"/>
      <c r="K1006" s="1060"/>
      <c r="L1006" s="1058"/>
      <c r="M1006" s="1059" t="str">
        <f>IF(A1006="","",I1006*K1006)</f>
        <v/>
      </c>
      <c r="N1006" s="1058"/>
    </row>
    <row r="1007" spans="1:14" ht="12.75" customHeight="1" x14ac:dyDescent="0.25">
      <c r="A1007" s="3"/>
      <c r="B1007" s="3"/>
      <c r="C1007" s="3"/>
      <c r="D1007" s="3"/>
      <c r="E1007" s="3"/>
      <c r="F1007" s="3"/>
      <c r="G1007" s="3"/>
      <c r="H1007" s="3"/>
      <c r="I1007" s="3"/>
      <c r="J1007" s="3"/>
      <c r="K1007" s="1066" t="s">
        <v>201</v>
      </c>
      <c r="L1007" s="1058"/>
      <c r="M1007" s="1059">
        <f>SUM(M1002:N1006)</f>
        <v>0</v>
      </c>
      <c r="N1007" s="1058"/>
    </row>
    <row r="1008" spans="1:14" ht="12.75" customHeight="1" x14ac:dyDescent="0.25">
      <c r="A1008" s="3"/>
      <c r="B1008" s="3"/>
      <c r="C1008" s="3"/>
      <c r="D1008" s="3"/>
      <c r="E1008" s="3"/>
      <c r="F1008" s="3"/>
      <c r="G1008" s="3"/>
      <c r="H1008" s="3"/>
      <c r="I1008" s="3"/>
      <c r="J1008" s="3"/>
      <c r="K1008" s="3"/>
      <c r="L1008" s="3"/>
      <c r="M1008" s="3"/>
      <c r="N1008" s="3"/>
    </row>
    <row r="1009" spans="1:15" ht="12.75" customHeight="1" x14ac:dyDescent="0.2">
      <c r="A1009" s="1065" t="s">
        <v>394</v>
      </c>
      <c r="B1009" s="1057"/>
      <c r="C1009" s="1057"/>
      <c r="D1009" s="1057"/>
      <c r="E1009" s="1057"/>
      <c r="F1009" s="1057"/>
      <c r="G1009" s="1057"/>
      <c r="H1009" s="1057"/>
      <c r="I1009" s="1057"/>
      <c r="J1009" s="1057"/>
      <c r="K1009" s="1057"/>
      <c r="L1009" s="1057"/>
      <c r="M1009" s="1057"/>
      <c r="N1009" s="1058"/>
    </row>
    <row r="1010" spans="1:15" ht="12.75" customHeight="1" x14ac:dyDescent="0.2">
      <c r="A1010" s="1066" t="s">
        <v>38</v>
      </c>
      <c r="B1010" s="1057"/>
      <c r="C1010" s="1057"/>
      <c r="D1010" s="1057"/>
      <c r="E1010" s="1057"/>
      <c r="F1010" s="1057"/>
      <c r="G1010" s="1058"/>
      <c r="H1010" s="28" t="s">
        <v>39</v>
      </c>
      <c r="I1010" s="1062" t="s">
        <v>385</v>
      </c>
      <c r="J1010" s="1058"/>
      <c r="K1010" s="30" t="s">
        <v>193</v>
      </c>
      <c r="L1010" s="31" t="s">
        <v>395</v>
      </c>
      <c r="M1010" s="1062" t="s">
        <v>386</v>
      </c>
      <c r="N1010" s="1058"/>
    </row>
    <row r="1011" spans="1:15" ht="12.75" customHeight="1" x14ac:dyDescent="0.25">
      <c r="A1011" s="1063" t="s">
        <v>418</v>
      </c>
      <c r="B1011" s="1057"/>
      <c r="C1011" s="1057"/>
      <c r="D1011" s="1057"/>
      <c r="E1011" s="1057"/>
      <c r="F1011" s="1057"/>
      <c r="G1011" s="1058"/>
      <c r="H1011" s="9" t="str">
        <f>IF(A1011="","",VLOOKUP(A1011,AA_Cuadrillas,4,FALSE))</f>
        <v>Cuadrilla</v>
      </c>
      <c r="I1011" s="1059">
        <f>IF(A1011="","",VLOOKUP(A1011,AA_Cuadrillas,5,FALSE))</f>
        <v>280145</v>
      </c>
      <c r="J1011" s="1058"/>
      <c r="K1011" s="1">
        <f>IF(A1011="","",'06'!$J$3)</f>
        <v>1.7233500000000002</v>
      </c>
      <c r="L1011" s="37">
        <v>0.4</v>
      </c>
      <c r="M1011" s="1059">
        <f>IF(A1011="","",I1011*K1011*L1011)</f>
        <v>193115.15430000002</v>
      </c>
      <c r="N1011" s="1058"/>
    </row>
    <row r="1012" spans="1:15" ht="12.75" customHeight="1" x14ac:dyDescent="0.25">
      <c r="A1012" s="1063"/>
      <c r="B1012" s="1057"/>
      <c r="C1012" s="1057"/>
      <c r="D1012" s="1057"/>
      <c r="E1012" s="1057"/>
      <c r="F1012" s="1057"/>
      <c r="G1012" s="1058"/>
      <c r="H1012" s="9" t="str">
        <f>IF(A1012="","",VLOOKUP(A1012,AA_Cuadrillas,4,FALSE))</f>
        <v/>
      </c>
      <c r="I1012" s="1059" t="str">
        <f>IF(A1012="","",VLOOKUP(A1012,AA_Cuadrillas,5,FALSE))</f>
        <v/>
      </c>
      <c r="J1012" s="1058"/>
      <c r="K1012" s="1" t="str">
        <f>IF(A1012="","",'06'!$J$3)</f>
        <v/>
      </c>
      <c r="L1012" s="1"/>
      <c r="M1012" s="1059" t="str">
        <f>IF(A1012="","",I1012*K1012*L1012)</f>
        <v/>
      </c>
      <c r="N1012" s="1058"/>
    </row>
    <row r="1013" spans="1:15" ht="12.75" customHeight="1" x14ac:dyDescent="0.25">
      <c r="A1013" s="1063"/>
      <c r="B1013" s="1057"/>
      <c r="C1013" s="1057"/>
      <c r="D1013" s="1057"/>
      <c r="E1013" s="1057"/>
      <c r="F1013" s="1057"/>
      <c r="G1013" s="1058"/>
      <c r="H1013" s="9" t="str">
        <f>IF(A1013="","",VLOOKUP(A1013,AA_Cuadrillas,4,FALSE))</f>
        <v/>
      </c>
      <c r="I1013" s="1059" t="str">
        <f>IF(A1013="","",VLOOKUP(A1013,AA_Cuadrillas,5,FALSE))</f>
        <v/>
      </c>
      <c r="J1013" s="1058"/>
      <c r="K1013" s="1" t="str">
        <f>IF(A1013="","",'06'!$J$3)</f>
        <v/>
      </c>
      <c r="L1013" s="10"/>
      <c r="M1013" s="1059" t="str">
        <f>IF(A1013="","",I1013*K1013*L1013)</f>
        <v/>
      </c>
      <c r="N1013" s="1058"/>
    </row>
    <row r="1014" spans="1:15" ht="12.75" customHeight="1" x14ac:dyDescent="0.25">
      <c r="A1014" s="1063"/>
      <c r="B1014" s="1057"/>
      <c r="C1014" s="1057"/>
      <c r="D1014" s="1057"/>
      <c r="E1014" s="1057"/>
      <c r="F1014" s="1057"/>
      <c r="G1014" s="1058"/>
      <c r="H1014" s="9" t="str">
        <f>IF(A1014="","",VLOOKUP(A1014,AA_Cuadrillas,4,FALSE))</f>
        <v/>
      </c>
      <c r="I1014" s="1059" t="str">
        <f>IF(A1014="","",VLOOKUP(A1014,AA_Cuadrillas,5,FALSE))</f>
        <v/>
      </c>
      <c r="J1014" s="1058"/>
      <c r="K1014" s="1" t="str">
        <f>IF(A1014="","",'06'!$J$3)</f>
        <v/>
      </c>
      <c r="L1014" s="10"/>
      <c r="M1014" s="1059" t="str">
        <f>IF(A1014="","",I1014*K1014*L1014)</f>
        <v/>
      </c>
      <c r="N1014" s="1058"/>
    </row>
    <row r="1015" spans="1:15" ht="12.75" customHeight="1" x14ac:dyDescent="0.25">
      <c r="A1015" s="1063"/>
      <c r="B1015" s="1057"/>
      <c r="C1015" s="1057"/>
      <c r="D1015" s="1057"/>
      <c r="E1015" s="1057"/>
      <c r="F1015" s="1057"/>
      <c r="G1015" s="1058"/>
      <c r="H1015" s="9" t="str">
        <f>IF(A1015="","",VLOOKUP(A1015,AA_Cuadrillas,4,FALSE))</f>
        <v/>
      </c>
      <c r="I1015" s="1059" t="str">
        <f>IF(A1015="","",VLOOKUP(A1015,AA_Cuadrillas,5,FALSE))</f>
        <v/>
      </c>
      <c r="J1015" s="1058"/>
      <c r="K1015" s="1" t="str">
        <f>IF(A1015="","",'06'!$J$3)</f>
        <v/>
      </c>
      <c r="L1015" s="10"/>
      <c r="M1015" s="1059" t="str">
        <f>IF(A1015="","",I1015*K1015*L1015)</f>
        <v/>
      </c>
      <c r="N1015" s="1058"/>
    </row>
    <row r="1016" spans="1:15" ht="12.75" customHeight="1" x14ac:dyDescent="0.25">
      <c r="A1016" s="3"/>
      <c r="B1016" s="3"/>
      <c r="C1016" s="3"/>
      <c r="D1016" s="3"/>
      <c r="E1016" s="3"/>
      <c r="F1016" s="3"/>
      <c r="G1016" s="3"/>
      <c r="H1016" s="3"/>
      <c r="I1016" s="3"/>
      <c r="J1016" s="3"/>
      <c r="K1016" s="1066" t="s">
        <v>201</v>
      </c>
      <c r="L1016" s="1058"/>
      <c r="M1016" s="1059">
        <f>SUM(M1011:N1015)</f>
        <v>193115.15430000002</v>
      </c>
      <c r="N1016" s="1058"/>
    </row>
    <row r="1017" spans="1:15" ht="12.75" customHeight="1" x14ac:dyDescent="0.2"/>
    <row r="1018" spans="1:15" ht="12.75" customHeight="1" x14ac:dyDescent="0.2">
      <c r="A1018" s="1072" t="s">
        <v>1689</v>
      </c>
      <c r="B1018" s="1052"/>
      <c r="C1018" s="1052"/>
      <c r="D1018" s="1052"/>
      <c r="E1018" s="1052"/>
      <c r="F1018" s="1052"/>
      <c r="G1018" s="1052"/>
      <c r="H1018" s="1052"/>
      <c r="I1018" s="1052"/>
      <c r="J1018" s="1052"/>
      <c r="K1018" s="1052"/>
      <c r="L1018" s="1052"/>
      <c r="M1018" s="1052"/>
      <c r="N1018" s="1053"/>
      <c r="O1018" s="7"/>
    </row>
    <row r="1019" spans="1:15" ht="12.75" customHeight="1" x14ac:dyDescent="0.2">
      <c r="A1019" s="1031"/>
      <c r="B1019" s="1032"/>
      <c r="C1019" s="1032"/>
      <c r="D1019" s="1032"/>
      <c r="E1019" s="1032"/>
      <c r="F1019" s="1032"/>
      <c r="G1019" s="1032"/>
      <c r="H1019" s="1032"/>
      <c r="I1019" s="1032"/>
      <c r="J1019" s="1032"/>
      <c r="K1019" s="1032"/>
      <c r="L1019" s="1032"/>
      <c r="M1019" s="1032"/>
      <c r="N1019" s="1055"/>
      <c r="O1019" s="7"/>
    </row>
    <row r="1020" spans="1:15" ht="12.75" customHeight="1" x14ac:dyDescent="0.2">
      <c r="A1020" s="16"/>
      <c r="B1020" s="16"/>
      <c r="C1020" s="16"/>
      <c r="D1020" s="16"/>
      <c r="E1020" s="16"/>
      <c r="F1020" s="16"/>
      <c r="G1020" s="16"/>
      <c r="H1020" s="16"/>
      <c r="I1020" s="16"/>
      <c r="J1020" s="16"/>
      <c r="K1020" s="16"/>
      <c r="L1020" s="16"/>
      <c r="M1020" s="16"/>
      <c r="N1020" s="16"/>
    </row>
    <row r="1021" spans="1:15" ht="12.75" customHeight="1" x14ac:dyDescent="0.3">
      <c r="A1021" s="18" t="s">
        <v>314</v>
      </c>
      <c r="B1021" s="19" t="str">
        <f>A1018</f>
        <v>SUMINISTRO E INSTALACIÓN REDUCCIÓN PE100 Ø6" x Ø3" PEAD PN10 RDE 17. INCLUYE TRANSPORTE.</v>
      </c>
      <c r="C1021" s="20" t="s">
        <v>382</v>
      </c>
      <c r="D1021" s="21" t="s">
        <v>424</v>
      </c>
      <c r="E1021" s="22" t="s">
        <v>125</v>
      </c>
      <c r="F1021" s="26">
        <f>(H1021+J1021+L1021+N1021)*$O$2</f>
        <v>577883.80209072493</v>
      </c>
      <c r="G1021" s="22" t="s">
        <v>285</v>
      </c>
      <c r="H1021" s="26">
        <f>M1040</f>
        <v>5310.6667432499999</v>
      </c>
      <c r="I1021" s="22" t="s">
        <v>383</v>
      </c>
      <c r="J1021" s="36">
        <f>M1031</f>
        <v>333002</v>
      </c>
      <c r="K1021" s="22" t="s">
        <v>287</v>
      </c>
      <c r="L1021" s="26">
        <f>M1049</f>
        <v>0</v>
      </c>
      <c r="M1021" s="22" t="s">
        <v>288</v>
      </c>
      <c r="N1021" s="26">
        <f>M1058</f>
        <v>106213.334865</v>
      </c>
    </row>
    <row r="1022" spans="1:15" ht="12.75" customHeight="1" x14ac:dyDescent="0.25">
      <c r="A1022" s="27"/>
      <c r="B1022" s="27"/>
      <c r="C1022" s="27"/>
      <c r="D1022" s="27"/>
      <c r="E1022" s="27"/>
      <c r="F1022" s="27"/>
      <c r="G1022" s="27"/>
      <c r="J1022" s="27"/>
      <c r="K1022" s="27"/>
      <c r="L1022" s="27"/>
      <c r="M1022" s="27"/>
      <c r="N1022" s="27"/>
    </row>
    <row r="1023" spans="1:15" ht="12.75" customHeight="1" x14ac:dyDescent="0.2">
      <c r="A1023" s="1065" t="s">
        <v>384</v>
      </c>
      <c r="B1023" s="1057"/>
      <c r="C1023" s="1057"/>
      <c r="D1023" s="1057"/>
      <c r="E1023" s="1057"/>
      <c r="F1023" s="1057"/>
      <c r="G1023" s="1057"/>
      <c r="H1023" s="1057"/>
      <c r="I1023" s="1057"/>
      <c r="J1023" s="1057"/>
      <c r="K1023" s="1057"/>
      <c r="L1023" s="1057"/>
      <c r="M1023" s="1057"/>
      <c r="N1023" s="1058"/>
    </row>
    <row r="1024" spans="1:15" ht="12.75" customHeight="1" x14ac:dyDescent="0.2">
      <c r="A1024" s="1066" t="s">
        <v>38</v>
      </c>
      <c r="B1024" s="1057"/>
      <c r="C1024" s="1057"/>
      <c r="D1024" s="1057"/>
      <c r="E1024" s="1057"/>
      <c r="F1024" s="1057"/>
      <c r="G1024" s="1058"/>
      <c r="H1024" s="28" t="s">
        <v>39</v>
      </c>
      <c r="I1024" s="1062" t="s">
        <v>385</v>
      </c>
      <c r="J1024" s="1058"/>
      <c r="K1024" s="1062" t="s">
        <v>132</v>
      </c>
      <c r="L1024" s="1058"/>
      <c r="M1024" s="1062" t="s">
        <v>386</v>
      </c>
      <c r="N1024" s="1058"/>
    </row>
    <row r="1025" spans="1:14" ht="12.75" customHeight="1" x14ac:dyDescent="0.2">
      <c r="A1025" s="1056" t="s">
        <v>1541</v>
      </c>
      <c r="B1025" s="1057"/>
      <c r="C1025" s="1057"/>
      <c r="D1025" s="1057"/>
      <c r="E1025" s="1057"/>
      <c r="F1025" s="1057"/>
      <c r="G1025" s="1058"/>
      <c r="H1025" s="9" t="str">
        <f t="shared" ref="H1025:H1030" si="68">IF(A1025="","",VLOOKUP(A1025,AA_Materiales,7,FALSE))</f>
        <v>Unidad</v>
      </c>
      <c r="I1025" s="1059">
        <f t="shared" ref="I1025:I1030" si="69">IF(A1025="","",VLOOKUP(A1025,AA_Materiales,8,FALSE))</f>
        <v>333002</v>
      </c>
      <c r="J1025" s="1058"/>
      <c r="K1025" s="1060">
        <v>1</v>
      </c>
      <c r="L1025" s="1058"/>
      <c r="M1025" s="1059">
        <f t="shared" ref="M1025:M1030" si="70">IF(A1025="","",I1025*K1025)</f>
        <v>333002</v>
      </c>
      <c r="N1025" s="1058"/>
    </row>
    <row r="1026" spans="1:14" ht="12.75" customHeight="1" x14ac:dyDescent="0.2">
      <c r="A1026" s="1056"/>
      <c r="B1026" s="1057"/>
      <c r="C1026" s="1057"/>
      <c r="D1026" s="1057"/>
      <c r="E1026" s="1057"/>
      <c r="F1026" s="1057"/>
      <c r="G1026" s="1058"/>
      <c r="H1026" s="9" t="str">
        <f t="shared" si="68"/>
        <v/>
      </c>
      <c r="I1026" s="1059" t="str">
        <f t="shared" si="69"/>
        <v/>
      </c>
      <c r="J1026" s="1058"/>
      <c r="K1026" s="1060"/>
      <c r="L1026" s="1058"/>
      <c r="M1026" s="1059" t="str">
        <f t="shared" si="70"/>
        <v/>
      </c>
      <c r="N1026" s="1058"/>
    </row>
    <row r="1027" spans="1:14" ht="12.75" customHeight="1" x14ac:dyDescent="0.2">
      <c r="A1027" s="1056"/>
      <c r="B1027" s="1057"/>
      <c r="C1027" s="1057"/>
      <c r="D1027" s="1057"/>
      <c r="E1027" s="1057"/>
      <c r="F1027" s="1057"/>
      <c r="G1027" s="1058"/>
      <c r="H1027" s="9" t="str">
        <f t="shared" si="68"/>
        <v/>
      </c>
      <c r="I1027" s="1059" t="str">
        <f t="shared" si="69"/>
        <v/>
      </c>
      <c r="J1027" s="1058"/>
      <c r="K1027" s="1060"/>
      <c r="L1027" s="1058"/>
      <c r="M1027" s="1059" t="str">
        <f t="shared" si="70"/>
        <v/>
      </c>
      <c r="N1027" s="1058"/>
    </row>
    <row r="1028" spans="1:14" ht="12.75" customHeight="1" x14ac:dyDescent="0.2">
      <c r="A1028" s="1056"/>
      <c r="B1028" s="1057"/>
      <c r="C1028" s="1057"/>
      <c r="D1028" s="1057"/>
      <c r="E1028" s="1057"/>
      <c r="F1028" s="1057"/>
      <c r="G1028" s="1058"/>
      <c r="H1028" s="9" t="str">
        <f t="shared" si="68"/>
        <v/>
      </c>
      <c r="I1028" s="1059" t="str">
        <f t="shared" si="69"/>
        <v/>
      </c>
      <c r="J1028" s="1058"/>
      <c r="K1028" s="1060"/>
      <c r="L1028" s="1058"/>
      <c r="M1028" s="1059" t="str">
        <f t="shared" si="70"/>
        <v/>
      </c>
      <c r="N1028" s="1058"/>
    </row>
    <row r="1029" spans="1:14" ht="12.75" customHeight="1" x14ac:dyDescent="0.2">
      <c r="A1029" s="1056"/>
      <c r="B1029" s="1057"/>
      <c r="C1029" s="1057"/>
      <c r="D1029" s="1057"/>
      <c r="E1029" s="1057"/>
      <c r="F1029" s="1057"/>
      <c r="G1029" s="1058"/>
      <c r="H1029" s="9" t="str">
        <f t="shared" si="68"/>
        <v/>
      </c>
      <c r="I1029" s="1059" t="str">
        <f t="shared" si="69"/>
        <v/>
      </c>
      <c r="J1029" s="1058"/>
      <c r="K1029" s="1060"/>
      <c r="L1029" s="1058"/>
      <c r="M1029" s="1059" t="str">
        <f t="shared" si="70"/>
        <v/>
      </c>
      <c r="N1029" s="1058"/>
    </row>
    <row r="1030" spans="1:14" ht="12.75" customHeight="1" x14ac:dyDescent="0.2">
      <c r="A1030" s="1056"/>
      <c r="B1030" s="1057"/>
      <c r="C1030" s="1057"/>
      <c r="D1030" s="1057"/>
      <c r="E1030" s="1057"/>
      <c r="F1030" s="1057"/>
      <c r="G1030" s="1058"/>
      <c r="H1030" s="9" t="str">
        <f t="shared" si="68"/>
        <v/>
      </c>
      <c r="I1030" s="1059" t="str">
        <f t="shared" si="69"/>
        <v/>
      </c>
      <c r="J1030" s="1058"/>
      <c r="K1030" s="1060"/>
      <c r="L1030" s="1058"/>
      <c r="M1030" s="1059" t="str">
        <f t="shared" si="70"/>
        <v/>
      </c>
      <c r="N1030" s="1058"/>
    </row>
    <row r="1031" spans="1:14" ht="12.75" customHeight="1" x14ac:dyDescent="0.25">
      <c r="A1031" s="3"/>
      <c r="B1031" s="3"/>
      <c r="C1031" s="3"/>
      <c r="D1031" s="3"/>
      <c r="E1031" s="3"/>
      <c r="F1031" s="3"/>
      <c r="G1031" s="3"/>
      <c r="H1031" s="3"/>
      <c r="I1031" s="3"/>
      <c r="J1031" s="3"/>
      <c r="K1031" s="1066" t="s">
        <v>201</v>
      </c>
      <c r="L1031" s="1058"/>
      <c r="M1031" s="1059">
        <f>SUM(M1025:N1030)</f>
        <v>333002</v>
      </c>
      <c r="N1031" s="1058"/>
    </row>
    <row r="1032" spans="1:14" ht="12.75" customHeight="1" x14ac:dyDescent="0.25">
      <c r="A1032" s="3"/>
      <c r="B1032" s="3"/>
      <c r="C1032" s="3"/>
      <c r="D1032" s="3"/>
      <c r="E1032" s="3"/>
      <c r="F1032" s="3"/>
      <c r="G1032" s="3"/>
      <c r="H1032" s="3"/>
      <c r="I1032" s="3"/>
      <c r="J1032" s="3"/>
      <c r="K1032" s="3"/>
      <c r="L1032" s="3"/>
      <c r="M1032" s="3"/>
      <c r="N1032" s="3"/>
    </row>
    <row r="1033" spans="1:14" ht="12.75" customHeight="1" x14ac:dyDescent="0.2">
      <c r="A1033" s="1065" t="s">
        <v>390</v>
      </c>
      <c r="B1033" s="1057"/>
      <c r="C1033" s="1057"/>
      <c r="D1033" s="1057"/>
      <c r="E1033" s="1057"/>
      <c r="F1033" s="1057"/>
      <c r="G1033" s="1057"/>
      <c r="H1033" s="1057"/>
      <c r="I1033" s="1057"/>
      <c r="J1033" s="1057"/>
      <c r="K1033" s="1057"/>
      <c r="L1033" s="1057"/>
      <c r="M1033" s="1057"/>
      <c r="N1033" s="1058"/>
    </row>
    <row r="1034" spans="1:14" ht="12.75" customHeight="1" x14ac:dyDescent="0.2">
      <c r="A1034" s="1066" t="s">
        <v>38</v>
      </c>
      <c r="B1034" s="1057"/>
      <c r="C1034" s="1057"/>
      <c r="D1034" s="1057"/>
      <c r="E1034" s="1057"/>
      <c r="F1034" s="1057"/>
      <c r="G1034" s="1058"/>
      <c r="H1034" s="28" t="s">
        <v>39</v>
      </c>
      <c r="I1034" s="1062" t="s">
        <v>385</v>
      </c>
      <c r="J1034" s="1058"/>
      <c r="K1034" s="1062" t="s">
        <v>132</v>
      </c>
      <c r="L1034" s="1058"/>
      <c r="M1034" s="1062" t="s">
        <v>386</v>
      </c>
      <c r="N1034" s="1058"/>
    </row>
    <row r="1035" spans="1:14" ht="12.75" customHeight="1" x14ac:dyDescent="0.2">
      <c r="A1035" s="1061" t="s">
        <v>391</v>
      </c>
      <c r="B1035" s="1057"/>
      <c r="C1035" s="1057"/>
      <c r="D1035" s="1057"/>
      <c r="E1035" s="1057"/>
      <c r="F1035" s="1057"/>
      <c r="G1035" s="1058"/>
      <c r="H1035" s="9" t="str">
        <f>IF(A1035="","",VLOOKUP(A1035,AA_Equipos,7,FALSE))</f>
        <v>% M.O.</v>
      </c>
      <c r="I1035" s="1059">
        <f>+M1058</f>
        <v>106213.334865</v>
      </c>
      <c r="J1035" s="1058"/>
      <c r="K1035" s="1064">
        <v>0.05</v>
      </c>
      <c r="L1035" s="1058"/>
      <c r="M1035" s="1059">
        <f>IF(A1035="","",I1035*K1035)</f>
        <v>5310.6667432499999</v>
      </c>
      <c r="N1035" s="1058"/>
    </row>
    <row r="1036" spans="1:14" ht="12.75" customHeight="1" x14ac:dyDescent="0.2">
      <c r="A1036" s="1056"/>
      <c r="B1036" s="1057"/>
      <c r="C1036" s="1057"/>
      <c r="D1036" s="1057"/>
      <c r="E1036" s="1057"/>
      <c r="F1036" s="1057"/>
      <c r="G1036" s="1058"/>
      <c r="H1036" s="9" t="str">
        <f>IF(A1036="","",VLOOKUP(A1036,AA_Equipos,7,FALSE))</f>
        <v/>
      </c>
      <c r="I1036" s="1059" t="str">
        <f>IF(A1036="","",VLOOKUP(A1036,AA_Equipos,8,FALSE))</f>
        <v/>
      </c>
      <c r="J1036" s="1058"/>
      <c r="K1036" s="1067"/>
      <c r="L1036" s="1058"/>
      <c r="M1036" s="1059" t="str">
        <f>IF(A1036="","",I1036*K1036)</f>
        <v/>
      </c>
      <c r="N1036" s="1058"/>
    </row>
    <row r="1037" spans="1:14" ht="12.75" customHeight="1" x14ac:dyDescent="0.2">
      <c r="A1037" s="1061"/>
      <c r="B1037" s="1057"/>
      <c r="C1037" s="1057"/>
      <c r="D1037" s="1057"/>
      <c r="E1037" s="1057"/>
      <c r="F1037" s="1057"/>
      <c r="G1037" s="1058"/>
      <c r="H1037" s="9" t="str">
        <f>IF(A1037="","",VLOOKUP(A1037,AA_Equipos,7,FALSE))</f>
        <v/>
      </c>
      <c r="I1037" s="1059" t="str">
        <f>IF(A1037="","",VLOOKUP(A1037,AA_Equipos,8,FALSE))</f>
        <v/>
      </c>
      <c r="J1037" s="1058"/>
      <c r="K1037" s="1070"/>
      <c r="L1037" s="1058"/>
      <c r="M1037" s="1059" t="str">
        <f>IF(A1037="","",I1037*K1037)</f>
        <v/>
      </c>
      <c r="N1037" s="1058"/>
    </row>
    <row r="1038" spans="1:14" ht="12.75" customHeight="1" x14ac:dyDescent="0.2">
      <c r="A1038" s="1061"/>
      <c r="B1038" s="1057"/>
      <c r="C1038" s="1057"/>
      <c r="D1038" s="1057"/>
      <c r="E1038" s="1057"/>
      <c r="F1038" s="1057"/>
      <c r="G1038" s="1058"/>
      <c r="H1038" s="9" t="str">
        <f>IF(A1038="","",VLOOKUP(A1038,AA_Equipos,7,FALSE))</f>
        <v/>
      </c>
      <c r="I1038" s="1059" t="str">
        <f>IF(A1038="","",VLOOKUP(A1038,AA_Equipos,8,FALSE))</f>
        <v/>
      </c>
      <c r="J1038" s="1058"/>
      <c r="K1038" s="1060"/>
      <c r="L1038" s="1058"/>
      <c r="M1038" s="1059" t="str">
        <f>IF(A1038="","",I1038*K1038)</f>
        <v/>
      </c>
      <c r="N1038" s="1058"/>
    </row>
    <row r="1039" spans="1:14" ht="12.75" customHeight="1" x14ac:dyDescent="0.2">
      <c r="A1039" s="1061"/>
      <c r="B1039" s="1057"/>
      <c r="C1039" s="1057"/>
      <c r="D1039" s="1057"/>
      <c r="E1039" s="1057"/>
      <c r="F1039" s="1057"/>
      <c r="G1039" s="1058"/>
      <c r="H1039" s="9" t="str">
        <f>IF(A1039="","",VLOOKUP(A1039,AA_Equipos,7,FALSE))</f>
        <v/>
      </c>
      <c r="I1039" s="1059" t="str">
        <f>IF(A1039="","",VLOOKUP(A1039,AA_Equipos,8,FALSE))</f>
        <v/>
      </c>
      <c r="J1039" s="1058"/>
      <c r="K1039" s="1060"/>
      <c r="L1039" s="1058"/>
      <c r="M1039" s="1059" t="str">
        <f>IF(A1039="","",I1039*K1039)</f>
        <v/>
      </c>
      <c r="N1039" s="1058"/>
    </row>
    <row r="1040" spans="1:14" ht="12.75" customHeight="1" x14ac:dyDescent="0.25">
      <c r="A1040" s="3"/>
      <c r="B1040" s="3"/>
      <c r="C1040" s="3"/>
      <c r="D1040" s="3"/>
      <c r="E1040" s="3"/>
      <c r="F1040" s="3"/>
      <c r="G1040" s="3"/>
      <c r="H1040" s="3"/>
      <c r="I1040" s="3"/>
      <c r="J1040" s="3"/>
      <c r="K1040" s="1066" t="s">
        <v>201</v>
      </c>
      <c r="L1040" s="1058"/>
      <c r="M1040" s="1059">
        <f>SUM(M1035:N1039)</f>
        <v>5310.6667432499999</v>
      </c>
      <c r="N1040" s="1058"/>
    </row>
    <row r="1041" spans="1:14" ht="12.75" customHeight="1" x14ac:dyDescent="0.25">
      <c r="A1041" s="3"/>
      <c r="B1041" s="3"/>
      <c r="C1041" s="3"/>
      <c r="D1041" s="3"/>
      <c r="E1041" s="3"/>
      <c r="F1041" s="3"/>
      <c r="G1041" s="3"/>
      <c r="H1041" s="3"/>
      <c r="I1041" s="3"/>
      <c r="J1041" s="3"/>
      <c r="K1041" s="3"/>
      <c r="L1041" s="3"/>
      <c r="M1041" s="3"/>
      <c r="N1041" s="3"/>
    </row>
    <row r="1042" spans="1:14" ht="12.75" customHeight="1" x14ac:dyDescent="0.2">
      <c r="A1042" s="1065" t="s">
        <v>392</v>
      </c>
      <c r="B1042" s="1057"/>
      <c r="C1042" s="1057"/>
      <c r="D1042" s="1057"/>
      <c r="E1042" s="1057"/>
      <c r="F1042" s="1057"/>
      <c r="G1042" s="1057"/>
      <c r="H1042" s="1057"/>
      <c r="I1042" s="1057"/>
      <c r="J1042" s="1057"/>
      <c r="K1042" s="1057"/>
      <c r="L1042" s="1057"/>
      <c r="M1042" s="1057"/>
      <c r="N1042" s="1058"/>
    </row>
    <row r="1043" spans="1:14" ht="12.75" customHeight="1" x14ac:dyDescent="0.2">
      <c r="A1043" s="1066" t="s">
        <v>38</v>
      </c>
      <c r="B1043" s="1057"/>
      <c r="C1043" s="1057"/>
      <c r="D1043" s="1057"/>
      <c r="E1043" s="1057"/>
      <c r="F1043" s="1057"/>
      <c r="G1043" s="1058"/>
      <c r="H1043" s="28" t="s">
        <v>39</v>
      </c>
      <c r="I1043" s="1062" t="s">
        <v>385</v>
      </c>
      <c r="J1043" s="1058"/>
      <c r="K1043" s="1062" t="s">
        <v>132</v>
      </c>
      <c r="L1043" s="1058"/>
      <c r="M1043" s="1062" t="s">
        <v>386</v>
      </c>
      <c r="N1043" s="1058"/>
    </row>
    <row r="1044" spans="1:14" ht="12.75" customHeight="1" x14ac:dyDescent="0.2">
      <c r="A1044" s="1061"/>
      <c r="B1044" s="1057"/>
      <c r="C1044" s="1057"/>
      <c r="D1044" s="1057"/>
      <c r="E1044" s="1057"/>
      <c r="F1044" s="1057"/>
      <c r="G1044" s="1058"/>
      <c r="H1044" s="9"/>
      <c r="I1044" s="1059"/>
      <c r="J1044" s="1058"/>
      <c r="K1044" s="1064"/>
      <c r="L1044" s="1058"/>
      <c r="M1044" s="1059" t="str">
        <f>IF(A1044="","",I1044*K1044)</f>
        <v/>
      </c>
      <c r="N1044" s="1058"/>
    </row>
    <row r="1045" spans="1:14" ht="12.75" customHeight="1" x14ac:dyDescent="0.2">
      <c r="A1045" s="1056"/>
      <c r="B1045" s="1057"/>
      <c r="C1045" s="1057"/>
      <c r="D1045" s="1057"/>
      <c r="E1045" s="1057"/>
      <c r="F1045" s="1057"/>
      <c r="G1045" s="1058"/>
      <c r="H1045" s="9"/>
      <c r="I1045" s="1059"/>
      <c r="J1045" s="1058"/>
      <c r="K1045" s="1064"/>
      <c r="L1045" s="1058"/>
      <c r="M1045" s="1059" t="str">
        <f>IF(A1045="","",I1045*K1045)</f>
        <v/>
      </c>
      <c r="N1045" s="1058"/>
    </row>
    <row r="1046" spans="1:14" ht="12.75" customHeight="1" x14ac:dyDescent="0.2">
      <c r="A1046" s="1061"/>
      <c r="B1046" s="1057"/>
      <c r="C1046" s="1057"/>
      <c r="D1046" s="1057"/>
      <c r="E1046" s="1057"/>
      <c r="F1046" s="1057"/>
      <c r="G1046" s="1058"/>
      <c r="H1046" s="9"/>
      <c r="I1046" s="1059"/>
      <c r="J1046" s="1058"/>
      <c r="K1046" s="1060"/>
      <c r="L1046" s="1058"/>
      <c r="M1046" s="1059" t="str">
        <f>IF(A1046="","",I1046*K1046)</f>
        <v/>
      </c>
      <c r="N1046" s="1058"/>
    </row>
    <row r="1047" spans="1:14" ht="12.75" customHeight="1" x14ac:dyDescent="0.2">
      <c r="A1047" s="1061"/>
      <c r="B1047" s="1057"/>
      <c r="C1047" s="1057"/>
      <c r="D1047" s="1057"/>
      <c r="E1047" s="1057"/>
      <c r="F1047" s="1057"/>
      <c r="G1047" s="1058"/>
      <c r="H1047" s="9"/>
      <c r="I1047" s="1059"/>
      <c r="J1047" s="1058"/>
      <c r="K1047" s="1060"/>
      <c r="L1047" s="1058"/>
      <c r="M1047" s="1059" t="str">
        <f>IF(A1047="","",I1047*K1047)</f>
        <v/>
      </c>
      <c r="N1047" s="1058"/>
    </row>
    <row r="1048" spans="1:14" ht="12.75" customHeight="1" x14ac:dyDescent="0.2">
      <c r="A1048" s="1061"/>
      <c r="B1048" s="1057"/>
      <c r="C1048" s="1057"/>
      <c r="D1048" s="1057"/>
      <c r="E1048" s="1057"/>
      <c r="F1048" s="1057"/>
      <c r="G1048" s="1058"/>
      <c r="H1048" s="9"/>
      <c r="I1048" s="1059"/>
      <c r="J1048" s="1058"/>
      <c r="K1048" s="1060"/>
      <c r="L1048" s="1058"/>
      <c r="M1048" s="1059" t="str">
        <f>IF(A1048="","",I1048*K1048)</f>
        <v/>
      </c>
      <c r="N1048" s="1058"/>
    </row>
    <row r="1049" spans="1:14" ht="12.75" customHeight="1" x14ac:dyDescent="0.25">
      <c r="A1049" s="3"/>
      <c r="B1049" s="3"/>
      <c r="C1049" s="3"/>
      <c r="D1049" s="3"/>
      <c r="E1049" s="3"/>
      <c r="F1049" s="3"/>
      <c r="G1049" s="3"/>
      <c r="H1049" s="3"/>
      <c r="I1049" s="3"/>
      <c r="J1049" s="3"/>
      <c r="K1049" s="1066" t="s">
        <v>201</v>
      </c>
      <c r="L1049" s="1058"/>
      <c r="M1049" s="1059">
        <f>SUM(M1044:N1048)</f>
        <v>0</v>
      </c>
      <c r="N1049" s="1058"/>
    </row>
    <row r="1050" spans="1:14" ht="12.75" customHeight="1" x14ac:dyDescent="0.25">
      <c r="A1050" s="3"/>
      <c r="B1050" s="3"/>
      <c r="C1050" s="3"/>
      <c r="D1050" s="3"/>
      <c r="E1050" s="3"/>
      <c r="F1050" s="3"/>
      <c r="G1050" s="3"/>
      <c r="H1050" s="3"/>
      <c r="I1050" s="3"/>
      <c r="J1050" s="3"/>
      <c r="K1050" s="3"/>
      <c r="L1050" s="3"/>
      <c r="M1050" s="3"/>
      <c r="N1050" s="3"/>
    </row>
    <row r="1051" spans="1:14" ht="12.75" customHeight="1" x14ac:dyDescent="0.2">
      <c r="A1051" s="1065" t="s">
        <v>394</v>
      </c>
      <c r="B1051" s="1057"/>
      <c r="C1051" s="1057"/>
      <c r="D1051" s="1057"/>
      <c r="E1051" s="1057"/>
      <c r="F1051" s="1057"/>
      <c r="G1051" s="1057"/>
      <c r="H1051" s="1057"/>
      <c r="I1051" s="1057"/>
      <c r="J1051" s="1057"/>
      <c r="K1051" s="1057"/>
      <c r="L1051" s="1057"/>
      <c r="M1051" s="1057"/>
      <c r="N1051" s="1058"/>
    </row>
    <row r="1052" spans="1:14" ht="12.75" customHeight="1" x14ac:dyDescent="0.2">
      <c r="A1052" s="1066" t="s">
        <v>38</v>
      </c>
      <c r="B1052" s="1057"/>
      <c r="C1052" s="1057"/>
      <c r="D1052" s="1057"/>
      <c r="E1052" s="1057"/>
      <c r="F1052" s="1057"/>
      <c r="G1052" s="1058"/>
      <c r="H1052" s="28" t="s">
        <v>39</v>
      </c>
      <c r="I1052" s="1062" t="s">
        <v>385</v>
      </c>
      <c r="J1052" s="1058"/>
      <c r="K1052" s="30" t="s">
        <v>193</v>
      </c>
      <c r="L1052" s="31" t="s">
        <v>395</v>
      </c>
      <c r="M1052" s="1062" t="s">
        <v>386</v>
      </c>
      <c r="N1052" s="1058"/>
    </row>
    <row r="1053" spans="1:14" ht="12.75" customHeight="1" x14ac:dyDescent="0.25">
      <c r="A1053" s="1063" t="s">
        <v>418</v>
      </c>
      <c r="B1053" s="1057"/>
      <c r="C1053" s="1057"/>
      <c r="D1053" s="1057"/>
      <c r="E1053" s="1057"/>
      <c r="F1053" s="1057"/>
      <c r="G1053" s="1058"/>
      <c r="H1053" s="9" t="str">
        <f>IF(A1053="","",VLOOKUP(A1053,AA_Cuadrillas,4,FALSE))</f>
        <v>Cuadrilla</v>
      </c>
      <c r="I1053" s="1059">
        <f>IF(A1053="","",VLOOKUP(A1053,AA_Cuadrillas,5,FALSE))</f>
        <v>280145</v>
      </c>
      <c r="J1053" s="1058"/>
      <c r="K1053" s="1">
        <f>IF(A1053="","",'06'!$J$3)</f>
        <v>1.7233500000000002</v>
      </c>
      <c r="L1053" s="37">
        <v>0.22</v>
      </c>
      <c r="M1053" s="1059">
        <f>IF(A1053="","",I1053*K1053*L1053)</f>
        <v>106213.334865</v>
      </c>
      <c r="N1053" s="1058"/>
    </row>
    <row r="1054" spans="1:14" ht="12.75" customHeight="1" x14ac:dyDescent="0.25">
      <c r="A1054" s="1063"/>
      <c r="B1054" s="1057"/>
      <c r="C1054" s="1057"/>
      <c r="D1054" s="1057"/>
      <c r="E1054" s="1057"/>
      <c r="F1054" s="1057"/>
      <c r="G1054" s="1058"/>
      <c r="H1054" s="9" t="str">
        <f>IF(A1054="","",VLOOKUP(A1054,AA_Cuadrillas,4,FALSE))</f>
        <v/>
      </c>
      <c r="I1054" s="1059" t="str">
        <f>IF(A1054="","",VLOOKUP(A1054,AA_Cuadrillas,5,FALSE))</f>
        <v/>
      </c>
      <c r="J1054" s="1058"/>
      <c r="K1054" s="1" t="str">
        <f>IF(A1054="","",'06'!$J$3)</f>
        <v/>
      </c>
      <c r="L1054" s="1"/>
      <c r="M1054" s="1059" t="str">
        <f>IF(A1054="","",I1054*K1054*L1054)</f>
        <v/>
      </c>
      <c r="N1054" s="1058"/>
    </row>
    <row r="1055" spans="1:14" ht="12.75" customHeight="1" x14ac:dyDescent="0.25">
      <c r="A1055" s="1063"/>
      <c r="B1055" s="1057"/>
      <c r="C1055" s="1057"/>
      <c r="D1055" s="1057"/>
      <c r="E1055" s="1057"/>
      <c r="F1055" s="1057"/>
      <c r="G1055" s="1058"/>
      <c r="H1055" s="9" t="str">
        <f>IF(A1055="","",VLOOKUP(A1055,AA_Cuadrillas,4,FALSE))</f>
        <v/>
      </c>
      <c r="I1055" s="1059" t="str">
        <f>IF(A1055="","",VLOOKUP(A1055,AA_Cuadrillas,5,FALSE))</f>
        <v/>
      </c>
      <c r="J1055" s="1058"/>
      <c r="K1055" s="1" t="str">
        <f>IF(A1055="","",'06'!$J$3)</f>
        <v/>
      </c>
      <c r="L1055" s="10"/>
      <c r="M1055" s="1059" t="str">
        <f>IF(A1055="","",I1055*K1055*L1055)</f>
        <v/>
      </c>
      <c r="N1055" s="1058"/>
    </row>
    <row r="1056" spans="1:14" ht="12.75" customHeight="1" x14ac:dyDescent="0.25">
      <c r="A1056" s="1063"/>
      <c r="B1056" s="1057"/>
      <c r="C1056" s="1057"/>
      <c r="D1056" s="1057"/>
      <c r="E1056" s="1057"/>
      <c r="F1056" s="1057"/>
      <c r="G1056" s="1058"/>
      <c r="H1056" s="9" t="str">
        <f>IF(A1056="","",VLOOKUP(A1056,AA_Cuadrillas,4,FALSE))</f>
        <v/>
      </c>
      <c r="I1056" s="1059" t="str">
        <f>IF(A1056="","",VLOOKUP(A1056,AA_Cuadrillas,5,FALSE))</f>
        <v/>
      </c>
      <c r="J1056" s="1058"/>
      <c r="K1056" s="1" t="str">
        <f>IF(A1056="","",'06'!$J$3)</f>
        <v/>
      </c>
      <c r="L1056" s="10"/>
      <c r="M1056" s="1059" t="str">
        <f>IF(A1056="","",I1056*K1056*L1056)</f>
        <v/>
      </c>
      <c r="N1056" s="1058"/>
    </row>
    <row r="1057" spans="1:15" ht="12.75" customHeight="1" x14ac:dyDescent="0.25">
      <c r="A1057" s="1063"/>
      <c r="B1057" s="1057"/>
      <c r="C1057" s="1057"/>
      <c r="D1057" s="1057"/>
      <c r="E1057" s="1057"/>
      <c r="F1057" s="1057"/>
      <c r="G1057" s="1058"/>
      <c r="H1057" s="9" t="str">
        <f>IF(A1057="","",VLOOKUP(A1057,AA_Cuadrillas,4,FALSE))</f>
        <v/>
      </c>
      <c r="I1057" s="1059" t="str">
        <f>IF(A1057="","",VLOOKUP(A1057,AA_Cuadrillas,5,FALSE))</f>
        <v/>
      </c>
      <c r="J1057" s="1058"/>
      <c r="K1057" s="1" t="str">
        <f>IF(A1057="","",'06'!$J$3)</f>
        <v/>
      </c>
      <c r="L1057" s="10"/>
      <c r="M1057" s="1059" t="str">
        <f>IF(A1057="","",I1057*K1057*L1057)</f>
        <v/>
      </c>
      <c r="N1057" s="1058"/>
    </row>
    <row r="1058" spans="1:15" ht="12.75" customHeight="1" x14ac:dyDescent="0.25">
      <c r="A1058" s="3"/>
      <c r="B1058" s="3"/>
      <c r="C1058" s="3"/>
      <c r="D1058" s="3"/>
      <c r="E1058" s="3"/>
      <c r="F1058" s="3"/>
      <c r="G1058" s="3"/>
      <c r="H1058" s="3"/>
      <c r="I1058" s="3"/>
      <c r="J1058" s="3"/>
      <c r="K1058" s="1066" t="s">
        <v>201</v>
      </c>
      <c r="L1058" s="1058"/>
      <c r="M1058" s="1059">
        <f>SUM(M1053:N1057)</f>
        <v>106213.334865</v>
      </c>
      <c r="N1058" s="1058"/>
    </row>
    <row r="1059" spans="1:15" ht="12.75" customHeight="1" x14ac:dyDescent="0.2"/>
    <row r="1060" spans="1:15" ht="12.75" customHeight="1" x14ac:dyDescent="0.2">
      <c r="A1060" s="1072" t="s">
        <v>1690</v>
      </c>
      <c r="B1060" s="1052"/>
      <c r="C1060" s="1052"/>
      <c r="D1060" s="1052"/>
      <c r="E1060" s="1052"/>
      <c r="F1060" s="1052"/>
      <c r="G1060" s="1052"/>
      <c r="H1060" s="1052"/>
      <c r="I1060" s="1052"/>
      <c r="J1060" s="1052"/>
      <c r="K1060" s="1052"/>
      <c r="L1060" s="1052"/>
      <c r="M1060" s="1052"/>
      <c r="N1060" s="1053"/>
      <c r="O1060" s="7"/>
    </row>
    <row r="1061" spans="1:15" ht="12.75" customHeight="1" x14ac:dyDescent="0.2">
      <c r="A1061" s="1031"/>
      <c r="B1061" s="1032"/>
      <c r="C1061" s="1032"/>
      <c r="D1061" s="1032"/>
      <c r="E1061" s="1032"/>
      <c r="F1061" s="1032"/>
      <c r="G1061" s="1032"/>
      <c r="H1061" s="1032"/>
      <c r="I1061" s="1032"/>
      <c r="J1061" s="1032"/>
      <c r="K1061" s="1032"/>
      <c r="L1061" s="1032"/>
      <c r="M1061" s="1032"/>
      <c r="N1061" s="1055"/>
      <c r="O1061" s="7"/>
    </row>
    <row r="1062" spans="1:15" ht="12.75" customHeight="1" x14ac:dyDescent="0.2">
      <c r="A1062" s="16"/>
      <c r="B1062" s="16"/>
      <c r="C1062" s="16"/>
      <c r="D1062" s="16"/>
      <c r="E1062" s="16"/>
      <c r="F1062" s="16"/>
      <c r="G1062" s="16"/>
      <c r="H1062" s="16"/>
      <c r="I1062" s="16"/>
      <c r="J1062" s="16"/>
      <c r="K1062" s="16"/>
      <c r="L1062" s="16"/>
      <c r="M1062" s="16"/>
      <c r="N1062" s="16"/>
    </row>
    <row r="1063" spans="1:15" ht="12.75" customHeight="1" x14ac:dyDescent="0.3">
      <c r="A1063" s="18" t="s">
        <v>315</v>
      </c>
      <c r="B1063" s="19" t="str">
        <f>A1060</f>
        <v>SUMINISTRO E INSTALACIÓN CODO PE100 45° Ø12" PEAD PN10 RDE 17.  INCLUYE TRANSPORTE.</v>
      </c>
      <c r="C1063" s="20" t="s">
        <v>382</v>
      </c>
      <c r="D1063" s="21" t="s">
        <v>399</v>
      </c>
      <c r="E1063" s="22" t="s">
        <v>125</v>
      </c>
      <c r="F1063" s="26">
        <f>(H1063+J1063+L1063+N1063)*$O$2</f>
        <v>4828171.2301628003</v>
      </c>
      <c r="G1063" s="22" t="s">
        <v>285</v>
      </c>
      <c r="H1063" s="26">
        <f>M1082</f>
        <v>13880.136636000003</v>
      </c>
      <c r="I1063" s="22" t="s">
        <v>383</v>
      </c>
      <c r="J1063" s="26">
        <f>M1073</f>
        <v>3422495</v>
      </c>
      <c r="K1063" s="22" t="s">
        <v>287</v>
      </c>
      <c r="L1063" s="26">
        <f>M1091</f>
        <v>0</v>
      </c>
      <c r="M1063" s="22" t="s">
        <v>288</v>
      </c>
      <c r="N1063" s="26">
        <f>M1100</f>
        <v>277602.73272000003</v>
      </c>
    </row>
    <row r="1064" spans="1:15" ht="12.75" customHeight="1" x14ac:dyDescent="0.25">
      <c r="A1064" s="27"/>
      <c r="B1064" s="27"/>
      <c r="C1064" s="27"/>
      <c r="D1064" s="27"/>
      <c r="E1064" s="27"/>
      <c r="F1064" s="27"/>
      <c r="G1064" s="27"/>
      <c r="J1064" s="27"/>
      <c r="K1064" s="27"/>
      <c r="L1064" s="27"/>
      <c r="M1064" s="27"/>
      <c r="N1064" s="27"/>
    </row>
    <row r="1065" spans="1:15" ht="12.75" customHeight="1" x14ac:dyDescent="0.2">
      <c r="A1065" s="1065" t="s">
        <v>384</v>
      </c>
      <c r="B1065" s="1057"/>
      <c r="C1065" s="1057"/>
      <c r="D1065" s="1057"/>
      <c r="E1065" s="1057"/>
      <c r="F1065" s="1057"/>
      <c r="G1065" s="1057"/>
      <c r="H1065" s="1057"/>
      <c r="I1065" s="1057"/>
      <c r="J1065" s="1057"/>
      <c r="K1065" s="1057"/>
      <c r="L1065" s="1057"/>
      <c r="M1065" s="1057"/>
      <c r="N1065" s="1058"/>
    </row>
    <row r="1066" spans="1:15" ht="12.75" customHeight="1" x14ac:dyDescent="0.2">
      <c r="A1066" s="1066" t="s">
        <v>38</v>
      </c>
      <c r="B1066" s="1057"/>
      <c r="C1066" s="1057"/>
      <c r="D1066" s="1057"/>
      <c r="E1066" s="1057"/>
      <c r="F1066" s="1057"/>
      <c r="G1066" s="1058"/>
      <c r="H1066" s="28" t="s">
        <v>39</v>
      </c>
      <c r="I1066" s="1062" t="s">
        <v>385</v>
      </c>
      <c r="J1066" s="1058"/>
      <c r="K1066" s="1062" t="s">
        <v>132</v>
      </c>
      <c r="L1066" s="1058"/>
      <c r="M1066" s="1062" t="s">
        <v>386</v>
      </c>
      <c r="N1066" s="1058"/>
    </row>
    <row r="1067" spans="1:15" ht="12.75" customHeight="1" x14ac:dyDescent="0.2">
      <c r="A1067" s="1056" t="s">
        <v>1528</v>
      </c>
      <c r="B1067" s="1057"/>
      <c r="C1067" s="1057"/>
      <c r="D1067" s="1057"/>
      <c r="E1067" s="1057"/>
      <c r="F1067" s="1057"/>
      <c r="G1067" s="1058"/>
      <c r="H1067" s="9" t="str">
        <f t="shared" ref="H1067:H1072" si="71">IF(A1067="","",VLOOKUP(A1067,AA_Materiales,7,FALSE))</f>
        <v>Unidad</v>
      </c>
      <c r="I1067" s="1059">
        <f t="shared" ref="I1067:I1072" si="72">IF(A1067="","",VLOOKUP(A1067,AA_Materiales,8,FALSE))</f>
        <v>3422495</v>
      </c>
      <c r="J1067" s="1058"/>
      <c r="K1067" s="1060">
        <v>1</v>
      </c>
      <c r="L1067" s="1058"/>
      <c r="M1067" s="1059">
        <f t="shared" ref="M1067:M1072" si="73">IF(A1067="","",I1067*K1067)</f>
        <v>3422495</v>
      </c>
      <c r="N1067" s="1058"/>
    </row>
    <row r="1068" spans="1:15" ht="12.75" customHeight="1" x14ac:dyDescent="0.2">
      <c r="A1068" s="1056"/>
      <c r="B1068" s="1057"/>
      <c r="C1068" s="1057"/>
      <c r="D1068" s="1057"/>
      <c r="E1068" s="1057"/>
      <c r="F1068" s="1057"/>
      <c r="G1068" s="1058"/>
      <c r="H1068" s="9" t="str">
        <f t="shared" si="71"/>
        <v/>
      </c>
      <c r="I1068" s="1059" t="str">
        <f t="shared" si="72"/>
        <v/>
      </c>
      <c r="J1068" s="1058"/>
      <c r="K1068" s="1060"/>
      <c r="L1068" s="1058"/>
      <c r="M1068" s="1059" t="str">
        <f t="shared" si="73"/>
        <v/>
      </c>
      <c r="N1068" s="1058"/>
    </row>
    <row r="1069" spans="1:15" ht="12.75" customHeight="1" x14ac:dyDescent="0.2">
      <c r="A1069" s="1056"/>
      <c r="B1069" s="1057"/>
      <c r="C1069" s="1057"/>
      <c r="D1069" s="1057"/>
      <c r="E1069" s="1057"/>
      <c r="F1069" s="1057"/>
      <c r="G1069" s="1058"/>
      <c r="H1069" s="9" t="str">
        <f t="shared" si="71"/>
        <v/>
      </c>
      <c r="I1069" s="1059" t="str">
        <f t="shared" si="72"/>
        <v/>
      </c>
      <c r="J1069" s="1058"/>
      <c r="K1069" s="1060"/>
      <c r="L1069" s="1058"/>
      <c r="M1069" s="1059" t="str">
        <f t="shared" si="73"/>
        <v/>
      </c>
      <c r="N1069" s="1058"/>
    </row>
    <row r="1070" spans="1:15" ht="12.75" customHeight="1" x14ac:dyDescent="0.2">
      <c r="A1070" s="1056"/>
      <c r="B1070" s="1057"/>
      <c r="C1070" s="1057"/>
      <c r="D1070" s="1057"/>
      <c r="E1070" s="1057"/>
      <c r="F1070" s="1057"/>
      <c r="G1070" s="1058"/>
      <c r="H1070" s="9" t="str">
        <f t="shared" si="71"/>
        <v/>
      </c>
      <c r="I1070" s="1059" t="str">
        <f t="shared" si="72"/>
        <v/>
      </c>
      <c r="J1070" s="1058"/>
      <c r="K1070" s="1060"/>
      <c r="L1070" s="1058"/>
      <c r="M1070" s="1059" t="str">
        <f t="shared" si="73"/>
        <v/>
      </c>
      <c r="N1070" s="1058"/>
    </row>
    <row r="1071" spans="1:15" ht="12.75" customHeight="1" x14ac:dyDescent="0.2">
      <c r="A1071" s="1056"/>
      <c r="B1071" s="1057"/>
      <c r="C1071" s="1057"/>
      <c r="D1071" s="1057"/>
      <c r="E1071" s="1057"/>
      <c r="F1071" s="1057"/>
      <c r="G1071" s="1058"/>
      <c r="H1071" s="9" t="str">
        <f t="shared" si="71"/>
        <v/>
      </c>
      <c r="I1071" s="1059" t="str">
        <f t="shared" si="72"/>
        <v/>
      </c>
      <c r="J1071" s="1058"/>
      <c r="K1071" s="1060"/>
      <c r="L1071" s="1058"/>
      <c r="M1071" s="1059" t="str">
        <f t="shared" si="73"/>
        <v/>
      </c>
      <c r="N1071" s="1058"/>
    </row>
    <row r="1072" spans="1:15" ht="12.75" customHeight="1" x14ac:dyDescent="0.2">
      <c r="A1072" s="1056"/>
      <c r="B1072" s="1057"/>
      <c r="C1072" s="1057"/>
      <c r="D1072" s="1057"/>
      <c r="E1072" s="1057"/>
      <c r="F1072" s="1057"/>
      <c r="G1072" s="1058"/>
      <c r="H1072" s="9" t="str">
        <f t="shared" si="71"/>
        <v/>
      </c>
      <c r="I1072" s="1059" t="str">
        <f t="shared" si="72"/>
        <v/>
      </c>
      <c r="J1072" s="1058"/>
      <c r="K1072" s="1060"/>
      <c r="L1072" s="1058"/>
      <c r="M1072" s="1059" t="str">
        <f t="shared" si="73"/>
        <v/>
      </c>
      <c r="N1072" s="1058"/>
    </row>
    <row r="1073" spans="1:14" ht="12.75" customHeight="1" x14ac:dyDescent="0.25">
      <c r="A1073" s="3"/>
      <c r="B1073" s="3"/>
      <c r="C1073" s="3"/>
      <c r="D1073" s="3"/>
      <c r="E1073" s="3"/>
      <c r="F1073" s="3"/>
      <c r="G1073" s="3"/>
      <c r="H1073" s="3"/>
      <c r="I1073" s="3"/>
      <c r="J1073" s="3"/>
      <c r="K1073" s="1066" t="s">
        <v>201</v>
      </c>
      <c r="L1073" s="1058"/>
      <c r="M1073" s="1059">
        <f>SUM(M1067:N1072)</f>
        <v>3422495</v>
      </c>
      <c r="N1073" s="1058"/>
    </row>
    <row r="1074" spans="1:14" ht="12.75" customHeight="1" x14ac:dyDescent="0.25">
      <c r="A1074" s="3"/>
      <c r="B1074" s="3"/>
      <c r="C1074" s="3"/>
      <c r="D1074" s="3"/>
      <c r="E1074" s="3"/>
      <c r="F1074" s="3"/>
      <c r="G1074" s="3"/>
      <c r="H1074" s="3"/>
      <c r="I1074" s="3"/>
      <c r="J1074" s="3"/>
      <c r="K1074" s="3"/>
      <c r="L1074" s="3"/>
      <c r="M1074" s="3"/>
      <c r="N1074" s="3"/>
    </row>
    <row r="1075" spans="1:14" ht="12.75" customHeight="1" x14ac:dyDescent="0.2">
      <c r="A1075" s="1065" t="s">
        <v>390</v>
      </c>
      <c r="B1075" s="1057"/>
      <c r="C1075" s="1057"/>
      <c r="D1075" s="1057"/>
      <c r="E1075" s="1057"/>
      <c r="F1075" s="1057"/>
      <c r="G1075" s="1057"/>
      <c r="H1075" s="1057"/>
      <c r="I1075" s="1057"/>
      <c r="J1075" s="1057"/>
      <c r="K1075" s="1057"/>
      <c r="L1075" s="1057"/>
      <c r="M1075" s="1057"/>
      <c r="N1075" s="1058"/>
    </row>
    <row r="1076" spans="1:14" ht="12.75" customHeight="1" x14ac:dyDescent="0.2">
      <c r="A1076" s="1066" t="s">
        <v>38</v>
      </c>
      <c r="B1076" s="1057"/>
      <c r="C1076" s="1057"/>
      <c r="D1076" s="1057"/>
      <c r="E1076" s="1057"/>
      <c r="F1076" s="1057"/>
      <c r="G1076" s="1058"/>
      <c r="H1076" s="28" t="s">
        <v>39</v>
      </c>
      <c r="I1076" s="1062" t="s">
        <v>385</v>
      </c>
      <c r="J1076" s="1058"/>
      <c r="K1076" s="1062" t="s">
        <v>132</v>
      </c>
      <c r="L1076" s="1058"/>
      <c r="M1076" s="1062" t="s">
        <v>386</v>
      </c>
      <c r="N1076" s="1058"/>
    </row>
    <row r="1077" spans="1:14" ht="12.75" customHeight="1" x14ac:dyDescent="0.2">
      <c r="A1077" s="1061" t="s">
        <v>391</v>
      </c>
      <c r="B1077" s="1057"/>
      <c r="C1077" s="1057"/>
      <c r="D1077" s="1057"/>
      <c r="E1077" s="1057"/>
      <c r="F1077" s="1057"/>
      <c r="G1077" s="1058"/>
      <c r="H1077" s="9" t="str">
        <f>IF(A1077="","",VLOOKUP(A1077,AA_Equipos,7,FALSE))</f>
        <v>% M.O.</v>
      </c>
      <c r="I1077" s="1059">
        <f>+M1100</f>
        <v>277602.73272000003</v>
      </c>
      <c r="J1077" s="1058"/>
      <c r="K1077" s="1064">
        <v>0.05</v>
      </c>
      <c r="L1077" s="1058"/>
      <c r="M1077" s="1059">
        <f>IF(A1077="","",I1077*K1077)</f>
        <v>13880.136636000003</v>
      </c>
      <c r="N1077" s="1058"/>
    </row>
    <row r="1078" spans="1:14" ht="12.75" customHeight="1" x14ac:dyDescent="0.2">
      <c r="A1078" s="1056"/>
      <c r="B1078" s="1057"/>
      <c r="C1078" s="1057"/>
      <c r="D1078" s="1057"/>
      <c r="E1078" s="1057"/>
      <c r="F1078" s="1057"/>
      <c r="G1078" s="1058"/>
      <c r="H1078" s="9" t="str">
        <f>IF(A1078="","",VLOOKUP(A1078,AA_Equipos,7,FALSE))</f>
        <v/>
      </c>
      <c r="I1078" s="1059" t="str">
        <f>IF(A1078="","",VLOOKUP(A1078,AA_Equipos,8,FALSE))</f>
        <v/>
      </c>
      <c r="J1078" s="1058"/>
      <c r="K1078" s="1067"/>
      <c r="L1078" s="1058"/>
      <c r="M1078" s="1059" t="str">
        <f>IF(A1078="","",I1078*K1078)</f>
        <v/>
      </c>
      <c r="N1078" s="1058"/>
    </row>
    <row r="1079" spans="1:14" ht="12.75" customHeight="1" x14ac:dyDescent="0.2">
      <c r="A1079" s="1061"/>
      <c r="B1079" s="1057"/>
      <c r="C1079" s="1057"/>
      <c r="D1079" s="1057"/>
      <c r="E1079" s="1057"/>
      <c r="F1079" s="1057"/>
      <c r="G1079" s="1058"/>
      <c r="H1079" s="9" t="str">
        <f>IF(A1079="","",VLOOKUP(A1079,AA_Equipos,7,FALSE))</f>
        <v/>
      </c>
      <c r="I1079" s="1059" t="str">
        <f>IF(A1079="","",VLOOKUP(A1079,AA_Equipos,8,FALSE))</f>
        <v/>
      </c>
      <c r="J1079" s="1058"/>
      <c r="K1079" s="1070"/>
      <c r="L1079" s="1058"/>
      <c r="M1079" s="1059" t="str">
        <f>IF(A1079="","",I1079*K1079)</f>
        <v/>
      </c>
      <c r="N1079" s="1058"/>
    </row>
    <row r="1080" spans="1:14" ht="12.75" customHeight="1" x14ac:dyDescent="0.2">
      <c r="A1080" s="1061"/>
      <c r="B1080" s="1057"/>
      <c r="C1080" s="1057"/>
      <c r="D1080" s="1057"/>
      <c r="E1080" s="1057"/>
      <c r="F1080" s="1057"/>
      <c r="G1080" s="1058"/>
      <c r="H1080" s="9" t="str">
        <f>IF(A1080="","",VLOOKUP(A1080,AA_Equipos,7,FALSE))</f>
        <v/>
      </c>
      <c r="I1080" s="1059" t="str">
        <f>IF(A1080="","",VLOOKUP(A1080,AA_Equipos,8,FALSE))</f>
        <v/>
      </c>
      <c r="J1080" s="1058"/>
      <c r="K1080" s="1060"/>
      <c r="L1080" s="1058"/>
      <c r="M1080" s="1059" t="str">
        <f>IF(A1080="","",I1080*K1080)</f>
        <v/>
      </c>
      <c r="N1080" s="1058"/>
    </row>
    <row r="1081" spans="1:14" ht="12.75" customHeight="1" x14ac:dyDescent="0.2">
      <c r="A1081" s="1061"/>
      <c r="B1081" s="1057"/>
      <c r="C1081" s="1057"/>
      <c r="D1081" s="1057"/>
      <c r="E1081" s="1057"/>
      <c r="F1081" s="1057"/>
      <c r="G1081" s="1058"/>
      <c r="H1081" s="9" t="str">
        <f>IF(A1081="","",VLOOKUP(A1081,AA_Equipos,7,FALSE))</f>
        <v/>
      </c>
      <c r="I1081" s="1059" t="str">
        <f>IF(A1081="","",VLOOKUP(A1081,AA_Equipos,8,FALSE))</f>
        <v/>
      </c>
      <c r="J1081" s="1058"/>
      <c r="K1081" s="1060"/>
      <c r="L1081" s="1058"/>
      <c r="M1081" s="1059" t="str">
        <f>IF(A1081="","",I1081*K1081)</f>
        <v/>
      </c>
      <c r="N1081" s="1058"/>
    </row>
    <row r="1082" spans="1:14" ht="12.75" customHeight="1" x14ac:dyDescent="0.25">
      <c r="A1082" s="3"/>
      <c r="B1082" s="3"/>
      <c r="C1082" s="3"/>
      <c r="D1082" s="3"/>
      <c r="E1082" s="3"/>
      <c r="F1082" s="3"/>
      <c r="G1082" s="3"/>
      <c r="H1082" s="3"/>
      <c r="I1082" s="3"/>
      <c r="J1082" s="3"/>
      <c r="K1082" s="1066" t="s">
        <v>201</v>
      </c>
      <c r="L1082" s="1058"/>
      <c r="M1082" s="1059">
        <f>SUM(M1077:N1081)</f>
        <v>13880.136636000003</v>
      </c>
      <c r="N1082" s="1058"/>
    </row>
    <row r="1083" spans="1:14" ht="12.75" customHeight="1" x14ac:dyDescent="0.25">
      <c r="A1083" s="3"/>
      <c r="B1083" s="3"/>
      <c r="C1083" s="3"/>
      <c r="D1083" s="3"/>
      <c r="E1083" s="3"/>
      <c r="F1083" s="3"/>
      <c r="G1083" s="3"/>
      <c r="H1083" s="3"/>
      <c r="I1083" s="3"/>
      <c r="J1083" s="3"/>
      <c r="K1083" s="3"/>
      <c r="L1083" s="3"/>
      <c r="M1083" s="3"/>
      <c r="N1083" s="3"/>
    </row>
    <row r="1084" spans="1:14" ht="12.75" customHeight="1" x14ac:dyDescent="0.2">
      <c r="A1084" s="1065" t="s">
        <v>392</v>
      </c>
      <c r="B1084" s="1057"/>
      <c r="C1084" s="1057"/>
      <c r="D1084" s="1057"/>
      <c r="E1084" s="1057"/>
      <c r="F1084" s="1057"/>
      <c r="G1084" s="1057"/>
      <c r="H1084" s="1057"/>
      <c r="I1084" s="1057"/>
      <c r="J1084" s="1057"/>
      <c r="K1084" s="1057"/>
      <c r="L1084" s="1057"/>
      <c r="M1084" s="1057"/>
      <c r="N1084" s="1058"/>
    </row>
    <row r="1085" spans="1:14" ht="12.75" customHeight="1" x14ac:dyDescent="0.2">
      <c r="A1085" s="1066" t="s">
        <v>38</v>
      </c>
      <c r="B1085" s="1057"/>
      <c r="C1085" s="1057"/>
      <c r="D1085" s="1057"/>
      <c r="E1085" s="1057"/>
      <c r="F1085" s="1057"/>
      <c r="G1085" s="1058"/>
      <c r="H1085" s="28" t="s">
        <v>39</v>
      </c>
      <c r="I1085" s="1062" t="s">
        <v>385</v>
      </c>
      <c r="J1085" s="1058"/>
      <c r="K1085" s="1062" t="s">
        <v>132</v>
      </c>
      <c r="L1085" s="1058"/>
      <c r="M1085" s="1062" t="s">
        <v>386</v>
      </c>
      <c r="N1085" s="1058"/>
    </row>
    <row r="1086" spans="1:14" ht="12.75" customHeight="1" x14ac:dyDescent="0.2">
      <c r="A1086" s="1061"/>
      <c r="B1086" s="1057"/>
      <c r="C1086" s="1057"/>
      <c r="D1086" s="1057"/>
      <c r="E1086" s="1057"/>
      <c r="F1086" s="1057"/>
      <c r="G1086" s="1058"/>
      <c r="H1086" s="9"/>
      <c r="I1086" s="1059"/>
      <c r="J1086" s="1058"/>
      <c r="K1086" s="1060"/>
      <c r="L1086" s="1058"/>
      <c r="M1086" s="1059" t="str">
        <f>IF(A1086="","",I1086*K1086)</f>
        <v/>
      </c>
      <c r="N1086" s="1058"/>
    </row>
    <row r="1087" spans="1:14" ht="12.75" customHeight="1" x14ac:dyDescent="0.2">
      <c r="A1087" s="1056"/>
      <c r="B1087" s="1057"/>
      <c r="C1087" s="1057"/>
      <c r="D1087" s="1057"/>
      <c r="E1087" s="1057"/>
      <c r="F1087" s="1057"/>
      <c r="G1087" s="1058"/>
      <c r="H1087" s="9"/>
      <c r="I1087" s="1059"/>
      <c r="J1087" s="1058"/>
      <c r="K1087" s="1064"/>
      <c r="L1087" s="1058"/>
      <c r="M1087" s="1059" t="str">
        <f>IF(A1087="","",I1087*K1087)</f>
        <v/>
      </c>
      <c r="N1087" s="1058"/>
    </row>
    <row r="1088" spans="1:14" ht="12.75" customHeight="1" x14ac:dyDescent="0.2">
      <c r="A1088" s="1061"/>
      <c r="B1088" s="1057"/>
      <c r="C1088" s="1057"/>
      <c r="D1088" s="1057"/>
      <c r="E1088" s="1057"/>
      <c r="F1088" s="1057"/>
      <c r="G1088" s="1058"/>
      <c r="H1088" s="9"/>
      <c r="I1088" s="1059"/>
      <c r="J1088" s="1058"/>
      <c r="K1088" s="1060"/>
      <c r="L1088" s="1058"/>
      <c r="M1088" s="1059" t="str">
        <f>IF(A1088="","",I1088*K1088)</f>
        <v/>
      </c>
      <c r="N1088" s="1058"/>
    </row>
    <row r="1089" spans="1:15" ht="12.75" customHeight="1" x14ac:dyDescent="0.2">
      <c r="A1089" s="1061"/>
      <c r="B1089" s="1057"/>
      <c r="C1089" s="1057"/>
      <c r="D1089" s="1057"/>
      <c r="E1089" s="1057"/>
      <c r="F1089" s="1057"/>
      <c r="G1089" s="1058"/>
      <c r="H1089" s="9"/>
      <c r="I1089" s="1059"/>
      <c r="J1089" s="1058"/>
      <c r="K1089" s="1060"/>
      <c r="L1089" s="1058"/>
      <c r="M1089" s="1059" t="str">
        <f>IF(A1089="","",I1089*K1089)</f>
        <v/>
      </c>
      <c r="N1089" s="1058"/>
    </row>
    <row r="1090" spans="1:15" ht="12.75" customHeight="1" x14ac:dyDescent="0.2">
      <c r="A1090" s="1061"/>
      <c r="B1090" s="1057"/>
      <c r="C1090" s="1057"/>
      <c r="D1090" s="1057"/>
      <c r="E1090" s="1057"/>
      <c r="F1090" s="1057"/>
      <c r="G1090" s="1058"/>
      <c r="H1090" s="9"/>
      <c r="I1090" s="1059"/>
      <c r="J1090" s="1058"/>
      <c r="K1090" s="1060"/>
      <c r="L1090" s="1058"/>
      <c r="M1090" s="1059" t="str">
        <f>IF(A1090="","",I1090*K1090)</f>
        <v/>
      </c>
      <c r="N1090" s="1058"/>
    </row>
    <row r="1091" spans="1:15" ht="12.75" customHeight="1" x14ac:dyDescent="0.25">
      <c r="A1091" s="3"/>
      <c r="B1091" s="3"/>
      <c r="C1091" s="3"/>
      <c r="D1091" s="3"/>
      <c r="E1091" s="3"/>
      <c r="F1091" s="3"/>
      <c r="G1091" s="3"/>
      <c r="H1091" s="3"/>
      <c r="I1091" s="3"/>
      <c r="J1091" s="3"/>
      <c r="K1091" s="1066" t="s">
        <v>201</v>
      </c>
      <c r="L1091" s="1058"/>
      <c r="M1091" s="1059">
        <f>SUM(M1086:N1090)</f>
        <v>0</v>
      </c>
      <c r="N1091" s="1058"/>
    </row>
    <row r="1092" spans="1:15" ht="12.75" customHeight="1" x14ac:dyDescent="0.25">
      <c r="A1092" s="3"/>
      <c r="B1092" s="3"/>
      <c r="C1092" s="3"/>
      <c r="D1092" s="3"/>
      <c r="E1092" s="3"/>
      <c r="F1092" s="3"/>
      <c r="G1092" s="3"/>
      <c r="H1092" s="3"/>
      <c r="I1092" s="3"/>
      <c r="J1092" s="3"/>
      <c r="K1092" s="3"/>
      <c r="L1092" s="3"/>
      <c r="M1092" s="3"/>
      <c r="N1092" s="3"/>
    </row>
    <row r="1093" spans="1:15" ht="12.75" customHeight="1" x14ac:dyDescent="0.2">
      <c r="A1093" s="1065" t="s">
        <v>394</v>
      </c>
      <c r="B1093" s="1057"/>
      <c r="C1093" s="1057"/>
      <c r="D1093" s="1057"/>
      <c r="E1093" s="1057"/>
      <c r="F1093" s="1057"/>
      <c r="G1093" s="1057"/>
      <c r="H1093" s="1057"/>
      <c r="I1093" s="1057"/>
      <c r="J1093" s="1057"/>
      <c r="K1093" s="1057"/>
      <c r="L1093" s="1057"/>
      <c r="M1093" s="1057"/>
      <c r="N1093" s="1058"/>
    </row>
    <row r="1094" spans="1:15" ht="12.75" customHeight="1" x14ac:dyDescent="0.2">
      <c r="A1094" s="1066" t="s">
        <v>38</v>
      </c>
      <c r="B1094" s="1057"/>
      <c r="C1094" s="1057"/>
      <c r="D1094" s="1057"/>
      <c r="E1094" s="1057"/>
      <c r="F1094" s="1057"/>
      <c r="G1094" s="1058"/>
      <c r="H1094" s="28" t="s">
        <v>39</v>
      </c>
      <c r="I1094" s="1062" t="s">
        <v>385</v>
      </c>
      <c r="J1094" s="1058"/>
      <c r="K1094" s="30" t="s">
        <v>193</v>
      </c>
      <c r="L1094" s="31" t="s">
        <v>395</v>
      </c>
      <c r="M1094" s="1062" t="s">
        <v>386</v>
      </c>
      <c r="N1094" s="1058"/>
    </row>
    <row r="1095" spans="1:15" ht="12.75" customHeight="1" x14ac:dyDescent="0.25">
      <c r="A1095" s="1063" t="s">
        <v>423</v>
      </c>
      <c r="B1095" s="1057"/>
      <c r="C1095" s="1057"/>
      <c r="D1095" s="1057"/>
      <c r="E1095" s="1057"/>
      <c r="F1095" s="1057"/>
      <c r="G1095" s="1058"/>
      <c r="H1095" s="9" t="str">
        <f>IF(A1095="","",VLOOKUP(A1095,AA_Cuadrillas,4,FALSE))</f>
        <v>Cuadrilla</v>
      </c>
      <c r="I1095" s="1059">
        <f>IF(A1095="","",VLOOKUP(A1095,AA_Cuadrillas,5,FALSE))</f>
        <v>134236</v>
      </c>
      <c r="J1095" s="1058"/>
      <c r="K1095" s="1">
        <f>IF(A1095="","",'06'!$J$3)</f>
        <v>1.7233500000000002</v>
      </c>
      <c r="L1095" s="37">
        <v>1.2</v>
      </c>
      <c r="M1095" s="1059">
        <f>IF(A1095="","",I1095*K1095*L1095)</f>
        <v>277602.73272000003</v>
      </c>
      <c r="N1095" s="1058"/>
    </row>
    <row r="1096" spans="1:15" ht="12.75" customHeight="1" x14ac:dyDescent="0.25">
      <c r="A1096" s="1063"/>
      <c r="B1096" s="1057"/>
      <c r="C1096" s="1057"/>
      <c r="D1096" s="1057"/>
      <c r="E1096" s="1057"/>
      <c r="F1096" s="1057"/>
      <c r="G1096" s="1058"/>
      <c r="H1096" s="9" t="str">
        <f>IF(A1096="","",VLOOKUP(A1096,AA_Cuadrillas,4,FALSE))</f>
        <v/>
      </c>
      <c r="I1096" s="1059" t="str">
        <f>IF(A1096="","",VLOOKUP(A1096,AA_Cuadrillas,5,FALSE))</f>
        <v/>
      </c>
      <c r="J1096" s="1058"/>
      <c r="K1096" s="1" t="str">
        <f>IF(A1096="","",'06'!$J$3)</f>
        <v/>
      </c>
      <c r="L1096" s="1"/>
      <c r="M1096" s="1059" t="str">
        <f>IF(A1096="","",I1096*K1096*L1096)</f>
        <v/>
      </c>
      <c r="N1096" s="1058"/>
    </row>
    <row r="1097" spans="1:15" ht="12.75" customHeight="1" x14ac:dyDescent="0.25">
      <c r="A1097" s="1063"/>
      <c r="B1097" s="1057"/>
      <c r="C1097" s="1057"/>
      <c r="D1097" s="1057"/>
      <c r="E1097" s="1057"/>
      <c r="F1097" s="1057"/>
      <c r="G1097" s="1058"/>
      <c r="H1097" s="9" t="str">
        <f>IF(A1097="","",VLOOKUP(A1097,AA_Cuadrillas,4,FALSE))</f>
        <v/>
      </c>
      <c r="I1097" s="1059" t="str">
        <f>IF(A1097="","",VLOOKUP(A1097,AA_Cuadrillas,5,FALSE))</f>
        <v/>
      </c>
      <c r="J1097" s="1058"/>
      <c r="K1097" s="1" t="str">
        <f>IF(A1097="","",'06'!$J$3)</f>
        <v/>
      </c>
      <c r="L1097" s="10"/>
      <c r="M1097" s="1059" t="str">
        <f>IF(A1097="","",I1097*K1097*L1097)</f>
        <v/>
      </c>
      <c r="N1097" s="1058"/>
    </row>
    <row r="1098" spans="1:15" ht="12.75" customHeight="1" x14ac:dyDescent="0.25">
      <c r="A1098" s="1063"/>
      <c r="B1098" s="1057"/>
      <c r="C1098" s="1057"/>
      <c r="D1098" s="1057"/>
      <c r="E1098" s="1057"/>
      <c r="F1098" s="1057"/>
      <c r="G1098" s="1058"/>
      <c r="H1098" s="9" t="str">
        <f>IF(A1098="","",VLOOKUP(A1098,AA_Cuadrillas,4,FALSE))</f>
        <v/>
      </c>
      <c r="I1098" s="1059" t="str">
        <f>IF(A1098="","",VLOOKUP(A1098,AA_Cuadrillas,5,FALSE))</f>
        <v/>
      </c>
      <c r="J1098" s="1058"/>
      <c r="K1098" s="1" t="str">
        <f>IF(A1098="","",'06'!$J$3)</f>
        <v/>
      </c>
      <c r="L1098" s="10"/>
      <c r="M1098" s="1059" t="str">
        <f>IF(A1098="","",I1098*K1098*L1098)</f>
        <v/>
      </c>
      <c r="N1098" s="1058"/>
    </row>
    <row r="1099" spans="1:15" ht="12.75" customHeight="1" x14ac:dyDescent="0.25">
      <c r="A1099" s="1063"/>
      <c r="B1099" s="1057"/>
      <c r="C1099" s="1057"/>
      <c r="D1099" s="1057"/>
      <c r="E1099" s="1057"/>
      <c r="F1099" s="1057"/>
      <c r="G1099" s="1058"/>
      <c r="H1099" s="9" t="str">
        <f>IF(A1099="","",VLOOKUP(A1099,AA_Cuadrillas,4,FALSE))</f>
        <v/>
      </c>
      <c r="I1099" s="1059" t="str">
        <f>IF(A1099="","",VLOOKUP(A1099,AA_Cuadrillas,5,FALSE))</f>
        <v/>
      </c>
      <c r="J1099" s="1058"/>
      <c r="K1099" s="1" t="str">
        <f>IF(A1099="","",'06'!$J$3)</f>
        <v/>
      </c>
      <c r="L1099" s="10"/>
      <c r="M1099" s="1059" t="str">
        <f>IF(A1099="","",I1099*K1099*L1099)</f>
        <v/>
      </c>
      <c r="N1099" s="1058"/>
    </row>
    <row r="1100" spans="1:15" ht="12.75" customHeight="1" x14ac:dyDescent="0.25">
      <c r="A1100" s="3"/>
      <c r="B1100" s="3"/>
      <c r="C1100" s="3"/>
      <c r="D1100" s="3"/>
      <c r="E1100" s="3"/>
      <c r="F1100" s="3"/>
      <c r="G1100" s="3"/>
      <c r="H1100" s="3"/>
      <c r="I1100" s="3"/>
      <c r="J1100" s="3"/>
      <c r="K1100" s="1066" t="s">
        <v>201</v>
      </c>
      <c r="L1100" s="1058"/>
      <c r="M1100" s="1059">
        <f>SUM(M1095:N1099)</f>
        <v>277602.73272000003</v>
      </c>
      <c r="N1100" s="1058"/>
    </row>
    <row r="1101" spans="1:15" ht="12.75" customHeight="1" x14ac:dyDescent="0.2"/>
    <row r="1102" spans="1:15" ht="12.75" customHeight="1" x14ac:dyDescent="0.2">
      <c r="A1102" s="1072" t="s">
        <v>1691</v>
      </c>
      <c r="B1102" s="1052"/>
      <c r="C1102" s="1052"/>
      <c r="D1102" s="1052"/>
      <c r="E1102" s="1052"/>
      <c r="F1102" s="1052"/>
      <c r="G1102" s="1052"/>
      <c r="H1102" s="1052"/>
      <c r="I1102" s="1052"/>
      <c r="J1102" s="1052"/>
      <c r="K1102" s="1052"/>
      <c r="L1102" s="1052"/>
      <c r="M1102" s="1052"/>
      <c r="N1102" s="1053"/>
      <c r="O1102" s="7"/>
    </row>
    <row r="1103" spans="1:15" ht="12.75" customHeight="1" x14ac:dyDescent="0.2">
      <c r="A1103" s="1031"/>
      <c r="B1103" s="1032"/>
      <c r="C1103" s="1032"/>
      <c r="D1103" s="1032"/>
      <c r="E1103" s="1032"/>
      <c r="F1103" s="1032"/>
      <c r="G1103" s="1032"/>
      <c r="H1103" s="1032"/>
      <c r="I1103" s="1032"/>
      <c r="J1103" s="1032"/>
      <c r="K1103" s="1032"/>
      <c r="L1103" s="1032"/>
      <c r="M1103" s="1032"/>
      <c r="N1103" s="1055"/>
      <c r="O1103" s="7"/>
    </row>
    <row r="1104" spans="1:15" ht="12.75" customHeight="1" x14ac:dyDescent="0.2">
      <c r="A1104" s="16"/>
      <c r="B1104" s="16"/>
      <c r="C1104" s="16"/>
      <c r="D1104" s="16"/>
      <c r="E1104" s="16"/>
      <c r="F1104" s="16"/>
      <c r="G1104" s="16"/>
      <c r="H1104" s="16"/>
      <c r="I1104" s="16"/>
      <c r="J1104" s="16"/>
      <c r="K1104" s="16"/>
      <c r="L1104" s="16"/>
      <c r="M1104" s="16"/>
      <c r="N1104" s="16"/>
    </row>
    <row r="1105" spans="1:14" ht="12.75" customHeight="1" x14ac:dyDescent="0.3">
      <c r="A1105" s="18" t="s">
        <v>316</v>
      </c>
      <c r="B1105" s="19" t="str">
        <f>A1102</f>
        <v>SUMINISTRO E INSTALACIÓN CODO PE100 90° Ø12" PEAD PN10 RDE 17.  INCLUYE TRANSPORTE.</v>
      </c>
      <c r="C1105" s="20" t="s">
        <v>382</v>
      </c>
      <c r="D1105" s="127" t="s">
        <v>424</v>
      </c>
      <c r="E1105" s="22" t="s">
        <v>125</v>
      </c>
      <c r="F1105" s="26">
        <f>(H1105+J1105+L1105+N1105)*$O$2</f>
        <v>5634103.6867752001</v>
      </c>
      <c r="G1105" s="22" t="s">
        <v>285</v>
      </c>
      <c r="H1105" s="26">
        <f>M1124</f>
        <v>9253.4244240000025</v>
      </c>
      <c r="I1105" s="22" t="s">
        <v>383</v>
      </c>
      <c r="J1105" s="26">
        <f>M1115</f>
        <v>4139604</v>
      </c>
      <c r="K1105" s="22" t="s">
        <v>287</v>
      </c>
      <c r="L1105" s="26">
        <f>M1133</f>
        <v>0</v>
      </c>
      <c r="M1105" s="22" t="s">
        <v>288</v>
      </c>
      <c r="N1105" s="26">
        <f>M1142</f>
        <v>185068.48848000003</v>
      </c>
    </row>
    <row r="1106" spans="1:14" ht="12.75" customHeight="1" x14ac:dyDescent="0.25">
      <c r="A1106" s="27"/>
      <c r="B1106" s="27"/>
      <c r="C1106" s="27"/>
      <c r="D1106" s="27"/>
      <c r="E1106" s="27"/>
      <c r="F1106" s="27"/>
      <c r="G1106" s="27"/>
      <c r="J1106" s="27"/>
      <c r="K1106" s="27"/>
      <c r="L1106" s="27"/>
      <c r="M1106" s="27"/>
      <c r="N1106" s="27"/>
    </row>
    <row r="1107" spans="1:14" ht="12.75" customHeight="1" x14ac:dyDescent="0.2">
      <c r="A1107" s="1065" t="s">
        <v>384</v>
      </c>
      <c r="B1107" s="1057"/>
      <c r="C1107" s="1057"/>
      <c r="D1107" s="1057"/>
      <c r="E1107" s="1057"/>
      <c r="F1107" s="1057"/>
      <c r="G1107" s="1057"/>
      <c r="H1107" s="1057"/>
      <c r="I1107" s="1057"/>
      <c r="J1107" s="1057"/>
      <c r="K1107" s="1057"/>
      <c r="L1107" s="1057"/>
      <c r="M1107" s="1057"/>
      <c r="N1107" s="1058"/>
    </row>
    <row r="1108" spans="1:14" ht="12.75" customHeight="1" x14ac:dyDescent="0.2">
      <c r="A1108" s="1066" t="s">
        <v>38</v>
      </c>
      <c r="B1108" s="1057"/>
      <c r="C1108" s="1057"/>
      <c r="D1108" s="1057"/>
      <c r="E1108" s="1057"/>
      <c r="F1108" s="1057"/>
      <c r="G1108" s="1058"/>
      <c r="H1108" s="28" t="s">
        <v>39</v>
      </c>
      <c r="I1108" s="1062" t="s">
        <v>385</v>
      </c>
      <c r="J1108" s="1058"/>
      <c r="K1108" s="1062" t="s">
        <v>132</v>
      </c>
      <c r="L1108" s="1058"/>
      <c r="M1108" s="1062" t="s">
        <v>386</v>
      </c>
      <c r="N1108" s="1058"/>
    </row>
    <row r="1109" spans="1:14" ht="12.75" customHeight="1" x14ac:dyDescent="0.2">
      <c r="A1109" s="1056" t="s">
        <v>1529</v>
      </c>
      <c r="B1109" s="1057"/>
      <c r="C1109" s="1057"/>
      <c r="D1109" s="1057"/>
      <c r="E1109" s="1057"/>
      <c r="F1109" s="1057"/>
      <c r="G1109" s="1058"/>
      <c r="H1109" s="9" t="str">
        <f t="shared" ref="H1109:H1114" si="74">IF(A1109="","",VLOOKUP(A1109,AA_Materiales,7,FALSE))</f>
        <v>Unidad</v>
      </c>
      <c r="I1109" s="1059">
        <f t="shared" ref="I1109:I1114" si="75">IF(A1109="","",VLOOKUP(A1109,AA_Materiales,8,FALSE))</f>
        <v>4139604</v>
      </c>
      <c r="J1109" s="1058"/>
      <c r="K1109" s="1060">
        <v>1</v>
      </c>
      <c r="L1109" s="1058"/>
      <c r="M1109" s="1059">
        <f t="shared" ref="M1109:M1114" si="76">IF(A1109="","",I1109*K1109)</f>
        <v>4139604</v>
      </c>
      <c r="N1109" s="1058"/>
    </row>
    <row r="1110" spans="1:14" ht="12.75" customHeight="1" x14ac:dyDescent="0.2">
      <c r="A1110" s="1056"/>
      <c r="B1110" s="1057"/>
      <c r="C1110" s="1057"/>
      <c r="D1110" s="1057"/>
      <c r="E1110" s="1057"/>
      <c r="F1110" s="1057"/>
      <c r="G1110" s="1058"/>
      <c r="H1110" s="9" t="str">
        <f t="shared" si="74"/>
        <v/>
      </c>
      <c r="I1110" s="1059" t="str">
        <f t="shared" si="75"/>
        <v/>
      </c>
      <c r="J1110" s="1058"/>
      <c r="K1110" s="1060"/>
      <c r="L1110" s="1058"/>
      <c r="M1110" s="1059" t="str">
        <f t="shared" si="76"/>
        <v/>
      </c>
      <c r="N1110" s="1058"/>
    </row>
    <row r="1111" spans="1:14" ht="12.75" customHeight="1" x14ac:dyDescent="0.2">
      <c r="A1111" s="1056"/>
      <c r="B1111" s="1057"/>
      <c r="C1111" s="1057"/>
      <c r="D1111" s="1057"/>
      <c r="E1111" s="1057"/>
      <c r="F1111" s="1057"/>
      <c r="G1111" s="1058"/>
      <c r="H1111" s="9" t="str">
        <f t="shared" si="74"/>
        <v/>
      </c>
      <c r="I1111" s="1059" t="str">
        <f t="shared" si="75"/>
        <v/>
      </c>
      <c r="J1111" s="1058"/>
      <c r="K1111" s="1060"/>
      <c r="L1111" s="1058"/>
      <c r="M1111" s="1059" t="str">
        <f t="shared" si="76"/>
        <v/>
      </c>
      <c r="N1111" s="1058"/>
    </row>
    <row r="1112" spans="1:14" ht="12.75" customHeight="1" x14ac:dyDescent="0.2">
      <c r="A1112" s="1056"/>
      <c r="B1112" s="1057"/>
      <c r="C1112" s="1057"/>
      <c r="D1112" s="1057"/>
      <c r="E1112" s="1057"/>
      <c r="F1112" s="1057"/>
      <c r="G1112" s="1058"/>
      <c r="H1112" s="9" t="str">
        <f t="shared" si="74"/>
        <v/>
      </c>
      <c r="I1112" s="1059" t="str">
        <f t="shared" si="75"/>
        <v/>
      </c>
      <c r="J1112" s="1058"/>
      <c r="K1112" s="1060"/>
      <c r="L1112" s="1058"/>
      <c r="M1112" s="1059" t="str">
        <f t="shared" si="76"/>
        <v/>
      </c>
      <c r="N1112" s="1058"/>
    </row>
    <row r="1113" spans="1:14" ht="12.75" customHeight="1" x14ac:dyDescent="0.2">
      <c r="A1113" s="1056"/>
      <c r="B1113" s="1057"/>
      <c r="C1113" s="1057"/>
      <c r="D1113" s="1057"/>
      <c r="E1113" s="1057"/>
      <c r="F1113" s="1057"/>
      <c r="G1113" s="1058"/>
      <c r="H1113" s="9" t="str">
        <f t="shared" si="74"/>
        <v/>
      </c>
      <c r="I1113" s="1059" t="str">
        <f t="shared" si="75"/>
        <v/>
      </c>
      <c r="J1113" s="1058"/>
      <c r="K1113" s="1060"/>
      <c r="L1113" s="1058"/>
      <c r="M1113" s="1059" t="str">
        <f t="shared" si="76"/>
        <v/>
      </c>
      <c r="N1113" s="1058"/>
    </row>
    <row r="1114" spans="1:14" ht="12.75" customHeight="1" x14ac:dyDescent="0.2">
      <c r="A1114" s="1056"/>
      <c r="B1114" s="1057"/>
      <c r="C1114" s="1057"/>
      <c r="D1114" s="1057"/>
      <c r="E1114" s="1057"/>
      <c r="F1114" s="1057"/>
      <c r="G1114" s="1058"/>
      <c r="H1114" s="9" t="str">
        <f t="shared" si="74"/>
        <v/>
      </c>
      <c r="I1114" s="1059" t="str">
        <f t="shared" si="75"/>
        <v/>
      </c>
      <c r="J1114" s="1058"/>
      <c r="K1114" s="1060"/>
      <c r="L1114" s="1058"/>
      <c r="M1114" s="1059" t="str">
        <f t="shared" si="76"/>
        <v/>
      </c>
      <c r="N1114" s="1058"/>
    </row>
    <row r="1115" spans="1:14" ht="12.75" customHeight="1" x14ac:dyDescent="0.25">
      <c r="A1115" s="3"/>
      <c r="B1115" s="3"/>
      <c r="C1115" s="3"/>
      <c r="D1115" s="3"/>
      <c r="E1115" s="3"/>
      <c r="F1115" s="3"/>
      <c r="G1115" s="3"/>
      <c r="H1115" s="3"/>
      <c r="I1115" s="3"/>
      <c r="J1115" s="3"/>
      <c r="K1115" s="1066" t="s">
        <v>201</v>
      </c>
      <c r="L1115" s="1058"/>
      <c r="M1115" s="1059">
        <f>SUM(M1109:N1114)</f>
        <v>4139604</v>
      </c>
      <c r="N1115" s="1058"/>
    </row>
    <row r="1116" spans="1:14" ht="12.75" customHeight="1" x14ac:dyDescent="0.25">
      <c r="A1116" s="3"/>
      <c r="B1116" s="3"/>
      <c r="C1116" s="3"/>
      <c r="D1116" s="3"/>
      <c r="E1116" s="3"/>
      <c r="F1116" s="3"/>
      <c r="G1116" s="3"/>
      <c r="H1116" s="3"/>
      <c r="I1116" s="3"/>
      <c r="J1116" s="3"/>
      <c r="K1116" s="3"/>
      <c r="L1116" s="3"/>
      <c r="M1116" s="3"/>
      <c r="N1116" s="3"/>
    </row>
    <row r="1117" spans="1:14" ht="12.75" customHeight="1" x14ac:dyDescent="0.2">
      <c r="A1117" s="1065" t="s">
        <v>390</v>
      </c>
      <c r="B1117" s="1057"/>
      <c r="C1117" s="1057"/>
      <c r="D1117" s="1057"/>
      <c r="E1117" s="1057"/>
      <c r="F1117" s="1057"/>
      <c r="G1117" s="1057"/>
      <c r="H1117" s="1057"/>
      <c r="I1117" s="1057"/>
      <c r="J1117" s="1057"/>
      <c r="K1117" s="1057"/>
      <c r="L1117" s="1057"/>
      <c r="M1117" s="1057"/>
      <c r="N1117" s="1058"/>
    </row>
    <row r="1118" spans="1:14" ht="12.75" customHeight="1" x14ac:dyDescent="0.2">
      <c r="A1118" s="1066" t="s">
        <v>38</v>
      </c>
      <c r="B1118" s="1057"/>
      <c r="C1118" s="1057"/>
      <c r="D1118" s="1057"/>
      <c r="E1118" s="1057"/>
      <c r="F1118" s="1057"/>
      <c r="G1118" s="1058"/>
      <c r="H1118" s="28" t="s">
        <v>39</v>
      </c>
      <c r="I1118" s="1062" t="s">
        <v>385</v>
      </c>
      <c r="J1118" s="1058"/>
      <c r="K1118" s="1062" t="s">
        <v>132</v>
      </c>
      <c r="L1118" s="1058"/>
      <c r="M1118" s="1062" t="s">
        <v>386</v>
      </c>
      <c r="N1118" s="1058"/>
    </row>
    <row r="1119" spans="1:14" ht="12.75" customHeight="1" x14ac:dyDescent="0.2">
      <c r="A1119" s="1061" t="s">
        <v>391</v>
      </c>
      <c r="B1119" s="1057"/>
      <c r="C1119" s="1057"/>
      <c r="D1119" s="1057"/>
      <c r="E1119" s="1057"/>
      <c r="F1119" s="1057"/>
      <c r="G1119" s="1058"/>
      <c r="H1119" s="9" t="str">
        <f>IF(A1119="","",VLOOKUP(A1119,AA_Equipos,7,FALSE))</f>
        <v>% M.O.</v>
      </c>
      <c r="I1119" s="1059">
        <f>+M1142</f>
        <v>185068.48848000003</v>
      </c>
      <c r="J1119" s="1058"/>
      <c r="K1119" s="1064">
        <v>0.05</v>
      </c>
      <c r="L1119" s="1058"/>
      <c r="M1119" s="1059">
        <f>IF(A1119="","",I1119*K1119)</f>
        <v>9253.4244240000025</v>
      </c>
      <c r="N1119" s="1058"/>
    </row>
    <row r="1120" spans="1:14" ht="12.75" customHeight="1" x14ac:dyDescent="0.2">
      <c r="A1120" s="1056"/>
      <c r="B1120" s="1057"/>
      <c r="C1120" s="1057"/>
      <c r="D1120" s="1057"/>
      <c r="E1120" s="1057"/>
      <c r="F1120" s="1057"/>
      <c r="G1120" s="1058"/>
      <c r="H1120" s="9" t="str">
        <f>IF(A1120="","",VLOOKUP(A1120,AA_Equipos,7,FALSE))</f>
        <v/>
      </c>
      <c r="I1120" s="1059" t="str">
        <f>IF(A1120="","",VLOOKUP(A1120,AA_Equipos,8,FALSE))</f>
        <v/>
      </c>
      <c r="J1120" s="1058"/>
      <c r="K1120" s="1067"/>
      <c r="L1120" s="1058"/>
      <c r="M1120" s="1059" t="str">
        <f>IF(A1120="","",I1120*K1120)</f>
        <v/>
      </c>
      <c r="N1120" s="1058"/>
    </row>
    <row r="1121" spans="1:14" ht="12.75" customHeight="1" x14ac:dyDescent="0.2">
      <c r="A1121" s="1061"/>
      <c r="B1121" s="1057"/>
      <c r="C1121" s="1057"/>
      <c r="D1121" s="1057"/>
      <c r="E1121" s="1057"/>
      <c r="F1121" s="1057"/>
      <c r="G1121" s="1058"/>
      <c r="H1121" s="9" t="str">
        <f>IF(A1121="","",VLOOKUP(A1121,AA_Equipos,7,FALSE))</f>
        <v/>
      </c>
      <c r="I1121" s="1059" t="str">
        <f>IF(A1121="","",VLOOKUP(A1121,AA_Equipos,8,FALSE))</f>
        <v/>
      </c>
      <c r="J1121" s="1058"/>
      <c r="K1121" s="1070"/>
      <c r="L1121" s="1058"/>
      <c r="M1121" s="1059" t="str">
        <f>IF(A1121="","",I1121*K1121)</f>
        <v/>
      </c>
      <c r="N1121" s="1058"/>
    </row>
    <row r="1122" spans="1:14" ht="12.75" customHeight="1" x14ac:dyDescent="0.2">
      <c r="A1122" s="1061"/>
      <c r="B1122" s="1057"/>
      <c r="C1122" s="1057"/>
      <c r="D1122" s="1057"/>
      <c r="E1122" s="1057"/>
      <c r="F1122" s="1057"/>
      <c r="G1122" s="1058"/>
      <c r="H1122" s="9" t="str">
        <f>IF(A1122="","",VLOOKUP(A1122,AA_Equipos,7,FALSE))</f>
        <v/>
      </c>
      <c r="I1122" s="1059" t="str">
        <f>IF(A1122="","",VLOOKUP(A1122,AA_Equipos,8,FALSE))</f>
        <v/>
      </c>
      <c r="J1122" s="1058"/>
      <c r="K1122" s="1060"/>
      <c r="L1122" s="1058"/>
      <c r="M1122" s="1059" t="str">
        <f>IF(A1122="","",I1122*K1122)</f>
        <v/>
      </c>
      <c r="N1122" s="1058"/>
    </row>
    <row r="1123" spans="1:14" ht="12.75" customHeight="1" x14ac:dyDescent="0.2">
      <c r="A1123" s="1061"/>
      <c r="B1123" s="1057"/>
      <c r="C1123" s="1057"/>
      <c r="D1123" s="1057"/>
      <c r="E1123" s="1057"/>
      <c r="F1123" s="1057"/>
      <c r="G1123" s="1058"/>
      <c r="H1123" s="9" t="str">
        <f>IF(A1123="","",VLOOKUP(A1123,AA_Equipos,7,FALSE))</f>
        <v/>
      </c>
      <c r="I1123" s="1059" t="str">
        <f>IF(A1123="","",VLOOKUP(A1123,AA_Equipos,8,FALSE))</f>
        <v/>
      </c>
      <c r="J1123" s="1058"/>
      <c r="K1123" s="1060"/>
      <c r="L1123" s="1058"/>
      <c r="M1123" s="1059" t="str">
        <f>IF(A1123="","",I1123*K1123)</f>
        <v/>
      </c>
      <c r="N1123" s="1058"/>
    </row>
    <row r="1124" spans="1:14" ht="12.75" customHeight="1" x14ac:dyDescent="0.25">
      <c r="A1124" s="3"/>
      <c r="B1124" s="3"/>
      <c r="C1124" s="3"/>
      <c r="D1124" s="3"/>
      <c r="E1124" s="3"/>
      <c r="F1124" s="3"/>
      <c r="G1124" s="3"/>
      <c r="H1124" s="3"/>
      <c r="I1124" s="3"/>
      <c r="J1124" s="3"/>
      <c r="K1124" s="1066" t="s">
        <v>201</v>
      </c>
      <c r="L1124" s="1058"/>
      <c r="M1124" s="1059">
        <f>SUM(M1119:N1123)</f>
        <v>9253.4244240000025</v>
      </c>
      <c r="N1124" s="1058"/>
    </row>
    <row r="1125" spans="1:14" ht="12.75" customHeight="1" x14ac:dyDescent="0.25">
      <c r="A1125" s="3"/>
      <c r="B1125" s="3"/>
      <c r="C1125" s="3"/>
      <c r="D1125" s="3"/>
      <c r="E1125" s="3"/>
      <c r="F1125" s="3"/>
      <c r="G1125" s="3"/>
      <c r="H1125" s="3"/>
      <c r="I1125" s="3"/>
      <c r="J1125" s="3"/>
      <c r="K1125" s="3"/>
      <c r="L1125" s="3"/>
      <c r="M1125" s="3"/>
      <c r="N1125" s="3"/>
    </row>
    <row r="1126" spans="1:14" ht="12.75" customHeight="1" x14ac:dyDescent="0.2">
      <c r="A1126" s="1065" t="s">
        <v>392</v>
      </c>
      <c r="B1126" s="1057"/>
      <c r="C1126" s="1057"/>
      <c r="D1126" s="1057"/>
      <c r="E1126" s="1057"/>
      <c r="F1126" s="1057"/>
      <c r="G1126" s="1057"/>
      <c r="H1126" s="1057"/>
      <c r="I1126" s="1057"/>
      <c r="J1126" s="1057"/>
      <c r="K1126" s="1057"/>
      <c r="L1126" s="1057"/>
      <c r="M1126" s="1057"/>
      <c r="N1126" s="1058"/>
    </row>
    <row r="1127" spans="1:14" ht="12.75" customHeight="1" x14ac:dyDescent="0.2">
      <c r="A1127" s="1066" t="s">
        <v>38</v>
      </c>
      <c r="B1127" s="1057"/>
      <c r="C1127" s="1057"/>
      <c r="D1127" s="1057"/>
      <c r="E1127" s="1057"/>
      <c r="F1127" s="1057"/>
      <c r="G1127" s="1058"/>
      <c r="H1127" s="28" t="s">
        <v>39</v>
      </c>
      <c r="I1127" s="1062" t="s">
        <v>385</v>
      </c>
      <c r="J1127" s="1058"/>
      <c r="K1127" s="1062" t="s">
        <v>132</v>
      </c>
      <c r="L1127" s="1058"/>
      <c r="M1127" s="1062" t="s">
        <v>386</v>
      </c>
      <c r="N1127" s="1058"/>
    </row>
    <row r="1128" spans="1:14" ht="12.75" customHeight="1" x14ac:dyDescent="0.2">
      <c r="A1128" s="1061"/>
      <c r="B1128" s="1057"/>
      <c r="C1128" s="1057"/>
      <c r="D1128" s="1057"/>
      <c r="E1128" s="1057"/>
      <c r="F1128" s="1057"/>
      <c r="G1128" s="1058"/>
      <c r="H1128" s="9"/>
      <c r="I1128" s="1059"/>
      <c r="J1128" s="1058"/>
      <c r="K1128" s="1064"/>
      <c r="L1128" s="1058"/>
      <c r="M1128" s="1059" t="str">
        <f>IF(A1128="","",I1128*K1128)</f>
        <v/>
      </c>
      <c r="N1128" s="1058"/>
    </row>
    <row r="1129" spans="1:14" ht="12.75" customHeight="1" x14ac:dyDescent="0.2">
      <c r="A1129" s="1056"/>
      <c r="B1129" s="1057"/>
      <c r="C1129" s="1057"/>
      <c r="D1129" s="1057"/>
      <c r="E1129" s="1057"/>
      <c r="F1129" s="1057"/>
      <c r="G1129" s="1058"/>
      <c r="H1129" s="9"/>
      <c r="I1129" s="1059"/>
      <c r="J1129" s="1058"/>
      <c r="K1129" s="1064"/>
      <c r="L1129" s="1058"/>
      <c r="M1129" s="1059" t="str">
        <f>IF(A1129="","",I1129*K1129)</f>
        <v/>
      </c>
      <c r="N1129" s="1058"/>
    </row>
    <row r="1130" spans="1:14" ht="12.75" customHeight="1" x14ac:dyDescent="0.2">
      <c r="A1130" s="1061"/>
      <c r="B1130" s="1057"/>
      <c r="C1130" s="1057"/>
      <c r="D1130" s="1057"/>
      <c r="E1130" s="1057"/>
      <c r="F1130" s="1057"/>
      <c r="G1130" s="1058"/>
      <c r="H1130" s="9"/>
      <c r="I1130" s="1059"/>
      <c r="J1130" s="1058"/>
      <c r="K1130" s="1060"/>
      <c r="L1130" s="1058"/>
      <c r="M1130" s="1059" t="str">
        <f>IF(A1130="","",I1130*K1130)</f>
        <v/>
      </c>
      <c r="N1130" s="1058"/>
    </row>
    <row r="1131" spans="1:14" ht="12.75" customHeight="1" x14ac:dyDescent="0.2">
      <c r="A1131" s="1061"/>
      <c r="B1131" s="1057"/>
      <c r="C1131" s="1057"/>
      <c r="D1131" s="1057"/>
      <c r="E1131" s="1057"/>
      <c r="F1131" s="1057"/>
      <c r="G1131" s="1058"/>
      <c r="H1131" s="9"/>
      <c r="I1131" s="1059"/>
      <c r="J1131" s="1058"/>
      <c r="K1131" s="1060"/>
      <c r="L1131" s="1058"/>
      <c r="M1131" s="1059" t="str">
        <f>IF(A1131="","",I1131*K1131)</f>
        <v/>
      </c>
      <c r="N1131" s="1058"/>
    </row>
    <row r="1132" spans="1:14" ht="12.75" customHeight="1" x14ac:dyDescent="0.2">
      <c r="A1132" s="1061"/>
      <c r="B1132" s="1057"/>
      <c r="C1132" s="1057"/>
      <c r="D1132" s="1057"/>
      <c r="E1132" s="1057"/>
      <c r="F1132" s="1057"/>
      <c r="G1132" s="1058"/>
      <c r="H1132" s="9"/>
      <c r="I1132" s="1059"/>
      <c r="J1132" s="1058"/>
      <c r="K1132" s="1060"/>
      <c r="L1132" s="1058"/>
      <c r="M1132" s="1059" t="str">
        <f>IF(A1132="","",I1132*K1132)</f>
        <v/>
      </c>
      <c r="N1132" s="1058"/>
    </row>
    <row r="1133" spans="1:14" ht="12.75" customHeight="1" x14ac:dyDescent="0.25">
      <c r="A1133" s="3"/>
      <c r="B1133" s="3"/>
      <c r="C1133" s="3"/>
      <c r="D1133" s="3"/>
      <c r="E1133" s="3"/>
      <c r="F1133" s="3"/>
      <c r="G1133" s="3"/>
      <c r="H1133" s="3"/>
      <c r="I1133" s="3"/>
      <c r="J1133" s="3"/>
      <c r="K1133" s="1066" t="s">
        <v>201</v>
      </c>
      <c r="L1133" s="1058"/>
      <c r="M1133" s="1059">
        <f>SUM(M1128:N1132)</f>
        <v>0</v>
      </c>
      <c r="N1133" s="1058"/>
    </row>
    <row r="1134" spans="1:14" ht="12.75" customHeight="1" x14ac:dyDescent="0.25">
      <c r="A1134" s="3"/>
      <c r="B1134" s="3"/>
      <c r="C1134" s="3"/>
      <c r="D1134" s="3"/>
      <c r="E1134" s="3"/>
      <c r="F1134" s="3"/>
      <c r="G1134" s="3"/>
      <c r="H1134" s="3"/>
      <c r="I1134" s="3"/>
      <c r="J1134" s="3"/>
      <c r="K1134" s="3"/>
      <c r="L1134" s="3"/>
      <c r="M1134" s="3"/>
      <c r="N1134" s="3"/>
    </row>
    <row r="1135" spans="1:14" ht="12.75" customHeight="1" x14ac:dyDescent="0.2">
      <c r="A1135" s="1065" t="s">
        <v>394</v>
      </c>
      <c r="B1135" s="1057"/>
      <c r="C1135" s="1057"/>
      <c r="D1135" s="1057"/>
      <c r="E1135" s="1057"/>
      <c r="F1135" s="1057"/>
      <c r="G1135" s="1057"/>
      <c r="H1135" s="1057"/>
      <c r="I1135" s="1057"/>
      <c r="J1135" s="1057"/>
      <c r="K1135" s="1057"/>
      <c r="L1135" s="1057"/>
      <c r="M1135" s="1057"/>
      <c r="N1135" s="1058"/>
    </row>
    <row r="1136" spans="1:14" ht="12.75" customHeight="1" x14ac:dyDescent="0.2">
      <c r="A1136" s="1066" t="s">
        <v>38</v>
      </c>
      <c r="B1136" s="1057"/>
      <c r="C1136" s="1057"/>
      <c r="D1136" s="1057"/>
      <c r="E1136" s="1057"/>
      <c r="F1136" s="1057"/>
      <c r="G1136" s="1058"/>
      <c r="H1136" s="28" t="s">
        <v>39</v>
      </c>
      <c r="I1136" s="1062" t="s">
        <v>385</v>
      </c>
      <c r="J1136" s="1058"/>
      <c r="K1136" s="30" t="s">
        <v>193</v>
      </c>
      <c r="L1136" s="31" t="s">
        <v>395</v>
      </c>
      <c r="M1136" s="1062" t="s">
        <v>386</v>
      </c>
      <c r="N1136" s="1058"/>
    </row>
    <row r="1137" spans="1:15" ht="12.75" customHeight="1" x14ac:dyDescent="0.25">
      <c r="A1137" s="1063" t="s">
        <v>423</v>
      </c>
      <c r="B1137" s="1057"/>
      <c r="C1137" s="1057"/>
      <c r="D1137" s="1057"/>
      <c r="E1137" s="1057"/>
      <c r="F1137" s="1057"/>
      <c r="G1137" s="1058"/>
      <c r="H1137" s="9" t="str">
        <f>IF(A1137="","",VLOOKUP(A1137,AA_Cuadrillas,4,FALSE))</f>
        <v>Cuadrilla</v>
      </c>
      <c r="I1137" s="1059">
        <f>IF(A1137="","",VLOOKUP(A1137,AA_Cuadrillas,5,FALSE))</f>
        <v>134236</v>
      </c>
      <c r="J1137" s="1058"/>
      <c r="K1137" s="1">
        <f>IF(A1137="","",'06'!$J$3)</f>
        <v>1.7233500000000002</v>
      </c>
      <c r="L1137" s="37">
        <v>0.8</v>
      </c>
      <c r="M1137" s="1059">
        <f>IF(A1137="","",I1137*K1137*L1137)</f>
        <v>185068.48848000003</v>
      </c>
      <c r="N1137" s="1058"/>
    </row>
    <row r="1138" spans="1:15" ht="12.75" customHeight="1" x14ac:dyDescent="0.25">
      <c r="A1138" s="1063"/>
      <c r="B1138" s="1057"/>
      <c r="C1138" s="1057"/>
      <c r="D1138" s="1057"/>
      <c r="E1138" s="1057"/>
      <c r="F1138" s="1057"/>
      <c r="G1138" s="1058"/>
      <c r="H1138" s="9" t="str">
        <f>IF(A1138="","",VLOOKUP(A1138,AA_Cuadrillas,4,FALSE))</f>
        <v/>
      </c>
      <c r="I1138" s="1059" t="str">
        <f>IF(A1138="","",VLOOKUP(A1138,AA_Cuadrillas,5,FALSE))</f>
        <v/>
      </c>
      <c r="J1138" s="1058"/>
      <c r="K1138" s="1" t="str">
        <f>IF(A1138="","",'06'!$J$3)</f>
        <v/>
      </c>
      <c r="L1138" s="1"/>
      <c r="M1138" s="1059" t="str">
        <f>IF(A1138="","",I1138*K1138*L1138)</f>
        <v/>
      </c>
      <c r="N1138" s="1058"/>
    </row>
    <row r="1139" spans="1:15" ht="12.75" customHeight="1" x14ac:dyDescent="0.25">
      <c r="A1139" s="1063"/>
      <c r="B1139" s="1057"/>
      <c r="C1139" s="1057"/>
      <c r="D1139" s="1057"/>
      <c r="E1139" s="1057"/>
      <c r="F1139" s="1057"/>
      <c r="G1139" s="1058"/>
      <c r="H1139" s="9" t="str">
        <f>IF(A1139="","",VLOOKUP(A1139,AA_Cuadrillas,4,FALSE))</f>
        <v/>
      </c>
      <c r="I1139" s="1059" t="str">
        <f>IF(A1139="","",VLOOKUP(A1139,AA_Cuadrillas,5,FALSE))</f>
        <v/>
      </c>
      <c r="J1139" s="1058"/>
      <c r="K1139" s="1" t="str">
        <f>IF(A1139="","",'06'!$J$3)</f>
        <v/>
      </c>
      <c r="L1139" s="10"/>
      <c r="M1139" s="1059" t="str">
        <f>IF(A1139="","",I1139*K1139*L1139)</f>
        <v/>
      </c>
      <c r="N1139" s="1058"/>
    </row>
    <row r="1140" spans="1:15" ht="12.75" customHeight="1" x14ac:dyDescent="0.25">
      <c r="A1140" s="1063"/>
      <c r="B1140" s="1057"/>
      <c r="C1140" s="1057"/>
      <c r="D1140" s="1057"/>
      <c r="E1140" s="1057"/>
      <c r="F1140" s="1057"/>
      <c r="G1140" s="1058"/>
      <c r="H1140" s="9" t="str">
        <f>IF(A1140="","",VLOOKUP(A1140,AA_Cuadrillas,4,FALSE))</f>
        <v/>
      </c>
      <c r="I1140" s="1059" t="str">
        <f>IF(A1140="","",VLOOKUP(A1140,AA_Cuadrillas,5,FALSE))</f>
        <v/>
      </c>
      <c r="J1140" s="1058"/>
      <c r="K1140" s="1" t="str">
        <f>IF(A1140="","",'06'!$J$3)</f>
        <v/>
      </c>
      <c r="L1140" s="10"/>
      <c r="M1140" s="1059" t="str">
        <f>IF(A1140="","",I1140*K1140*L1140)</f>
        <v/>
      </c>
      <c r="N1140" s="1058"/>
    </row>
    <row r="1141" spans="1:15" ht="12.75" customHeight="1" x14ac:dyDescent="0.25">
      <c r="A1141" s="1063"/>
      <c r="B1141" s="1057"/>
      <c r="C1141" s="1057"/>
      <c r="D1141" s="1057"/>
      <c r="E1141" s="1057"/>
      <c r="F1141" s="1057"/>
      <c r="G1141" s="1058"/>
      <c r="H1141" s="9" t="str">
        <f>IF(A1141="","",VLOOKUP(A1141,AA_Cuadrillas,4,FALSE))</f>
        <v/>
      </c>
      <c r="I1141" s="1059" t="str">
        <f>IF(A1141="","",VLOOKUP(A1141,AA_Cuadrillas,5,FALSE))</f>
        <v/>
      </c>
      <c r="J1141" s="1058"/>
      <c r="K1141" s="1" t="str">
        <f>IF(A1141="","",'06'!$J$3)</f>
        <v/>
      </c>
      <c r="L1141" s="10"/>
      <c r="M1141" s="1059" t="str">
        <f>IF(A1141="","",I1141*K1141*L1141)</f>
        <v/>
      </c>
      <c r="N1141" s="1058"/>
    </row>
    <row r="1142" spans="1:15" ht="12.75" customHeight="1" x14ac:dyDescent="0.25">
      <c r="A1142" s="3"/>
      <c r="B1142" s="3"/>
      <c r="C1142" s="3"/>
      <c r="D1142" s="3"/>
      <c r="E1142" s="3"/>
      <c r="F1142" s="3"/>
      <c r="G1142" s="3"/>
      <c r="H1142" s="3"/>
      <c r="I1142" s="3"/>
      <c r="J1142" s="3"/>
      <c r="K1142" s="1066" t="s">
        <v>201</v>
      </c>
      <c r="L1142" s="1058"/>
      <c r="M1142" s="1059">
        <f>SUM(M1137:N1141)</f>
        <v>185068.48848000003</v>
      </c>
      <c r="N1142" s="1058"/>
    </row>
    <row r="1143" spans="1:15" ht="12.75" customHeight="1" x14ac:dyDescent="0.2"/>
    <row r="1144" spans="1:15" ht="12.75" customHeight="1" x14ac:dyDescent="0.2">
      <c r="A1144" s="1072" t="s">
        <v>1692</v>
      </c>
      <c r="B1144" s="1052"/>
      <c r="C1144" s="1052"/>
      <c r="D1144" s="1052"/>
      <c r="E1144" s="1052"/>
      <c r="F1144" s="1052"/>
      <c r="G1144" s="1052"/>
      <c r="H1144" s="1052"/>
      <c r="I1144" s="1052"/>
      <c r="J1144" s="1052"/>
      <c r="K1144" s="1052"/>
      <c r="L1144" s="1052"/>
      <c r="M1144" s="1052"/>
      <c r="N1144" s="1053"/>
      <c r="O1144" s="7"/>
    </row>
    <row r="1145" spans="1:15" ht="12.75" customHeight="1" x14ac:dyDescent="0.2">
      <c r="A1145" s="1031"/>
      <c r="B1145" s="1032"/>
      <c r="C1145" s="1032"/>
      <c r="D1145" s="1032"/>
      <c r="E1145" s="1032"/>
      <c r="F1145" s="1032"/>
      <c r="G1145" s="1032"/>
      <c r="H1145" s="1032"/>
      <c r="I1145" s="1032"/>
      <c r="J1145" s="1032"/>
      <c r="K1145" s="1032"/>
      <c r="L1145" s="1032"/>
      <c r="M1145" s="1032"/>
      <c r="N1145" s="1055"/>
      <c r="O1145" s="7"/>
    </row>
    <row r="1146" spans="1:15" ht="12.75" customHeight="1" x14ac:dyDescent="0.2">
      <c r="A1146" s="16"/>
      <c r="B1146" s="16"/>
      <c r="C1146" s="16"/>
      <c r="D1146" s="16"/>
      <c r="E1146" s="16"/>
      <c r="F1146" s="16"/>
      <c r="G1146" s="16"/>
      <c r="H1146" s="16"/>
      <c r="I1146" s="16"/>
      <c r="J1146" s="16"/>
      <c r="K1146" s="16"/>
      <c r="L1146" s="16"/>
      <c r="M1146" s="16"/>
      <c r="N1146" s="16"/>
    </row>
    <row r="1147" spans="1:15" ht="12.75" customHeight="1" x14ac:dyDescent="0.3">
      <c r="A1147" s="18" t="s">
        <v>317</v>
      </c>
      <c r="B1147" s="19" t="str">
        <f>A1144</f>
        <v>SUMINISTRO E INSTALACIÓN CODO PE100 90° Ø3" PEAD PN10 RDE 17.  INCLUYE TRANSPORTE.</v>
      </c>
      <c r="C1147" s="20" t="s">
        <v>382</v>
      </c>
      <c r="D1147" s="21" t="s">
        <v>424</v>
      </c>
      <c r="E1147" s="22" t="s">
        <v>125</v>
      </c>
      <c r="F1147" s="26">
        <f>(H1147+J1147+L1147+N1147)*$O$2</f>
        <v>234487.96627034998</v>
      </c>
      <c r="G1147" s="22" t="s">
        <v>285</v>
      </c>
      <c r="H1147" s="26">
        <f>M1168</f>
        <v>1735.0170795000004</v>
      </c>
      <c r="I1147" s="22" t="s">
        <v>383</v>
      </c>
      <c r="J1147" s="38">
        <f>M1159</f>
        <v>143940</v>
      </c>
      <c r="K1147" s="22" t="s">
        <v>287</v>
      </c>
      <c r="L1147" s="26">
        <f>M1177</f>
        <v>0</v>
      </c>
      <c r="M1147" s="22" t="s">
        <v>288</v>
      </c>
      <c r="N1147" s="26">
        <f>M1186</f>
        <v>34700.341590000004</v>
      </c>
    </row>
    <row r="1148" spans="1:15" ht="12.75" customHeight="1" x14ac:dyDescent="0.25">
      <c r="A1148" s="27"/>
      <c r="B1148" s="27"/>
      <c r="C1148" s="27"/>
      <c r="D1148" s="27"/>
      <c r="E1148" s="27"/>
      <c r="F1148" s="27"/>
      <c r="G1148" s="27"/>
      <c r="J1148" s="27"/>
      <c r="K1148" s="27"/>
      <c r="L1148" s="27"/>
      <c r="M1148" s="27"/>
      <c r="N1148" s="27"/>
    </row>
    <row r="1149" spans="1:15" ht="12.75" customHeight="1" x14ac:dyDescent="0.2">
      <c r="A1149" s="1065" t="s">
        <v>384</v>
      </c>
      <c r="B1149" s="1057"/>
      <c r="C1149" s="1057"/>
      <c r="D1149" s="1057"/>
      <c r="E1149" s="1057"/>
      <c r="F1149" s="1057"/>
      <c r="G1149" s="1057"/>
      <c r="H1149" s="1057"/>
      <c r="I1149" s="1057"/>
      <c r="J1149" s="1057"/>
      <c r="K1149" s="1057"/>
      <c r="L1149" s="1057"/>
      <c r="M1149" s="1057"/>
      <c r="N1149" s="1058"/>
    </row>
    <row r="1150" spans="1:15" ht="12.75" customHeight="1" x14ac:dyDescent="0.2">
      <c r="A1150" s="1066" t="s">
        <v>38</v>
      </c>
      <c r="B1150" s="1057"/>
      <c r="C1150" s="1057"/>
      <c r="D1150" s="1057"/>
      <c r="E1150" s="1057"/>
      <c r="F1150" s="1057"/>
      <c r="G1150" s="1058"/>
      <c r="H1150" s="28" t="s">
        <v>39</v>
      </c>
      <c r="I1150" s="1062" t="s">
        <v>385</v>
      </c>
      <c r="J1150" s="1058"/>
      <c r="K1150" s="1062" t="s">
        <v>132</v>
      </c>
      <c r="L1150" s="1058"/>
      <c r="M1150" s="1062" t="s">
        <v>386</v>
      </c>
      <c r="N1150" s="1058"/>
    </row>
    <row r="1151" spans="1:15" ht="12.75" customHeight="1" x14ac:dyDescent="0.2">
      <c r="A1151" s="1056" t="s">
        <v>1532</v>
      </c>
      <c r="B1151" s="1057"/>
      <c r="C1151" s="1057"/>
      <c r="D1151" s="1057"/>
      <c r="E1151" s="1057"/>
      <c r="F1151" s="1057"/>
      <c r="G1151" s="1058"/>
      <c r="H1151" s="9" t="str">
        <f t="shared" ref="H1151:H1158" si="77">IF(A1151="","",VLOOKUP(A1151,AA_Materiales,7,FALSE))</f>
        <v>Unidad</v>
      </c>
      <c r="I1151" s="1059">
        <f t="shared" ref="I1151:I1158" si="78">IF(A1151="","",VLOOKUP(A1151,AA_Materiales,8,FALSE))</f>
        <v>143940</v>
      </c>
      <c r="J1151" s="1058"/>
      <c r="K1151" s="1060">
        <v>1</v>
      </c>
      <c r="L1151" s="1058"/>
      <c r="M1151" s="1059">
        <f t="shared" ref="M1151:M1158" si="79">IF(A1151="","",I1151*K1151)</f>
        <v>143940</v>
      </c>
      <c r="N1151" s="1058"/>
    </row>
    <row r="1152" spans="1:15" ht="12.75" customHeight="1" x14ac:dyDescent="0.2">
      <c r="A1152" s="1056"/>
      <c r="B1152" s="1057"/>
      <c r="C1152" s="1057"/>
      <c r="D1152" s="1057"/>
      <c r="E1152" s="1057"/>
      <c r="F1152" s="1057"/>
      <c r="G1152" s="1058"/>
      <c r="H1152" s="9" t="str">
        <f t="shared" si="77"/>
        <v/>
      </c>
      <c r="I1152" s="1059" t="str">
        <f t="shared" si="78"/>
        <v/>
      </c>
      <c r="J1152" s="1058"/>
      <c r="K1152" s="1060"/>
      <c r="L1152" s="1058"/>
      <c r="M1152" s="1059" t="str">
        <f t="shared" si="79"/>
        <v/>
      </c>
      <c r="N1152" s="1058"/>
    </row>
    <row r="1153" spans="1:14" ht="12.75" customHeight="1" x14ac:dyDescent="0.2">
      <c r="A1153" s="1056"/>
      <c r="B1153" s="1057"/>
      <c r="C1153" s="1057"/>
      <c r="D1153" s="1057"/>
      <c r="E1153" s="1057"/>
      <c r="F1153" s="1057"/>
      <c r="G1153" s="1058"/>
      <c r="H1153" s="9" t="str">
        <f t="shared" si="77"/>
        <v/>
      </c>
      <c r="I1153" s="1059" t="str">
        <f t="shared" si="78"/>
        <v/>
      </c>
      <c r="J1153" s="1058"/>
      <c r="K1153" s="1060"/>
      <c r="L1153" s="1058"/>
      <c r="M1153" s="1059" t="str">
        <f t="shared" si="79"/>
        <v/>
      </c>
      <c r="N1153" s="1058"/>
    </row>
    <row r="1154" spans="1:14" ht="12.75" customHeight="1" x14ac:dyDescent="0.2">
      <c r="A1154" s="1056"/>
      <c r="B1154" s="1057"/>
      <c r="C1154" s="1057"/>
      <c r="D1154" s="1057"/>
      <c r="E1154" s="1057"/>
      <c r="F1154" s="1057"/>
      <c r="G1154" s="1058"/>
      <c r="H1154" s="9" t="str">
        <f t="shared" si="77"/>
        <v/>
      </c>
      <c r="I1154" s="1059" t="str">
        <f t="shared" si="78"/>
        <v/>
      </c>
      <c r="J1154" s="1058"/>
      <c r="K1154" s="1060"/>
      <c r="L1154" s="1058"/>
      <c r="M1154" s="1059" t="str">
        <f t="shared" si="79"/>
        <v/>
      </c>
      <c r="N1154" s="1058"/>
    </row>
    <row r="1155" spans="1:14" ht="12.75" customHeight="1" x14ac:dyDescent="0.2">
      <c r="A1155" s="1056"/>
      <c r="B1155" s="1057"/>
      <c r="C1155" s="1057"/>
      <c r="D1155" s="1057"/>
      <c r="E1155" s="1057"/>
      <c r="F1155" s="1057"/>
      <c r="G1155" s="1058"/>
      <c r="H1155" s="9" t="str">
        <f t="shared" si="77"/>
        <v/>
      </c>
      <c r="I1155" s="1059" t="str">
        <f t="shared" si="78"/>
        <v/>
      </c>
      <c r="J1155" s="1058"/>
      <c r="K1155" s="1060"/>
      <c r="L1155" s="1058"/>
      <c r="M1155" s="1059" t="str">
        <f t="shared" si="79"/>
        <v/>
      </c>
      <c r="N1155" s="1058"/>
    </row>
    <row r="1156" spans="1:14" ht="12.75" customHeight="1" x14ac:dyDescent="0.2">
      <c r="A1156" s="1056"/>
      <c r="B1156" s="1057"/>
      <c r="C1156" s="1057"/>
      <c r="D1156" s="1057"/>
      <c r="E1156" s="1057"/>
      <c r="F1156" s="1057"/>
      <c r="G1156" s="1058"/>
      <c r="H1156" s="9" t="str">
        <f t="shared" si="77"/>
        <v/>
      </c>
      <c r="I1156" s="1059" t="str">
        <f t="shared" si="78"/>
        <v/>
      </c>
      <c r="J1156" s="1058"/>
      <c r="K1156" s="1060"/>
      <c r="L1156" s="1058"/>
      <c r="M1156" s="1059" t="str">
        <f t="shared" si="79"/>
        <v/>
      </c>
      <c r="N1156" s="1058"/>
    </row>
    <row r="1157" spans="1:14" ht="12.75" customHeight="1" x14ac:dyDescent="0.2">
      <c r="A1157" s="1056"/>
      <c r="B1157" s="1057"/>
      <c r="C1157" s="1057"/>
      <c r="D1157" s="1057"/>
      <c r="E1157" s="1057"/>
      <c r="F1157" s="1057"/>
      <c r="G1157" s="1058"/>
      <c r="H1157" s="9" t="str">
        <f t="shared" si="77"/>
        <v/>
      </c>
      <c r="I1157" s="1059" t="str">
        <f t="shared" si="78"/>
        <v/>
      </c>
      <c r="J1157" s="1058"/>
      <c r="K1157" s="1060"/>
      <c r="L1157" s="1058"/>
      <c r="M1157" s="1059" t="str">
        <f t="shared" si="79"/>
        <v/>
      </c>
      <c r="N1157" s="1058"/>
    </row>
    <row r="1158" spans="1:14" ht="12.75" customHeight="1" x14ac:dyDescent="0.2">
      <c r="A1158" s="1056"/>
      <c r="B1158" s="1057"/>
      <c r="C1158" s="1057"/>
      <c r="D1158" s="1057"/>
      <c r="E1158" s="1057"/>
      <c r="F1158" s="1057"/>
      <c r="G1158" s="1058"/>
      <c r="H1158" s="9" t="str">
        <f t="shared" si="77"/>
        <v/>
      </c>
      <c r="I1158" s="1059" t="str">
        <f t="shared" si="78"/>
        <v/>
      </c>
      <c r="J1158" s="1058"/>
      <c r="K1158" s="1060"/>
      <c r="L1158" s="1058"/>
      <c r="M1158" s="1059" t="str">
        <f t="shared" si="79"/>
        <v/>
      </c>
      <c r="N1158" s="1058"/>
    </row>
    <row r="1159" spans="1:14" ht="12.75" customHeight="1" x14ac:dyDescent="0.25">
      <c r="A1159" s="3"/>
      <c r="B1159" s="3"/>
      <c r="C1159" s="3"/>
      <c r="D1159" s="3"/>
      <c r="E1159" s="3"/>
      <c r="F1159" s="3"/>
      <c r="G1159" s="3"/>
      <c r="H1159" s="3"/>
      <c r="I1159" s="3"/>
      <c r="J1159" s="3"/>
      <c r="K1159" s="1066" t="s">
        <v>201</v>
      </c>
      <c r="L1159" s="1058"/>
      <c r="M1159" s="1059">
        <f>SUM(M1151:N1158)</f>
        <v>143940</v>
      </c>
      <c r="N1159" s="1058"/>
    </row>
    <row r="1160" spans="1:14" ht="12.75" customHeight="1" x14ac:dyDescent="0.25">
      <c r="A1160" s="3"/>
      <c r="B1160" s="3"/>
      <c r="C1160" s="3"/>
      <c r="D1160" s="3"/>
      <c r="E1160" s="3"/>
      <c r="F1160" s="3"/>
      <c r="G1160" s="3"/>
      <c r="H1160" s="3"/>
      <c r="I1160" s="3"/>
      <c r="J1160" s="3"/>
      <c r="K1160" s="3"/>
      <c r="L1160" s="3"/>
      <c r="M1160" s="3"/>
      <c r="N1160" s="3"/>
    </row>
    <row r="1161" spans="1:14" ht="12.75" customHeight="1" x14ac:dyDescent="0.2">
      <c r="A1161" s="1065" t="s">
        <v>390</v>
      </c>
      <c r="B1161" s="1057"/>
      <c r="C1161" s="1057"/>
      <c r="D1161" s="1057"/>
      <c r="E1161" s="1057"/>
      <c r="F1161" s="1057"/>
      <c r="G1161" s="1057"/>
      <c r="H1161" s="1057"/>
      <c r="I1161" s="1057"/>
      <c r="J1161" s="1057"/>
      <c r="K1161" s="1057"/>
      <c r="L1161" s="1057"/>
      <c r="M1161" s="1057"/>
      <c r="N1161" s="1058"/>
    </row>
    <row r="1162" spans="1:14" ht="12.75" customHeight="1" x14ac:dyDescent="0.2">
      <c r="A1162" s="1066" t="s">
        <v>38</v>
      </c>
      <c r="B1162" s="1057"/>
      <c r="C1162" s="1057"/>
      <c r="D1162" s="1057"/>
      <c r="E1162" s="1057"/>
      <c r="F1162" s="1057"/>
      <c r="G1162" s="1058"/>
      <c r="H1162" s="28" t="s">
        <v>39</v>
      </c>
      <c r="I1162" s="1062" t="s">
        <v>385</v>
      </c>
      <c r="J1162" s="1058"/>
      <c r="K1162" s="1062" t="s">
        <v>132</v>
      </c>
      <c r="L1162" s="1058"/>
      <c r="M1162" s="1062" t="s">
        <v>386</v>
      </c>
      <c r="N1162" s="1058"/>
    </row>
    <row r="1163" spans="1:14" ht="12.75" customHeight="1" x14ac:dyDescent="0.2">
      <c r="A1163" s="1061" t="s">
        <v>391</v>
      </c>
      <c r="B1163" s="1057"/>
      <c r="C1163" s="1057"/>
      <c r="D1163" s="1057"/>
      <c r="E1163" s="1057"/>
      <c r="F1163" s="1057"/>
      <c r="G1163" s="1058"/>
      <c r="H1163" s="9" t="str">
        <f>IF(A1163="","",VLOOKUP(A1163,AA_Equipos,7,FALSE))</f>
        <v>% M.O.</v>
      </c>
      <c r="I1163" s="1059">
        <f>+M1186</f>
        <v>34700.341590000004</v>
      </c>
      <c r="J1163" s="1058"/>
      <c r="K1163" s="1064">
        <v>0.05</v>
      </c>
      <c r="L1163" s="1058"/>
      <c r="M1163" s="1059">
        <f>IF(A1163="","",I1163*K1163)</f>
        <v>1735.0170795000004</v>
      </c>
      <c r="N1163" s="1058"/>
    </row>
    <row r="1164" spans="1:14" ht="12.75" customHeight="1" x14ac:dyDescent="0.2">
      <c r="A1164" s="1056"/>
      <c r="B1164" s="1057"/>
      <c r="C1164" s="1057"/>
      <c r="D1164" s="1057"/>
      <c r="E1164" s="1057"/>
      <c r="F1164" s="1057"/>
      <c r="G1164" s="1058"/>
      <c r="H1164" s="9" t="str">
        <f>IF(A1164="","",VLOOKUP(A1164,AA_Equipos,7,FALSE))</f>
        <v/>
      </c>
      <c r="I1164" s="1059" t="str">
        <f>IF(A1164="","",VLOOKUP(A1164,AA_Equipos,8,FALSE))</f>
        <v/>
      </c>
      <c r="J1164" s="1058"/>
      <c r="K1164" s="1067"/>
      <c r="L1164" s="1058"/>
      <c r="M1164" s="1059" t="str">
        <f>IF(A1164="","",I1164*K1164)</f>
        <v/>
      </c>
      <c r="N1164" s="1058"/>
    </row>
    <row r="1165" spans="1:14" ht="12.75" customHeight="1" x14ac:dyDescent="0.2">
      <c r="A1165" s="1061"/>
      <c r="B1165" s="1057"/>
      <c r="C1165" s="1057"/>
      <c r="D1165" s="1057"/>
      <c r="E1165" s="1057"/>
      <c r="F1165" s="1057"/>
      <c r="G1165" s="1058"/>
      <c r="H1165" s="9" t="str">
        <f>IF(A1165="","",VLOOKUP(A1165,AA_Equipos,7,FALSE))</f>
        <v/>
      </c>
      <c r="I1165" s="1059" t="str">
        <f>IF(A1165="","",VLOOKUP(A1165,AA_Equipos,8,FALSE))</f>
        <v/>
      </c>
      <c r="J1165" s="1058"/>
      <c r="K1165" s="1070"/>
      <c r="L1165" s="1058"/>
      <c r="M1165" s="1059" t="str">
        <f>IF(A1165="","",I1165*K1165)</f>
        <v/>
      </c>
      <c r="N1165" s="1058"/>
    </row>
    <row r="1166" spans="1:14" ht="12.75" customHeight="1" x14ac:dyDescent="0.2">
      <c r="A1166" s="1061"/>
      <c r="B1166" s="1057"/>
      <c r="C1166" s="1057"/>
      <c r="D1166" s="1057"/>
      <c r="E1166" s="1057"/>
      <c r="F1166" s="1057"/>
      <c r="G1166" s="1058"/>
      <c r="H1166" s="9" t="str">
        <f>IF(A1166="","",VLOOKUP(A1166,AA_Equipos,7,FALSE))</f>
        <v/>
      </c>
      <c r="I1166" s="1059" t="str">
        <f>IF(A1166="","",VLOOKUP(A1166,AA_Equipos,8,FALSE))</f>
        <v/>
      </c>
      <c r="J1166" s="1058"/>
      <c r="K1166" s="1060"/>
      <c r="L1166" s="1058"/>
      <c r="M1166" s="1059" t="str">
        <f>IF(A1166="","",I1166*K1166)</f>
        <v/>
      </c>
      <c r="N1166" s="1058"/>
    </row>
    <row r="1167" spans="1:14" ht="12.75" customHeight="1" x14ac:dyDescent="0.2">
      <c r="A1167" s="1061"/>
      <c r="B1167" s="1057"/>
      <c r="C1167" s="1057"/>
      <c r="D1167" s="1057"/>
      <c r="E1167" s="1057"/>
      <c r="F1167" s="1057"/>
      <c r="G1167" s="1058"/>
      <c r="H1167" s="9" t="str">
        <f>IF(A1167="","",VLOOKUP(A1167,AA_Equipos,7,FALSE))</f>
        <v/>
      </c>
      <c r="I1167" s="1059" t="str">
        <f>IF(A1167="","",VLOOKUP(A1167,AA_Equipos,8,FALSE))</f>
        <v/>
      </c>
      <c r="J1167" s="1058"/>
      <c r="K1167" s="1060"/>
      <c r="L1167" s="1058"/>
      <c r="M1167" s="1059" t="str">
        <f>IF(A1167="","",I1167*K1167)</f>
        <v/>
      </c>
      <c r="N1167" s="1058"/>
    </row>
    <row r="1168" spans="1:14" ht="12.75" customHeight="1" x14ac:dyDescent="0.25">
      <c r="A1168" s="3"/>
      <c r="B1168" s="3"/>
      <c r="C1168" s="3"/>
      <c r="D1168" s="3"/>
      <c r="E1168" s="3"/>
      <c r="F1168" s="3"/>
      <c r="G1168" s="3"/>
      <c r="H1168" s="3"/>
      <c r="I1168" s="3"/>
      <c r="J1168" s="3"/>
      <c r="K1168" s="1066" t="s">
        <v>201</v>
      </c>
      <c r="L1168" s="1058"/>
      <c r="M1168" s="1059">
        <f>SUM(M1163:N1167)</f>
        <v>1735.0170795000004</v>
      </c>
      <c r="N1168" s="1058"/>
    </row>
    <row r="1169" spans="1:14" ht="12.75" customHeight="1" x14ac:dyDescent="0.25">
      <c r="A1169" s="3"/>
      <c r="B1169" s="3"/>
      <c r="C1169" s="3"/>
      <c r="D1169" s="3"/>
      <c r="E1169" s="3"/>
      <c r="F1169" s="3"/>
      <c r="G1169" s="3"/>
      <c r="H1169" s="3"/>
      <c r="I1169" s="3"/>
      <c r="J1169" s="3"/>
      <c r="K1169" s="3"/>
      <c r="L1169" s="3"/>
      <c r="M1169" s="3"/>
      <c r="N1169" s="3"/>
    </row>
    <row r="1170" spans="1:14" ht="12.75" customHeight="1" x14ac:dyDescent="0.2">
      <c r="A1170" s="1065" t="s">
        <v>392</v>
      </c>
      <c r="B1170" s="1057"/>
      <c r="C1170" s="1057"/>
      <c r="D1170" s="1057"/>
      <c r="E1170" s="1057"/>
      <c r="F1170" s="1057"/>
      <c r="G1170" s="1057"/>
      <c r="H1170" s="1057"/>
      <c r="I1170" s="1057"/>
      <c r="J1170" s="1057"/>
      <c r="K1170" s="1057"/>
      <c r="L1170" s="1057"/>
      <c r="M1170" s="1057"/>
      <c r="N1170" s="1058"/>
    </row>
    <row r="1171" spans="1:14" ht="12.75" customHeight="1" x14ac:dyDescent="0.2">
      <c r="A1171" s="1066" t="s">
        <v>38</v>
      </c>
      <c r="B1171" s="1057"/>
      <c r="C1171" s="1057"/>
      <c r="D1171" s="1057"/>
      <c r="E1171" s="1057"/>
      <c r="F1171" s="1057"/>
      <c r="G1171" s="1058"/>
      <c r="H1171" s="28" t="s">
        <v>39</v>
      </c>
      <c r="I1171" s="1062" t="s">
        <v>385</v>
      </c>
      <c r="J1171" s="1058"/>
      <c r="K1171" s="1062" t="s">
        <v>132</v>
      </c>
      <c r="L1171" s="1058"/>
      <c r="M1171" s="1062" t="s">
        <v>386</v>
      </c>
      <c r="N1171" s="1058"/>
    </row>
    <row r="1172" spans="1:14" ht="12.75" customHeight="1" x14ac:dyDescent="0.2">
      <c r="A1172" s="1061"/>
      <c r="B1172" s="1057"/>
      <c r="C1172" s="1057"/>
      <c r="D1172" s="1057"/>
      <c r="E1172" s="1057"/>
      <c r="F1172" s="1057"/>
      <c r="G1172" s="1058"/>
      <c r="H1172" s="9"/>
      <c r="I1172" s="1059"/>
      <c r="J1172" s="1058"/>
      <c r="K1172" s="1064"/>
      <c r="L1172" s="1058"/>
      <c r="M1172" s="1059" t="str">
        <f>IF(A1172="","",I1172*K1172)</f>
        <v/>
      </c>
      <c r="N1172" s="1058"/>
    </row>
    <row r="1173" spans="1:14" ht="12.75" customHeight="1" x14ac:dyDescent="0.2">
      <c r="A1173" s="1056"/>
      <c r="B1173" s="1057"/>
      <c r="C1173" s="1057"/>
      <c r="D1173" s="1057"/>
      <c r="E1173" s="1057"/>
      <c r="F1173" s="1057"/>
      <c r="G1173" s="1058"/>
      <c r="H1173" s="9"/>
      <c r="I1173" s="1059"/>
      <c r="J1173" s="1058"/>
      <c r="K1173" s="1064"/>
      <c r="L1173" s="1058"/>
      <c r="M1173" s="1059" t="str">
        <f>IF(A1173="","",I1173*K1173)</f>
        <v/>
      </c>
      <c r="N1173" s="1058"/>
    </row>
    <row r="1174" spans="1:14" ht="12.75" customHeight="1" x14ac:dyDescent="0.2">
      <c r="A1174" s="1061"/>
      <c r="B1174" s="1057"/>
      <c r="C1174" s="1057"/>
      <c r="D1174" s="1057"/>
      <c r="E1174" s="1057"/>
      <c r="F1174" s="1057"/>
      <c r="G1174" s="1058"/>
      <c r="H1174" s="9"/>
      <c r="I1174" s="1059"/>
      <c r="J1174" s="1058"/>
      <c r="K1174" s="1060"/>
      <c r="L1174" s="1058"/>
      <c r="M1174" s="1059" t="str">
        <f>IF(A1174="","",I1174*K1174)</f>
        <v/>
      </c>
      <c r="N1174" s="1058"/>
    </row>
    <row r="1175" spans="1:14" ht="12.75" customHeight="1" x14ac:dyDescent="0.2">
      <c r="A1175" s="1061"/>
      <c r="B1175" s="1057"/>
      <c r="C1175" s="1057"/>
      <c r="D1175" s="1057"/>
      <c r="E1175" s="1057"/>
      <c r="F1175" s="1057"/>
      <c r="G1175" s="1058"/>
      <c r="H1175" s="9"/>
      <c r="I1175" s="1059"/>
      <c r="J1175" s="1058"/>
      <c r="K1175" s="1060"/>
      <c r="L1175" s="1058"/>
      <c r="M1175" s="1059" t="str">
        <f>IF(A1175="","",I1175*K1175)</f>
        <v/>
      </c>
      <c r="N1175" s="1058"/>
    </row>
    <row r="1176" spans="1:14" ht="12.75" customHeight="1" x14ac:dyDescent="0.2">
      <c r="A1176" s="1061"/>
      <c r="B1176" s="1057"/>
      <c r="C1176" s="1057"/>
      <c r="D1176" s="1057"/>
      <c r="E1176" s="1057"/>
      <c r="F1176" s="1057"/>
      <c r="G1176" s="1058"/>
      <c r="H1176" s="9"/>
      <c r="I1176" s="1059"/>
      <c r="J1176" s="1058"/>
      <c r="K1176" s="1060"/>
      <c r="L1176" s="1058"/>
      <c r="M1176" s="1059" t="str">
        <f>IF(A1176="","",I1176*K1176)</f>
        <v/>
      </c>
      <c r="N1176" s="1058"/>
    </row>
    <row r="1177" spans="1:14" ht="12.75" customHeight="1" x14ac:dyDescent="0.25">
      <c r="A1177" s="3"/>
      <c r="B1177" s="3"/>
      <c r="C1177" s="3"/>
      <c r="D1177" s="3"/>
      <c r="E1177" s="3"/>
      <c r="F1177" s="3"/>
      <c r="G1177" s="3"/>
      <c r="H1177" s="3"/>
      <c r="I1177" s="3"/>
      <c r="J1177" s="3"/>
      <c r="K1177" s="1066" t="s">
        <v>201</v>
      </c>
      <c r="L1177" s="1058"/>
      <c r="M1177" s="1059">
        <f>SUM(M1172:N1176)</f>
        <v>0</v>
      </c>
      <c r="N1177" s="1058"/>
    </row>
    <row r="1178" spans="1:14" ht="12.75" customHeight="1" x14ac:dyDescent="0.25">
      <c r="A1178" s="3"/>
      <c r="B1178" s="3"/>
      <c r="C1178" s="3"/>
      <c r="D1178" s="3"/>
      <c r="E1178" s="3"/>
      <c r="F1178" s="3"/>
      <c r="G1178" s="3"/>
      <c r="H1178" s="3"/>
      <c r="I1178" s="3"/>
      <c r="J1178" s="3"/>
      <c r="K1178" s="3"/>
      <c r="L1178" s="3"/>
      <c r="M1178" s="3"/>
      <c r="N1178" s="3"/>
    </row>
    <row r="1179" spans="1:14" ht="12.75" customHeight="1" x14ac:dyDescent="0.2">
      <c r="A1179" s="1065" t="s">
        <v>394</v>
      </c>
      <c r="B1179" s="1057"/>
      <c r="C1179" s="1057"/>
      <c r="D1179" s="1057"/>
      <c r="E1179" s="1057"/>
      <c r="F1179" s="1057"/>
      <c r="G1179" s="1057"/>
      <c r="H1179" s="1057"/>
      <c r="I1179" s="1057"/>
      <c r="J1179" s="1057"/>
      <c r="K1179" s="1057"/>
      <c r="L1179" s="1057"/>
      <c r="M1179" s="1057"/>
      <c r="N1179" s="1058"/>
    </row>
    <row r="1180" spans="1:14" ht="12.75" customHeight="1" x14ac:dyDescent="0.2">
      <c r="A1180" s="1066" t="s">
        <v>38</v>
      </c>
      <c r="B1180" s="1057"/>
      <c r="C1180" s="1057"/>
      <c r="D1180" s="1057"/>
      <c r="E1180" s="1057"/>
      <c r="F1180" s="1057"/>
      <c r="G1180" s="1058"/>
      <c r="H1180" s="28" t="s">
        <v>39</v>
      </c>
      <c r="I1180" s="1062" t="s">
        <v>385</v>
      </c>
      <c r="J1180" s="1058"/>
      <c r="K1180" s="30" t="s">
        <v>193</v>
      </c>
      <c r="L1180" s="31" t="s">
        <v>395</v>
      </c>
      <c r="M1180" s="1062" t="s">
        <v>386</v>
      </c>
      <c r="N1180" s="1058"/>
    </row>
    <row r="1181" spans="1:14" ht="12.75" customHeight="1" x14ac:dyDescent="0.25">
      <c r="A1181" s="1063" t="s">
        <v>423</v>
      </c>
      <c r="B1181" s="1057"/>
      <c r="C1181" s="1057"/>
      <c r="D1181" s="1057"/>
      <c r="E1181" s="1057"/>
      <c r="F1181" s="1057"/>
      <c r="G1181" s="1058"/>
      <c r="H1181" s="9" t="str">
        <f>IF(A1181="","",VLOOKUP(A1181,AA_Cuadrillas,4,FALSE))</f>
        <v>Cuadrilla</v>
      </c>
      <c r="I1181" s="1059">
        <f>IF(A1181="","",VLOOKUP(A1181,AA_Cuadrillas,5,FALSE))</f>
        <v>134236</v>
      </c>
      <c r="J1181" s="1058"/>
      <c r="K1181" s="1">
        <f>IF(A1181="","",'06'!$J$3)</f>
        <v>1.7233500000000002</v>
      </c>
      <c r="L1181" s="37">
        <v>0.15</v>
      </c>
      <c r="M1181" s="1059">
        <f>IF(A1181="","",I1181*K1181*L1181)</f>
        <v>34700.341590000004</v>
      </c>
      <c r="N1181" s="1058"/>
    </row>
    <row r="1182" spans="1:14" ht="12.75" customHeight="1" x14ac:dyDescent="0.25">
      <c r="A1182" s="1063"/>
      <c r="B1182" s="1057"/>
      <c r="C1182" s="1057"/>
      <c r="D1182" s="1057"/>
      <c r="E1182" s="1057"/>
      <c r="F1182" s="1057"/>
      <c r="G1182" s="1058"/>
      <c r="H1182" s="9" t="str">
        <f>IF(A1182="","",VLOOKUP(A1182,AA_Cuadrillas,4,FALSE))</f>
        <v/>
      </c>
      <c r="I1182" s="1059" t="str">
        <f>IF(A1182="","",VLOOKUP(A1182,AA_Cuadrillas,5,FALSE))</f>
        <v/>
      </c>
      <c r="J1182" s="1058"/>
      <c r="K1182" s="1" t="str">
        <f>IF(A1182="","",'06'!$J$3)</f>
        <v/>
      </c>
      <c r="L1182" s="1"/>
      <c r="M1182" s="1059" t="str">
        <f>IF(A1182="","",I1182*K1182*L1182)</f>
        <v/>
      </c>
      <c r="N1182" s="1058"/>
    </row>
    <row r="1183" spans="1:14" ht="12.75" customHeight="1" x14ac:dyDescent="0.25">
      <c r="A1183" s="1063"/>
      <c r="B1183" s="1057"/>
      <c r="C1183" s="1057"/>
      <c r="D1183" s="1057"/>
      <c r="E1183" s="1057"/>
      <c r="F1183" s="1057"/>
      <c r="G1183" s="1058"/>
      <c r="H1183" s="9" t="str">
        <f>IF(A1183="","",VLOOKUP(A1183,AA_Cuadrillas,4,FALSE))</f>
        <v/>
      </c>
      <c r="I1183" s="1059" t="str">
        <f>IF(A1183="","",VLOOKUP(A1183,AA_Cuadrillas,5,FALSE))</f>
        <v/>
      </c>
      <c r="J1183" s="1058"/>
      <c r="K1183" s="1" t="str">
        <f>IF(A1183="","",'06'!$J$3)</f>
        <v/>
      </c>
      <c r="L1183" s="10"/>
      <c r="M1183" s="1059" t="str">
        <f>IF(A1183="","",I1183*K1183*L1183)</f>
        <v/>
      </c>
      <c r="N1183" s="1058"/>
    </row>
    <row r="1184" spans="1:14" ht="12.75" customHeight="1" x14ac:dyDescent="0.25">
      <c r="A1184" s="1063"/>
      <c r="B1184" s="1057"/>
      <c r="C1184" s="1057"/>
      <c r="D1184" s="1057"/>
      <c r="E1184" s="1057"/>
      <c r="F1184" s="1057"/>
      <c r="G1184" s="1058"/>
      <c r="H1184" s="9" t="str">
        <f>IF(A1184="","",VLOOKUP(A1184,AA_Cuadrillas,4,FALSE))</f>
        <v/>
      </c>
      <c r="I1184" s="1059" t="str">
        <f>IF(A1184="","",VLOOKUP(A1184,AA_Cuadrillas,5,FALSE))</f>
        <v/>
      </c>
      <c r="J1184" s="1058"/>
      <c r="K1184" s="1" t="str">
        <f>IF(A1184="","",'06'!$J$3)</f>
        <v/>
      </c>
      <c r="L1184" s="10"/>
      <c r="M1184" s="1059" t="str">
        <f>IF(A1184="","",I1184*K1184*L1184)</f>
        <v/>
      </c>
      <c r="N1184" s="1058"/>
    </row>
    <row r="1185" spans="1:15" ht="12.75" customHeight="1" x14ac:dyDescent="0.25">
      <c r="A1185" s="1063"/>
      <c r="B1185" s="1057"/>
      <c r="C1185" s="1057"/>
      <c r="D1185" s="1057"/>
      <c r="E1185" s="1057"/>
      <c r="F1185" s="1057"/>
      <c r="G1185" s="1058"/>
      <c r="H1185" s="9" t="str">
        <f>IF(A1185="","",VLOOKUP(A1185,AA_Cuadrillas,4,FALSE))</f>
        <v/>
      </c>
      <c r="I1185" s="1059" t="str">
        <f>IF(A1185="","",VLOOKUP(A1185,AA_Cuadrillas,5,FALSE))</f>
        <v/>
      </c>
      <c r="J1185" s="1058"/>
      <c r="K1185" s="1" t="str">
        <f>IF(A1185="","",'06'!$J$3)</f>
        <v/>
      </c>
      <c r="L1185" s="10"/>
      <c r="M1185" s="1059" t="str">
        <f>IF(A1185="","",I1185*K1185*L1185)</f>
        <v/>
      </c>
      <c r="N1185" s="1058"/>
    </row>
    <row r="1186" spans="1:15" ht="12.75" customHeight="1" x14ac:dyDescent="0.25">
      <c r="A1186" s="3"/>
      <c r="B1186" s="3"/>
      <c r="C1186" s="3"/>
      <c r="D1186" s="3"/>
      <c r="E1186" s="3"/>
      <c r="F1186" s="3"/>
      <c r="G1186" s="3"/>
      <c r="H1186" s="3"/>
      <c r="I1186" s="3"/>
      <c r="J1186" s="3"/>
      <c r="K1186" s="1066" t="s">
        <v>201</v>
      </c>
      <c r="L1186" s="1058"/>
      <c r="M1186" s="1059">
        <f>SUM(M1181:N1185)</f>
        <v>34700.341590000004</v>
      </c>
      <c r="N1186" s="1058"/>
    </row>
    <row r="1187" spans="1:15" ht="12.75" customHeight="1" x14ac:dyDescent="0.2"/>
    <row r="1188" spans="1:15" ht="12.75" customHeight="1" x14ac:dyDescent="0.2">
      <c r="A1188" s="1072" t="s">
        <v>1693</v>
      </c>
      <c r="B1188" s="1052"/>
      <c r="C1188" s="1052"/>
      <c r="D1188" s="1052"/>
      <c r="E1188" s="1052"/>
      <c r="F1188" s="1052"/>
      <c r="G1188" s="1052"/>
      <c r="H1188" s="1052"/>
      <c r="I1188" s="1052"/>
      <c r="J1188" s="1052"/>
      <c r="K1188" s="1052"/>
      <c r="L1188" s="1052"/>
      <c r="M1188" s="1052"/>
      <c r="N1188" s="1053"/>
      <c r="O1188" s="7"/>
    </row>
    <row r="1189" spans="1:15" ht="12.75" customHeight="1" x14ac:dyDescent="0.2">
      <c r="A1189" s="1031"/>
      <c r="B1189" s="1032"/>
      <c r="C1189" s="1032"/>
      <c r="D1189" s="1032"/>
      <c r="E1189" s="1032"/>
      <c r="F1189" s="1032"/>
      <c r="G1189" s="1032"/>
      <c r="H1189" s="1032"/>
      <c r="I1189" s="1032"/>
      <c r="J1189" s="1032"/>
      <c r="K1189" s="1032"/>
      <c r="L1189" s="1032"/>
      <c r="M1189" s="1032"/>
      <c r="N1189" s="1055"/>
      <c r="O1189" s="7"/>
    </row>
    <row r="1190" spans="1:15" ht="12.75" customHeight="1" x14ac:dyDescent="0.2">
      <c r="A1190" s="16"/>
      <c r="B1190" s="16"/>
      <c r="C1190" s="16"/>
      <c r="D1190" s="16"/>
      <c r="E1190" s="16"/>
      <c r="F1190" s="16"/>
      <c r="G1190" s="16"/>
      <c r="H1190" s="16"/>
      <c r="I1190" s="16"/>
      <c r="J1190" s="16"/>
      <c r="K1190" s="16"/>
      <c r="L1190" s="16"/>
      <c r="M1190" s="16"/>
      <c r="N1190" s="16"/>
    </row>
    <row r="1191" spans="1:15" ht="12.75" customHeight="1" x14ac:dyDescent="0.3">
      <c r="A1191" s="18" t="s">
        <v>318</v>
      </c>
      <c r="B1191" s="19" t="str">
        <f>A1188</f>
        <v>SUMINISTRO E INSTALACIÓN CODO PE100 45° Ø3" PEAD PN10 RDE 17.  INCLUYE TRANSPORTE.</v>
      </c>
      <c r="C1191" s="20" t="s">
        <v>382</v>
      </c>
      <c r="D1191" s="21" t="s">
        <v>424</v>
      </c>
      <c r="E1191" s="22" t="s">
        <v>125</v>
      </c>
      <c r="F1191" s="26">
        <f>(H1191+J1191+L1191+N1191)*$O$2</f>
        <v>223168.53905959538</v>
      </c>
      <c r="G1191" s="22" t="s">
        <v>285</v>
      </c>
      <c r="H1191" s="26">
        <f>M1212</f>
        <v>5085.9417604247392</v>
      </c>
      <c r="I1191" s="22" t="s">
        <v>383</v>
      </c>
      <c r="J1191" s="38">
        <f>M1203</f>
        <v>64863.329999999994</v>
      </c>
      <c r="K1191" s="22" t="s">
        <v>287</v>
      </c>
      <c r="L1191" s="26">
        <f>M1221</f>
        <v>0</v>
      </c>
      <c r="M1191" s="22" t="s">
        <v>288</v>
      </c>
      <c r="N1191" s="26">
        <f>M1230</f>
        <v>101718.83520849478</v>
      </c>
    </row>
    <row r="1192" spans="1:15" ht="12.75" customHeight="1" x14ac:dyDescent="0.25">
      <c r="A1192" s="27"/>
      <c r="B1192" s="27"/>
      <c r="C1192" s="27"/>
      <c r="D1192" s="27"/>
      <c r="E1192" s="27"/>
      <c r="F1192" s="27"/>
      <c r="G1192" s="27"/>
      <c r="J1192" s="27"/>
      <c r="K1192" s="27"/>
      <c r="L1192" s="27"/>
      <c r="M1192" s="27"/>
      <c r="N1192" s="27"/>
    </row>
    <row r="1193" spans="1:15" ht="12.75" customHeight="1" x14ac:dyDescent="0.2">
      <c r="A1193" s="1065" t="s">
        <v>384</v>
      </c>
      <c r="B1193" s="1057"/>
      <c r="C1193" s="1057"/>
      <c r="D1193" s="1057"/>
      <c r="E1193" s="1057"/>
      <c r="F1193" s="1057"/>
      <c r="G1193" s="1057"/>
      <c r="H1193" s="1057"/>
      <c r="I1193" s="1057"/>
      <c r="J1193" s="1057"/>
      <c r="K1193" s="1057"/>
      <c r="L1193" s="1057"/>
      <c r="M1193" s="1057"/>
      <c r="N1193" s="1058"/>
    </row>
    <row r="1194" spans="1:15" ht="12.75" customHeight="1" x14ac:dyDescent="0.2">
      <c r="A1194" s="1066" t="s">
        <v>38</v>
      </c>
      <c r="B1194" s="1057"/>
      <c r="C1194" s="1057"/>
      <c r="D1194" s="1057"/>
      <c r="E1194" s="1057"/>
      <c r="F1194" s="1057"/>
      <c r="G1194" s="1058"/>
      <c r="H1194" s="28" t="s">
        <v>39</v>
      </c>
      <c r="I1194" s="1062" t="s">
        <v>385</v>
      </c>
      <c r="J1194" s="1058"/>
      <c r="K1194" s="1062" t="s">
        <v>132</v>
      </c>
      <c r="L1194" s="1058"/>
      <c r="M1194" s="1062" t="s">
        <v>386</v>
      </c>
      <c r="N1194" s="1058"/>
    </row>
    <row r="1195" spans="1:15" ht="12.75" customHeight="1" x14ac:dyDescent="0.2">
      <c r="A1195" s="1056" t="s">
        <v>1533</v>
      </c>
      <c r="B1195" s="1057"/>
      <c r="C1195" s="1057"/>
      <c r="D1195" s="1057"/>
      <c r="E1195" s="1057"/>
      <c r="F1195" s="1057"/>
      <c r="G1195" s="1058"/>
      <c r="H1195" s="9" t="str">
        <f t="shared" ref="H1195:H1202" si="80">IF(A1195="","",VLOOKUP(A1195,AA_Materiales,7,FALSE))</f>
        <v>Unidad</v>
      </c>
      <c r="I1195" s="1059">
        <f t="shared" ref="I1195:I1202" si="81">IF(A1195="","",VLOOKUP(A1195,AA_Materiales,8,FALSE))</f>
        <v>64863.329999999994</v>
      </c>
      <c r="J1195" s="1058"/>
      <c r="K1195" s="1060">
        <v>1</v>
      </c>
      <c r="L1195" s="1058"/>
      <c r="M1195" s="1059">
        <f t="shared" ref="M1195:M1202" si="82">IF(A1195="","",I1195*K1195)</f>
        <v>64863.329999999994</v>
      </c>
      <c r="N1195" s="1058"/>
    </row>
    <row r="1196" spans="1:15" ht="12.75" customHeight="1" x14ac:dyDescent="0.2">
      <c r="A1196" s="1056"/>
      <c r="B1196" s="1057"/>
      <c r="C1196" s="1057"/>
      <c r="D1196" s="1057"/>
      <c r="E1196" s="1057"/>
      <c r="F1196" s="1057"/>
      <c r="G1196" s="1058"/>
      <c r="H1196" s="9" t="str">
        <f t="shared" si="80"/>
        <v/>
      </c>
      <c r="I1196" s="1059" t="str">
        <f t="shared" si="81"/>
        <v/>
      </c>
      <c r="J1196" s="1058"/>
      <c r="K1196" s="1060"/>
      <c r="L1196" s="1058"/>
      <c r="M1196" s="1059" t="str">
        <f t="shared" si="82"/>
        <v/>
      </c>
      <c r="N1196" s="1058"/>
    </row>
    <row r="1197" spans="1:15" ht="12.75" customHeight="1" x14ac:dyDescent="0.2">
      <c r="A1197" s="1056"/>
      <c r="B1197" s="1057"/>
      <c r="C1197" s="1057"/>
      <c r="D1197" s="1057"/>
      <c r="E1197" s="1057"/>
      <c r="F1197" s="1057"/>
      <c r="G1197" s="1058"/>
      <c r="H1197" s="9" t="str">
        <f t="shared" si="80"/>
        <v/>
      </c>
      <c r="I1197" s="1059" t="str">
        <f t="shared" si="81"/>
        <v/>
      </c>
      <c r="J1197" s="1058"/>
      <c r="K1197" s="1060"/>
      <c r="L1197" s="1058"/>
      <c r="M1197" s="1059" t="str">
        <f t="shared" si="82"/>
        <v/>
      </c>
      <c r="N1197" s="1058"/>
    </row>
    <row r="1198" spans="1:15" ht="12.75" customHeight="1" x14ac:dyDescent="0.2">
      <c r="A1198" s="1056"/>
      <c r="B1198" s="1057"/>
      <c r="C1198" s="1057"/>
      <c r="D1198" s="1057"/>
      <c r="E1198" s="1057"/>
      <c r="F1198" s="1057"/>
      <c r="G1198" s="1058"/>
      <c r="H1198" s="9" t="str">
        <f t="shared" si="80"/>
        <v/>
      </c>
      <c r="I1198" s="1059" t="str">
        <f t="shared" si="81"/>
        <v/>
      </c>
      <c r="J1198" s="1058"/>
      <c r="K1198" s="1060"/>
      <c r="L1198" s="1058"/>
      <c r="M1198" s="1059" t="str">
        <f t="shared" si="82"/>
        <v/>
      </c>
      <c r="N1198" s="1058"/>
    </row>
    <row r="1199" spans="1:15" ht="12.75" customHeight="1" x14ac:dyDescent="0.2">
      <c r="A1199" s="1056"/>
      <c r="B1199" s="1057"/>
      <c r="C1199" s="1057"/>
      <c r="D1199" s="1057"/>
      <c r="E1199" s="1057"/>
      <c r="F1199" s="1057"/>
      <c r="G1199" s="1058"/>
      <c r="H1199" s="9" t="str">
        <f t="shared" si="80"/>
        <v/>
      </c>
      <c r="I1199" s="1059" t="str">
        <f t="shared" si="81"/>
        <v/>
      </c>
      <c r="J1199" s="1058"/>
      <c r="K1199" s="1060"/>
      <c r="L1199" s="1058"/>
      <c r="M1199" s="1059" t="str">
        <f t="shared" si="82"/>
        <v/>
      </c>
      <c r="N1199" s="1058"/>
    </row>
    <row r="1200" spans="1:15" ht="12.75" customHeight="1" x14ac:dyDescent="0.2">
      <c r="A1200" s="1056"/>
      <c r="B1200" s="1057"/>
      <c r="C1200" s="1057"/>
      <c r="D1200" s="1057"/>
      <c r="E1200" s="1057"/>
      <c r="F1200" s="1057"/>
      <c r="G1200" s="1058"/>
      <c r="H1200" s="9" t="str">
        <f t="shared" si="80"/>
        <v/>
      </c>
      <c r="I1200" s="1059" t="str">
        <f t="shared" si="81"/>
        <v/>
      </c>
      <c r="J1200" s="1058"/>
      <c r="K1200" s="1060"/>
      <c r="L1200" s="1058"/>
      <c r="M1200" s="1059" t="str">
        <f t="shared" si="82"/>
        <v/>
      </c>
      <c r="N1200" s="1058"/>
    </row>
    <row r="1201" spans="1:14" ht="12.75" customHeight="1" x14ac:dyDescent="0.2">
      <c r="A1201" s="1056"/>
      <c r="B1201" s="1057"/>
      <c r="C1201" s="1057"/>
      <c r="D1201" s="1057"/>
      <c r="E1201" s="1057"/>
      <c r="F1201" s="1057"/>
      <c r="G1201" s="1058"/>
      <c r="H1201" s="9" t="str">
        <f t="shared" si="80"/>
        <v/>
      </c>
      <c r="I1201" s="1059" t="str">
        <f t="shared" si="81"/>
        <v/>
      </c>
      <c r="J1201" s="1058"/>
      <c r="K1201" s="1060"/>
      <c r="L1201" s="1058"/>
      <c r="M1201" s="1059" t="str">
        <f t="shared" si="82"/>
        <v/>
      </c>
      <c r="N1201" s="1058"/>
    </row>
    <row r="1202" spans="1:14" ht="12.75" customHeight="1" x14ac:dyDescent="0.2">
      <c r="A1202" s="1056"/>
      <c r="B1202" s="1057"/>
      <c r="C1202" s="1057"/>
      <c r="D1202" s="1057"/>
      <c r="E1202" s="1057"/>
      <c r="F1202" s="1057"/>
      <c r="G1202" s="1058"/>
      <c r="H1202" s="9" t="str">
        <f t="shared" si="80"/>
        <v/>
      </c>
      <c r="I1202" s="1059" t="str">
        <f t="shared" si="81"/>
        <v/>
      </c>
      <c r="J1202" s="1058"/>
      <c r="K1202" s="1060"/>
      <c r="L1202" s="1058"/>
      <c r="M1202" s="1059" t="str">
        <f t="shared" si="82"/>
        <v/>
      </c>
      <c r="N1202" s="1058"/>
    </row>
    <row r="1203" spans="1:14" ht="12.75" customHeight="1" x14ac:dyDescent="0.25">
      <c r="A1203" s="3"/>
      <c r="B1203" s="3"/>
      <c r="C1203" s="3"/>
      <c r="D1203" s="3"/>
      <c r="E1203" s="3"/>
      <c r="F1203" s="3"/>
      <c r="G1203" s="3"/>
      <c r="H1203" s="3"/>
      <c r="I1203" s="3"/>
      <c r="J1203" s="3"/>
      <c r="K1203" s="1066" t="s">
        <v>201</v>
      </c>
      <c r="L1203" s="1058"/>
      <c r="M1203" s="1059">
        <f>SUM(M1195:N1202)</f>
        <v>64863.329999999994</v>
      </c>
      <c r="N1203" s="1058"/>
    </row>
    <row r="1204" spans="1:14" ht="12.75" customHeight="1" x14ac:dyDescent="0.25">
      <c r="A1204" s="3"/>
      <c r="B1204" s="3"/>
      <c r="C1204" s="3"/>
      <c r="D1204" s="3"/>
      <c r="E1204" s="3"/>
      <c r="F1204" s="3"/>
      <c r="G1204" s="3"/>
      <c r="H1204" s="3"/>
      <c r="I1204" s="3"/>
      <c r="J1204" s="3"/>
      <c r="K1204" s="3"/>
      <c r="L1204" s="3"/>
      <c r="M1204" s="3"/>
      <c r="N1204" s="3"/>
    </row>
    <row r="1205" spans="1:14" ht="12.75" customHeight="1" x14ac:dyDescent="0.2">
      <c r="A1205" s="1065" t="s">
        <v>390</v>
      </c>
      <c r="B1205" s="1057"/>
      <c r="C1205" s="1057"/>
      <c r="D1205" s="1057"/>
      <c r="E1205" s="1057"/>
      <c r="F1205" s="1057"/>
      <c r="G1205" s="1057"/>
      <c r="H1205" s="1057"/>
      <c r="I1205" s="1057"/>
      <c r="J1205" s="1057"/>
      <c r="K1205" s="1057"/>
      <c r="L1205" s="1057"/>
      <c r="M1205" s="1057"/>
      <c r="N1205" s="1058"/>
    </row>
    <row r="1206" spans="1:14" ht="12.75" customHeight="1" x14ac:dyDescent="0.2">
      <c r="A1206" s="1066" t="s">
        <v>38</v>
      </c>
      <c r="B1206" s="1057"/>
      <c r="C1206" s="1057"/>
      <c r="D1206" s="1057"/>
      <c r="E1206" s="1057"/>
      <c r="F1206" s="1057"/>
      <c r="G1206" s="1058"/>
      <c r="H1206" s="28" t="s">
        <v>39</v>
      </c>
      <c r="I1206" s="1062" t="s">
        <v>385</v>
      </c>
      <c r="J1206" s="1058"/>
      <c r="K1206" s="1062" t="s">
        <v>132</v>
      </c>
      <c r="L1206" s="1058"/>
      <c r="M1206" s="1062" t="s">
        <v>386</v>
      </c>
      <c r="N1206" s="1058"/>
    </row>
    <row r="1207" spans="1:14" ht="12.75" customHeight="1" x14ac:dyDescent="0.2">
      <c r="A1207" s="1061" t="s">
        <v>391</v>
      </c>
      <c r="B1207" s="1057"/>
      <c r="C1207" s="1057"/>
      <c r="D1207" s="1057"/>
      <c r="E1207" s="1057"/>
      <c r="F1207" s="1057"/>
      <c r="G1207" s="1058"/>
      <c r="H1207" s="9" t="str">
        <f>IF(A1207="","",VLOOKUP(A1207,AA_Equipos,7,FALSE))</f>
        <v>% M.O.</v>
      </c>
      <c r="I1207" s="1059">
        <f>+M1230</f>
        <v>101718.83520849478</v>
      </c>
      <c r="J1207" s="1058"/>
      <c r="K1207" s="1064">
        <v>0.05</v>
      </c>
      <c r="L1207" s="1058"/>
      <c r="M1207" s="1059">
        <f>IF(A1207="","",I1207*K1207)</f>
        <v>5085.9417604247392</v>
      </c>
      <c r="N1207" s="1058"/>
    </row>
    <row r="1208" spans="1:14" ht="12.75" customHeight="1" x14ac:dyDescent="0.2">
      <c r="A1208" s="1056"/>
      <c r="B1208" s="1057"/>
      <c r="C1208" s="1057"/>
      <c r="D1208" s="1057"/>
      <c r="E1208" s="1057"/>
      <c r="F1208" s="1057"/>
      <c r="G1208" s="1058"/>
      <c r="H1208" s="9" t="str">
        <f>IF(A1208="","",VLOOKUP(A1208,AA_Equipos,7,FALSE))</f>
        <v/>
      </c>
      <c r="I1208" s="1059" t="str">
        <f>IF(A1208="","",VLOOKUP(A1208,AA_Equipos,8,FALSE))</f>
        <v/>
      </c>
      <c r="J1208" s="1058"/>
      <c r="K1208" s="1067"/>
      <c r="L1208" s="1058"/>
      <c r="M1208" s="1059" t="str">
        <f>IF(A1208="","",I1208*K1208)</f>
        <v/>
      </c>
      <c r="N1208" s="1058"/>
    </row>
    <row r="1209" spans="1:14" ht="12.75" customHeight="1" x14ac:dyDescent="0.2">
      <c r="A1209" s="1061"/>
      <c r="B1209" s="1057"/>
      <c r="C1209" s="1057"/>
      <c r="D1209" s="1057"/>
      <c r="E1209" s="1057"/>
      <c r="F1209" s="1057"/>
      <c r="G1209" s="1058"/>
      <c r="H1209" s="9" t="str">
        <f>IF(A1209="","",VLOOKUP(A1209,AA_Equipos,7,FALSE))</f>
        <v/>
      </c>
      <c r="I1209" s="1059" t="str">
        <f>IF(A1209="","",VLOOKUP(A1209,AA_Equipos,8,FALSE))</f>
        <v/>
      </c>
      <c r="J1209" s="1058"/>
      <c r="K1209" s="1070"/>
      <c r="L1209" s="1058"/>
      <c r="M1209" s="1059" t="str">
        <f>IF(A1209="","",I1209*K1209)</f>
        <v/>
      </c>
      <c r="N1209" s="1058"/>
    </row>
    <row r="1210" spans="1:14" ht="12.75" customHeight="1" x14ac:dyDescent="0.2">
      <c r="A1210" s="1061"/>
      <c r="B1210" s="1057"/>
      <c r="C1210" s="1057"/>
      <c r="D1210" s="1057"/>
      <c r="E1210" s="1057"/>
      <c r="F1210" s="1057"/>
      <c r="G1210" s="1058"/>
      <c r="H1210" s="9" t="str">
        <f>IF(A1210="","",VLOOKUP(A1210,AA_Equipos,7,FALSE))</f>
        <v/>
      </c>
      <c r="I1210" s="1059" t="str">
        <f>IF(A1210="","",VLOOKUP(A1210,AA_Equipos,8,FALSE))</f>
        <v/>
      </c>
      <c r="J1210" s="1058"/>
      <c r="K1210" s="1060"/>
      <c r="L1210" s="1058"/>
      <c r="M1210" s="1059" t="str">
        <f>IF(A1210="","",I1210*K1210)</f>
        <v/>
      </c>
      <c r="N1210" s="1058"/>
    </row>
    <row r="1211" spans="1:14" ht="12.75" customHeight="1" x14ac:dyDescent="0.2">
      <c r="A1211" s="1061"/>
      <c r="B1211" s="1057"/>
      <c r="C1211" s="1057"/>
      <c r="D1211" s="1057"/>
      <c r="E1211" s="1057"/>
      <c r="F1211" s="1057"/>
      <c r="G1211" s="1058"/>
      <c r="H1211" s="9" t="str">
        <f>IF(A1211="","",VLOOKUP(A1211,AA_Equipos,7,FALSE))</f>
        <v/>
      </c>
      <c r="I1211" s="1059" t="str">
        <f>IF(A1211="","",VLOOKUP(A1211,AA_Equipos,8,FALSE))</f>
        <v/>
      </c>
      <c r="J1211" s="1058"/>
      <c r="K1211" s="1060"/>
      <c r="L1211" s="1058"/>
      <c r="M1211" s="1059" t="str">
        <f>IF(A1211="","",I1211*K1211)</f>
        <v/>
      </c>
      <c r="N1211" s="1058"/>
    </row>
    <row r="1212" spans="1:14" ht="12.75" customHeight="1" x14ac:dyDescent="0.25">
      <c r="A1212" s="3"/>
      <c r="B1212" s="3"/>
      <c r="C1212" s="3"/>
      <c r="D1212" s="3"/>
      <c r="E1212" s="3"/>
      <c r="F1212" s="3"/>
      <c r="G1212" s="3"/>
      <c r="H1212" s="3"/>
      <c r="I1212" s="3"/>
      <c r="J1212" s="3"/>
      <c r="K1212" s="1066" t="s">
        <v>201</v>
      </c>
      <c r="L1212" s="1058"/>
      <c r="M1212" s="1059">
        <f>SUM(M1207:N1211)</f>
        <v>5085.9417604247392</v>
      </c>
      <c r="N1212" s="1058"/>
    </row>
    <row r="1213" spans="1:14" ht="12.75" customHeight="1" x14ac:dyDescent="0.25">
      <c r="A1213" s="3"/>
      <c r="B1213" s="3"/>
      <c r="C1213" s="3"/>
      <c r="D1213" s="3"/>
      <c r="E1213" s="3"/>
      <c r="F1213" s="3"/>
      <c r="G1213" s="3"/>
      <c r="H1213" s="3"/>
      <c r="I1213" s="3"/>
      <c r="J1213" s="3"/>
      <c r="K1213" s="3"/>
      <c r="L1213" s="3"/>
      <c r="M1213" s="3"/>
      <c r="N1213" s="3"/>
    </row>
    <row r="1214" spans="1:14" ht="12.75" customHeight="1" x14ac:dyDescent="0.2">
      <c r="A1214" s="1065" t="s">
        <v>392</v>
      </c>
      <c r="B1214" s="1057"/>
      <c r="C1214" s="1057"/>
      <c r="D1214" s="1057"/>
      <c r="E1214" s="1057"/>
      <c r="F1214" s="1057"/>
      <c r="G1214" s="1057"/>
      <c r="H1214" s="1057"/>
      <c r="I1214" s="1057"/>
      <c r="J1214" s="1057"/>
      <c r="K1214" s="1057"/>
      <c r="L1214" s="1057"/>
      <c r="M1214" s="1057"/>
      <c r="N1214" s="1058"/>
    </row>
    <row r="1215" spans="1:14" ht="12.75" customHeight="1" x14ac:dyDescent="0.2">
      <c r="A1215" s="1066" t="s">
        <v>38</v>
      </c>
      <c r="B1215" s="1057"/>
      <c r="C1215" s="1057"/>
      <c r="D1215" s="1057"/>
      <c r="E1215" s="1057"/>
      <c r="F1215" s="1057"/>
      <c r="G1215" s="1058"/>
      <c r="H1215" s="28" t="s">
        <v>39</v>
      </c>
      <c r="I1215" s="1062" t="s">
        <v>385</v>
      </c>
      <c r="J1215" s="1058"/>
      <c r="K1215" s="1062" t="s">
        <v>132</v>
      </c>
      <c r="L1215" s="1058"/>
      <c r="M1215" s="1062" t="s">
        <v>386</v>
      </c>
      <c r="N1215" s="1058"/>
    </row>
    <row r="1216" spans="1:14" ht="12.75" customHeight="1" x14ac:dyDescent="0.2">
      <c r="A1216" s="1061"/>
      <c r="B1216" s="1057"/>
      <c r="C1216" s="1057"/>
      <c r="D1216" s="1057"/>
      <c r="E1216" s="1057"/>
      <c r="F1216" s="1057"/>
      <c r="G1216" s="1058"/>
      <c r="H1216" s="9"/>
      <c r="I1216" s="1059"/>
      <c r="J1216" s="1058"/>
      <c r="K1216" s="1064"/>
      <c r="L1216" s="1058"/>
      <c r="M1216" s="1059" t="str">
        <f>IF(A1216="","",I1216*K1216)</f>
        <v/>
      </c>
      <c r="N1216" s="1058"/>
    </row>
    <row r="1217" spans="1:15" ht="12.75" customHeight="1" x14ac:dyDescent="0.2">
      <c r="A1217" s="1056"/>
      <c r="B1217" s="1057"/>
      <c r="C1217" s="1057"/>
      <c r="D1217" s="1057"/>
      <c r="E1217" s="1057"/>
      <c r="F1217" s="1057"/>
      <c r="G1217" s="1058"/>
      <c r="H1217" s="9"/>
      <c r="I1217" s="1059"/>
      <c r="J1217" s="1058"/>
      <c r="K1217" s="1064"/>
      <c r="L1217" s="1058"/>
      <c r="M1217" s="1059" t="str">
        <f>IF(A1217="","",I1217*K1217)</f>
        <v/>
      </c>
      <c r="N1217" s="1058"/>
    </row>
    <row r="1218" spans="1:15" ht="12.75" customHeight="1" x14ac:dyDescent="0.2">
      <c r="A1218" s="1061"/>
      <c r="B1218" s="1057"/>
      <c r="C1218" s="1057"/>
      <c r="D1218" s="1057"/>
      <c r="E1218" s="1057"/>
      <c r="F1218" s="1057"/>
      <c r="G1218" s="1058"/>
      <c r="H1218" s="9"/>
      <c r="I1218" s="1059"/>
      <c r="J1218" s="1058"/>
      <c r="K1218" s="1060"/>
      <c r="L1218" s="1058"/>
      <c r="M1218" s="1059" t="str">
        <f>IF(A1218="","",I1218*K1218)</f>
        <v/>
      </c>
      <c r="N1218" s="1058"/>
    </row>
    <row r="1219" spans="1:15" ht="12.75" customHeight="1" x14ac:dyDescent="0.2">
      <c r="A1219" s="1061"/>
      <c r="B1219" s="1057"/>
      <c r="C1219" s="1057"/>
      <c r="D1219" s="1057"/>
      <c r="E1219" s="1057"/>
      <c r="F1219" s="1057"/>
      <c r="G1219" s="1058"/>
      <c r="H1219" s="9"/>
      <c r="I1219" s="1059"/>
      <c r="J1219" s="1058"/>
      <c r="K1219" s="1060"/>
      <c r="L1219" s="1058"/>
      <c r="M1219" s="1059" t="str">
        <f>IF(A1219="","",I1219*K1219)</f>
        <v/>
      </c>
      <c r="N1219" s="1058"/>
    </row>
    <row r="1220" spans="1:15" ht="12.75" customHeight="1" x14ac:dyDescent="0.2">
      <c r="A1220" s="1061"/>
      <c r="B1220" s="1057"/>
      <c r="C1220" s="1057"/>
      <c r="D1220" s="1057"/>
      <c r="E1220" s="1057"/>
      <c r="F1220" s="1057"/>
      <c r="G1220" s="1058"/>
      <c r="H1220" s="9"/>
      <c r="I1220" s="1059"/>
      <c r="J1220" s="1058"/>
      <c r="K1220" s="1060"/>
      <c r="L1220" s="1058"/>
      <c r="M1220" s="1059" t="str">
        <f>IF(A1220="","",I1220*K1220)</f>
        <v/>
      </c>
      <c r="N1220" s="1058"/>
    </row>
    <row r="1221" spans="1:15" ht="12.75" customHeight="1" x14ac:dyDescent="0.25">
      <c r="A1221" s="3"/>
      <c r="B1221" s="3"/>
      <c r="C1221" s="3"/>
      <c r="D1221" s="3"/>
      <c r="E1221" s="3"/>
      <c r="F1221" s="3"/>
      <c r="G1221" s="3"/>
      <c r="H1221" s="3"/>
      <c r="I1221" s="3"/>
      <c r="J1221" s="3"/>
      <c r="K1221" s="1066" t="s">
        <v>201</v>
      </c>
      <c r="L1221" s="1058"/>
      <c r="M1221" s="1059">
        <f>SUM(M1216:N1220)</f>
        <v>0</v>
      </c>
      <c r="N1221" s="1058"/>
    </row>
    <row r="1222" spans="1:15" ht="12.75" customHeight="1" x14ac:dyDescent="0.25">
      <c r="A1222" s="3"/>
      <c r="B1222" s="3"/>
      <c r="C1222" s="3"/>
      <c r="D1222" s="3"/>
      <c r="E1222" s="3"/>
      <c r="F1222" s="3"/>
      <c r="G1222" s="3"/>
      <c r="H1222" s="3"/>
      <c r="I1222" s="3"/>
      <c r="J1222" s="3"/>
      <c r="K1222" s="3"/>
      <c r="L1222" s="3"/>
      <c r="M1222" s="3"/>
      <c r="N1222" s="3"/>
    </row>
    <row r="1223" spans="1:15" ht="12.75" customHeight="1" x14ac:dyDescent="0.2">
      <c r="A1223" s="1065" t="s">
        <v>394</v>
      </c>
      <c r="B1223" s="1057"/>
      <c r="C1223" s="1057"/>
      <c r="D1223" s="1057"/>
      <c r="E1223" s="1057"/>
      <c r="F1223" s="1057"/>
      <c r="G1223" s="1057"/>
      <c r="H1223" s="1057"/>
      <c r="I1223" s="1057"/>
      <c r="J1223" s="1057"/>
      <c r="K1223" s="1057"/>
      <c r="L1223" s="1057"/>
      <c r="M1223" s="1057"/>
      <c r="N1223" s="1058"/>
    </row>
    <row r="1224" spans="1:15" ht="12.75" customHeight="1" x14ac:dyDescent="0.2">
      <c r="A1224" s="1066" t="s">
        <v>38</v>
      </c>
      <c r="B1224" s="1057"/>
      <c r="C1224" s="1057"/>
      <c r="D1224" s="1057"/>
      <c r="E1224" s="1057"/>
      <c r="F1224" s="1057"/>
      <c r="G1224" s="1058"/>
      <c r="H1224" s="28" t="s">
        <v>39</v>
      </c>
      <c r="I1224" s="1062" t="s">
        <v>385</v>
      </c>
      <c r="J1224" s="1058"/>
      <c r="K1224" s="30" t="s">
        <v>193</v>
      </c>
      <c r="L1224" s="31" t="s">
        <v>395</v>
      </c>
      <c r="M1224" s="1062" t="s">
        <v>386</v>
      </c>
      <c r="N1224" s="1058"/>
    </row>
    <row r="1225" spans="1:15" ht="12.75" customHeight="1" x14ac:dyDescent="0.25">
      <c r="A1225" s="1063" t="s">
        <v>423</v>
      </c>
      <c r="B1225" s="1057"/>
      <c r="C1225" s="1057"/>
      <c r="D1225" s="1057"/>
      <c r="E1225" s="1057"/>
      <c r="F1225" s="1057"/>
      <c r="G1225" s="1058"/>
      <c r="H1225" s="9" t="str">
        <f>IF(A1225="","",VLOOKUP(A1225,AA_Cuadrillas,4,FALSE))</f>
        <v>Cuadrilla</v>
      </c>
      <c r="I1225" s="1059">
        <f>IF(A1225="","",VLOOKUP(A1225,AA_Cuadrillas,5,FALSE))</f>
        <v>134236</v>
      </c>
      <c r="J1225" s="1058"/>
      <c r="K1225" s="1">
        <f>IF(A1225="","",'06'!$J$3)</f>
        <v>1.7233500000000002</v>
      </c>
      <c r="L1225" s="37">
        <v>0.43970245196869306</v>
      </c>
      <c r="M1225" s="1059">
        <f>IF(A1225="","",I1225*K1225*L1225)</f>
        <v>101718.83520849478</v>
      </c>
      <c r="N1225" s="1058"/>
    </row>
    <row r="1226" spans="1:15" ht="12.75" customHeight="1" x14ac:dyDescent="0.25">
      <c r="A1226" s="1063"/>
      <c r="B1226" s="1057"/>
      <c r="C1226" s="1057"/>
      <c r="D1226" s="1057"/>
      <c r="E1226" s="1057"/>
      <c r="F1226" s="1057"/>
      <c r="G1226" s="1058"/>
      <c r="H1226" s="9" t="str">
        <f>IF(A1226="","",VLOOKUP(A1226,AA_Cuadrillas,4,FALSE))</f>
        <v/>
      </c>
      <c r="I1226" s="1059" t="str">
        <f>IF(A1226="","",VLOOKUP(A1226,AA_Cuadrillas,5,FALSE))</f>
        <v/>
      </c>
      <c r="J1226" s="1058"/>
      <c r="K1226" s="1" t="str">
        <f>IF(A1226="","",'06'!$J$3)</f>
        <v/>
      </c>
      <c r="L1226" s="1"/>
      <c r="M1226" s="1059" t="str">
        <f>IF(A1226="","",I1226*K1226*L1226)</f>
        <v/>
      </c>
      <c r="N1226" s="1058"/>
    </row>
    <row r="1227" spans="1:15" ht="12.75" customHeight="1" x14ac:dyDescent="0.25">
      <c r="A1227" s="1063"/>
      <c r="B1227" s="1057"/>
      <c r="C1227" s="1057"/>
      <c r="D1227" s="1057"/>
      <c r="E1227" s="1057"/>
      <c r="F1227" s="1057"/>
      <c r="G1227" s="1058"/>
      <c r="H1227" s="9" t="str">
        <f>IF(A1227="","",VLOOKUP(A1227,AA_Cuadrillas,4,FALSE))</f>
        <v/>
      </c>
      <c r="I1227" s="1059" t="str">
        <f>IF(A1227="","",VLOOKUP(A1227,AA_Cuadrillas,5,FALSE))</f>
        <v/>
      </c>
      <c r="J1227" s="1058"/>
      <c r="K1227" s="1" t="str">
        <f>IF(A1227="","",'06'!$J$3)</f>
        <v/>
      </c>
      <c r="L1227" s="10"/>
      <c r="M1227" s="1059" t="str">
        <f>IF(A1227="","",I1227*K1227*L1227)</f>
        <v/>
      </c>
      <c r="N1227" s="1058"/>
    </row>
    <row r="1228" spans="1:15" ht="12.75" customHeight="1" x14ac:dyDescent="0.25">
      <c r="A1228" s="1063"/>
      <c r="B1228" s="1057"/>
      <c r="C1228" s="1057"/>
      <c r="D1228" s="1057"/>
      <c r="E1228" s="1057"/>
      <c r="F1228" s="1057"/>
      <c r="G1228" s="1058"/>
      <c r="H1228" s="9" t="str">
        <f>IF(A1228="","",VLOOKUP(A1228,AA_Cuadrillas,4,FALSE))</f>
        <v/>
      </c>
      <c r="I1228" s="1059" t="str">
        <f>IF(A1228="","",VLOOKUP(A1228,AA_Cuadrillas,5,FALSE))</f>
        <v/>
      </c>
      <c r="J1228" s="1058"/>
      <c r="K1228" s="1" t="str">
        <f>IF(A1228="","",'06'!$J$3)</f>
        <v/>
      </c>
      <c r="L1228" s="10"/>
      <c r="M1228" s="1059" t="str">
        <f>IF(A1228="","",I1228*K1228*L1228)</f>
        <v/>
      </c>
      <c r="N1228" s="1058"/>
    </row>
    <row r="1229" spans="1:15" ht="12.75" customHeight="1" x14ac:dyDescent="0.25">
      <c r="A1229" s="1063"/>
      <c r="B1229" s="1057"/>
      <c r="C1229" s="1057"/>
      <c r="D1229" s="1057"/>
      <c r="E1229" s="1057"/>
      <c r="F1229" s="1057"/>
      <c r="G1229" s="1058"/>
      <c r="H1229" s="9" t="str">
        <f>IF(A1229="","",VLOOKUP(A1229,AA_Cuadrillas,4,FALSE))</f>
        <v/>
      </c>
      <c r="I1229" s="1059" t="str">
        <f>IF(A1229="","",VLOOKUP(A1229,AA_Cuadrillas,5,FALSE))</f>
        <v/>
      </c>
      <c r="J1229" s="1058"/>
      <c r="K1229" s="1" t="str">
        <f>IF(A1229="","",'06'!$J$3)</f>
        <v/>
      </c>
      <c r="L1229" s="10"/>
      <c r="M1229" s="1059" t="str">
        <f>IF(A1229="","",I1229*K1229*L1229)</f>
        <v/>
      </c>
      <c r="N1229" s="1058"/>
    </row>
    <row r="1230" spans="1:15" ht="12.75" customHeight="1" x14ac:dyDescent="0.25">
      <c r="A1230" s="3"/>
      <c r="B1230" s="3"/>
      <c r="C1230" s="3"/>
      <c r="D1230" s="3"/>
      <c r="E1230" s="3"/>
      <c r="F1230" s="3"/>
      <c r="G1230" s="3"/>
      <c r="H1230" s="3"/>
      <c r="I1230" s="3"/>
      <c r="J1230" s="3"/>
      <c r="K1230" s="1066" t="s">
        <v>201</v>
      </c>
      <c r="L1230" s="1058"/>
      <c r="M1230" s="1059">
        <f>SUM(M1225:N1229)</f>
        <v>101718.83520849478</v>
      </c>
      <c r="N1230" s="1058"/>
    </row>
    <row r="1231" spans="1:15" ht="12.75" customHeight="1" x14ac:dyDescent="0.2"/>
    <row r="1232" spans="1:15" ht="12.75" customHeight="1" x14ac:dyDescent="0.2">
      <c r="A1232" s="1072" t="s">
        <v>1694</v>
      </c>
      <c r="B1232" s="1052"/>
      <c r="C1232" s="1052"/>
      <c r="D1232" s="1052"/>
      <c r="E1232" s="1052"/>
      <c r="F1232" s="1052"/>
      <c r="G1232" s="1052"/>
      <c r="H1232" s="1052"/>
      <c r="I1232" s="1052"/>
      <c r="J1232" s="1052"/>
      <c r="K1232" s="1052"/>
      <c r="L1232" s="1052"/>
      <c r="M1232" s="1052"/>
      <c r="N1232" s="1053"/>
      <c r="O1232" s="7"/>
    </row>
    <row r="1233" spans="1:15" ht="12.75" customHeight="1" x14ac:dyDescent="0.2">
      <c r="A1233" s="1031"/>
      <c r="B1233" s="1032"/>
      <c r="C1233" s="1032"/>
      <c r="D1233" s="1032"/>
      <c r="E1233" s="1032"/>
      <c r="F1233" s="1032"/>
      <c r="G1233" s="1032"/>
      <c r="H1233" s="1032"/>
      <c r="I1233" s="1032"/>
      <c r="J1233" s="1032"/>
      <c r="K1233" s="1032"/>
      <c r="L1233" s="1032"/>
      <c r="M1233" s="1032"/>
      <c r="N1233" s="1055"/>
      <c r="O1233" s="7"/>
    </row>
    <row r="1234" spans="1:15" ht="12.75" customHeight="1" x14ac:dyDescent="0.2">
      <c r="A1234" s="16"/>
      <c r="B1234" s="16"/>
      <c r="C1234" s="16"/>
      <c r="D1234" s="16"/>
      <c r="E1234" s="16"/>
      <c r="F1234" s="16"/>
      <c r="G1234" s="16"/>
      <c r="H1234" s="16"/>
      <c r="I1234" s="16"/>
      <c r="J1234" s="16"/>
      <c r="K1234" s="16"/>
      <c r="L1234" s="16"/>
      <c r="M1234" s="16"/>
      <c r="N1234" s="16"/>
    </row>
    <row r="1235" spans="1:15" ht="12.75" customHeight="1" x14ac:dyDescent="0.3">
      <c r="A1235" s="18" t="s">
        <v>319</v>
      </c>
      <c r="B1235" s="19" t="str">
        <f>A1232</f>
        <v>SUMINISTRO E INSTALACIÓN CODO PE100 90° Ø6" PEAD PN10 RDE 17.  INCLUYE TRANSPORTE.</v>
      </c>
      <c r="C1235" s="20" t="s">
        <v>382</v>
      </c>
      <c r="D1235" s="21" t="s">
        <v>424</v>
      </c>
      <c r="E1235" s="22" t="s">
        <v>125</v>
      </c>
      <c r="F1235" s="26">
        <f>(H1235+J1235+L1235+N1235)*$O$2</f>
        <v>692678.16627034999</v>
      </c>
      <c r="G1235" s="22" t="s">
        <v>285</v>
      </c>
      <c r="H1235" s="26">
        <f>M1256</f>
        <v>1735.0170795000004</v>
      </c>
      <c r="I1235" s="22" t="s">
        <v>383</v>
      </c>
      <c r="J1235" s="38">
        <f>M1247</f>
        <v>496394</v>
      </c>
      <c r="K1235" s="22" t="s">
        <v>287</v>
      </c>
      <c r="L1235" s="26">
        <f>M1265</f>
        <v>0</v>
      </c>
      <c r="M1235" s="22" t="s">
        <v>288</v>
      </c>
      <c r="N1235" s="26">
        <f>M1274</f>
        <v>34700.341590000004</v>
      </c>
    </row>
    <row r="1236" spans="1:15" ht="12.75" customHeight="1" x14ac:dyDescent="0.25">
      <c r="A1236" s="27"/>
      <c r="B1236" s="27"/>
      <c r="C1236" s="27"/>
      <c r="D1236" s="27"/>
      <c r="E1236" s="27"/>
      <c r="F1236" s="27"/>
      <c r="G1236" s="27"/>
      <c r="J1236" s="27"/>
      <c r="K1236" s="27"/>
      <c r="L1236" s="27"/>
      <c r="M1236" s="27"/>
      <c r="N1236" s="27"/>
    </row>
    <row r="1237" spans="1:15" ht="12.75" customHeight="1" x14ac:dyDescent="0.2">
      <c r="A1237" s="1065" t="s">
        <v>384</v>
      </c>
      <c r="B1237" s="1057"/>
      <c r="C1237" s="1057"/>
      <c r="D1237" s="1057"/>
      <c r="E1237" s="1057"/>
      <c r="F1237" s="1057"/>
      <c r="G1237" s="1057"/>
      <c r="H1237" s="1057"/>
      <c r="I1237" s="1057"/>
      <c r="J1237" s="1057"/>
      <c r="K1237" s="1057"/>
      <c r="L1237" s="1057"/>
      <c r="M1237" s="1057"/>
      <c r="N1237" s="1058"/>
    </row>
    <row r="1238" spans="1:15" ht="12.75" customHeight="1" x14ac:dyDescent="0.2">
      <c r="A1238" s="1066" t="s">
        <v>38</v>
      </c>
      <c r="B1238" s="1057"/>
      <c r="C1238" s="1057"/>
      <c r="D1238" s="1057"/>
      <c r="E1238" s="1057"/>
      <c r="F1238" s="1057"/>
      <c r="G1238" s="1058"/>
      <c r="H1238" s="28" t="s">
        <v>39</v>
      </c>
      <c r="I1238" s="1062" t="s">
        <v>385</v>
      </c>
      <c r="J1238" s="1058"/>
      <c r="K1238" s="1062" t="s">
        <v>132</v>
      </c>
      <c r="L1238" s="1058"/>
      <c r="M1238" s="1062" t="s">
        <v>386</v>
      </c>
      <c r="N1238" s="1058"/>
    </row>
    <row r="1239" spans="1:15" ht="12.75" customHeight="1" x14ac:dyDescent="0.2">
      <c r="A1239" s="1061" t="s">
        <v>1542</v>
      </c>
      <c r="B1239" s="1057"/>
      <c r="C1239" s="1057"/>
      <c r="D1239" s="1057"/>
      <c r="E1239" s="1057"/>
      <c r="F1239" s="1057"/>
      <c r="G1239" s="1058"/>
      <c r="H1239" s="9" t="str">
        <f t="shared" ref="H1239:H1246" si="83">IF(A1239="","",VLOOKUP(A1239,AA_Materiales,7,FALSE))</f>
        <v>Unidad</v>
      </c>
      <c r="I1239" s="1059">
        <f t="shared" ref="I1239:I1246" si="84">IF(A1239="","",VLOOKUP(A1239,AA_Materiales,8,FALSE))</f>
        <v>496394</v>
      </c>
      <c r="J1239" s="1058"/>
      <c r="K1239" s="1060">
        <v>1</v>
      </c>
      <c r="L1239" s="1058"/>
      <c r="M1239" s="1059">
        <f t="shared" ref="M1239:M1246" si="85">IF(A1239="","",I1239*K1239)</f>
        <v>496394</v>
      </c>
      <c r="N1239" s="1058"/>
    </row>
    <row r="1240" spans="1:15" ht="12.75" customHeight="1" x14ac:dyDescent="0.2">
      <c r="A1240" s="1056"/>
      <c r="B1240" s="1057"/>
      <c r="C1240" s="1057"/>
      <c r="D1240" s="1057"/>
      <c r="E1240" s="1057"/>
      <c r="F1240" s="1057"/>
      <c r="G1240" s="1058"/>
      <c r="H1240" s="9" t="str">
        <f t="shared" si="83"/>
        <v/>
      </c>
      <c r="I1240" s="1059" t="str">
        <f t="shared" si="84"/>
        <v/>
      </c>
      <c r="J1240" s="1058"/>
      <c r="K1240" s="1060"/>
      <c r="L1240" s="1058"/>
      <c r="M1240" s="1059" t="str">
        <f t="shared" si="85"/>
        <v/>
      </c>
      <c r="N1240" s="1058"/>
    </row>
    <row r="1241" spans="1:15" ht="12.75" customHeight="1" x14ac:dyDescent="0.2">
      <c r="A1241" s="1056"/>
      <c r="B1241" s="1057"/>
      <c r="C1241" s="1057"/>
      <c r="D1241" s="1057"/>
      <c r="E1241" s="1057"/>
      <c r="F1241" s="1057"/>
      <c r="G1241" s="1058"/>
      <c r="H1241" s="9" t="str">
        <f t="shared" si="83"/>
        <v/>
      </c>
      <c r="I1241" s="1059" t="str">
        <f t="shared" si="84"/>
        <v/>
      </c>
      <c r="J1241" s="1058"/>
      <c r="K1241" s="1060"/>
      <c r="L1241" s="1058"/>
      <c r="M1241" s="1059" t="str">
        <f t="shared" si="85"/>
        <v/>
      </c>
      <c r="N1241" s="1058"/>
    </row>
    <row r="1242" spans="1:15" ht="12.75" customHeight="1" x14ac:dyDescent="0.2">
      <c r="A1242" s="1056"/>
      <c r="B1242" s="1057"/>
      <c r="C1242" s="1057"/>
      <c r="D1242" s="1057"/>
      <c r="E1242" s="1057"/>
      <c r="F1242" s="1057"/>
      <c r="G1242" s="1058"/>
      <c r="H1242" s="9" t="str">
        <f t="shared" si="83"/>
        <v/>
      </c>
      <c r="I1242" s="1059" t="str">
        <f t="shared" si="84"/>
        <v/>
      </c>
      <c r="J1242" s="1058"/>
      <c r="K1242" s="1060"/>
      <c r="L1242" s="1058"/>
      <c r="M1242" s="1059" t="str">
        <f t="shared" si="85"/>
        <v/>
      </c>
      <c r="N1242" s="1058"/>
    </row>
    <row r="1243" spans="1:15" ht="12.75" customHeight="1" x14ac:dyDescent="0.2">
      <c r="A1243" s="1056"/>
      <c r="B1243" s="1057"/>
      <c r="C1243" s="1057"/>
      <c r="D1243" s="1057"/>
      <c r="E1243" s="1057"/>
      <c r="F1243" s="1057"/>
      <c r="G1243" s="1058"/>
      <c r="H1243" s="9" t="str">
        <f t="shared" si="83"/>
        <v/>
      </c>
      <c r="I1243" s="1059" t="str">
        <f t="shared" si="84"/>
        <v/>
      </c>
      <c r="J1243" s="1058"/>
      <c r="K1243" s="1060"/>
      <c r="L1243" s="1058"/>
      <c r="M1243" s="1059" t="str">
        <f t="shared" si="85"/>
        <v/>
      </c>
      <c r="N1243" s="1058"/>
    </row>
    <row r="1244" spans="1:15" ht="12.75" customHeight="1" x14ac:dyDescent="0.2">
      <c r="A1244" s="1056"/>
      <c r="B1244" s="1057"/>
      <c r="C1244" s="1057"/>
      <c r="D1244" s="1057"/>
      <c r="E1244" s="1057"/>
      <c r="F1244" s="1057"/>
      <c r="G1244" s="1058"/>
      <c r="H1244" s="9" t="str">
        <f t="shared" si="83"/>
        <v/>
      </c>
      <c r="I1244" s="1059" t="str">
        <f t="shared" si="84"/>
        <v/>
      </c>
      <c r="J1244" s="1058"/>
      <c r="K1244" s="1060"/>
      <c r="L1244" s="1058"/>
      <c r="M1244" s="1059" t="str">
        <f t="shared" si="85"/>
        <v/>
      </c>
      <c r="N1244" s="1058"/>
    </row>
    <row r="1245" spans="1:15" ht="12.75" customHeight="1" x14ac:dyDescent="0.2">
      <c r="A1245" s="1056"/>
      <c r="B1245" s="1057"/>
      <c r="C1245" s="1057"/>
      <c r="D1245" s="1057"/>
      <c r="E1245" s="1057"/>
      <c r="F1245" s="1057"/>
      <c r="G1245" s="1058"/>
      <c r="H1245" s="9" t="str">
        <f t="shared" si="83"/>
        <v/>
      </c>
      <c r="I1245" s="1059" t="str">
        <f t="shared" si="84"/>
        <v/>
      </c>
      <c r="J1245" s="1058"/>
      <c r="K1245" s="1060"/>
      <c r="L1245" s="1058"/>
      <c r="M1245" s="1059" t="str">
        <f t="shared" si="85"/>
        <v/>
      </c>
      <c r="N1245" s="1058"/>
    </row>
    <row r="1246" spans="1:15" ht="12.75" customHeight="1" x14ac:dyDescent="0.2">
      <c r="A1246" s="1056"/>
      <c r="B1246" s="1057"/>
      <c r="C1246" s="1057"/>
      <c r="D1246" s="1057"/>
      <c r="E1246" s="1057"/>
      <c r="F1246" s="1057"/>
      <c r="G1246" s="1058"/>
      <c r="H1246" s="9" t="str">
        <f t="shared" si="83"/>
        <v/>
      </c>
      <c r="I1246" s="1059" t="str">
        <f t="shared" si="84"/>
        <v/>
      </c>
      <c r="J1246" s="1058"/>
      <c r="K1246" s="1060"/>
      <c r="L1246" s="1058"/>
      <c r="M1246" s="1059" t="str">
        <f t="shared" si="85"/>
        <v/>
      </c>
      <c r="N1246" s="1058"/>
    </row>
    <row r="1247" spans="1:15" ht="12.75" customHeight="1" x14ac:dyDescent="0.25">
      <c r="A1247" s="3"/>
      <c r="B1247" s="3"/>
      <c r="C1247" s="3"/>
      <c r="D1247" s="3"/>
      <c r="E1247" s="3"/>
      <c r="F1247" s="3"/>
      <c r="G1247" s="3"/>
      <c r="H1247" s="3"/>
      <c r="I1247" s="3"/>
      <c r="J1247" s="3"/>
      <c r="K1247" s="1066" t="s">
        <v>201</v>
      </c>
      <c r="L1247" s="1058"/>
      <c r="M1247" s="1059">
        <f>SUM(M1239:N1246)</f>
        <v>496394</v>
      </c>
      <c r="N1247" s="1058"/>
    </row>
    <row r="1248" spans="1:15" ht="12.75" customHeight="1" x14ac:dyDescent="0.25">
      <c r="A1248" s="3"/>
      <c r="B1248" s="3"/>
      <c r="C1248" s="3"/>
      <c r="D1248" s="3"/>
      <c r="E1248" s="3"/>
      <c r="F1248" s="3"/>
      <c r="G1248" s="3"/>
      <c r="H1248" s="3"/>
      <c r="I1248" s="3"/>
      <c r="J1248" s="3"/>
      <c r="K1248" s="3"/>
      <c r="L1248" s="3"/>
      <c r="M1248" s="3"/>
      <c r="N1248" s="3"/>
    </row>
    <row r="1249" spans="1:14" ht="12.75" customHeight="1" x14ac:dyDescent="0.2">
      <c r="A1249" s="1065" t="s">
        <v>390</v>
      </c>
      <c r="B1249" s="1057"/>
      <c r="C1249" s="1057"/>
      <c r="D1249" s="1057"/>
      <c r="E1249" s="1057"/>
      <c r="F1249" s="1057"/>
      <c r="G1249" s="1057"/>
      <c r="H1249" s="1057"/>
      <c r="I1249" s="1057"/>
      <c r="J1249" s="1057"/>
      <c r="K1249" s="1057"/>
      <c r="L1249" s="1057"/>
      <c r="M1249" s="1057"/>
      <c r="N1249" s="1058"/>
    </row>
    <row r="1250" spans="1:14" ht="12.75" customHeight="1" x14ac:dyDescent="0.2">
      <c r="A1250" s="1066" t="s">
        <v>38</v>
      </c>
      <c r="B1250" s="1057"/>
      <c r="C1250" s="1057"/>
      <c r="D1250" s="1057"/>
      <c r="E1250" s="1057"/>
      <c r="F1250" s="1057"/>
      <c r="G1250" s="1058"/>
      <c r="H1250" s="28" t="s">
        <v>39</v>
      </c>
      <c r="I1250" s="1062" t="s">
        <v>385</v>
      </c>
      <c r="J1250" s="1058"/>
      <c r="K1250" s="1062" t="s">
        <v>132</v>
      </c>
      <c r="L1250" s="1058"/>
      <c r="M1250" s="1062" t="s">
        <v>386</v>
      </c>
      <c r="N1250" s="1058"/>
    </row>
    <row r="1251" spans="1:14" ht="12.75" customHeight="1" x14ac:dyDescent="0.2">
      <c r="A1251" s="1061" t="s">
        <v>391</v>
      </c>
      <c r="B1251" s="1057"/>
      <c r="C1251" s="1057"/>
      <c r="D1251" s="1057"/>
      <c r="E1251" s="1057"/>
      <c r="F1251" s="1057"/>
      <c r="G1251" s="1058"/>
      <c r="H1251" s="9" t="str">
        <f>IF(A1251="","",VLOOKUP(A1251,AA_Equipos,7,FALSE))</f>
        <v>% M.O.</v>
      </c>
      <c r="I1251" s="1059">
        <f>+M1274</f>
        <v>34700.341590000004</v>
      </c>
      <c r="J1251" s="1058"/>
      <c r="K1251" s="1064">
        <v>0.05</v>
      </c>
      <c r="L1251" s="1058"/>
      <c r="M1251" s="1059">
        <f>IF(A1251="","",I1251*K1251)</f>
        <v>1735.0170795000004</v>
      </c>
      <c r="N1251" s="1058"/>
    </row>
    <row r="1252" spans="1:14" ht="12.75" customHeight="1" x14ac:dyDescent="0.2">
      <c r="A1252" s="1056"/>
      <c r="B1252" s="1057"/>
      <c r="C1252" s="1057"/>
      <c r="D1252" s="1057"/>
      <c r="E1252" s="1057"/>
      <c r="F1252" s="1057"/>
      <c r="G1252" s="1058"/>
      <c r="H1252" s="9" t="str">
        <f>IF(A1252="","",VLOOKUP(A1252,AA_Equipos,7,FALSE))</f>
        <v/>
      </c>
      <c r="I1252" s="1059" t="str">
        <f>IF(A1252="","",VLOOKUP(A1252,AA_Equipos,8,FALSE))</f>
        <v/>
      </c>
      <c r="J1252" s="1058"/>
      <c r="K1252" s="1067"/>
      <c r="L1252" s="1058"/>
      <c r="M1252" s="1059" t="str">
        <f>IF(A1252="","",I1252*K1252)</f>
        <v/>
      </c>
      <c r="N1252" s="1058"/>
    </row>
    <row r="1253" spans="1:14" ht="12.75" customHeight="1" x14ac:dyDescent="0.2">
      <c r="A1253" s="1061"/>
      <c r="B1253" s="1057"/>
      <c r="C1253" s="1057"/>
      <c r="D1253" s="1057"/>
      <c r="E1253" s="1057"/>
      <c r="F1253" s="1057"/>
      <c r="G1253" s="1058"/>
      <c r="H1253" s="9" t="str">
        <f>IF(A1253="","",VLOOKUP(A1253,AA_Equipos,7,FALSE))</f>
        <v/>
      </c>
      <c r="I1253" s="1059" t="str">
        <f>IF(A1253="","",VLOOKUP(A1253,AA_Equipos,8,FALSE))</f>
        <v/>
      </c>
      <c r="J1253" s="1058"/>
      <c r="K1253" s="1070"/>
      <c r="L1253" s="1058"/>
      <c r="M1253" s="1059" t="str">
        <f>IF(A1253="","",I1253*K1253)</f>
        <v/>
      </c>
      <c r="N1253" s="1058"/>
    </row>
    <row r="1254" spans="1:14" ht="12.75" customHeight="1" x14ac:dyDescent="0.2">
      <c r="A1254" s="1061"/>
      <c r="B1254" s="1057"/>
      <c r="C1254" s="1057"/>
      <c r="D1254" s="1057"/>
      <c r="E1254" s="1057"/>
      <c r="F1254" s="1057"/>
      <c r="G1254" s="1058"/>
      <c r="H1254" s="9" t="str">
        <f>IF(A1254="","",VLOOKUP(A1254,AA_Equipos,7,FALSE))</f>
        <v/>
      </c>
      <c r="I1254" s="1059" t="str">
        <f>IF(A1254="","",VLOOKUP(A1254,AA_Equipos,8,FALSE))</f>
        <v/>
      </c>
      <c r="J1254" s="1058"/>
      <c r="K1254" s="1060"/>
      <c r="L1254" s="1058"/>
      <c r="M1254" s="1059" t="str">
        <f>IF(A1254="","",I1254*K1254)</f>
        <v/>
      </c>
      <c r="N1254" s="1058"/>
    </row>
    <row r="1255" spans="1:14" ht="12.75" customHeight="1" x14ac:dyDescent="0.2">
      <c r="A1255" s="1061"/>
      <c r="B1255" s="1057"/>
      <c r="C1255" s="1057"/>
      <c r="D1255" s="1057"/>
      <c r="E1255" s="1057"/>
      <c r="F1255" s="1057"/>
      <c r="G1255" s="1058"/>
      <c r="H1255" s="9" t="str">
        <f>IF(A1255="","",VLOOKUP(A1255,AA_Equipos,7,FALSE))</f>
        <v/>
      </c>
      <c r="I1255" s="1059" t="str">
        <f>IF(A1255="","",VLOOKUP(A1255,AA_Equipos,8,FALSE))</f>
        <v/>
      </c>
      <c r="J1255" s="1058"/>
      <c r="K1255" s="1060"/>
      <c r="L1255" s="1058"/>
      <c r="M1255" s="1059" t="str">
        <f>IF(A1255="","",I1255*K1255)</f>
        <v/>
      </c>
      <c r="N1255" s="1058"/>
    </row>
    <row r="1256" spans="1:14" ht="12.75" customHeight="1" x14ac:dyDescent="0.25">
      <c r="A1256" s="3"/>
      <c r="B1256" s="3"/>
      <c r="C1256" s="3"/>
      <c r="D1256" s="3"/>
      <c r="E1256" s="3"/>
      <c r="F1256" s="3"/>
      <c r="G1256" s="3"/>
      <c r="H1256" s="3"/>
      <c r="I1256" s="3"/>
      <c r="J1256" s="3"/>
      <c r="K1256" s="1066" t="s">
        <v>201</v>
      </c>
      <c r="L1256" s="1058"/>
      <c r="M1256" s="1059">
        <f>SUM(M1251:N1255)</f>
        <v>1735.0170795000004</v>
      </c>
      <c r="N1256" s="1058"/>
    </row>
    <row r="1257" spans="1:14" ht="12.75" customHeight="1" x14ac:dyDescent="0.25">
      <c r="A1257" s="3"/>
      <c r="B1257" s="3"/>
      <c r="C1257" s="3"/>
      <c r="D1257" s="3"/>
      <c r="E1257" s="3"/>
      <c r="F1257" s="3"/>
      <c r="G1257" s="3"/>
      <c r="H1257" s="3"/>
      <c r="I1257" s="3"/>
      <c r="J1257" s="3"/>
      <c r="K1257" s="3"/>
      <c r="L1257" s="3"/>
      <c r="M1257" s="3"/>
      <c r="N1257" s="3"/>
    </row>
    <row r="1258" spans="1:14" ht="12.75" customHeight="1" x14ac:dyDescent="0.2">
      <c r="A1258" s="1065" t="s">
        <v>392</v>
      </c>
      <c r="B1258" s="1057"/>
      <c r="C1258" s="1057"/>
      <c r="D1258" s="1057"/>
      <c r="E1258" s="1057"/>
      <c r="F1258" s="1057"/>
      <c r="G1258" s="1057"/>
      <c r="H1258" s="1057"/>
      <c r="I1258" s="1057"/>
      <c r="J1258" s="1057"/>
      <c r="K1258" s="1057"/>
      <c r="L1258" s="1057"/>
      <c r="M1258" s="1057"/>
      <c r="N1258" s="1058"/>
    </row>
    <row r="1259" spans="1:14" ht="12.75" customHeight="1" x14ac:dyDescent="0.2">
      <c r="A1259" s="1066" t="s">
        <v>38</v>
      </c>
      <c r="B1259" s="1057"/>
      <c r="C1259" s="1057"/>
      <c r="D1259" s="1057"/>
      <c r="E1259" s="1057"/>
      <c r="F1259" s="1057"/>
      <c r="G1259" s="1058"/>
      <c r="H1259" s="28" t="s">
        <v>39</v>
      </c>
      <c r="I1259" s="1062" t="s">
        <v>385</v>
      </c>
      <c r="J1259" s="1058"/>
      <c r="K1259" s="1062" t="s">
        <v>132</v>
      </c>
      <c r="L1259" s="1058"/>
      <c r="M1259" s="1062" t="s">
        <v>386</v>
      </c>
      <c r="N1259" s="1058"/>
    </row>
    <row r="1260" spans="1:14" ht="12.75" customHeight="1" x14ac:dyDescent="0.2">
      <c r="A1260" s="1061"/>
      <c r="B1260" s="1057"/>
      <c r="C1260" s="1057"/>
      <c r="D1260" s="1057"/>
      <c r="E1260" s="1057"/>
      <c r="F1260" s="1057"/>
      <c r="G1260" s="1058"/>
      <c r="H1260" s="9"/>
      <c r="I1260" s="1059"/>
      <c r="J1260" s="1058"/>
      <c r="K1260" s="1064"/>
      <c r="L1260" s="1058"/>
      <c r="M1260" s="1059" t="str">
        <f>IF(A1260="","",I1260*K1260)</f>
        <v/>
      </c>
      <c r="N1260" s="1058"/>
    </row>
    <row r="1261" spans="1:14" ht="12.75" customHeight="1" x14ac:dyDescent="0.2">
      <c r="A1261" s="1056"/>
      <c r="B1261" s="1057"/>
      <c r="C1261" s="1057"/>
      <c r="D1261" s="1057"/>
      <c r="E1261" s="1057"/>
      <c r="F1261" s="1057"/>
      <c r="G1261" s="1058"/>
      <c r="H1261" s="9"/>
      <c r="I1261" s="1059"/>
      <c r="J1261" s="1058"/>
      <c r="K1261" s="1064"/>
      <c r="L1261" s="1058"/>
      <c r="M1261" s="1059" t="str">
        <f>IF(A1261="","",I1261*K1261)</f>
        <v/>
      </c>
      <c r="N1261" s="1058"/>
    </row>
    <row r="1262" spans="1:14" ht="12.75" customHeight="1" x14ac:dyDescent="0.2">
      <c r="A1262" s="1061"/>
      <c r="B1262" s="1057"/>
      <c r="C1262" s="1057"/>
      <c r="D1262" s="1057"/>
      <c r="E1262" s="1057"/>
      <c r="F1262" s="1057"/>
      <c r="G1262" s="1058"/>
      <c r="H1262" s="9"/>
      <c r="I1262" s="1059"/>
      <c r="J1262" s="1058"/>
      <c r="K1262" s="1060"/>
      <c r="L1262" s="1058"/>
      <c r="M1262" s="1059" t="str">
        <f>IF(A1262="","",I1262*K1262)</f>
        <v/>
      </c>
      <c r="N1262" s="1058"/>
    </row>
    <row r="1263" spans="1:14" ht="12.75" customHeight="1" x14ac:dyDescent="0.2">
      <c r="A1263" s="1061"/>
      <c r="B1263" s="1057"/>
      <c r="C1263" s="1057"/>
      <c r="D1263" s="1057"/>
      <c r="E1263" s="1057"/>
      <c r="F1263" s="1057"/>
      <c r="G1263" s="1058"/>
      <c r="H1263" s="9"/>
      <c r="I1263" s="1059"/>
      <c r="J1263" s="1058"/>
      <c r="K1263" s="1060"/>
      <c r="L1263" s="1058"/>
      <c r="M1263" s="1059" t="str">
        <f>IF(A1263="","",I1263*K1263)</f>
        <v/>
      </c>
      <c r="N1263" s="1058"/>
    </row>
    <row r="1264" spans="1:14" ht="12.75" customHeight="1" x14ac:dyDescent="0.2">
      <c r="A1264" s="1061"/>
      <c r="B1264" s="1057"/>
      <c r="C1264" s="1057"/>
      <c r="D1264" s="1057"/>
      <c r="E1264" s="1057"/>
      <c r="F1264" s="1057"/>
      <c r="G1264" s="1058"/>
      <c r="H1264" s="9"/>
      <c r="I1264" s="1059"/>
      <c r="J1264" s="1058"/>
      <c r="K1264" s="1060"/>
      <c r="L1264" s="1058"/>
      <c r="M1264" s="1059" t="str">
        <f>IF(A1264="","",I1264*K1264)</f>
        <v/>
      </c>
      <c r="N1264" s="1058"/>
    </row>
    <row r="1265" spans="1:15" ht="12.75" customHeight="1" x14ac:dyDescent="0.25">
      <c r="A1265" s="3"/>
      <c r="B1265" s="3"/>
      <c r="C1265" s="3"/>
      <c r="D1265" s="3"/>
      <c r="E1265" s="3"/>
      <c r="F1265" s="3"/>
      <c r="G1265" s="3"/>
      <c r="H1265" s="3"/>
      <c r="I1265" s="3"/>
      <c r="J1265" s="3"/>
      <c r="K1265" s="1066" t="s">
        <v>201</v>
      </c>
      <c r="L1265" s="1058"/>
      <c r="M1265" s="1059">
        <f>SUM(M1260:N1264)</f>
        <v>0</v>
      </c>
      <c r="N1265" s="1058"/>
    </row>
    <row r="1266" spans="1:15" ht="12.75" customHeight="1" x14ac:dyDescent="0.25">
      <c r="A1266" s="3"/>
      <c r="B1266" s="3"/>
      <c r="C1266" s="3"/>
      <c r="D1266" s="3"/>
      <c r="E1266" s="3"/>
      <c r="F1266" s="3"/>
      <c r="G1266" s="3"/>
      <c r="H1266" s="3"/>
      <c r="I1266" s="3"/>
      <c r="J1266" s="3"/>
      <c r="K1266" s="3"/>
      <c r="L1266" s="3"/>
      <c r="M1266" s="3"/>
      <c r="N1266" s="3"/>
    </row>
    <row r="1267" spans="1:15" ht="12.75" customHeight="1" x14ac:dyDescent="0.2">
      <c r="A1267" s="1065" t="s">
        <v>394</v>
      </c>
      <c r="B1267" s="1057"/>
      <c r="C1267" s="1057"/>
      <c r="D1267" s="1057"/>
      <c r="E1267" s="1057"/>
      <c r="F1267" s="1057"/>
      <c r="G1267" s="1057"/>
      <c r="H1267" s="1057"/>
      <c r="I1267" s="1057"/>
      <c r="J1267" s="1057"/>
      <c r="K1267" s="1057"/>
      <c r="L1267" s="1057"/>
      <c r="M1267" s="1057"/>
      <c r="N1267" s="1058"/>
    </row>
    <row r="1268" spans="1:15" ht="12.75" customHeight="1" x14ac:dyDescent="0.2">
      <c r="A1268" s="1066" t="s">
        <v>38</v>
      </c>
      <c r="B1268" s="1057"/>
      <c r="C1268" s="1057"/>
      <c r="D1268" s="1057"/>
      <c r="E1268" s="1057"/>
      <c r="F1268" s="1057"/>
      <c r="G1268" s="1058"/>
      <c r="H1268" s="28" t="s">
        <v>39</v>
      </c>
      <c r="I1268" s="1062" t="s">
        <v>385</v>
      </c>
      <c r="J1268" s="1058"/>
      <c r="K1268" s="30" t="s">
        <v>193</v>
      </c>
      <c r="L1268" s="31" t="s">
        <v>395</v>
      </c>
      <c r="M1268" s="1062" t="s">
        <v>386</v>
      </c>
      <c r="N1268" s="1058"/>
    </row>
    <row r="1269" spans="1:15" ht="12.75" customHeight="1" x14ac:dyDescent="0.25">
      <c r="A1269" s="1063" t="s">
        <v>423</v>
      </c>
      <c r="B1269" s="1057"/>
      <c r="C1269" s="1057"/>
      <c r="D1269" s="1057"/>
      <c r="E1269" s="1057"/>
      <c r="F1269" s="1057"/>
      <c r="G1269" s="1058"/>
      <c r="H1269" s="9" t="str">
        <f>IF(A1269="","",VLOOKUP(A1269,AA_Cuadrillas,4,FALSE))</f>
        <v>Cuadrilla</v>
      </c>
      <c r="I1269" s="1059">
        <f>IF(A1269="","",VLOOKUP(A1269,AA_Cuadrillas,5,FALSE))</f>
        <v>134236</v>
      </c>
      <c r="J1269" s="1058"/>
      <c r="K1269" s="1">
        <f>IF(A1269="","",'06'!$J$3)</f>
        <v>1.7233500000000002</v>
      </c>
      <c r="L1269" s="37">
        <v>0.15</v>
      </c>
      <c r="M1269" s="1059">
        <f>IF(A1269="","",I1269*K1269*L1269)</f>
        <v>34700.341590000004</v>
      </c>
      <c r="N1269" s="1058"/>
    </row>
    <row r="1270" spans="1:15" ht="12.75" customHeight="1" x14ac:dyDescent="0.25">
      <c r="A1270" s="1063"/>
      <c r="B1270" s="1057"/>
      <c r="C1270" s="1057"/>
      <c r="D1270" s="1057"/>
      <c r="E1270" s="1057"/>
      <c r="F1270" s="1057"/>
      <c r="G1270" s="1058"/>
      <c r="H1270" s="9" t="str">
        <f>IF(A1270="","",VLOOKUP(A1270,AA_Cuadrillas,4,FALSE))</f>
        <v/>
      </c>
      <c r="I1270" s="1059" t="str">
        <f>IF(A1270="","",VLOOKUP(A1270,AA_Cuadrillas,5,FALSE))</f>
        <v/>
      </c>
      <c r="J1270" s="1058"/>
      <c r="K1270" s="1" t="str">
        <f>IF(A1270="","",'06'!$J$3)</f>
        <v/>
      </c>
      <c r="L1270" s="1"/>
      <c r="M1270" s="1059" t="str">
        <f>IF(A1270="","",I1270*K1270*L1270)</f>
        <v/>
      </c>
      <c r="N1270" s="1058"/>
    </row>
    <row r="1271" spans="1:15" ht="12.75" customHeight="1" x14ac:dyDescent="0.25">
      <c r="A1271" s="1063"/>
      <c r="B1271" s="1057"/>
      <c r="C1271" s="1057"/>
      <c r="D1271" s="1057"/>
      <c r="E1271" s="1057"/>
      <c r="F1271" s="1057"/>
      <c r="G1271" s="1058"/>
      <c r="H1271" s="9" t="str">
        <f>IF(A1271="","",VLOOKUP(A1271,AA_Cuadrillas,4,FALSE))</f>
        <v/>
      </c>
      <c r="I1271" s="1059" t="str">
        <f>IF(A1271="","",VLOOKUP(A1271,AA_Cuadrillas,5,FALSE))</f>
        <v/>
      </c>
      <c r="J1271" s="1058"/>
      <c r="K1271" s="1" t="str">
        <f>IF(A1271="","",'06'!$J$3)</f>
        <v/>
      </c>
      <c r="L1271" s="10"/>
      <c r="M1271" s="1059" t="str">
        <f>IF(A1271="","",I1271*K1271*L1271)</f>
        <v/>
      </c>
      <c r="N1271" s="1058"/>
    </row>
    <row r="1272" spans="1:15" ht="12.75" customHeight="1" x14ac:dyDescent="0.25">
      <c r="A1272" s="1063"/>
      <c r="B1272" s="1057"/>
      <c r="C1272" s="1057"/>
      <c r="D1272" s="1057"/>
      <c r="E1272" s="1057"/>
      <c r="F1272" s="1057"/>
      <c r="G1272" s="1058"/>
      <c r="H1272" s="9" t="str">
        <f>IF(A1272="","",VLOOKUP(A1272,AA_Cuadrillas,4,FALSE))</f>
        <v/>
      </c>
      <c r="I1272" s="1059" t="str">
        <f>IF(A1272="","",VLOOKUP(A1272,AA_Cuadrillas,5,FALSE))</f>
        <v/>
      </c>
      <c r="J1272" s="1058"/>
      <c r="K1272" s="1" t="str">
        <f>IF(A1272="","",'06'!$J$3)</f>
        <v/>
      </c>
      <c r="L1272" s="10"/>
      <c r="M1272" s="1059" t="str">
        <f>IF(A1272="","",I1272*K1272*L1272)</f>
        <v/>
      </c>
      <c r="N1272" s="1058"/>
    </row>
    <row r="1273" spans="1:15" ht="12.75" customHeight="1" x14ac:dyDescent="0.25">
      <c r="A1273" s="1063"/>
      <c r="B1273" s="1057"/>
      <c r="C1273" s="1057"/>
      <c r="D1273" s="1057"/>
      <c r="E1273" s="1057"/>
      <c r="F1273" s="1057"/>
      <c r="G1273" s="1058"/>
      <c r="H1273" s="9" t="str">
        <f>IF(A1273="","",VLOOKUP(A1273,AA_Cuadrillas,4,FALSE))</f>
        <v/>
      </c>
      <c r="I1273" s="1059" t="str">
        <f>IF(A1273="","",VLOOKUP(A1273,AA_Cuadrillas,5,FALSE))</f>
        <v/>
      </c>
      <c r="J1273" s="1058"/>
      <c r="K1273" s="1" t="str">
        <f>IF(A1273="","",'06'!$J$3)</f>
        <v/>
      </c>
      <c r="L1273" s="10"/>
      <c r="M1273" s="1059" t="str">
        <f>IF(A1273="","",I1273*K1273*L1273)</f>
        <v/>
      </c>
      <c r="N1273" s="1058"/>
    </row>
    <row r="1274" spans="1:15" ht="12.75" customHeight="1" x14ac:dyDescent="0.25">
      <c r="A1274" s="3"/>
      <c r="B1274" s="3"/>
      <c r="C1274" s="3"/>
      <c r="D1274" s="3"/>
      <c r="E1274" s="3"/>
      <c r="F1274" s="3"/>
      <c r="G1274" s="3"/>
      <c r="H1274" s="3"/>
      <c r="I1274" s="3"/>
      <c r="J1274" s="3"/>
      <c r="K1274" s="1066" t="s">
        <v>201</v>
      </c>
      <c r="L1274" s="1058"/>
      <c r="M1274" s="1059">
        <f>SUM(M1269:N1273)</f>
        <v>34700.341590000004</v>
      </c>
      <c r="N1274" s="1058"/>
    </row>
    <row r="1275" spans="1:15" ht="12.75" customHeight="1" x14ac:dyDescent="0.2"/>
    <row r="1276" spans="1:15" ht="12.75" customHeight="1" x14ac:dyDescent="0.2">
      <c r="A1276" s="1072" t="s">
        <v>1695</v>
      </c>
      <c r="B1276" s="1052"/>
      <c r="C1276" s="1052"/>
      <c r="D1276" s="1052"/>
      <c r="E1276" s="1052"/>
      <c r="F1276" s="1052"/>
      <c r="G1276" s="1052"/>
      <c r="H1276" s="1052"/>
      <c r="I1276" s="1052"/>
      <c r="J1276" s="1052"/>
      <c r="K1276" s="1052"/>
      <c r="L1276" s="1052"/>
      <c r="M1276" s="1052"/>
      <c r="N1276" s="1053"/>
      <c r="O1276" s="7"/>
    </row>
    <row r="1277" spans="1:15" ht="12.75" customHeight="1" x14ac:dyDescent="0.2">
      <c r="A1277" s="1031"/>
      <c r="B1277" s="1032"/>
      <c r="C1277" s="1032"/>
      <c r="D1277" s="1032"/>
      <c r="E1277" s="1032"/>
      <c r="F1277" s="1032"/>
      <c r="G1277" s="1032"/>
      <c r="H1277" s="1032"/>
      <c r="I1277" s="1032"/>
      <c r="J1277" s="1032"/>
      <c r="K1277" s="1032"/>
      <c r="L1277" s="1032"/>
      <c r="M1277" s="1032"/>
      <c r="N1277" s="1055"/>
      <c r="O1277" s="7"/>
    </row>
    <row r="1278" spans="1:15" ht="12.75" customHeight="1" x14ac:dyDescent="0.2">
      <c r="A1278" s="16"/>
      <c r="B1278" s="16"/>
      <c r="C1278" s="16"/>
      <c r="D1278" s="16"/>
      <c r="E1278" s="16"/>
      <c r="F1278" s="16"/>
      <c r="G1278" s="16"/>
      <c r="H1278" s="16"/>
      <c r="I1278" s="16"/>
      <c r="J1278" s="16"/>
      <c r="K1278" s="16"/>
      <c r="L1278" s="16"/>
      <c r="M1278" s="16"/>
      <c r="N1278" s="16"/>
    </row>
    <row r="1279" spans="1:15" ht="12.75" customHeight="1" x14ac:dyDescent="0.3">
      <c r="A1279" s="18" t="s">
        <v>320</v>
      </c>
      <c r="B1279" s="19" t="str">
        <f>A1276</f>
        <v>SUMINISTRO E INSTALACIÓN CODO PE100 45° Ø6" PEAD PN10 RDE 17.  INCLUYE TRANSPORTE.</v>
      </c>
      <c r="C1279" s="20" t="s">
        <v>382</v>
      </c>
      <c r="D1279" s="127" t="s">
        <v>424</v>
      </c>
      <c r="E1279" s="22" t="s">
        <v>125</v>
      </c>
      <c r="F1279" s="26">
        <f>(H1279+J1279+L1279+N1279)*$O$2</f>
        <v>774084.84525311564</v>
      </c>
      <c r="G1279" s="22" t="s">
        <v>285</v>
      </c>
      <c r="H1279" s="26">
        <f>M1297</f>
        <v>1360.5181411397618</v>
      </c>
      <c r="I1279" s="22" t="s">
        <v>383</v>
      </c>
      <c r="J1279" s="26">
        <f>M1288</f>
        <v>566879</v>
      </c>
      <c r="K1279" s="22" t="s">
        <v>287</v>
      </c>
      <c r="L1279" s="26">
        <f>M1305</f>
        <v>0</v>
      </c>
      <c r="M1279" s="22" t="s">
        <v>288</v>
      </c>
      <c r="N1279" s="26">
        <f>M1314</f>
        <v>27210.362822795236</v>
      </c>
    </row>
    <row r="1280" spans="1:15" ht="12.75" customHeight="1" x14ac:dyDescent="0.25">
      <c r="A1280" s="27"/>
      <c r="B1280" s="27"/>
      <c r="C1280" s="27"/>
      <c r="D1280" s="27"/>
      <c r="E1280" s="27"/>
      <c r="F1280" s="27"/>
      <c r="G1280" s="27"/>
      <c r="J1280" s="27"/>
      <c r="K1280" s="27"/>
      <c r="L1280" s="27"/>
      <c r="M1280" s="27"/>
      <c r="N1280" s="27"/>
    </row>
    <row r="1281" spans="1:14" ht="12.75" customHeight="1" x14ac:dyDescent="0.2">
      <c r="A1281" s="1065" t="s">
        <v>384</v>
      </c>
      <c r="B1281" s="1057"/>
      <c r="C1281" s="1057"/>
      <c r="D1281" s="1057"/>
      <c r="E1281" s="1057"/>
      <c r="F1281" s="1057"/>
      <c r="G1281" s="1057"/>
      <c r="H1281" s="1057"/>
      <c r="I1281" s="1057"/>
      <c r="J1281" s="1057"/>
      <c r="K1281" s="1057"/>
      <c r="L1281" s="1057"/>
      <c r="M1281" s="1057"/>
      <c r="N1281" s="1058"/>
    </row>
    <row r="1282" spans="1:14" ht="12.75" customHeight="1" x14ac:dyDescent="0.2">
      <c r="A1282" s="1066" t="s">
        <v>38</v>
      </c>
      <c r="B1282" s="1057"/>
      <c r="C1282" s="1057"/>
      <c r="D1282" s="1057"/>
      <c r="E1282" s="1057"/>
      <c r="F1282" s="1057"/>
      <c r="G1282" s="1058"/>
      <c r="H1282" s="28" t="s">
        <v>39</v>
      </c>
      <c r="I1282" s="1062" t="s">
        <v>385</v>
      </c>
      <c r="J1282" s="1058"/>
      <c r="K1282" s="1062" t="s">
        <v>132</v>
      </c>
      <c r="L1282" s="1058"/>
      <c r="M1282" s="1062" t="s">
        <v>386</v>
      </c>
      <c r="N1282" s="1058"/>
    </row>
    <row r="1283" spans="1:14" ht="12.75" customHeight="1" x14ac:dyDescent="0.2">
      <c r="A1283" s="1061" t="s">
        <v>1543</v>
      </c>
      <c r="B1283" s="1057"/>
      <c r="C1283" s="1057"/>
      <c r="D1283" s="1057"/>
      <c r="E1283" s="1057"/>
      <c r="F1283" s="1057"/>
      <c r="G1283" s="1058"/>
      <c r="H1283" s="9" t="str">
        <f>IF(A1283="","",VLOOKUP(A1283,AA_Materiales,7,FALSE))</f>
        <v>Unidad</v>
      </c>
      <c r="I1283" s="1059">
        <f>IF(A1283="","",VLOOKUP(A1283,AA_Materiales,8,FALSE))</f>
        <v>566879</v>
      </c>
      <c r="J1283" s="1058"/>
      <c r="K1283" s="1060">
        <v>1</v>
      </c>
      <c r="L1283" s="1058"/>
      <c r="M1283" s="1059">
        <f>IF(A1283="","",I1283*K1283)</f>
        <v>566879</v>
      </c>
      <c r="N1283" s="1058"/>
    </row>
    <row r="1284" spans="1:14" ht="12.75" customHeight="1" x14ac:dyDescent="0.2">
      <c r="A1284" s="1061"/>
      <c r="B1284" s="1057"/>
      <c r="C1284" s="1057"/>
      <c r="D1284" s="1057"/>
      <c r="E1284" s="1057"/>
      <c r="F1284" s="1057"/>
      <c r="G1284" s="1058"/>
      <c r="H1284" s="9" t="str">
        <f>IF(A1284="","",VLOOKUP(A1284,AA_Materiales,7,FALSE))</f>
        <v/>
      </c>
      <c r="I1284" s="1059" t="str">
        <f>IF(A1284="","",VLOOKUP(A1284,AA_Materiales,8,FALSE))</f>
        <v/>
      </c>
      <c r="J1284" s="1058"/>
      <c r="K1284" s="1060"/>
      <c r="L1284" s="1058"/>
      <c r="M1284" s="1059" t="str">
        <f>IF(A1284="","",I1284*K1284)</f>
        <v/>
      </c>
      <c r="N1284" s="1058"/>
    </row>
    <row r="1285" spans="1:14" ht="12.75" customHeight="1" x14ac:dyDescent="0.2">
      <c r="A1285" s="1061"/>
      <c r="B1285" s="1057"/>
      <c r="C1285" s="1057"/>
      <c r="D1285" s="1057"/>
      <c r="E1285" s="1057"/>
      <c r="F1285" s="1057"/>
      <c r="G1285" s="1058"/>
      <c r="H1285" s="9" t="str">
        <f>IF(A1285="","",VLOOKUP(A1285,AA_Materiales,7,FALSE))</f>
        <v/>
      </c>
      <c r="I1285" s="1059" t="str">
        <f>IF(A1285="","",VLOOKUP(A1285,AA_Materiales,8,FALSE))</f>
        <v/>
      </c>
      <c r="J1285" s="1058"/>
      <c r="K1285" s="1060"/>
      <c r="L1285" s="1058"/>
      <c r="M1285" s="1059" t="str">
        <f>IF(A1285="","",I1285*K1285)</f>
        <v/>
      </c>
      <c r="N1285" s="1058"/>
    </row>
    <row r="1286" spans="1:14" ht="12.75" customHeight="1" x14ac:dyDescent="0.2">
      <c r="A1286" s="1061"/>
      <c r="B1286" s="1057"/>
      <c r="C1286" s="1057"/>
      <c r="D1286" s="1057"/>
      <c r="E1286" s="1057"/>
      <c r="F1286" s="1057"/>
      <c r="G1286" s="1058"/>
      <c r="H1286" s="9" t="str">
        <f>IF(A1286="","",VLOOKUP(A1286,AA_Materiales,7,FALSE))</f>
        <v/>
      </c>
      <c r="I1286" s="1059" t="str">
        <f>IF(A1286="","",VLOOKUP(A1286,AA_Materiales,8,FALSE))</f>
        <v/>
      </c>
      <c r="J1286" s="1058"/>
      <c r="K1286" s="1060"/>
      <c r="L1286" s="1058"/>
      <c r="M1286" s="1059" t="str">
        <f>IF(A1286="","",I1286*K1286)</f>
        <v/>
      </c>
      <c r="N1286" s="1058"/>
    </row>
    <row r="1287" spans="1:14" ht="12.75" customHeight="1" x14ac:dyDescent="0.2">
      <c r="A1287" s="1061"/>
      <c r="B1287" s="1057"/>
      <c r="C1287" s="1057"/>
      <c r="D1287" s="1057"/>
      <c r="E1287" s="1057"/>
      <c r="F1287" s="1057"/>
      <c r="G1287" s="1058"/>
      <c r="H1287" s="9" t="str">
        <f>IF(A1287="","",VLOOKUP(A1287,AA_Materiales,7,FALSE))</f>
        <v/>
      </c>
      <c r="I1287" s="1059" t="str">
        <f>IF(A1287="","",VLOOKUP(A1287,AA_Materiales,8,FALSE))</f>
        <v/>
      </c>
      <c r="J1287" s="1058"/>
      <c r="K1287" s="1060"/>
      <c r="L1287" s="1058"/>
      <c r="M1287" s="1059" t="str">
        <f>IF(A1287="","",I1287*K1287)</f>
        <v/>
      </c>
      <c r="N1287" s="1058"/>
    </row>
    <row r="1288" spans="1:14" ht="12.75" customHeight="1" x14ac:dyDescent="0.25">
      <c r="A1288" s="3"/>
      <c r="B1288" s="3"/>
      <c r="C1288" s="3"/>
      <c r="D1288" s="3"/>
      <c r="E1288" s="3"/>
      <c r="F1288" s="3"/>
      <c r="G1288" s="3"/>
      <c r="H1288" s="3"/>
      <c r="I1288" s="3"/>
      <c r="J1288" s="3"/>
      <c r="K1288" s="1066" t="s">
        <v>201</v>
      </c>
      <c r="L1288" s="1058"/>
      <c r="M1288" s="1059">
        <f>SUM(M1283:N1287)</f>
        <v>566879</v>
      </c>
      <c r="N1288" s="1058"/>
    </row>
    <row r="1289" spans="1:14" ht="12.75" customHeight="1" x14ac:dyDescent="0.25">
      <c r="A1289" s="3"/>
      <c r="B1289" s="3"/>
      <c r="C1289" s="3"/>
      <c r="D1289" s="3"/>
      <c r="E1289" s="3"/>
      <c r="F1289" s="3"/>
      <c r="G1289" s="3"/>
      <c r="H1289" s="3"/>
      <c r="I1289" s="3"/>
      <c r="J1289" s="3"/>
      <c r="K1289" s="3"/>
      <c r="L1289" s="3"/>
      <c r="M1289" s="3"/>
      <c r="N1289" s="3"/>
    </row>
    <row r="1290" spans="1:14" ht="12.75" customHeight="1" x14ac:dyDescent="0.2">
      <c r="A1290" s="1065" t="s">
        <v>390</v>
      </c>
      <c r="B1290" s="1057"/>
      <c r="C1290" s="1057"/>
      <c r="D1290" s="1057"/>
      <c r="E1290" s="1057"/>
      <c r="F1290" s="1057"/>
      <c r="G1290" s="1057"/>
      <c r="H1290" s="1057"/>
      <c r="I1290" s="1057"/>
      <c r="J1290" s="1057"/>
      <c r="K1290" s="1057"/>
      <c r="L1290" s="1057"/>
      <c r="M1290" s="1057"/>
      <c r="N1290" s="1058"/>
    </row>
    <row r="1291" spans="1:14" ht="12.75" customHeight="1" x14ac:dyDescent="0.2">
      <c r="A1291" s="1066" t="s">
        <v>38</v>
      </c>
      <c r="B1291" s="1057"/>
      <c r="C1291" s="1057"/>
      <c r="D1291" s="1057"/>
      <c r="E1291" s="1057"/>
      <c r="F1291" s="1057"/>
      <c r="G1291" s="1058"/>
      <c r="H1291" s="28" t="s">
        <v>39</v>
      </c>
      <c r="I1291" s="1062" t="s">
        <v>385</v>
      </c>
      <c r="J1291" s="1058"/>
      <c r="K1291" s="1062" t="s">
        <v>132</v>
      </c>
      <c r="L1291" s="1058"/>
      <c r="M1291" s="1062" t="s">
        <v>386</v>
      </c>
      <c r="N1291" s="1058"/>
    </row>
    <row r="1292" spans="1:14" ht="12.75" customHeight="1" x14ac:dyDescent="0.2">
      <c r="A1292" s="1061" t="s">
        <v>391</v>
      </c>
      <c r="B1292" s="1057"/>
      <c r="C1292" s="1057"/>
      <c r="D1292" s="1057"/>
      <c r="E1292" s="1057"/>
      <c r="F1292" s="1057"/>
      <c r="G1292" s="1058"/>
      <c r="H1292" s="9" t="str">
        <f>IF(A1292="","",VLOOKUP(A1292,AA_Equipos,7,FALSE))</f>
        <v>% M.O.</v>
      </c>
      <c r="I1292" s="1059">
        <f>M1314</f>
        <v>27210.362822795236</v>
      </c>
      <c r="J1292" s="1058"/>
      <c r="K1292" s="1094">
        <v>0.05</v>
      </c>
      <c r="L1292" s="1058"/>
      <c r="M1292" s="1059">
        <f>IF(A1292="","",I1292*K1292)</f>
        <v>1360.5181411397618</v>
      </c>
      <c r="N1292" s="1058"/>
    </row>
    <row r="1293" spans="1:14" ht="12.75" customHeight="1" x14ac:dyDescent="0.2">
      <c r="A1293" s="1056"/>
      <c r="B1293" s="1057"/>
      <c r="C1293" s="1057"/>
      <c r="D1293" s="1057"/>
      <c r="E1293" s="1057"/>
      <c r="F1293" s="1057"/>
      <c r="G1293" s="1058"/>
      <c r="H1293" s="9" t="str">
        <f>IF(A1293="","",VLOOKUP(A1293,AA_Equipos,7,FALSE))</f>
        <v/>
      </c>
      <c r="I1293" s="1059" t="str">
        <f>IF(A1293="","",VLOOKUP(A1293,AA_Equipos,8,FALSE))</f>
        <v/>
      </c>
      <c r="J1293" s="1058"/>
      <c r="K1293" s="1067"/>
      <c r="L1293" s="1058"/>
      <c r="M1293" s="1059" t="str">
        <f>IF(A1293="","",I1293*K1293)</f>
        <v/>
      </c>
      <c r="N1293" s="1058"/>
    </row>
    <row r="1294" spans="1:14" ht="12.75" customHeight="1" x14ac:dyDescent="0.2">
      <c r="A1294" s="1061"/>
      <c r="B1294" s="1057"/>
      <c r="C1294" s="1057"/>
      <c r="D1294" s="1057"/>
      <c r="E1294" s="1057"/>
      <c r="F1294" s="1057"/>
      <c r="G1294" s="1058"/>
      <c r="H1294" s="9" t="str">
        <f>IF(A1294="","",VLOOKUP(A1294,AA_Equipos,7,FALSE))</f>
        <v/>
      </c>
      <c r="I1294" s="1059" t="str">
        <f>IF(A1294="","",VLOOKUP(A1294,AA_Equipos,8,FALSE))</f>
        <v/>
      </c>
      <c r="J1294" s="1058"/>
      <c r="K1294" s="1060"/>
      <c r="L1294" s="1058"/>
      <c r="M1294" s="1059" t="str">
        <f>IF(A1294="","",I1294*K1294)</f>
        <v/>
      </c>
      <c r="N1294" s="1058"/>
    </row>
    <row r="1295" spans="1:14" ht="12.75" customHeight="1" x14ac:dyDescent="0.2">
      <c r="A1295" s="1061"/>
      <c r="B1295" s="1057"/>
      <c r="C1295" s="1057"/>
      <c r="D1295" s="1057"/>
      <c r="E1295" s="1057"/>
      <c r="F1295" s="1057"/>
      <c r="G1295" s="1058"/>
      <c r="H1295" s="9" t="str">
        <f>IF(A1295="","",VLOOKUP(A1295,AA_Equipos,7,FALSE))</f>
        <v/>
      </c>
      <c r="I1295" s="1059" t="str">
        <f>IF(A1295="","",VLOOKUP(A1295,AA_Equipos,8,FALSE))</f>
        <v/>
      </c>
      <c r="J1295" s="1058"/>
      <c r="K1295" s="1060"/>
      <c r="L1295" s="1058"/>
      <c r="M1295" s="1059" t="str">
        <f>IF(A1295="","",I1295*K1295)</f>
        <v/>
      </c>
      <c r="N1295" s="1058"/>
    </row>
    <row r="1296" spans="1:14" ht="12.75" customHeight="1" x14ac:dyDescent="0.2">
      <c r="A1296" s="1061"/>
      <c r="B1296" s="1057"/>
      <c r="C1296" s="1057"/>
      <c r="D1296" s="1057"/>
      <c r="E1296" s="1057"/>
      <c r="F1296" s="1057"/>
      <c r="G1296" s="1058"/>
      <c r="H1296" s="9" t="str">
        <f>IF(A1296="","",VLOOKUP(A1296,AA_Equipos,7,FALSE))</f>
        <v/>
      </c>
      <c r="I1296" s="1059" t="str">
        <f>IF(A1296="","",VLOOKUP(A1296,AA_Equipos,8,FALSE))</f>
        <v/>
      </c>
      <c r="J1296" s="1058"/>
      <c r="K1296" s="1060"/>
      <c r="L1296" s="1058"/>
      <c r="M1296" s="1059" t="str">
        <f>IF(A1296="","",I1296*K1296)</f>
        <v/>
      </c>
      <c r="N1296" s="1058"/>
    </row>
    <row r="1297" spans="1:14" ht="12.75" customHeight="1" x14ac:dyDescent="0.25">
      <c r="A1297" s="3"/>
      <c r="B1297" s="3"/>
      <c r="C1297" s="3"/>
      <c r="D1297" s="3"/>
      <c r="E1297" s="3"/>
      <c r="F1297" s="3"/>
      <c r="G1297" s="3"/>
      <c r="H1297" s="3"/>
      <c r="I1297" s="3"/>
      <c r="J1297" s="3"/>
      <c r="K1297" s="1066" t="s">
        <v>201</v>
      </c>
      <c r="L1297" s="1058"/>
      <c r="M1297" s="1059">
        <f>SUM(M1292:N1296)</f>
        <v>1360.5181411397618</v>
      </c>
      <c r="N1297" s="1058"/>
    </row>
    <row r="1298" spans="1:14" ht="12.75" customHeight="1" x14ac:dyDescent="0.25">
      <c r="A1298" s="3"/>
      <c r="B1298" s="3"/>
      <c r="C1298" s="3"/>
      <c r="D1298" s="3"/>
      <c r="E1298" s="3"/>
      <c r="F1298" s="3"/>
      <c r="G1298" s="3"/>
      <c r="H1298" s="3"/>
      <c r="I1298" s="3"/>
      <c r="J1298" s="3"/>
      <c r="K1298" s="3"/>
      <c r="L1298" s="3"/>
      <c r="M1298" s="3"/>
      <c r="N1298" s="3"/>
    </row>
    <row r="1299" spans="1:14" ht="12.75" customHeight="1" x14ac:dyDescent="0.2">
      <c r="A1299" s="1065" t="s">
        <v>392</v>
      </c>
      <c r="B1299" s="1057"/>
      <c r="C1299" s="1057"/>
      <c r="D1299" s="1057"/>
      <c r="E1299" s="1057"/>
      <c r="F1299" s="1057"/>
      <c r="G1299" s="1057"/>
      <c r="H1299" s="1057"/>
      <c r="I1299" s="1057"/>
      <c r="J1299" s="1057"/>
      <c r="K1299" s="1057"/>
      <c r="L1299" s="1057"/>
      <c r="M1299" s="1057"/>
      <c r="N1299" s="1058"/>
    </row>
    <row r="1300" spans="1:14" ht="12.75" customHeight="1" x14ac:dyDescent="0.2">
      <c r="A1300" s="1066" t="s">
        <v>38</v>
      </c>
      <c r="B1300" s="1057"/>
      <c r="C1300" s="1057"/>
      <c r="D1300" s="1057"/>
      <c r="E1300" s="1057"/>
      <c r="F1300" s="1057"/>
      <c r="G1300" s="1058"/>
      <c r="H1300" s="28" t="s">
        <v>39</v>
      </c>
      <c r="I1300" s="1062" t="s">
        <v>385</v>
      </c>
      <c r="J1300" s="1058"/>
      <c r="K1300" s="1062" t="s">
        <v>132</v>
      </c>
      <c r="L1300" s="1058"/>
      <c r="M1300" s="1062" t="s">
        <v>386</v>
      </c>
      <c r="N1300" s="1058"/>
    </row>
    <row r="1301" spans="1:14" ht="12.75" customHeight="1" x14ac:dyDescent="0.2">
      <c r="A1301" s="1056"/>
      <c r="B1301" s="1057"/>
      <c r="C1301" s="1057"/>
      <c r="D1301" s="1057"/>
      <c r="E1301" s="1057"/>
      <c r="F1301" s="1057"/>
      <c r="G1301" s="1058"/>
      <c r="H1301" s="9"/>
      <c r="I1301" s="1059"/>
      <c r="J1301" s="1058"/>
      <c r="K1301" s="1064"/>
      <c r="L1301" s="1058"/>
      <c r="M1301" s="1059" t="str">
        <f>IF(A1301="","",I1301*K1301)</f>
        <v/>
      </c>
      <c r="N1301" s="1058"/>
    </row>
    <row r="1302" spans="1:14" ht="12.75" customHeight="1" x14ac:dyDescent="0.2">
      <c r="A1302" s="1061"/>
      <c r="B1302" s="1057"/>
      <c r="C1302" s="1057"/>
      <c r="D1302" s="1057"/>
      <c r="E1302" s="1057"/>
      <c r="F1302" s="1057"/>
      <c r="G1302" s="1058"/>
      <c r="H1302" s="9"/>
      <c r="I1302" s="1059"/>
      <c r="J1302" s="1058"/>
      <c r="K1302" s="1060"/>
      <c r="L1302" s="1058"/>
      <c r="M1302" s="1059" t="str">
        <f>IF(A1302="","",I1302*K1302)</f>
        <v/>
      </c>
      <c r="N1302" s="1058"/>
    </row>
    <row r="1303" spans="1:14" ht="12.75" customHeight="1" x14ac:dyDescent="0.2">
      <c r="A1303" s="1061"/>
      <c r="B1303" s="1057"/>
      <c r="C1303" s="1057"/>
      <c r="D1303" s="1057"/>
      <c r="E1303" s="1057"/>
      <c r="F1303" s="1057"/>
      <c r="G1303" s="1058"/>
      <c r="H1303" s="9"/>
      <c r="I1303" s="1059"/>
      <c r="J1303" s="1058"/>
      <c r="K1303" s="1060"/>
      <c r="L1303" s="1058"/>
      <c r="M1303" s="1059" t="str">
        <f>IF(A1303="","",I1303*K1303)</f>
        <v/>
      </c>
      <c r="N1303" s="1058"/>
    </row>
    <row r="1304" spans="1:14" ht="12.75" customHeight="1" x14ac:dyDescent="0.2">
      <c r="A1304" s="1061"/>
      <c r="B1304" s="1057"/>
      <c r="C1304" s="1057"/>
      <c r="D1304" s="1057"/>
      <c r="E1304" s="1057"/>
      <c r="F1304" s="1057"/>
      <c r="G1304" s="1058"/>
      <c r="H1304" s="9"/>
      <c r="I1304" s="1059"/>
      <c r="J1304" s="1058"/>
      <c r="K1304" s="1060"/>
      <c r="L1304" s="1058"/>
      <c r="M1304" s="1059" t="str">
        <f>IF(A1304="","",I1304*K1304)</f>
        <v/>
      </c>
      <c r="N1304" s="1058"/>
    </row>
    <row r="1305" spans="1:14" ht="12.75" customHeight="1" x14ac:dyDescent="0.25">
      <c r="A1305" s="3"/>
      <c r="B1305" s="3"/>
      <c r="C1305" s="3"/>
      <c r="D1305" s="3"/>
      <c r="E1305" s="3"/>
      <c r="F1305" s="3"/>
      <c r="G1305" s="3"/>
      <c r="H1305" s="3"/>
      <c r="I1305" s="3"/>
      <c r="J1305" s="3"/>
      <c r="K1305" s="1066" t="s">
        <v>201</v>
      </c>
      <c r="L1305" s="1058"/>
      <c r="M1305" s="1059">
        <f>SUM(M1301:N1304)</f>
        <v>0</v>
      </c>
      <c r="N1305" s="1058"/>
    </row>
    <row r="1306" spans="1:14" ht="12.75" customHeight="1" x14ac:dyDescent="0.25">
      <c r="A1306" s="3"/>
      <c r="B1306" s="3"/>
      <c r="C1306" s="3"/>
      <c r="D1306" s="3"/>
      <c r="E1306" s="3"/>
      <c r="F1306" s="3"/>
      <c r="G1306" s="3"/>
      <c r="H1306" s="3"/>
      <c r="I1306" s="3"/>
      <c r="J1306" s="3"/>
      <c r="K1306" s="3"/>
      <c r="L1306" s="3"/>
      <c r="M1306" s="3"/>
      <c r="N1306" s="3"/>
    </row>
    <row r="1307" spans="1:14" ht="12.75" customHeight="1" x14ac:dyDescent="0.2">
      <c r="A1307" s="1065" t="s">
        <v>394</v>
      </c>
      <c r="B1307" s="1057"/>
      <c r="C1307" s="1057"/>
      <c r="D1307" s="1057"/>
      <c r="E1307" s="1057"/>
      <c r="F1307" s="1057"/>
      <c r="G1307" s="1057"/>
      <c r="H1307" s="1057"/>
      <c r="I1307" s="1057"/>
      <c r="J1307" s="1057"/>
      <c r="K1307" s="1057"/>
      <c r="L1307" s="1057"/>
      <c r="M1307" s="1057"/>
      <c r="N1307" s="1058"/>
    </row>
    <row r="1308" spans="1:14" ht="12.75" customHeight="1" x14ac:dyDescent="0.2">
      <c r="A1308" s="1066" t="s">
        <v>38</v>
      </c>
      <c r="B1308" s="1057"/>
      <c r="C1308" s="1057"/>
      <c r="D1308" s="1057"/>
      <c r="E1308" s="1057"/>
      <c r="F1308" s="1057"/>
      <c r="G1308" s="1058"/>
      <c r="H1308" s="28" t="s">
        <v>39</v>
      </c>
      <c r="I1308" s="1062" t="s">
        <v>385</v>
      </c>
      <c r="J1308" s="1058"/>
      <c r="K1308" s="30" t="s">
        <v>193</v>
      </c>
      <c r="L1308" s="31" t="s">
        <v>395</v>
      </c>
      <c r="M1308" s="1062" t="s">
        <v>386</v>
      </c>
      <c r="N1308" s="1058"/>
    </row>
    <row r="1309" spans="1:14" ht="12.75" customHeight="1" x14ac:dyDescent="0.25">
      <c r="A1309" s="1063" t="s">
        <v>423</v>
      </c>
      <c r="B1309" s="1057"/>
      <c r="C1309" s="1057"/>
      <c r="D1309" s="1057"/>
      <c r="E1309" s="1057"/>
      <c r="F1309" s="1057"/>
      <c r="G1309" s="1058"/>
      <c r="H1309" s="9" t="str">
        <f>IF(A1309="","",VLOOKUP(A1309,AA_Cuadrillas,4,FALSE))</f>
        <v>Cuadrilla</v>
      </c>
      <c r="I1309" s="1059">
        <f>IF(A1309="","",VLOOKUP(A1309,AA_Cuadrillas,5,FALSE))</f>
        <v>134236</v>
      </c>
      <c r="J1309" s="1058"/>
      <c r="K1309" s="1">
        <f>IF(A1309="","",'06'!$J$3)</f>
        <v>1.7233500000000002</v>
      </c>
      <c r="L1309" s="32">
        <v>0.1176228888938521</v>
      </c>
      <c r="M1309" s="1059">
        <f>IF(A1309="","",I1309*K1309*L1309)</f>
        <v>27210.362822795236</v>
      </c>
      <c r="N1309" s="1058"/>
    </row>
    <row r="1310" spans="1:14" ht="12.75" customHeight="1" x14ac:dyDescent="0.25">
      <c r="A1310" s="1063"/>
      <c r="B1310" s="1057"/>
      <c r="C1310" s="1057"/>
      <c r="D1310" s="1057"/>
      <c r="E1310" s="1057"/>
      <c r="F1310" s="1057"/>
      <c r="G1310" s="1058"/>
      <c r="H1310" s="9" t="str">
        <f>IF(A1310="","",VLOOKUP(A1310,AA_Cuadrillas,4,FALSE))</f>
        <v/>
      </c>
      <c r="I1310" s="1059" t="str">
        <f>IF(A1310="","",VLOOKUP(A1310,AA_Cuadrillas,5,FALSE))</f>
        <v/>
      </c>
      <c r="J1310" s="1058"/>
      <c r="K1310" s="1" t="str">
        <f>IF(A1310="","",'06'!$J$3)</f>
        <v/>
      </c>
      <c r="L1310" s="1"/>
      <c r="M1310" s="1059" t="str">
        <f>IF(A1310="","",I1310*K1310*L1310)</f>
        <v/>
      </c>
      <c r="N1310" s="1058"/>
    </row>
    <row r="1311" spans="1:14" ht="12.75" customHeight="1" x14ac:dyDescent="0.25">
      <c r="A1311" s="1063"/>
      <c r="B1311" s="1057"/>
      <c r="C1311" s="1057"/>
      <c r="D1311" s="1057"/>
      <c r="E1311" s="1057"/>
      <c r="F1311" s="1057"/>
      <c r="G1311" s="1058"/>
      <c r="H1311" s="9" t="str">
        <f>IF(A1311="","",VLOOKUP(A1311,AA_Cuadrillas,4,FALSE))</f>
        <v/>
      </c>
      <c r="I1311" s="1059" t="str">
        <f>IF(A1311="","",VLOOKUP(A1311,AA_Cuadrillas,5,FALSE))</f>
        <v/>
      </c>
      <c r="J1311" s="1058"/>
      <c r="K1311" s="1" t="str">
        <f>IF(A1311="","",'06'!$J$3)</f>
        <v/>
      </c>
      <c r="L1311" s="10"/>
      <c r="M1311" s="1059" t="str">
        <f>IF(A1311="","",I1311*K1311*L1311)</f>
        <v/>
      </c>
      <c r="N1311" s="1058"/>
    </row>
    <row r="1312" spans="1:14" ht="12.75" customHeight="1" x14ac:dyDescent="0.25">
      <c r="A1312" s="1063"/>
      <c r="B1312" s="1057"/>
      <c r="C1312" s="1057"/>
      <c r="D1312" s="1057"/>
      <c r="E1312" s="1057"/>
      <c r="F1312" s="1057"/>
      <c r="G1312" s="1058"/>
      <c r="H1312" s="9" t="str">
        <f>IF(A1312="","",VLOOKUP(A1312,AA_Cuadrillas,4,FALSE))</f>
        <v/>
      </c>
      <c r="I1312" s="1059" t="str">
        <f>IF(A1312="","",VLOOKUP(A1312,AA_Cuadrillas,5,FALSE))</f>
        <v/>
      </c>
      <c r="J1312" s="1058"/>
      <c r="K1312" s="1" t="str">
        <f>IF(A1312="","",'06'!$J$3)</f>
        <v/>
      </c>
      <c r="L1312" s="10"/>
      <c r="M1312" s="1059" t="str">
        <f>IF(A1312="","",I1312*K1312*L1312)</f>
        <v/>
      </c>
      <c r="N1312" s="1058"/>
    </row>
    <row r="1313" spans="1:15" ht="12.75" customHeight="1" x14ac:dyDescent="0.25">
      <c r="A1313" s="1063"/>
      <c r="B1313" s="1057"/>
      <c r="C1313" s="1057"/>
      <c r="D1313" s="1057"/>
      <c r="E1313" s="1057"/>
      <c r="F1313" s="1057"/>
      <c r="G1313" s="1058"/>
      <c r="H1313" s="9" t="str">
        <f>IF(A1313="","",VLOOKUP(A1313,AA_Cuadrillas,4,FALSE))</f>
        <v/>
      </c>
      <c r="I1313" s="1059" t="str">
        <f>IF(A1313="","",VLOOKUP(A1313,AA_Cuadrillas,5,FALSE))</f>
        <v/>
      </c>
      <c r="J1313" s="1058"/>
      <c r="K1313" s="1" t="str">
        <f>IF(A1313="","",'06'!$J$3)</f>
        <v/>
      </c>
      <c r="L1313" s="10"/>
      <c r="M1313" s="1059" t="str">
        <f>IF(A1313="","",I1313*K1313*L1313)</f>
        <v/>
      </c>
      <c r="N1313" s="1058"/>
    </row>
    <row r="1314" spans="1:15" ht="12.75" customHeight="1" x14ac:dyDescent="0.25">
      <c r="A1314" s="3"/>
      <c r="B1314" s="3"/>
      <c r="C1314" s="3"/>
      <c r="D1314" s="3"/>
      <c r="E1314" s="3"/>
      <c r="F1314" s="3"/>
      <c r="G1314" s="3"/>
      <c r="H1314" s="3"/>
      <c r="I1314" s="3"/>
      <c r="J1314" s="3"/>
      <c r="K1314" s="1092" t="s">
        <v>201</v>
      </c>
      <c r="L1314" s="1093"/>
      <c r="M1314" s="1087">
        <f>SUM(M1309:N1313)</f>
        <v>27210.362822795236</v>
      </c>
      <c r="N1314" s="1088"/>
    </row>
    <row r="1315" spans="1:15" ht="12.75" customHeight="1" x14ac:dyDescent="0.2"/>
    <row r="1316" spans="1:15" ht="12.75" customHeight="1" x14ac:dyDescent="0.2">
      <c r="A1316" s="1072" t="s">
        <v>1696</v>
      </c>
      <c r="B1316" s="1052"/>
      <c r="C1316" s="1052"/>
      <c r="D1316" s="1052"/>
      <c r="E1316" s="1052"/>
      <c r="F1316" s="1052"/>
      <c r="G1316" s="1052"/>
      <c r="H1316" s="1052"/>
      <c r="I1316" s="1052"/>
      <c r="J1316" s="1052"/>
      <c r="K1316" s="1052"/>
      <c r="L1316" s="1052"/>
      <c r="M1316" s="1052"/>
      <c r="N1316" s="1053"/>
      <c r="O1316" s="7"/>
    </row>
    <row r="1317" spans="1:15" ht="12.75" customHeight="1" x14ac:dyDescent="0.2">
      <c r="A1317" s="1031"/>
      <c r="B1317" s="1032"/>
      <c r="C1317" s="1032"/>
      <c r="D1317" s="1032"/>
      <c r="E1317" s="1032"/>
      <c r="F1317" s="1032"/>
      <c r="G1317" s="1032"/>
      <c r="H1317" s="1032"/>
      <c r="I1317" s="1032"/>
      <c r="J1317" s="1032"/>
      <c r="K1317" s="1032"/>
      <c r="L1317" s="1032"/>
      <c r="M1317" s="1032"/>
      <c r="N1317" s="1055"/>
      <c r="O1317" s="7"/>
    </row>
    <row r="1318" spans="1:15" ht="12.75" customHeight="1" x14ac:dyDescent="0.2">
      <c r="A1318" s="16"/>
      <c r="B1318" s="16"/>
      <c r="C1318" s="16"/>
      <c r="D1318" s="16"/>
      <c r="E1318" s="16"/>
      <c r="F1318" s="16"/>
      <c r="G1318" s="16"/>
      <c r="H1318" s="16"/>
      <c r="I1318" s="16"/>
      <c r="J1318" s="16"/>
      <c r="K1318" s="16"/>
      <c r="L1318" s="16"/>
      <c r="M1318" s="16"/>
      <c r="N1318" s="16"/>
    </row>
    <row r="1319" spans="1:15" ht="12.75" customHeight="1" x14ac:dyDescent="0.3">
      <c r="A1319" s="18" t="s">
        <v>321</v>
      </c>
      <c r="B1319" s="19" t="str">
        <f>A1316</f>
        <v>SUMINISTRO E INSTALACIÓN TEE PE100 Ø3" PEAD PN10 RDE 17. INCLUYE TRANSPORTE</v>
      </c>
      <c r="C1319" s="20" t="s">
        <v>382</v>
      </c>
      <c r="D1319" s="127" t="s">
        <v>424</v>
      </c>
      <c r="E1319" s="22" t="s">
        <v>125</v>
      </c>
      <c r="F1319" s="26">
        <f>(H1319+J1319+L1319+N1319)*$O$2</f>
        <v>305360.15952442004</v>
      </c>
      <c r="G1319" s="22" t="s">
        <v>285</v>
      </c>
      <c r="H1319" s="26">
        <f>M1340</f>
        <v>2082.0204954000001</v>
      </c>
      <c r="I1319" s="22" t="s">
        <v>383</v>
      </c>
      <c r="J1319" s="26">
        <f>M1331</f>
        <v>191170</v>
      </c>
      <c r="K1319" s="22" t="s">
        <v>287</v>
      </c>
      <c r="L1319" s="26">
        <f>M1349</f>
        <v>0</v>
      </c>
      <c r="M1319" s="22" t="s">
        <v>288</v>
      </c>
      <c r="N1319" s="26">
        <f>M1358</f>
        <v>41640.409908000001</v>
      </c>
    </row>
    <row r="1320" spans="1:15" ht="12.75" customHeight="1" x14ac:dyDescent="0.25">
      <c r="A1320" s="27"/>
      <c r="B1320" s="27"/>
      <c r="C1320" s="27"/>
      <c r="D1320" s="27"/>
      <c r="E1320" s="27"/>
      <c r="F1320" s="27"/>
      <c r="G1320" s="27"/>
      <c r="J1320" s="27"/>
      <c r="K1320" s="27"/>
      <c r="L1320" s="27"/>
      <c r="M1320" s="27"/>
      <c r="N1320" s="27"/>
    </row>
    <row r="1321" spans="1:15" ht="12.75" customHeight="1" x14ac:dyDescent="0.2">
      <c r="A1321" s="1065" t="s">
        <v>384</v>
      </c>
      <c r="B1321" s="1057"/>
      <c r="C1321" s="1057"/>
      <c r="D1321" s="1057"/>
      <c r="E1321" s="1057"/>
      <c r="F1321" s="1057"/>
      <c r="G1321" s="1057"/>
      <c r="H1321" s="1057"/>
      <c r="I1321" s="1057"/>
      <c r="J1321" s="1057"/>
      <c r="K1321" s="1057"/>
      <c r="L1321" s="1057"/>
      <c r="M1321" s="1057"/>
      <c r="N1321" s="1058"/>
    </row>
    <row r="1322" spans="1:15" ht="12.75" customHeight="1" x14ac:dyDescent="0.2">
      <c r="A1322" s="1066" t="s">
        <v>38</v>
      </c>
      <c r="B1322" s="1057"/>
      <c r="C1322" s="1057"/>
      <c r="D1322" s="1057"/>
      <c r="E1322" s="1057"/>
      <c r="F1322" s="1057"/>
      <c r="G1322" s="1058"/>
      <c r="H1322" s="28" t="s">
        <v>39</v>
      </c>
      <c r="I1322" s="1062" t="s">
        <v>385</v>
      </c>
      <c r="J1322" s="1058"/>
      <c r="K1322" s="1062" t="s">
        <v>132</v>
      </c>
      <c r="L1322" s="1058"/>
      <c r="M1322" s="1062" t="s">
        <v>386</v>
      </c>
      <c r="N1322" s="1058"/>
    </row>
    <row r="1323" spans="1:15" ht="12.75" customHeight="1" x14ac:dyDescent="0.2">
      <c r="A1323" s="1061" t="s">
        <v>1530</v>
      </c>
      <c r="B1323" s="1057"/>
      <c r="C1323" s="1057"/>
      <c r="D1323" s="1057"/>
      <c r="E1323" s="1057"/>
      <c r="F1323" s="1057"/>
      <c r="G1323" s="1058"/>
      <c r="H1323" s="9" t="str">
        <f t="shared" ref="H1323:H1328" si="86">IF(A1323="","",VLOOKUP(A1323,AA_Materiales,7,FALSE))</f>
        <v>Unidad</v>
      </c>
      <c r="I1323" s="1059">
        <f t="shared" ref="I1323:I1330" si="87">IF(A1323="","",VLOOKUP(A1323,AA_Materiales,8,FALSE))</f>
        <v>191170</v>
      </c>
      <c r="J1323" s="1058"/>
      <c r="K1323" s="1060">
        <v>1</v>
      </c>
      <c r="L1323" s="1058"/>
      <c r="M1323" s="1059">
        <f t="shared" ref="M1323:M1330" si="88">IF(A1323="","",I1323*K1323)</f>
        <v>191170</v>
      </c>
      <c r="N1323" s="1058"/>
    </row>
    <row r="1324" spans="1:15" ht="12.75" customHeight="1" x14ac:dyDescent="0.2">
      <c r="A1324" s="1061"/>
      <c r="B1324" s="1057"/>
      <c r="C1324" s="1057"/>
      <c r="D1324" s="1057"/>
      <c r="E1324" s="1057"/>
      <c r="F1324" s="1057"/>
      <c r="G1324" s="1058"/>
      <c r="H1324" s="9" t="str">
        <f t="shared" si="86"/>
        <v/>
      </c>
      <c r="I1324" s="1059" t="str">
        <f t="shared" si="87"/>
        <v/>
      </c>
      <c r="J1324" s="1058"/>
      <c r="K1324" s="1060"/>
      <c r="L1324" s="1058"/>
      <c r="M1324" s="1059" t="str">
        <f t="shared" si="88"/>
        <v/>
      </c>
      <c r="N1324" s="1058"/>
    </row>
    <row r="1325" spans="1:15" ht="12.75" customHeight="1" x14ac:dyDescent="0.2">
      <c r="A1325" s="1061"/>
      <c r="B1325" s="1057"/>
      <c r="C1325" s="1057"/>
      <c r="D1325" s="1057"/>
      <c r="E1325" s="1057"/>
      <c r="F1325" s="1057"/>
      <c r="G1325" s="1058"/>
      <c r="H1325" s="9" t="str">
        <f t="shared" si="86"/>
        <v/>
      </c>
      <c r="I1325" s="1059" t="str">
        <f t="shared" si="87"/>
        <v/>
      </c>
      <c r="J1325" s="1058"/>
      <c r="K1325" s="1060"/>
      <c r="L1325" s="1058"/>
      <c r="M1325" s="1059" t="str">
        <f t="shared" si="88"/>
        <v/>
      </c>
      <c r="N1325" s="1058"/>
    </row>
    <row r="1326" spans="1:15" ht="12.75" customHeight="1" x14ac:dyDescent="0.2">
      <c r="A1326" s="1061"/>
      <c r="B1326" s="1057"/>
      <c r="C1326" s="1057"/>
      <c r="D1326" s="1057"/>
      <c r="E1326" s="1057"/>
      <c r="F1326" s="1057"/>
      <c r="G1326" s="1058"/>
      <c r="H1326" s="9" t="str">
        <f t="shared" si="86"/>
        <v/>
      </c>
      <c r="I1326" s="1059" t="str">
        <f t="shared" si="87"/>
        <v/>
      </c>
      <c r="J1326" s="1058"/>
      <c r="K1326" s="1060"/>
      <c r="L1326" s="1058"/>
      <c r="M1326" s="1059" t="str">
        <f t="shared" si="88"/>
        <v/>
      </c>
      <c r="N1326" s="1058"/>
    </row>
    <row r="1327" spans="1:15" ht="12.75" customHeight="1" x14ac:dyDescent="0.2">
      <c r="A1327" s="1061"/>
      <c r="B1327" s="1057"/>
      <c r="C1327" s="1057"/>
      <c r="D1327" s="1057"/>
      <c r="E1327" s="1057"/>
      <c r="F1327" s="1057"/>
      <c r="G1327" s="1058"/>
      <c r="H1327" s="9" t="str">
        <f t="shared" si="86"/>
        <v/>
      </c>
      <c r="I1327" s="1059" t="str">
        <f t="shared" si="87"/>
        <v/>
      </c>
      <c r="J1327" s="1058"/>
      <c r="K1327" s="1060"/>
      <c r="L1327" s="1058"/>
      <c r="M1327" s="1059" t="str">
        <f t="shared" si="88"/>
        <v/>
      </c>
      <c r="N1327" s="1058"/>
    </row>
    <row r="1328" spans="1:15" ht="12.75" customHeight="1" x14ac:dyDescent="0.2">
      <c r="A1328" s="1061"/>
      <c r="B1328" s="1057"/>
      <c r="C1328" s="1057"/>
      <c r="D1328" s="1057"/>
      <c r="E1328" s="1057"/>
      <c r="F1328" s="1057"/>
      <c r="G1328" s="1058"/>
      <c r="H1328" s="9" t="str">
        <f t="shared" si="86"/>
        <v/>
      </c>
      <c r="I1328" s="1059" t="str">
        <f t="shared" si="87"/>
        <v/>
      </c>
      <c r="J1328" s="1058"/>
      <c r="K1328" s="1060"/>
      <c r="L1328" s="1058"/>
      <c r="M1328" s="1059" t="str">
        <f t="shared" si="88"/>
        <v/>
      </c>
      <c r="N1328" s="1058"/>
    </row>
    <row r="1329" spans="1:14" ht="12.75" customHeight="1" x14ac:dyDescent="0.2">
      <c r="A1329" s="1061"/>
      <c r="B1329" s="1057"/>
      <c r="C1329" s="1057"/>
      <c r="D1329" s="1057"/>
      <c r="E1329" s="1057"/>
      <c r="F1329" s="1057"/>
      <c r="G1329" s="1058"/>
      <c r="H1329" s="9"/>
      <c r="I1329" s="1059" t="str">
        <f t="shared" si="87"/>
        <v/>
      </c>
      <c r="J1329" s="1058"/>
      <c r="K1329" s="1060"/>
      <c r="L1329" s="1058"/>
      <c r="M1329" s="1059" t="str">
        <f t="shared" si="88"/>
        <v/>
      </c>
      <c r="N1329" s="1058"/>
    </row>
    <row r="1330" spans="1:14" ht="12.75" customHeight="1" x14ac:dyDescent="0.2">
      <c r="A1330" s="1061"/>
      <c r="B1330" s="1057"/>
      <c r="C1330" s="1057"/>
      <c r="D1330" s="1057"/>
      <c r="E1330" s="1057"/>
      <c r="F1330" s="1057"/>
      <c r="G1330" s="1058"/>
      <c r="H1330" s="9" t="str">
        <f>IF(A1330="","",VLOOKUP(A1330,AA_Materiales,7,FALSE))</f>
        <v/>
      </c>
      <c r="I1330" s="1059" t="str">
        <f t="shared" si="87"/>
        <v/>
      </c>
      <c r="J1330" s="1058"/>
      <c r="K1330" s="1060"/>
      <c r="L1330" s="1058"/>
      <c r="M1330" s="1059" t="str">
        <f t="shared" si="88"/>
        <v/>
      </c>
      <c r="N1330" s="1058"/>
    </row>
    <row r="1331" spans="1:14" ht="12.75" customHeight="1" x14ac:dyDescent="0.25">
      <c r="A1331" s="3"/>
      <c r="B1331" s="3"/>
      <c r="C1331" s="3"/>
      <c r="D1331" s="3"/>
      <c r="E1331" s="3"/>
      <c r="F1331" s="3"/>
      <c r="G1331" s="3"/>
      <c r="H1331" s="3"/>
      <c r="I1331" s="3"/>
      <c r="J1331" s="3"/>
      <c r="K1331" s="1066" t="s">
        <v>201</v>
      </c>
      <c r="L1331" s="1058"/>
      <c r="M1331" s="1059">
        <f>SUM(M1323:N1330)</f>
        <v>191170</v>
      </c>
      <c r="N1331" s="1058"/>
    </row>
    <row r="1332" spans="1:14" ht="12.75" customHeight="1" x14ac:dyDescent="0.25">
      <c r="A1332" s="3"/>
      <c r="B1332" s="3"/>
      <c r="C1332" s="3"/>
      <c r="D1332" s="3"/>
      <c r="E1332" s="3"/>
      <c r="F1332" s="3"/>
      <c r="G1332" s="3"/>
      <c r="H1332" s="3"/>
      <c r="I1332" s="3"/>
      <c r="J1332" s="3"/>
      <c r="K1332" s="3"/>
      <c r="L1332" s="3"/>
      <c r="M1332" s="3"/>
      <c r="N1332" s="3"/>
    </row>
    <row r="1333" spans="1:14" ht="12.75" customHeight="1" x14ac:dyDescent="0.2">
      <c r="A1333" s="1065" t="s">
        <v>390</v>
      </c>
      <c r="B1333" s="1057"/>
      <c r="C1333" s="1057"/>
      <c r="D1333" s="1057"/>
      <c r="E1333" s="1057"/>
      <c r="F1333" s="1057"/>
      <c r="G1333" s="1057"/>
      <c r="H1333" s="1057"/>
      <c r="I1333" s="1057"/>
      <c r="J1333" s="1057"/>
      <c r="K1333" s="1057"/>
      <c r="L1333" s="1057"/>
      <c r="M1333" s="1057"/>
      <c r="N1333" s="1058"/>
    </row>
    <row r="1334" spans="1:14" ht="12.75" customHeight="1" x14ac:dyDescent="0.2">
      <c r="A1334" s="1066" t="s">
        <v>38</v>
      </c>
      <c r="B1334" s="1057"/>
      <c r="C1334" s="1057"/>
      <c r="D1334" s="1057"/>
      <c r="E1334" s="1057"/>
      <c r="F1334" s="1057"/>
      <c r="G1334" s="1058"/>
      <c r="H1334" s="28" t="s">
        <v>39</v>
      </c>
      <c r="I1334" s="1062" t="s">
        <v>385</v>
      </c>
      <c r="J1334" s="1058"/>
      <c r="K1334" s="1062" t="s">
        <v>132</v>
      </c>
      <c r="L1334" s="1058"/>
      <c r="M1334" s="1062" t="s">
        <v>386</v>
      </c>
      <c r="N1334" s="1058"/>
    </row>
    <row r="1335" spans="1:14" ht="12.75" customHeight="1" x14ac:dyDescent="0.2">
      <c r="A1335" s="1061" t="s">
        <v>391</v>
      </c>
      <c r="B1335" s="1057"/>
      <c r="C1335" s="1057"/>
      <c r="D1335" s="1057"/>
      <c r="E1335" s="1057"/>
      <c r="F1335" s="1057"/>
      <c r="G1335" s="1058"/>
      <c r="H1335" s="9" t="str">
        <f>IF(A1335="","",VLOOKUP(A1335,AA_Equipos,7,FALSE))</f>
        <v>% M.O.</v>
      </c>
      <c r="I1335" s="1059">
        <f>M1358</f>
        <v>41640.409908000001</v>
      </c>
      <c r="J1335" s="1058"/>
      <c r="K1335" s="1064">
        <v>0.05</v>
      </c>
      <c r="L1335" s="1058"/>
      <c r="M1335" s="1059">
        <f>IF(A1335="","",I1335*K1335)</f>
        <v>2082.0204954000001</v>
      </c>
      <c r="N1335" s="1058"/>
    </row>
    <row r="1336" spans="1:14" ht="12.75" customHeight="1" x14ac:dyDescent="0.2">
      <c r="A1336" s="1056"/>
      <c r="B1336" s="1057"/>
      <c r="C1336" s="1057"/>
      <c r="D1336" s="1057"/>
      <c r="E1336" s="1057"/>
      <c r="F1336" s="1057"/>
      <c r="G1336" s="1058"/>
      <c r="H1336" s="9" t="str">
        <f>IF(A1336="","",VLOOKUP(A1336,AA_Equipos,7,FALSE))</f>
        <v/>
      </c>
      <c r="I1336" s="1059" t="str">
        <f>IF(A1336="","",VLOOKUP(A1336,AA_Equipos,8,FALSE))</f>
        <v/>
      </c>
      <c r="J1336" s="1058"/>
      <c r="K1336" s="1067"/>
      <c r="L1336" s="1058"/>
      <c r="M1336" s="1059" t="str">
        <f>IF(A1336="","",I1336*K1336)</f>
        <v/>
      </c>
      <c r="N1336" s="1058"/>
    </row>
    <row r="1337" spans="1:14" ht="12.75" customHeight="1" x14ac:dyDescent="0.2">
      <c r="A1337" s="1061"/>
      <c r="B1337" s="1057"/>
      <c r="C1337" s="1057"/>
      <c r="D1337" s="1057"/>
      <c r="E1337" s="1057"/>
      <c r="F1337" s="1057"/>
      <c r="G1337" s="1058"/>
      <c r="H1337" s="9" t="str">
        <f>IF(A1337="","",VLOOKUP(A1337,AA_Equipos,7,FALSE))</f>
        <v/>
      </c>
      <c r="I1337" s="1059" t="str">
        <f>IF(A1337="","",VLOOKUP(A1337,AA_Equipos,8,FALSE))</f>
        <v/>
      </c>
      <c r="J1337" s="1058"/>
      <c r="K1337" s="1060"/>
      <c r="L1337" s="1058"/>
      <c r="M1337" s="1059" t="str">
        <f>IF(A1337="","",I1337*K1337)</f>
        <v/>
      </c>
      <c r="N1337" s="1058"/>
    </row>
    <row r="1338" spans="1:14" ht="12.75" customHeight="1" x14ac:dyDescent="0.2">
      <c r="A1338" s="1061"/>
      <c r="B1338" s="1057"/>
      <c r="C1338" s="1057"/>
      <c r="D1338" s="1057"/>
      <c r="E1338" s="1057"/>
      <c r="F1338" s="1057"/>
      <c r="G1338" s="1058"/>
      <c r="H1338" s="9" t="str">
        <f>IF(A1338="","",VLOOKUP(A1338,AA_Equipos,7,FALSE))</f>
        <v/>
      </c>
      <c r="I1338" s="1059" t="str">
        <f>IF(A1338="","",VLOOKUP(A1338,AA_Equipos,8,FALSE))</f>
        <v/>
      </c>
      <c r="J1338" s="1058"/>
      <c r="K1338" s="1060"/>
      <c r="L1338" s="1058"/>
      <c r="M1338" s="1059" t="str">
        <f>IF(A1338="","",I1338*K1338)</f>
        <v/>
      </c>
      <c r="N1338" s="1058"/>
    </row>
    <row r="1339" spans="1:14" ht="12.75" customHeight="1" x14ac:dyDescent="0.2">
      <c r="A1339" s="1061"/>
      <c r="B1339" s="1057"/>
      <c r="C1339" s="1057"/>
      <c r="D1339" s="1057"/>
      <c r="E1339" s="1057"/>
      <c r="F1339" s="1057"/>
      <c r="G1339" s="1058"/>
      <c r="H1339" s="9" t="str">
        <f>IF(A1339="","",VLOOKUP(A1339,AA_Equipos,7,FALSE))</f>
        <v/>
      </c>
      <c r="I1339" s="1059" t="str">
        <f>IF(A1339="","",VLOOKUP(A1339,AA_Equipos,8,FALSE))</f>
        <v/>
      </c>
      <c r="J1339" s="1058"/>
      <c r="K1339" s="1060"/>
      <c r="L1339" s="1058"/>
      <c r="M1339" s="1059" t="str">
        <f>IF(A1339="","",I1339*K1339)</f>
        <v/>
      </c>
      <c r="N1339" s="1058"/>
    </row>
    <row r="1340" spans="1:14" ht="12.75" customHeight="1" x14ac:dyDescent="0.25">
      <c r="A1340" s="3"/>
      <c r="B1340" s="3"/>
      <c r="C1340" s="3"/>
      <c r="D1340" s="3"/>
      <c r="E1340" s="3"/>
      <c r="F1340" s="3"/>
      <c r="G1340" s="3"/>
      <c r="H1340" s="3"/>
      <c r="I1340" s="3"/>
      <c r="J1340" s="3"/>
      <c r="K1340" s="1066" t="s">
        <v>201</v>
      </c>
      <c r="L1340" s="1058"/>
      <c r="M1340" s="1059">
        <f>SUM(M1335:N1339)</f>
        <v>2082.0204954000001</v>
      </c>
      <c r="N1340" s="1058"/>
    </row>
    <row r="1341" spans="1:14" ht="12.75" customHeight="1" x14ac:dyDescent="0.25">
      <c r="A1341" s="3"/>
      <c r="B1341" s="3"/>
      <c r="C1341" s="3"/>
      <c r="D1341" s="3"/>
      <c r="E1341" s="3"/>
      <c r="F1341" s="3"/>
      <c r="G1341" s="3"/>
      <c r="H1341" s="3"/>
      <c r="I1341" s="3"/>
      <c r="J1341" s="3"/>
      <c r="K1341" s="3"/>
      <c r="L1341" s="3"/>
      <c r="M1341" s="3"/>
      <c r="N1341" s="3"/>
    </row>
    <row r="1342" spans="1:14" ht="12.75" customHeight="1" x14ac:dyDescent="0.2">
      <c r="A1342" s="1065" t="s">
        <v>392</v>
      </c>
      <c r="B1342" s="1057"/>
      <c r="C1342" s="1057"/>
      <c r="D1342" s="1057"/>
      <c r="E1342" s="1057"/>
      <c r="F1342" s="1057"/>
      <c r="G1342" s="1057"/>
      <c r="H1342" s="1057"/>
      <c r="I1342" s="1057"/>
      <c r="J1342" s="1057"/>
      <c r="K1342" s="1057"/>
      <c r="L1342" s="1057"/>
      <c r="M1342" s="1057"/>
      <c r="N1342" s="1058"/>
    </row>
    <row r="1343" spans="1:14" ht="12.75" customHeight="1" x14ac:dyDescent="0.2">
      <c r="A1343" s="1066" t="s">
        <v>38</v>
      </c>
      <c r="B1343" s="1057"/>
      <c r="C1343" s="1057"/>
      <c r="D1343" s="1057"/>
      <c r="E1343" s="1057"/>
      <c r="F1343" s="1057"/>
      <c r="G1343" s="1058"/>
      <c r="H1343" s="28" t="s">
        <v>39</v>
      </c>
      <c r="I1343" s="1062" t="s">
        <v>385</v>
      </c>
      <c r="J1343" s="1058"/>
      <c r="K1343" s="1062" t="s">
        <v>132</v>
      </c>
      <c r="L1343" s="1058"/>
      <c r="M1343" s="1062" t="s">
        <v>386</v>
      </c>
      <c r="N1343" s="1058"/>
    </row>
    <row r="1344" spans="1:14" ht="12.75" customHeight="1" x14ac:dyDescent="0.2">
      <c r="A1344" s="1061"/>
      <c r="B1344" s="1057"/>
      <c r="C1344" s="1057"/>
      <c r="D1344" s="1057"/>
      <c r="E1344" s="1057"/>
      <c r="F1344" s="1057"/>
      <c r="G1344" s="1058"/>
      <c r="H1344" s="9"/>
      <c r="I1344" s="1059"/>
      <c r="J1344" s="1058"/>
      <c r="K1344" s="1064"/>
      <c r="L1344" s="1058"/>
      <c r="M1344" s="1059" t="str">
        <f>IF(A1344="","",I1344*K1344)</f>
        <v/>
      </c>
      <c r="N1344" s="1058"/>
    </row>
    <row r="1345" spans="1:15" ht="12.75" customHeight="1" x14ac:dyDescent="0.2">
      <c r="A1345" s="1056"/>
      <c r="B1345" s="1057"/>
      <c r="C1345" s="1057"/>
      <c r="D1345" s="1057"/>
      <c r="E1345" s="1057"/>
      <c r="F1345" s="1057"/>
      <c r="G1345" s="1058"/>
      <c r="H1345" s="9"/>
      <c r="I1345" s="1059"/>
      <c r="J1345" s="1058"/>
      <c r="K1345" s="1064"/>
      <c r="L1345" s="1058"/>
      <c r="M1345" s="1059" t="str">
        <f>IF(A1345="","",I1345*K1345)</f>
        <v/>
      </c>
      <c r="N1345" s="1058"/>
    </row>
    <row r="1346" spans="1:15" ht="12.75" customHeight="1" x14ac:dyDescent="0.2">
      <c r="A1346" s="1061"/>
      <c r="B1346" s="1057"/>
      <c r="C1346" s="1057"/>
      <c r="D1346" s="1057"/>
      <c r="E1346" s="1057"/>
      <c r="F1346" s="1057"/>
      <c r="G1346" s="1058"/>
      <c r="H1346" s="9"/>
      <c r="I1346" s="1059"/>
      <c r="J1346" s="1058"/>
      <c r="K1346" s="1060"/>
      <c r="L1346" s="1058"/>
      <c r="M1346" s="1059" t="str">
        <f>IF(A1346="","",I1346*K1346)</f>
        <v/>
      </c>
      <c r="N1346" s="1058"/>
    </row>
    <row r="1347" spans="1:15" ht="12.75" customHeight="1" x14ac:dyDescent="0.2">
      <c r="A1347" s="1061"/>
      <c r="B1347" s="1057"/>
      <c r="C1347" s="1057"/>
      <c r="D1347" s="1057"/>
      <c r="E1347" s="1057"/>
      <c r="F1347" s="1057"/>
      <c r="G1347" s="1058"/>
      <c r="H1347" s="9"/>
      <c r="I1347" s="1059"/>
      <c r="J1347" s="1058"/>
      <c r="K1347" s="1060"/>
      <c r="L1347" s="1058"/>
      <c r="M1347" s="1059" t="str">
        <f>IF(A1347="","",I1347*K1347)</f>
        <v/>
      </c>
      <c r="N1347" s="1058"/>
    </row>
    <row r="1348" spans="1:15" ht="12.75" customHeight="1" x14ac:dyDescent="0.2">
      <c r="A1348" s="1061"/>
      <c r="B1348" s="1057"/>
      <c r="C1348" s="1057"/>
      <c r="D1348" s="1057"/>
      <c r="E1348" s="1057"/>
      <c r="F1348" s="1057"/>
      <c r="G1348" s="1058"/>
      <c r="H1348" s="9"/>
      <c r="I1348" s="1059"/>
      <c r="J1348" s="1058"/>
      <c r="K1348" s="1060"/>
      <c r="L1348" s="1058"/>
      <c r="M1348" s="1059" t="str">
        <f>IF(A1348="","",I1348*K1348)</f>
        <v/>
      </c>
      <c r="N1348" s="1058"/>
    </row>
    <row r="1349" spans="1:15" ht="12.75" customHeight="1" x14ac:dyDescent="0.25">
      <c r="A1349" s="3"/>
      <c r="B1349" s="3"/>
      <c r="C1349" s="3"/>
      <c r="D1349" s="3"/>
      <c r="E1349" s="3"/>
      <c r="F1349" s="3"/>
      <c r="G1349" s="3"/>
      <c r="H1349" s="3"/>
      <c r="I1349" s="3"/>
      <c r="J1349" s="3"/>
      <c r="K1349" s="1066" t="s">
        <v>201</v>
      </c>
      <c r="L1349" s="1058"/>
      <c r="M1349" s="1059">
        <f>SUM(M1344:N1348)</f>
        <v>0</v>
      </c>
      <c r="N1349" s="1058"/>
    </row>
    <row r="1350" spans="1:15" ht="12.75" customHeight="1" x14ac:dyDescent="0.25">
      <c r="A1350" s="3"/>
      <c r="B1350" s="3"/>
      <c r="C1350" s="3"/>
      <c r="D1350" s="3"/>
      <c r="E1350" s="3"/>
      <c r="F1350" s="3"/>
      <c r="G1350" s="3"/>
      <c r="H1350" s="3"/>
      <c r="I1350" s="3"/>
      <c r="J1350" s="3"/>
      <c r="K1350" s="3"/>
      <c r="L1350" s="3"/>
      <c r="M1350" s="3"/>
      <c r="N1350" s="3"/>
    </row>
    <row r="1351" spans="1:15" ht="12.75" customHeight="1" x14ac:dyDescent="0.2">
      <c r="A1351" s="1065" t="s">
        <v>394</v>
      </c>
      <c r="B1351" s="1057"/>
      <c r="C1351" s="1057"/>
      <c r="D1351" s="1057"/>
      <c r="E1351" s="1057"/>
      <c r="F1351" s="1057"/>
      <c r="G1351" s="1057"/>
      <c r="H1351" s="1057"/>
      <c r="I1351" s="1057"/>
      <c r="J1351" s="1057"/>
      <c r="K1351" s="1057"/>
      <c r="L1351" s="1057"/>
      <c r="M1351" s="1057"/>
      <c r="N1351" s="1058"/>
    </row>
    <row r="1352" spans="1:15" ht="12.75" customHeight="1" x14ac:dyDescent="0.2">
      <c r="A1352" s="1066" t="s">
        <v>38</v>
      </c>
      <c r="B1352" s="1057"/>
      <c r="C1352" s="1057"/>
      <c r="D1352" s="1057"/>
      <c r="E1352" s="1057"/>
      <c r="F1352" s="1057"/>
      <c r="G1352" s="1058"/>
      <c r="H1352" s="28" t="s">
        <v>39</v>
      </c>
      <c r="I1352" s="1062" t="s">
        <v>385</v>
      </c>
      <c r="J1352" s="1058"/>
      <c r="K1352" s="30" t="s">
        <v>193</v>
      </c>
      <c r="L1352" s="31" t="s">
        <v>395</v>
      </c>
      <c r="M1352" s="1062" t="s">
        <v>386</v>
      </c>
      <c r="N1352" s="1058"/>
    </row>
    <row r="1353" spans="1:15" ht="12.75" customHeight="1" x14ac:dyDescent="0.25">
      <c r="A1353" s="1063" t="s">
        <v>423</v>
      </c>
      <c r="B1353" s="1057"/>
      <c r="C1353" s="1057"/>
      <c r="D1353" s="1057"/>
      <c r="E1353" s="1057"/>
      <c r="F1353" s="1057"/>
      <c r="G1353" s="1058"/>
      <c r="H1353" s="9" t="str">
        <f>IF(A1353="","",VLOOKUP(A1353,AA_Cuadrillas,4,FALSE))</f>
        <v>Cuadrilla</v>
      </c>
      <c r="I1353" s="1059">
        <f>IF(A1353="","",VLOOKUP(A1353,AA_Cuadrillas,5,FALSE))</f>
        <v>134236</v>
      </c>
      <c r="J1353" s="1058"/>
      <c r="K1353" s="1">
        <f>IF(A1353="","",'06'!$J$3)</f>
        <v>1.7233500000000002</v>
      </c>
      <c r="L1353" s="32">
        <v>0.18</v>
      </c>
      <c r="M1353" s="1059">
        <f>IF(A1353="","",I1353*K1353*L1353)</f>
        <v>41640.409908000001</v>
      </c>
      <c r="N1353" s="1058"/>
    </row>
    <row r="1354" spans="1:15" ht="12.75" customHeight="1" x14ac:dyDescent="0.25">
      <c r="A1354" s="1063"/>
      <c r="B1354" s="1057"/>
      <c r="C1354" s="1057"/>
      <c r="D1354" s="1057"/>
      <c r="E1354" s="1057"/>
      <c r="F1354" s="1057"/>
      <c r="G1354" s="1058"/>
      <c r="H1354" s="9" t="str">
        <f>IF(A1354="","",VLOOKUP(A1354,AA_Cuadrillas,4,FALSE))</f>
        <v/>
      </c>
      <c r="I1354" s="1059" t="str">
        <f>IF(A1354="","",VLOOKUP(A1354,AA_Cuadrillas,5,FALSE))</f>
        <v/>
      </c>
      <c r="J1354" s="1058"/>
      <c r="K1354" s="1" t="str">
        <f>IF(A1354="","",'06'!$J$3)</f>
        <v/>
      </c>
      <c r="L1354" s="1"/>
      <c r="M1354" s="1059" t="str">
        <f>IF(A1354="","",I1354*K1354*L1354)</f>
        <v/>
      </c>
      <c r="N1354" s="1058"/>
    </row>
    <row r="1355" spans="1:15" ht="12.75" customHeight="1" x14ac:dyDescent="0.25">
      <c r="A1355" s="1063"/>
      <c r="B1355" s="1057"/>
      <c r="C1355" s="1057"/>
      <c r="D1355" s="1057"/>
      <c r="E1355" s="1057"/>
      <c r="F1355" s="1057"/>
      <c r="G1355" s="1058"/>
      <c r="H1355" s="9" t="str">
        <f>IF(A1355="","",VLOOKUP(A1355,AA_Cuadrillas,4,FALSE))</f>
        <v/>
      </c>
      <c r="I1355" s="1059" t="str">
        <f>IF(A1355="","",VLOOKUP(A1355,AA_Cuadrillas,5,FALSE))</f>
        <v/>
      </c>
      <c r="J1355" s="1058"/>
      <c r="K1355" s="1" t="str">
        <f>IF(A1355="","",'06'!$J$3)</f>
        <v/>
      </c>
      <c r="L1355" s="10"/>
      <c r="M1355" s="1059" t="str">
        <f>IF(A1355="","",I1355*K1355*L1355)</f>
        <v/>
      </c>
      <c r="N1355" s="1058"/>
    </row>
    <row r="1356" spans="1:15" ht="12.75" customHeight="1" x14ac:dyDescent="0.25">
      <c r="A1356" s="1063"/>
      <c r="B1356" s="1057"/>
      <c r="C1356" s="1057"/>
      <c r="D1356" s="1057"/>
      <c r="E1356" s="1057"/>
      <c r="F1356" s="1057"/>
      <c r="G1356" s="1058"/>
      <c r="H1356" s="9" t="str">
        <f>IF(A1356="","",VLOOKUP(A1356,AA_Cuadrillas,4,FALSE))</f>
        <v/>
      </c>
      <c r="I1356" s="1059" t="str">
        <f>IF(A1356="","",VLOOKUP(A1356,AA_Cuadrillas,5,FALSE))</f>
        <v/>
      </c>
      <c r="J1356" s="1058"/>
      <c r="K1356" s="1" t="str">
        <f>IF(A1356="","",'06'!$J$3)</f>
        <v/>
      </c>
      <c r="L1356" s="10"/>
      <c r="M1356" s="1059" t="str">
        <f>IF(A1356="","",I1356*K1356*L1356)</f>
        <v/>
      </c>
      <c r="N1356" s="1058"/>
    </row>
    <row r="1357" spans="1:15" ht="12.75" customHeight="1" x14ac:dyDescent="0.25">
      <c r="A1357" s="1063"/>
      <c r="B1357" s="1057"/>
      <c r="C1357" s="1057"/>
      <c r="D1357" s="1057"/>
      <c r="E1357" s="1057"/>
      <c r="F1357" s="1057"/>
      <c r="G1357" s="1058"/>
      <c r="H1357" s="9" t="str">
        <f>IF(A1357="","",VLOOKUP(A1357,AA_Cuadrillas,4,FALSE))</f>
        <v/>
      </c>
      <c r="I1357" s="1059" t="str">
        <f>IF(A1357="","",VLOOKUP(A1357,AA_Cuadrillas,5,FALSE))</f>
        <v/>
      </c>
      <c r="J1357" s="1058"/>
      <c r="K1357" s="1" t="str">
        <f>IF(A1357="","",'06'!$J$3)</f>
        <v/>
      </c>
      <c r="L1357" s="10"/>
      <c r="M1357" s="1059" t="str">
        <f>IF(A1357="","",I1357*K1357*L1357)</f>
        <v/>
      </c>
      <c r="N1357" s="1058"/>
    </row>
    <row r="1358" spans="1:15" ht="12.75" customHeight="1" x14ac:dyDescent="0.25">
      <c r="A1358" s="3"/>
      <c r="B1358" s="3"/>
      <c r="C1358" s="3"/>
      <c r="D1358" s="3"/>
      <c r="E1358" s="3"/>
      <c r="F1358" s="3"/>
      <c r="G1358" s="3"/>
      <c r="H1358" s="3"/>
      <c r="I1358" s="3"/>
      <c r="J1358" s="3"/>
      <c r="K1358" s="1066" t="s">
        <v>201</v>
      </c>
      <c r="L1358" s="1058"/>
      <c r="M1358" s="1059">
        <f>SUM(M1353:N1357)</f>
        <v>41640.409908000001</v>
      </c>
      <c r="N1358" s="1058"/>
    </row>
    <row r="1359" spans="1:15" ht="12.75" customHeight="1" x14ac:dyDescent="0.2"/>
    <row r="1360" spans="1:15" ht="12.75" customHeight="1" x14ac:dyDescent="0.2">
      <c r="A1360" s="1072" t="s">
        <v>1697</v>
      </c>
      <c r="B1360" s="1052"/>
      <c r="C1360" s="1052"/>
      <c r="D1360" s="1052"/>
      <c r="E1360" s="1052"/>
      <c r="F1360" s="1052"/>
      <c r="G1360" s="1052"/>
      <c r="H1360" s="1052"/>
      <c r="I1360" s="1052"/>
      <c r="J1360" s="1052"/>
      <c r="K1360" s="1052"/>
      <c r="L1360" s="1052"/>
      <c r="M1360" s="1052"/>
      <c r="N1360" s="1053"/>
      <c r="O1360" s="7"/>
    </row>
    <row r="1361" spans="1:15" ht="12.75" customHeight="1" x14ac:dyDescent="0.2">
      <c r="A1361" s="1031"/>
      <c r="B1361" s="1032"/>
      <c r="C1361" s="1032"/>
      <c r="D1361" s="1032"/>
      <c r="E1361" s="1032"/>
      <c r="F1361" s="1032"/>
      <c r="G1361" s="1032"/>
      <c r="H1361" s="1032"/>
      <c r="I1361" s="1032"/>
      <c r="J1361" s="1032"/>
      <c r="K1361" s="1032"/>
      <c r="L1361" s="1032"/>
      <c r="M1361" s="1032"/>
      <c r="N1361" s="1055"/>
      <c r="O1361" s="7"/>
    </row>
    <row r="1362" spans="1:15" ht="12.75" customHeight="1" x14ac:dyDescent="0.2">
      <c r="A1362" s="16"/>
      <c r="B1362" s="16"/>
      <c r="C1362" s="16"/>
      <c r="D1362" s="16"/>
      <c r="E1362" s="16"/>
      <c r="F1362" s="16"/>
      <c r="G1362" s="16"/>
      <c r="H1362" s="16"/>
      <c r="I1362" s="16"/>
      <c r="J1362" s="16"/>
      <c r="K1362" s="16"/>
      <c r="L1362" s="16"/>
      <c r="M1362" s="16"/>
      <c r="N1362" s="16"/>
    </row>
    <row r="1363" spans="1:15" ht="12.75" customHeight="1" x14ac:dyDescent="0.3">
      <c r="A1363" s="18" t="s">
        <v>322</v>
      </c>
      <c r="B1363" s="19" t="str">
        <f>A1360</f>
        <v>SUMINISTRO E INSTALACIÓN DE TAPÓN Ø3". INCLUYE TRANSPORTE</v>
      </c>
      <c r="C1363" s="20" t="s">
        <v>382</v>
      </c>
      <c r="D1363" s="21" t="s">
        <v>424</v>
      </c>
      <c r="E1363" s="22" t="s">
        <v>125</v>
      </c>
      <c r="F1363" s="26">
        <f>(H1363+J1363+L1363+N1363)*$O$2</f>
        <v>151551.07638924502</v>
      </c>
      <c r="G1363" s="22" t="s">
        <v>285</v>
      </c>
      <c r="H1363" s="26">
        <f>M1384</f>
        <v>1214.5119556500001</v>
      </c>
      <c r="I1363" s="22" t="s">
        <v>383</v>
      </c>
      <c r="J1363" s="38">
        <f>M1375</f>
        <v>91073</v>
      </c>
      <c r="K1363" s="22" t="s">
        <v>287</v>
      </c>
      <c r="L1363" s="26">
        <f>M1393</f>
        <v>0</v>
      </c>
      <c r="M1363" s="22" t="s">
        <v>288</v>
      </c>
      <c r="N1363" s="26">
        <f>M1402</f>
        <v>24290.239113</v>
      </c>
    </row>
    <row r="1364" spans="1:15" ht="12.75" customHeight="1" x14ac:dyDescent="0.25">
      <c r="A1364" s="27"/>
      <c r="B1364" s="27"/>
      <c r="C1364" s="27"/>
      <c r="D1364" s="27"/>
      <c r="E1364" s="27"/>
      <c r="F1364" s="27"/>
      <c r="G1364" s="27"/>
      <c r="J1364" s="27"/>
      <c r="K1364" s="27"/>
      <c r="L1364" s="27"/>
      <c r="M1364" s="27"/>
      <c r="N1364" s="27"/>
    </row>
    <row r="1365" spans="1:15" ht="12.75" customHeight="1" x14ac:dyDescent="0.2">
      <c r="A1365" s="1065" t="s">
        <v>384</v>
      </c>
      <c r="B1365" s="1057"/>
      <c r="C1365" s="1057"/>
      <c r="D1365" s="1057"/>
      <c r="E1365" s="1057"/>
      <c r="F1365" s="1057"/>
      <c r="G1365" s="1057"/>
      <c r="H1365" s="1057"/>
      <c r="I1365" s="1057"/>
      <c r="J1365" s="1057"/>
      <c r="K1365" s="1057"/>
      <c r="L1365" s="1057"/>
      <c r="M1365" s="1057"/>
      <c r="N1365" s="1058"/>
    </row>
    <row r="1366" spans="1:15" ht="12.75" customHeight="1" x14ac:dyDescent="0.2">
      <c r="A1366" s="1066" t="s">
        <v>38</v>
      </c>
      <c r="B1366" s="1057"/>
      <c r="C1366" s="1057"/>
      <c r="D1366" s="1057"/>
      <c r="E1366" s="1057"/>
      <c r="F1366" s="1057"/>
      <c r="G1366" s="1058"/>
      <c r="H1366" s="28" t="s">
        <v>39</v>
      </c>
      <c r="I1366" s="1062" t="s">
        <v>385</v>
      </c>
      <c r="J1366" s="1058"/>
      <c r="K1366" s="1062" t="s">
        <v>132</v>
      </c>
      <c r="L1366" s="1058"/>
      <c r="M1366" s="1062" t="s">
        <v>386</v>
      </c>
      <c r="N1366" s="1058"/>
    </row>
    <row r="1367" spans="1:15" ht="12.75" customHeight="1" x14ac:dyDescent="0.2">
      <c r="A1367" s="1061" t="s">
        <v>1534</v>
      </c>
      <c r="B1367" s="1057"/>
      <c r="C1367" s="1057"/>
      <c r="D1367" s="1057"/>
      <c r="E1367" s="1057"/>
      <c r="F1367" s="1057"/>
      <c r="G1367" s="1058"/>
      <c r="H1367" s="9" t="str">
        <f t="shared" ref="H1367:H1374" si="89">IF(A1367="","",VLOOKUP(A1367,AA_Materiales,7,FALSE))</f>
        <v>Unidad</v>
      </c>
      <c r="I1367" s="1059">
        <f t="shared" ref="I1367:I1374" si="90">IF(A1367="","",VLOOKUP(A1367,AA_Materiales,8,FALSE))</f>
        <v>91073</v>
      </c>
      <c r="J1367" s="1058"/>
      <c r="K1367" s="1060">
        <v>1</v>
      </c>
      <c r="L1367" s="1058"/>
      <c r="M1367" s="1059">
        <f t="shared" ref="M1367:M1374" si="91">IF(A1367="","",I1367*K1367)</f>
        <v>91073</v>
      </c>
      <c r="N1367" s="1058"/>
    </row>
    <row r="1368" spans="1:15" ht="12.75" customHeight="1" x14ac:dyDescent="0.2">
      <c r="A1368" s="1056"/>
      <c r="B1368" s="1057"/>
      <c r="C1368" s="1057"/>
      <c r="D1368" s="1057"/>
      <c r="E1368" s="1057"/>
      <c r="F1368" s="1057"/>
      <c r="G1368" s="1058"/>
      <c r="H1368" s="9" t="str">
        <f t="shared" si="89"/>
        <v/>
      </c>
      <c r="I1368" s="1059" t="str">
        <f t="shared" si="90"/>
        <v/>
      </c>
      <c r="J1368" s="1058"/>
      <c r="K1368" s="1060"/>
      <c r="L1368" s="1058"/>
      <c r="M1368" s="1059" t="str">
        <f t="shared" si="91"/>
        <v/>
      </c>
      <c r="N1368" s="1058"/>
    </row>
    <row r="1369" spans="1:15" ht="12.75" customHeight="1" x14ac:dyDescent="0.2">
      <c r="A1369" s="1056"/>
      <c r="B1369" s="1057"/>
      <c r="C1369" s="1057"/>
      <c r="D1369" s="1057"/>
      <c r="E1369" s="1057"/>
      <c r="F1369" s="1057"/>
      <c r="G1369" s="1058"/>
      <c r="H1369" s="9" t="str">
        <f t="shared" si="89"/>
        <v/>
      </c>
      <c r="I1369" s="1059" t="str">
        <f t="shared" si="90"/>
        <v/>
      </c>
      <c r="J1369" s="1058"/>
      <c r="K1369" s="1060"/>
      <c r="L1369" s="1058"/>
      <c r="M1369" s="1059" t="str">
        <f t="shared" si="91"/>
        <v/>
      </c>
      <c r="N1369" s="1058"/>
    </row>
    <row r="1370" spans="1:15" ht="12.75" customHeight="1" x14ac:dyDescent="0.2">
      <c r="A1370" s="1056"/>
      <c r="B1370" s="1057"/>
      <c r="C1370" s="1057"/>
      <c r="D1370" s="1057"/>
      <c r="E1370" s="1057"/>
      <c r="F1370" s="1057"/>
      <c r="G1370" s="1058"/>
      <c r="H1370" s="9" t="str">
        <f t="shared" si="89"/>
        <v/>
      </c>
      <c r="I1370" s="1059" t="str">
        <f t="shared" si="90"/>
        <v/>
      </c>
      <c r="J1370" s="1058"/>
      <c r="K1370" s="1060"/>
      <c r="L1370" s="1058"/>
      <c r="M1370" s="1059" t="str">
        <f t="shared" si="91"/>
        <v/>
      </c>
      <c r="N1370" s="1058"/>
    </row>
    <row r="1371" spans="1:15" ht="12.75" customHeight="1" x14ac:dyDescent="0.2">
      <c r="A1371" s="1056"/>
      <c r="B1371" s="1057"/>
      <c r="C1371" s="1057"/>
      <c r="D1371" s="1057"/>
      <c r="E1371" s="1057"/>
      <c r="F1371" s="1057"/>
      <c r="G1371" s="1058"/>
      <c r="H1371" s="9" t="str">
        <f t="shared" si="89"/>
        <v/>
      </c>
      <c r="I1371" s="1059" t="str">
        <f t="shared" si="90"/>
        <v/>
      </c>
      <c r="J1371" s="1058"/>
      <c r="K1371" s="1060"/>
      <c r="L1371" s="1058"/>
      <c r="M1371" s="1059" t="str">
        <f t="shared" si="91"/>
        <v/>
      </c>
      <c r="N1371" s="1058"/>
    </row>
    <row r="1372" spans="1:15" ht="12.75" customHeight="1" x14ac:dyDescent="0.2">
      <c r="A1372" s="1056"/>
      <c r="B1372" s="1057"/>
      <c r="C1372" s="1057"/>
      <c r="D1372" s="1057"/>
      <c r="E1372" s="1057"/>
      <c r="F1372" s="1057"/>
      <c r="G1372" s="1058"/>
      <c r="H1372" s="9" t="str">
        <f t="shared" si="89"/>
        <v/>
      </c>
      <c r="I1372" s="1059" t="str">
        <f t="shared" si="90"/>
        <v/>
      </c>
      <c r="J1372" s="1058"/>
      <c r="K1372" s="1060"/>
      <c r="L1372" s="1058"/>
      <c r="M1372" s="1059" t="str">
        <f t="shared" si="91"/>
        <v/>
      </c>
      <c r="N1372" s="1058"/>
    </row>
    <row r="1373" spans="1:15" ht="12.75" customHeight="1" x14ac:dyDescent="0.2">
      <c r="A1373" s="1056"/>
      <c r="B1373" s="1057"/>
      <c r="C1373" s="1057"/>
      <c r="D1373" s="1057"/>
      <c r="E1373" s="1057"/>
      <c r="F1373" s="1057"/>
      <c r="G1373" s="1058"/>
      <c r="H1373" s="9" t="str">
        <f t="shared" si="89"/>
        <v/>
      </c>
      <c r="I1373" s="1059" t="str">
        <f t="shared" si="90"/>
        <v/>
      </c>
      <c r="J1373" s="1058"/>
      <c r="K1373" s="1060"/>
      <c r="L1373" s="1058"/>
      <c r="M1373" s="1059" t="str">
        <f t="shared" si="91"/>
        <v/>
      </c>
      <c r="N1373" s="1058"/>
    </row>
    <row r="1374" spans="1:15" ht="12.75" customHeight="1" x14ac:dyDescent="0.2">
      <c r="A1374" s="1056"/>
      <c r="B1374" s="1057"/>
      <c r="C1374" s="1057"/>
      <c r="D1374" s="1057"/>
      <c r="E1374" s="1057"/>
      <c r="F1374" s="1057"/>
      <c r="G1374" s="1058"/>
      <c r="H1374" s="9" t="str">
        <f t="shared" si="89"/>
        <v/>
      </c>
      <c r="I1374" s="1059" t="str">
        <f t="shared" si="90"/>
        <v/>
      </c>
      <c r="J1374" s="1058"/>
      <c r="K1374" s="1060"/>
      <c r="L1374" s="1058"/>
      <c r="M1374" s="1059" t="str">
        <f t="shared" si="91"/>
        <v/>
      </c>
      <c r="N1374" s="1058"/>
    </row>
    <row r="1375" spans="1:15" ht="12.75" customHeight="1" x14ac:dyDescent="0.25">
      <c r="A1375" s="3"/>
      <c r="B1375" s="3"/>
      <c r="C1375" s="3"/>
      <c r="D1375" s="3"/>
      <c r="E1375" s="3"/>
      <c r="F1375" s="3"/>
      <c r="G1375" s="3"/>
      <c r="H1375" s="3"/>
      <c r="I1375" s="3"/>
      <c r="J1375" s="3"/>
      <c r="K1375" s="1066" t="s">
        <v>201</v>
      </c>
      <c r="L1375" s="1058"/>
      <c r="M1375" s="1059">
        <f>SUM(M1367:N1374)</f>
        <v>91073</v>
      </c>
      <c r="N1375" s="1058"/>
    </row>
    <row r="1376" spans="1:15" ht="12.75" customHeight="1" x14ac:dyDescent="0.25">
      <c r="A1376" s="3"/>
      <c r="B1376" s="3"/>
      <c r="C1376" s="3"/>
      <c r="D1376" s="3"/>
      <c r="E1376" s="3"/>
      <c r="F1376" s="3"/>
      <c r="G1376" s="3"/>
      <c r="H1376" s="3"/>
      <c r="I1376" s="3"/>
      <c r="J1376" s="3"/>
      <c r="K1376" s="3"/>
      <c r="L1376" s="3"/>
      <c r="M1376" s="3"/>
      <c r="N1376" s="3"/>
    </row>
    <row r="1377" spans="1:14" ht="12.75" customHeight="1" x14ac:dyDescent="0.2">
      <c r="A1377" s="1065" t="s">
        <v>390</v>
      </c>
      <c r="B1377" s="1057"/>
      <c r="C1377" s="1057"/>
      <c r="D1377" s="1057"/>
      <c r="E1377" s="1057"/>
      <c r="F1377" s="1057"/>
      <c r="G1377" s="1057"/>
      <c r="H1377" s="1057"/>
      <c r="I1377" s="1057"/>
      <c r="J1377" s="1057"/>
      <c r="K1377" s="1057"/>
      <c r="L1377" s="1057"/>
      <c r="M1377" s="1057"/>
      <c r="N1377" s="1058"/>
    </row>
    <row r="1378" spans="1:14" ht="12.75" customHeight="1" x14ac:dyDescent="0.2">
      <c r="A1378" s="1066" t="s">
        <v>38</v>
      </c>
      <c r="B1378" s="1057"/>
      <c r="C1378" s="1057"/>
      <c r="D1378" s="1057"/>
      <c r="E1378" s="1057"/>
      <c r="F1378" s="1057"/>
      <c r="G1378" s="1058"/>
      <c r="H1378" s="28" t="s">
        <v>39</v>
      </c>
      <c r="I1378" s="1062" t="s">
        <v>385</v>
      </c>
      <c r="J1378" s="1058"/>
      <c r="K1378" s="1062" t="s">
        <v>132</v>
      </c>
      <c r="L1378" s="1058"/>
      <c r="M1378" s="1062" t="s">
        <v>386</v>
      </c>
      <c r="N1378" s="1058"/>
    </row>
    <row r="1379" spans="1:14" ht="12.75" customHeight="1" x14ac:dyDescent="0.2">
      <c r="A1379" s="1061" t="s">
        <v>391</v>
      </c>
      <c r="B1379" s="1057"/>
      <c r="C1379" s="1057"/>
      <c r="D1379" s="1057"/>
      <c r="E1379" s="1057"/>
      <c r="F1379" s="1057"/>
      <c r="G1379" s="1058"/>
      <c r="H1379" s="9" t="str">
        <f>IF(A1379="","",VLOOKUP(A1379,AA_Equipos,7,FALSE))</f>
        <v>% M.O.</v>
      </c>
      <c r="I1379" s="1059">
        <f>+M1402</f>
        <v>24290.239113</v>
      </c>
      <c r="J1379" s="1058"/>
      <c r="K1379" s="1064">
        <v>0.05</v>
      </c>
      <c r="L1379" s="1058"/>
      <c r="M1379" s="1059">
        <f>IF(A1379="","",I1379*K1379)</f>
        <v>1214.5119556500001</v>
      </c>
      <c r="N1379" s="1058"/>
    </row>
    <row r="1380" spans="1:14" ht="12.75" customHeight="1" x14ac:dyDescent="0.2">
      <c r="A1380" s="1056"/>
      <c r="B1380" s="1057"/>
      <c r="C1380" s="1057"/>
      <c r="D1380" s="1057"/>
      <c r="E1380" s="1057"/>
      <c r="F1380" s="1057"/>
      <c r="G1380" s="1058"/>
      <c r="H1380" s="9" t="str">
        <f>IF(A1380="","",VLOOKUP(A1380,AA_Equipos,7,FALSE))</f>
        <v/>
      </c>
      <c r="I1380" s="1059" t="str">
        <f>IF(A1380="","",VLOOKUP(A1380,AA_Equipos,8,FALSE))</f>
        <v/>
      </c>
      <c r="J1380" s="1058"/>
      <c r="K1380" s="1067"/>
      <c r="L1380" s="1058"/>
      <c r="M1380" s="1059" t="str">
        <f>IF(A1380="","",I1380*K1380)</f>
        <v/>
      </c>
      <c r="N1380" s="1058"/>
    </row>
    <row r="1381" spans="1:14" ht="12.75" customHeight="1" x14ac:dyDescent="0.2">
      <c r="A1381" s="1061"/>
      <c r="B1381" s="1057"/>
      <c r="C1381" s="1057"/>
      <c r="D1381" s="1057"/>
      <c r="E1381" s="1057"/>
      <c r="F1381" s="1057"/>
      <c r="G1381" s="1058"/>
      <c r="H1381" s="9" t="str">
        <f>IF(A1381="","",VLOOKUP(A1381,AA_Equipos,7,FALSE))</f>
        <v/>
      </c>
      <c r="I1381" s="1059" t="str">
        <f>IF(A1381="","",VLOOKUP(A1381,AA_Equipos,8,FALSE))</f>
        <v/>
      </c>
      <c r="J1381" s="1058"/>
      <c r="K1381" s="1070"/>
      <c r="L1381" s="1058"/>
      <c r="M1381" s="1059" t="str">
        <f>IF(A1381="","",I1381*K1381)</f>
        <v/>
      </c>
      <c r="N1381" s="1058"/>
    </row>
    <row r="1382" spans="1:14" ht="12.75" customHeight="1" x14ac:dyDescent="0.2">
      <c r="A1382" s="1061"/>
      <c r="B1382" s="1057"/>
      <c r="C1382" s="1057"/>
      <c r="D1382" s="1057"/>
      <c r="E1382" s="1057"/>
      <c r="F1382" s="1057"/>
      <c r="G1382" s="1058"/>
      <c r="H1382" s="9" t="str">
        <f>IF(A1382="","",VLOOKUP(A1382,AA_Equipos,7,FALSE))</f>
        <v/>
      </c>
      <c r="I1382" s="1059" t="str">
        <f>IF(A1382="","",VLOOKUP(A1382,AA_Equipos,8,FALSE))</f>
        <v/>
      </c>
      <c r="J1382" s="1058"/>
      <c r="K1382" s="1060"/>
      <c r="L1382" s="1058"/>
      <c r="M1382" s="1059" t="str">
        <f>IF(A1382="","",I1382*K1382)</f>
        <v/>
      </c>
      <c r="N1382" s="1058"/>
    </row>
    <row r="1383" spans="1:14" ht="12.75" customHeight="1" x14ac:dyDescent="0.2">
      <c r="A1383" s="1061"/>
      <c r="B1383" s="1057"/>
      <c r="C1383" s="1057"/>
      <c r="D1383" s="1057"/>
      <c r="E1383" s="1057"/>
      <c r="F1383" s="1057"/>
      <c r="G1383" s="1058"/>
      <c r="H1383" s="9" t="str">
        <f>IF(A1383="","",VLOOKUP(A1383,AA_Equipos,7,FALSE))</f>
        <v/>
      </c>
      <c r="I1383" s="1059" t="str">
        <f>IF(A1383="","",VLOOKUP(A1383,AA_Equipos,8,FALSE))</f>
        <v/>
      </c>
      <c r="J1383" s="1058"/>
      <c r="K1383" s="1060"/>
      <c r="L1383" s="1058"/>
      <c r="M1383" s="1059" t="str">
        <f>IF(A1383="","",I1383*K1383)</f>
        <v/>
      </c>
      <c r="N1383" s="1058"/>
    </row>
    <row r="1384" spans="1:14" ht="12.75" customHeight="1" x14ac:dyDescent="0.25">
      <c r="A1384" s="3"/>
      <c r="B1384" s="3"/>
      <c r="C1384" s="3"/>
      <c r="D1384" s="3"/>
      <c r="E1384" s="3"/>
      <c r="F1384" s="3"/>
      <c r="G1384" s="3"/>
      <c r="H1384" s="3"/>
      <c r="I1384" s="3"/>
      <c r="J1384" s="3"/>
      <c r="K1384" s="1066" t="s">
        <v>201</v>
      </c>
      <c r="L1384" s="1058"/>
      <c r="M1384" s="1059">
        <f>SUM(M1379:N1383)</f>
        <v>1214.5119556500001</v>
      </c>
      <c r="N1384" s="1058"/>
    </row>
    <row r="1385" spans="1:14" ht="12.75" customHeight="1" x14ac:dyDescent="0.25">
      <c r="A1385" s="3"/>
      <c r="B1385" s="3"/>
      <c r="C1385" s="3"/>
      <c r="D1385" s="3"/>
      <c r="E1385" s="3"/>
      <c r="F1385" s="3"/>
      <c r="G1385" s="3"/>
      <c r="H1385" s="3"/>
      <c r="I1385" s="3"/>
      <c r="J1385" s="3"/>
      <c r="K1385" s="3"/>
      <c r="L1385" s="3"/>
      <c r="M1385" s="3"/>
      <c r="N1385" s="3"/>
    </row>
    <row r="1386" spans="1:14" ht="12.75" customHeight="1" x14ac:dyDescent="0.2">
      <c r="A1386" s="1065" t="s">
        <v>392</v>
      </c>
      <c r="B1386" s="1057"/>
      <c r="C1386" s="1057"/>
      <c r="D1386" s="1057"/>
      <c r="E1386" s="1057"/>
      <c r="F1386" s="1057"/>
      <c r="G1386" s="1057"/>
      <c r="H1386" s="1057"/>
      <c r="I1386" s="1057"/>
      <c r="J1386" s="1057"/>
      <c r="K1386" s="1057"/>
      <c r="L1386" s="1057"/>
      <c r="M1386" s="1057"/>
      <c r="N1386" s="1058"/>
    </row>
    <row r="1387" spans="1:14" ht="12.75" customHeight="1" x14ac:dyDescent="0.2">
      <c r="A1387" s="1066" t="s">
        <v>38</v>
      </c>
      <c r="B1387" s="1057"/>
      <c r="C1387" s="1057"/>
      <c r="D1387" s="1057"/>
      <c r="E1387" s="1057"/>
      <c r="F1387" s="1057"/>
      <c r="G1387" s="1058"/>
      <c r="H1387" s="28" t="s">
        <v>39</v>
      </c>
      <c r="I1387" s="1062" t="s">
        <v>385</v>
      </c>
      <c r="J1387" s="1058"/>
      <c r="K1387" s="1062" t="s">
        <v>132</v>
      </c>
      <c r="L1387" s="1058"/>
      <c r="M1387" s="1062" t="s">
        <v>386</v>
      </c>
      <c r="N1387" s="1058"/>
    </row>
    <row r="1388" spans="1:14" ht="12.75" customHeight="1" x14ac:dyDescent="0.2">
      <c r="A1388" s="1061"/>
      <c r="B1388" s="1057"/>
      <c r="C1388" s="1057"/>
      <c r="D1388" s="1057"/>
      <c r="E1388" s="1057"/>
      <c r="F1388" s="1057"/>
      <c r="G1388" s="1058"/>
      <c r="H1388" s="9"/>
      <c r="I1388" s="1059"/>
      <c r="J1388" s="1058"/>
      <c r="K1388" s="1064"/>
      <c r="L1388" s="1058"/>
      <c r="M1388" s="1059" t="str">
        <f>IF(A1388="","",I1388*K1388)</f>
        <v/>
      </c>
      <c r="N1388" s="1058"/>
    </row>
    <row r="1389" spans="1:14" ht="12.75" customHeight="1" x14ac:dyDescent="0.2">
      <c r="A1389" s="1056"/>
      <c r="B1389" s="1057"/>
      <c r="C1389" s="1057"/>
      <c r="D1389" s="1057"/>
      <c r="E1389" s="1057"/>
      <c r="F1389" s="1057"/>
      <c r="G1389" s="1058"/>
      <c r="H1389" s="9"/>
      <c r="I1389" s="1059"/>
      <c r="J1389" s="1058"/>
      <c r="K1389" s="1064"/>
      <c r="L1389" s="1058"/>
      <c r="M1389" s="1059" t="str">
        <f>IF(A1389="","",I1389*K1389)</f>
        <v/>
      </c>
      <c r="N1389" s="1058"/>
    </row>
    <row r="1390" spans="1:14" ht="12.75" customHeight="1" x14ac:dyDescent="0.2">
      <c r="A1390" s="1061"/>
      <c r="B1390" s="1057"/>
      <c r="C1390" s="1057"/>
      <c r="D1390" s="1057"/>
      <c r="E1390" s="1057"/>
      <c r="F1390" s="1057"/>
      <c r="G1390" s="1058"/>
      <c r="H1390" s="9"/>
      <c r="I1390" s="1059"/>
      <c r="J1390" s="1058"/>
      <c r="K1390" s="1060"/>
      <c r="L1390" s="1058"/>
      <c r="M1390" s="1059" t="str">
        <f>IF(A1390="","",I1390*K1390)</f>
        <v/>
      </c>
      <c r="N1390" s="1058"/>
    </row>
    <row r="1391" spans="1:14" ht="12.75" customHeight="1" x14ac:dyDescent="0.2">
      <c r="A1391" s="1061"/>
      <c r="B1391" s="1057"/>
      <c r="C1391" s="1057"/>
      <c r="D1391" s="1057"/>
      <c r="E1391" s="1057"/>
      <c r="F1391" s="1057"/>
      <c r="G1391" s="1058"/>
      <c r="H1391" s="9"/>
      <c r="I1391" s="1059"/>
      <c r="J1391" s="1058"/>
      <c r="K1391" s="1060"/>
      <c r="L1391" s="1058"/>
      <c r="M1391" s="1059" t="str">
        <f>IF(A1391="","",I1391*K1391)</f>
        <v/>
      </c>
      <c r="N1391" s="1058"/>
    </row>
    <row r="1392" spans="1:14" ht="12.75" customHeight="1" x14ac:dyDescent="0.2">
      <c r="A1392" s="1061"/>
      <c r="B1392" s="1057"/>
      <c r="C1392" s="1057"/>
      <c r="D1392" s="1057"/>
      <c r="E1392" s="1057"/>
      <c r="F1392" s="1057"/>
      <c r="G1392" s="1058"/>
      <c r="H1392" s="9"/>
      <c r="I1392" s="1059"/>
      <c r="J1392" s="1058"/>
      <c r="K1392" s="1060"/>
      <c r="L1392" s="1058"/>
      <c r="M1392" s="1059" t="str">
        <f>IF(A1392="","",I1392*K1392)</f>
        <v/>
      </c>
      <c r="N1392" s="1058"/>
    </row>
    <row r="1393" spans="1:15" ht="12.75" customHeight="1" x14ac:dyDescent="0.25">
      <c r="A1393" s="3"/>
      <c r="B1393" s="3"/>
      <c r="C1393" s="3"/>
      <c r="D1393" s="3"/>
      <c r="E1393" s="3"/>
      <c r="F1393" s="3"/>
      <c r="G1393" s="3"/>
      <c r="H1393" s="3"/>
      <c r="I1393" s="3"/>
      <c r="J1393" s="3"/>
      <c r="K1393" s="1066" t="s">
        <v>201</v>
      </c>
      <c r="L1393" s="1058"/>
      <c r="M1393" s="1059">
        <f>SUM(M1388:N1392)</f>
        <v>0</v>
      </c>
      <c r="N1393" s="1058"/>
    </row>
    <row r="1394" spans="1:15" ht="12.75" customHeight="1" x14ac:dyDescent="0.25">
      <c r="A1394" s="3"/>
      <c r="B1394" s="3"/>
      <c r="C1394" s="3"/>
      <c r="D1394" s="3"/>
      <c r="E1394" s="3"/>
      <c r="F1394" s="3"/>
      <c r="G1394" s="3"/>
      <c r="H1394" s="3"/>
      <c r="I1394" s="3"/>
      <c r="J1394" s="3"/>
      <c r="K1394" s="3"/>
      <c r="L1394" s="3"/>
      <c r="M1394" s="3"/>
      <c r="N1394" s="3"/>
    </row>
    <row r="1395" spans="1:15" ht="12.75" customHeight="1" x14ac:dyDescent="0.2">
      <c r="A1395" s="1065" t="s">
        <v>394</v>
      </c>
      <c r="B1395" s="1057"/>
      <c r="C1395" s="1057"/>
      <c r="D1395" s="1057"/>
      <c r="E1395" s="1057"/>
      <c r="F1395" s="1057"/>
      <c r="G1395" s="1057"/>
      <c r="H1395" s="1057"/>
      <c r="I1395" s="1057"/>
      <c r="J1395" s="1057"/>
      <c r="K1395" s="1057"/>
      <c r="L1395" s="1057"/>
      <c r="M1395" s="1057"/>
      <c r="N1395" s="1058"/>
    </row>
    <row r="1396" spans="1:15" ht="12.75" customHeight="1" x14ac:dyDescent="0.2">
      <c r="A1396" s="1066" t="s">
        <v>38</v>
      </c>
      <c r="B1396" s="1057"/>
      <c r="C1396" s="1057"/>
      <c r="D1396" s="1057"/>
      <c r="E1396" s="1057"/>
      <c r="F1396" s="1057"/>
      <c r="G1396" s="1058"/>
      <c r="H1396" s="28" t="s">
        <v>39</v>
      </c>
      <c r="I1396" s="1062" t="s">
        <v>385</v>
      </c>
      <c r="J1396" s="1058"/>
      <c r="K1396" s="30" t="s">
        <v>193</v>
      </c>
      <c r="L1396" s="31" t="s">
        <v>395</v>
      </c>
      <c r="M1396" s="1062" t="s">
        <v>386</v>
      </c>
      <c r="N1396" s="1058"/>
    </row>
    <row r="1397" spans="1:15" ht="12.75" customHeight="1" x14ac:dyDescent="0.25">
      <c r="A1397" s="1063" t="s">
        <v>423</v>
      </c>
      <c r="B1397" s="1057"/>
      <c r="C1397" s="1057"/>
      <c r="D1397" s="1057"/>
      <c r="E1397" s="1057"/>
      <c r="F1397" s="1057"/>
      <c r="G1397" s="1058"/>
      <c r="H1397" s="9" t="str">
        <f>IF(A1397="","",VLOOKUP(A1397,AA_Cuadrillas,4,FALSE))</f>
        <v>Cuadrilla</v>
      </c>
      <c r="I1397" s="1059">
        <f>IF(A1397="","",VLOOKUP(A1397,AA_Cuadrillas,5,FALSE))</f>
        <v>134236</v>
      </c>
      <c r="J1397" s="1058"/>
      <c r="K1397" s="1">
        <f>IF(A1397="","",'06'!$J$3)</f>
        <v>1.7233500000000002</v>
      </c>
      <c r="L1397" s="37">
        <v>0.105</v>
      </c>
      <c r="M1397" s="1059">
        <f>IF(A1397="","",I1397*K1397*L1397)</f>
        <v>24290.239113</v>
      </c>
      <c r="N1397" s="1058"/>
    </row>
    <row r="1398" spans="1:15" ht="12.75" customHeight="1" x14ac:dyDescent="0.25">
      <c r="A1398" s="1063"/>
      <c r="B1398" s="1057"/>
      <c r="C1398" s="1057"/>
      <c r="D1398" s="1057"/>
      <c r="E1398" s="1057"/>
      <c r="F1398" s="1057"/>
      <c r="G1398" s="1058"/>
      <c r="H1398" s="9" t="str">
        <f>IF(A1398="","",VLOOKUP(A1398,AA_Cuadrillas,4,FALSE))</f>
        <v/>
      </c>
      <c r="I1398" s="1059" t="str">
        <f>IF(A1398="","",VLOOKUP(A1398,AA_Cuadrillas,5,FALSE))</f>
        <v/>
      </c>
      <c r="J1398" s="1058"/>
      <c r="K1398" s="1" t="str">
        <f>IF(A1398="","",'06'!$J$3)</f>
        <v/>
      </c>
      <c r="L1398" s="1"/>
      <c r="M1398" s="1059" t="str">
        <f>IF(A1398="","",I1398*K1398*L1398)</f>
        <v/>
      </c>
      <c r="N1398" s="1058"/>
    </row>
    <row r="1399" spans="1:15" ht="12.75" customHeight="1" x14ac:dyDescent="0.25">
      <c r="A1399" s="1063"/>
      <c r="B1399" s="1057"/>
      <c r="C1399" s="1057"/>
      <c r="D1399" s="1057"/>
      <c r="E1399" s="1057"/>
      <c r="F1399" s="1057"/>
      <c r="G1399" s="1058"/>
      <c r="H1399" s="9" t="str">
        <f>IF(A1399="","",VLOOKUP(A1399,AA_Cuadrillas,4,FALSE))</f>
        <v/>
      </c>
      <c r="I1399" s="1059" t="str">
        <f>IF(A1399="","",VLOOKUP(A1399,AA_Cuadrillas,5,FALSE))</f>
        <v/>
      </c>
      <c r="J1399" s="1058"/>
      <c r="K1399" s="1" t="str">
        <f>IF(A1399="","",'06'!$J$3)</f>
        <v/>
      </c>
      <c r="L1399" s="10"/>
      <c r="M1399" s="1059" t="str">
        <f>IF(A1399="","",I1399*K1399*L1399)</f>
        <v/>
      </c>
      <c r="N1399" s="1058"/>
    </row>
    <row r="1400" spans="1:15" ht="12.75" customHeight="1" x14ac:dyDescent="0.25">
      <c r="A1400" s="1063"/>
      <c r="B1400" s="1057"/>
      <c r="C1400" s="1057"/>
      <c r="D1400" s="1057"/>
      <c r="E1400" s="1057"/>
      <c r="F1400" s="1057"/>
      <c r="G1400" s="1058"/>
      <c r="H1400" s="9" t="str">
        <f>IF(A1400="","",VLOOKUP(A1400,AA_Cuadrillas,4,FALSE))</f>
        <v/>
      </c>
      <c r="I1400" s="1059" t="str">
        <f>IF(A1400="","",VLOOKUP(A1400,AA_Cuadrillas,5,FALSE))</f>
        <v/>
      </c>
      <c r="J1400" s="1058"/>
      <c r="K1400" s="1" t="str">
        <f>IF(A1400="","",'06'!$J$3)</f>
        <v/>
      </c>
      <c r="L1400" s="10"/>
      <c r="M1400" s="1059" t="str">
        <f>IF(A1400="","",I1400*K1400*L1400)</f>
        <v/>
      </c>
      <c r="N1400" s="1058"/>
    </row>
    <row r="1401" spans="1:15" ht="12.75" customHeight="1" x14ac:dyDescent="0.25">
      <c r="A1401" s="1063"/>
      <c r="B1401" s="1057"/>
      <c r="C1401" s="1057"/>
      <c r="D1401" s="1057"/>
      <c r="E1401" s="1057"/>
      <c r="F1401" s="1057"/>
      <c r="G1401" s="1058"/>
      <c r="H1401" s="9" t="str">
        <f>IF(A1401="","",VLOOKUP(A1401,AA_Cuadrillas,4,FALSE))</f>
        <v/>
      </c>
      <c r="I1401" s="1059" t="str">
        <f>IF(A1401="","",VLOOKUP(A1401,AA_Cuadrillas,5,FALSE))</f>
        <v/>
      </c>
      <c r="J1401" s="1058"/>
      <c r="K1401" s="1" t="str">
        <f>IF(A1401="","",'06'!$J$3)</f>
        <v/>
      </c>
      <c r="L1401" s="10"/>
      <c r="M1401" s="1059" t="str">
        <f>IF(A1401="","",I1401*K1401*L1401)</f>
        <v/>
      </c>
      <c r="N1401" s="1058"/>
    </row>
    <row r="1402" spans="1:15" ht="12.75" customHeight="1" x14ac:dyDescent="0.25">
      <c r="A1402" s="3"/>
      <c r="B1402" s="3"/>
      <c r="C1402" s="3"/>
      <c r="D1402" s="3"/>
      <c r="E1402" s="3"/>
      <c r="F1402" s="3"/>
      <c r="G1402" s="3"/>
      <c r="H1402" s="3"/>
      <c r="I1402" s="3"/>
      <c r="J1402" s="3"/>
      <c r="K1402" s="1066" t="s">
        <v>201</v>
      </c>
      <c r="L1402" s="1058"/>
      <c r="M1402" s="1059">
        <f>SUM(M1397:N1401)</f>
        <v>24290.239113</v>
      </c>
      <c r="N1402" s="1058"/>
    </row>
    <row r="1403" spans="1:15" ht="12.75" customHeight="1" x14ac:dyDescent="0.2"/>
    <row r="1404" spans="1:15" ht="12.75" customHeight="1" x14ac:dyDescent="0.2">
      <c r="A1404" s="1072" t="s">
        <v>1698</v>
      </c>
      <c r="B1404" s="1052"/>
      <c r="C1404" s="1052"/>
      <c r="D1404" s="1052"/>
      <c r="E1404" s="1052"/>
      <c r="F1404" s="1052"/>
      <c r="G1404" s="1052"/>
      <c r="H1404" s="1052"/>
      <c r="I1404" s="1052"/>
      <c r="J1404" s="1052"/>
      <c r="K1404" s="1052"/>
      <c r="L1404" s="1052"/>
      <c r="M1404" s="1052"/>
      <c r="N1404" s="1053"/>
      <c r="O1404" s="7"/>
    </row>
    <row r="1405" spans="1:15" ht="12.75" customHeight="1" x14ac:dyDescent="0.2">
      <c r="A1405" s="1031"/>
      <c r="B1405" s="1032"/>
      <c r="C1405" s="1032"/>
      <c r="D1405" s="1032"/>
      <c r="E1405" s="1032"/>
      <c r="F1405" s="1032"/>
      <c r="G1405" s="1032"/>
      <c r="H1405" s="1032"/>
      <c r="I1405" s="1032"/>
      <c r="J1405" s="1032"/>
      <c r="K1405" s="1032"/>
      <c r="L1405" s="1032"/>
      <c r="M1405" s="1032"/>
      <c r="N1405" s="1055"/>
      <c r="O1405" s="7"/>
    </row>
    <row r="1406" spans="1:15" ht="12.75" customHeight="1" x14ac:dyDescent="0.2">
      <c r="A1406" s="16"/>
      <c r="B1406" s="16"/>
      <c r="C1406" s="16"/>
      <c r="D1406" s="16"/>
      <c r="E1406" s="16"/>
      <c r="F1406" s="16"/>
      <c r="G1406" s="16"/>
      <c r="H1406" s="16"/>
      <c r="I1406" s="16"/>
      <c r="J1406" s="16"/>
      <c r="K1406" s="16"/>
      <c r="L1406" s="16"/>
      <c r="M1406" s="16"/>
      <c r="N1406" s="16"/>
    </row>
    <row r="1407" spans="1:15" ht="12.75" customHeight="1" x14ac:dyDescent="0.3">
      <c r="A1407" s="18" t="s">
        <v>323</v>
      </c>
      <c r="B1407" s="19" t="str">
        <f>A1404</f>
        <v>SUMINISTRO E INSTALACIÓN DE MACROMEDIDOR ULTRASONIDO D6"</v>
      </c>
      <c r="C1407" s="20" t="s">
        <v>382</v>
      </c>
      <c r="D1407" s="21" t="s">
        <v>424</v>
      </c>
      <c r="E1407" s="22" t="s">
        <v>125</v>
      </c>
      <c r="F1407" s="26">
        <f>(H1407+J1407+L1407+N1407)*$O$2</f>
        <v>17092504.338631801</v>
      </c>
      <c r="G1407" s="22" t="s">
        <v>285</v>
      </c>
      <c r="H1407" s="26">
        <f>M1428</f>
        <v>25446.917166000007</v>
      </c>
      <c r="I1407" s="22" t="s">
        <v>383</v>
      </c>
      <c r="J1407" s="36">
        <f>M1419</f>
        <v>12613695</v>
      </c>
      <c r="K1407" s="22" t="s">
        <v>287</v>
      </c>
      <c r="L1407" s="26">
        <f>M1437</f>
        <v>0</v>
      </c>
      <c r="M1407" s="22" t="s">
        <v>288</v>
      </c>
      <c r="N1407" s="26">
        <f>M1446</f>
        <v>508938.3433200001</v>
      </c>
    </row>
    <row r="1408" spans="1:15" ht="12.75" customHeight="1" x14ac:dyDescent="0.25">
      <c r="A1408" s="27"/>
      <c r="B1408" s="27"/>
      <c r="C1408" s="27"/>
      <c r="D1408" s="27"/>
      <c r="E1408" s="27"/>
      <c r="F1408" s="27"/>
      <c r="G1408" s="27"/>
      <c r="J1408" s="27"/>
      <c r="K1408" s="27"/>
      <c r="L1408" s="27"/>
      <c r="M1408" s="27"/>
      <c r="N1408" s="27"/>
    </row>
    <row r="1409" spans="1:14" ht="12.75" customHeight="1" x14ac:dyDescent="0.2">
      <c r="A1409" s="1065" t="s">
        <v>384</v>
      </c>
      <c r="B1409" s="1057"/>
      <c r="C1409" s="1057"/>
      <c r="D1409" s="1057"/>
      <c r="E1409" s="1057"/>
      <c r="F1409" s="1057"/>
      <c r="G1409" s="1057"/>
      <c r="H1409" s="1057"/>
      <c r="I1409" s="1057"/>
      <c r="J1409" s="1057"/>
      <c r="K1409" s="1057"/>
      <c r="L1409" s="1057"/>
      <c r="M1409" s="1057"/>
      <c r="N1409" s="1058"/>
    </row>
    <row r="1410" spans="1:14" ht="12.75" customHeight="1" x14ac:dyDescent="0.2">
      <c r="A1410" s="1066" t="s">
        <v>38</v>
      </c>
      <c r="B1410" s="1057"/>
      <c r="C1410" s="1057"/>
      <c r="D1410" s="1057"/>
      <c r="E1410" s="1057"/>
      <c r="F1410" s="1057"/>
      <c r="G1410" s="1058"/>
      <c r="H1410" s="28" t="s">
        <v>39</v>
      </c>
      <c r="I1410" s="1062" t="s">
        <v>385</v>
      </c>
      <c r="J1410" s="1058"/>
      <c r="K1410" s="1062" t="s">
        <v>132</v>
      </c>
      <c r="L1410" s="1058"/>
      <c r="M1410" s="1062" t="s">
        <v>386</v>
      </c>
      <c r="N1410" s="1058"/>
    </row>
    <row r="1411" spans="1:14" ht="12.75" customHeight="1" x14ac:dyDescent="0.2">
      <c r="A1411" s="1061" t="s">
        <v>1550</v>
      </c>
      <c r="B1411" s="1057"/>
      <c r="C1411" s="1057"/>
      <c r="D1411" s="1057"/>
      <c r="E1411" s="1057"/>
      <c r="F1411" s="1057"/>
      <c r="G1411" s="1058"/>
      <c r="H1411" s="9" t="str">
        <f t="shared" ref="H1411:H1418" si="92">IF(A1411="","",VLOOKUP(A1411,AA_Materiales,7,FALSE))</f>
        <v>Unidad</v>
      </c>
      <c r="I1411" s="1059">
        <f t="shared" ref="I1411:I1418" si="93">IF(A1411="","",VLOOKUP(A1411,AA_Materiales,8,FALSE))</f>
        <v>12613695</v>
      </c>
      <c r="J1411" s="1058"/>
      <c r="K1411" s="1060">
        <v>1</v>
      </c>
      <c r="L1411" s="1058"/>
      <c r="M1411" s="1059">
        <f t="shared" ref="M1411:M1418" si="94">IF(A1411="","",I1411*K1411)</f>
        <v>12613695</v>
      </c>
      <c r="N1411" s="1058"/>
    </row>
    <row r="1412" spans="1:14" ht="12.75" customHeight="1" x14ac:dyDescent="0.2">
      <c r="A1412" s="1056"/>
      <c r="B1412" s="1057"/>
      <c r="C1412" s="1057"/>
      <c r="D1412" s="1057"/>
      <c r="E1412" s="1057"/>
      <c r="F1412" s="1057"/>
      <c r="G1412" s="1058"/>
      <c r="H1412" s="9" t="str">
        <f t="shared" si="92"/>
        <v/>
      </c>
      <c r="I1412" s="1059" t="str">
        <f t="shared" si="93"/>
        <v/>
      </c>
      <c r="J1412" s="1058"/>
      <c r="K1412" s="1060"/>
      <c r="L1412" s="1058"/>
      <c r="M1412" s="1059" t="str">
        <f t="shared" si="94"/>
        <v/>
      </c>
      <c r="N1412" s="1058"/>
    </row>
    <row r="1413" spans="1:14" ht="12.75" customHeight="1" x14ac:dyDescent="0.2">
      <c r="A1413" s="1056"/>
      <c r="B1413" s="1057"/>
      <c r="C1413" s="1057"/>
      <c r="D1413" s="1057"/>
      <c r="E1413" s="1057"/>
      <c r="F1413" s="1057"/>
      <c r="G1413" s="1058"/>
      <c r="H1413" s="9" t="str">
        <f t="shared" si="92"/>
        <v/>
      </c>
      <c r="I1413" s="1059" t="str">
        <f t="shared" si="93"/>
        <v/>
      </c>
      <c r="J1413" s="1058"/>
      <c r="K1413" s="1060"/>
      <c r="L1413" s="1058"/>
      <c r="M1413" s="1059" t="str">
        <f t="shared" si="94"/>
        <v/>
      </c>
      <c r="N1413" s="1058"/>
    </row>
    <row r="1414" spans="1:14" ht="12.75" customHeight="1" x14ac:dyDescent="0.2">
      <c r="A1414" s="1056"/>
      <c r="B1414" s="1057"/>
      <c r="C1414" s="1057"/>
      <c r="D1414" s="1057"/>
      <c r="E1414" s="1057"/>
      <c r="F1414" s="1057"/>
      <c r="G1414" s="1058"/>
      <c r="H1414" s="9" t="str">
        <f t="shared" si="92"/>
        <v/>
      </c>
      <c r="I1414" s="1059" t="str">
        <f t="shared" si="93"/>
        <v/>
      </c>
      <c r="J1414" s="1058"/>
      <c r="K1414" s="1060"/>
      <c r="L1414" s="1058"/>
      <c r="M1414" s="1059" t="str">
        <f t="shared" si="94"/>
        <v/>
      </c>
      <c r="N1414" s="1058"/>
    </row>
    <row r="1415" spans="1:14" ht="12.75" customHeight="1" x14ac:dyDescent="0.2">
      <c r="A1415" s="1056"/>
      <c r="B1415" s="1057"/>
      <c r="C1415" s="1057"/>
      <c r="D1415" s="1057"/>
      <c r="E1415" s="1057"/>
      <c r="F1415" s="1057"/>
      <c r="G1415" s="1058"/>
      <c r="H1415" s="9" t="str">
        <f t="shared" si="92"/>
        <v/>
      </c>
      <c r="I1415" s="1059" t="str">
        <f t="shared" si="93"/>
        <v/>
      </c>
      <c r="J1415" s="1058"/>
      <c r="K1415" s="1060"/>
      <c r="L1415" s="1058"/>
      <c r="M1415" s="1059" t="str">
        <f t="shared" si="94"/>
        <v/>
      </c>
      <c r="N1415" s="1058"/>
    </row>
    <row r="1416" spans="1:14" ht="12.75" customHeight="1" x14ac:dyDescent="0.2">
      <c r="A1416" s="1056"/>
      <c r="B1416" s="1057"/>
      <c r="C1416" s="1057"/>
      <c r="D1416" s="1057"/>
      <c r="E1416" s="1057"/>
      <c r="F1416" s="1057"/>
      <c r="G1416" s="1058"/>
      <c r="H1416" s="9" t="str">
        <f t="shared" si="92"/>
        <v/>
      </c>
      <c r="I1416" s="1059" t="str">
        <f t="shared" si="93"/>
        <v/>
      </c>
      <c r="J1416" s="1058"/>
      <c r="K1416" s="1060"/>
      <c r="L1416" s="1058"/>
      <c r="M1416" s="1059" t="str">
        <f t="shared" si="94"/>
        <v/>
      </c>
      <c r="N1416" s="1058"/>
    </row>
    <row r="1417" spans="1:14" ht="12.75" customHeight="1" x14ac:dyDescent="0.2">
      <c r="A1417" s="1056"/>
      <c r="B1417" s="1057"/>
      <c r="C1417" s="1057"/>
      <c r="D1417" s="1057"/>
      <c r="E1417" s="1057"/>
      <c r="F1417" s="1057"/>
      <c r="G1417" s="1058"/>
      <c r="H1417" s="9" t="str">
        <f t="shared" si="92"/>
        <v/>
      </c>
      <c r="I1417" s="1059" t="str">
        <f t="shared" si="93"/>
        <v/>
      </c>
      <c r="J1417" s="1058"/>
      <c r="K1417" s="1060"/>
      <c r="L1417" s="1058"/>
      <c r="M1417" s="1059" t="str">
        <f t="shared" si="94"/>
        <v/>
      </c>
      <c r="N1417" s="1058"/>
    </row>
    <row r="1418" spans="1:14" ht="12.75" customHeight="1" x14ac:dyDescent="0.2">
      <c r="A1418" s="1056"/>
      <c r="B1418" s="1057"/>
      <c r="C1418" s="1057"/>
      <c r="D1418" s="1057"/>
      <c r="E1418" s="1057"/>
      <c r="F1418" s="1057"/>
      <c r="G1418" s="1058"/>
      <c r="H1418" s="9" t="str">
        <f t="shared" si="92"/>
        <v/>
      </c>
      <c r="I1418" s="1059" t="str">
        <f t="shared" si="93"/>
        <v/>
      </c>
      <c r="J1418" s="1058"/>
      <c r="K1418" s="1060"/>
      <c r="L1418" s="1058"/>
      <c r="M1418" s="1059" t="str">
        <f t="shared" si="94"/>
        <v/>
      </c>
      <c r="N1418" s="1058"/>
    </row>
    <row r="1419" spans="1:14" ht="12.75" customHeight="1" x14ac:dyDescent="0.25">
      <c r="A1419" s="3"/>
      <c r="B1419" s="3"/>
      <c r="C1419" s="3"/>
      <c r="D1419" s="3"/>
      <c r="E1419" s="3"/>
      <c r="F1419" s="3"/>
      <c r="G1419" s="3"/>
      <c r="H1419" s="3"/>
      <c r="I1419" s="3"/>
      <c r="J1419" s="3"/>
      <c r="K1419" s="1066" t="s">
        <v>201</v>
      </c>
      <c r="L1419" s="1058"/>
      <c r="M1419" s="1059">
        <f>SUM(M1411:N1418)</f>
        <v>12613695</v>
      </c>
      <c r="N1419" s="1058"/>
    </row>
    <row r="1420" spans="1:14" ht="12.75" customHeight="1" x14ac:dyDescent="0.25">
      <c r="A1420" s="3"/>
      <c r="B1420" s="3"/>
      <c r="C1420" s="3"/>
      <c r="D1420" s="3"/>
      <c r="E1420" s="3"/>
      <c r="F1420" s="3"/>
      <c r="G1420" s="3"/>
      <c r="H1420" s="3"/>
      <c r="I1420" s="3"/>
      <c r="J1420" s="3"/>
      <c r="K1420" s="3"/>
      <c r="L1420" s="3"/>
      <c r="M1420" s="3"/>
      <c r="N1420" s="3"/>
    </row>
    <row r="1421" spans="1:14" ht="12.75" customHeight="1" x14ac:dyDescent="0.2">
      <c r="A1421" s="1065" t="s">
        <v>390</v>
      </c>
      <c r="B1421" s="1057"/>
      <c r="C1421" s="1057"/>
      <c r="D1421" s="1057"/>
      <c r="E1421" s="1057"/>
      <c r="F1421" s="1057"/>
      <c r="G1421" s="1057"/>
      <c r="H1421" s="1057"/>
      <c r="I1421" s="1057"/>
      <c r="J1421" s="1057"/>
      <c r="K1421" s="1057"/>
      <c r="L1421" s="1057"/>
      <c r="M1421" s="1057"/>
      <c r="N1421" s="1058"/>
    </row>
    <row r="1422" spans="1:14" ht="12.75" customHeight="1" x14ac:dyDescent="0.2">
      <c r="A1422" s="1066" t="s">
        <v>38</v>
      </c>
      <c r="B1422" s="1057"/>
      <c r="C1422" s="1057"/>
      <c r="D1422" s="1057"/>
      <c r="E1422" s="1057"/>
      <c r="F1422" s="1057"/>
      <c r="G1422" s="1058"/>
      <c r="H1422" s="28" t="s">
        <v>39</v>
      </c>
      <c r="I1422" s="1062" t="s">
        <v>385</v>
      </c>
      <c r="J1422" s="1058"/>
      <c r="K1422" s="1062" t="s">
        <v>132</v>
      </c>
      <c r="L1422" s="1058"/>
      <c r="M1422" s="1062" t="s">
        <v>386</v>
      </c>
      <c r="N1422" s="1058"/>
    </row>
    <row r="1423" spans="1:14" ht="12.75" customHeight="1" x14ac:dyDescent="0.2">
      <c r="A1423" s="1061" t="s">
        <v>391</v>
      </c>
      <c r="B1423" s="1057"/>
      <c r="C1423" s="1057"/>
      <c r="D1423" s="1057"/>
      <c r="E1423" s="1057"/>
      <c r="F1423" s="1057"/>
      <c r="G1423" s="1058"/>
      <c r="H1423" s="9" t="str">
        <f>IF(A1423="","",VLOOKUP(A1423,AA_Equipos,7,FALSE))</f>
        <v>% M.O.</v>
      </c>
      <c r="I1423" s="1059">
        <f>+M1446</f>
        <v>508938.3433200001</v>
      </c>
      <c r="J1423" s="1058"/>
      <c r="K1423" s="1064">
        <v>0.05</v>
      </c>
      <c r="L1423" s="1058"/>
      <c r="M1423" s="1059">
        <f>IF(A1423="","",I1423*K1423)</f>
        <v>25446.917166000007</v>
      </c>
      <c r="N1423" s="1058"/>
    </row>
    <row r="1424" spans="1:14" ht="12.75" customHeight="1" x14ac:dyDescent="0.2">
      <c r="A1424" s="1056"/>
      <c r="B1424" s="1057"/>
      <c r="C1424" s="1057"/>
      <c r="D1424" s="1057"/>
      <c r="E1424" s="1057"/>
      <c r="F1424" s="1057"/>
      <c r="G1424" s="1058"/>
      <c r="H1424" s="9" t="str">
        <f>IF(A1424="","",VLOOKUP(A1424,AA_Equipos,7,FALSE))</f>
        <v/>
      </c>
      <c r="I1424" s="1059" t="str">
        <f>IF(A1424="","",VLOOKUP(A1424,AA_Equipos,8,FALSE))</f>
        <v/>
      </c>
      <c r="J1424" s="1058"/>
      <c r="K1424" s="1067"/>
      <c r="L1424" s="1058"/>
      <c r="M1424" s="1059" t="str">
        <f>IF(A1424="","",I1424*K1424)</f>
        <v/>
      </c>
      <c r="N1424" s="1058"/>
    </row>
    <row r="1425" spans="1:14" ht="12.75" customHeight="1" x14ac:dyDescent="0.2">
      <c r="A1425" s="1061"/>
      <c r="B1425" s="1057"/>
      <c r="C1425" s="1057"/>
      <c r="D1425" s="1057"/>
      <c r="E1425" s="1057"/>
      <c r="F1425" s="1057"/>
      <c r="G1425" s="1058"/>
      <c r="H1425" s="9" t="str">
        <f>IF(A1425="","",VLOOKUP(A1425,AA_Equipos,7,FALSE))</f>
        <v/>
      </c>
      <c r="I1425" s="1059" t="str">
        <f>IF(A1425="","",VLOOKUP(A1425,AA_Equipos,8,FALSE))</f>
        <v/>
      </c>
      <c r="J1425" s="1058"/>
      <c r="K1425" s="1070"/>
      <c r="L1425" s="1058"/>
      <c r="M1425" s="1059" t="str">
        <f>IF(A1425="","",I1425*K1425)</f>
        <v/>
      </c>
      <c r="N1425" s="1058"/>
    </row>
    <row r="1426" spans="1:14" ht="12.75" customHeight="1" x14ac:dyDescent="0.2">
      <c r="A1426" s="1061"/>
      <c r="B1426" s="1057"/>
      <c r="C1426" s="1057"/>
      <c r="D1426" s="1057"/>
      <c r="E1426" s="1057"/>
      <c r="F1426" s="1057"/>
      <c r="G1426" s="1058"/>
      <c r="H1426" s="9" t="str">
        <f>IF(A1426="","",VLOOKUP(A1426,AA_Equipos,7,FALSE))</f>
        <v/>
      </c>
      <c r="I1426" s="1059" t="str">
        <f>IF(A1426="","",VLOOKUP(A1426,AA_Equipos,8,FALSE))</f>
        <v/>
      </c>
      <c r="J1426" s="1058"/>
      <c r="K1426" s="1060"/>
      <c r="L1426" s="1058"/>
      <c r="M1426" s="1059" t="str">
        <f>IF(A1426="","",I1426*K1426)</f>
        <v/>
      </c>
      <c r="N1426" s="1058"/>
    </row>
    <row r="1427" spans="1:14" ht="12.75" customHeight="1" x14ac:dyDescent="0.2">
      <c r="A1427" s="1061"/>
      <c r="B1427" s="1057"/>
      <c r="C1427" s="1057"/>
      <c r="D1427" s="1057"/>
      <c r="E1427" s="1057"/>
      <c r="F1427" s="1057"/>
      <c r="G1427" s="1058"/>
      <c r="H1427" s="9" t="str">
        <f>IF(A1427="","",VLOOKUP(A1427,AA_Equipos,7,FALSE))</f>
        <v/>
      </c>
      <c r="I1427" s="1059" t="str">
        <f>IF(A1427="","",VLOOKUP(A1427,AA_Equipos,8,FALSE))</f>
        <v/>
      </c>
      <c r="J1427" s="1058"/>
      <c r="K1427" s="1060"/>
      <c r="L1427" s="1058"/>
      <c r="M1427" s="1059" t="str">
        <f>IF(A1427="","",I1427*K1427)</f>
        <v/>
      </c>
      <c r="N1427" s="1058"/>
    </row>
    <row r="1428" spans="1:14" ht="12.75" customHeight="1" x14ac:dyDescent="0.25">
      <c r="A1428" s="3"/>
      <c r="B1428" s="3"/>
      <c r="C1428" s="3"/>
      <c r="D1428" s="3"/>
      <c r="E1428" s="3"/>
      <c r="F1428" s="3"/>
      <c r="G1428" s="3"/>
      <c r="H1428" s="3"/>
      <c r="I1428" s="3"/>
      <c r="J1428" s="3"/>
      <c r="K1428" s="1066" t="s">
        <v>201</v>
      </c>
      <c r="L1428" s="1058"/>
      <c r="M1428" s="1059">
        <f>SUM(M1423:N1427)</f>
        <v>25446.917166000007</v>
      </c>
      <c r="N1428" s="1058"/>
    </row>
    <row r="1429" spans="1:14" ht="12.75" customHeight="1" x14ac:dyDescent="0.25">
      <c r="A1429" s="3"/>
      <c r="B1429" s="3"/>
      <c r="C1429" s="3"/>
      <c r="D1429" s="3"/>
      <c r="E1429" s="3"/>
      <c r="F1429" s="3"/>
      <c r="G1429" s="3"/>
      <c r="H1429" s="3"/>
      <c r="I1429" s="3"/>
      <c r="J1429" s="3"/>
      <c r="K1429" s="3"/>
      <c r="L1429" s="3"/>
      <c r="M1429" s="3"/>
      <c r="N1429" s="3"/>
    </row>
    <row r="1430" spans="1:14" ht="12.75" customHeight="1" x14ac:dyDescent="0.2">
      <c r="A1430" s="1065" t="s">
        <v>392</v>
      </c>
      <c r="B1430" s="1057"/>
      <c r="C1430" s="1057"/>
      <c r="D1430" s="1057"/>
      <c r="E1430" s="1057"/>
      <c r="F1430" s="1057"/>
      <c r="G1430" s="1057"/>
      <c r="H1430" s="1057"/>
      <c r="I1430" s="1057"/>
      <c r="J1430" s="1057"/>
      <c r="K1430" s="1057"/>
      <c r="L1430" s="1057"/>
      <c r="M1430" s="1057"/>
      <c r="N1430" s="1058"/>
    </row>
    <row r="1431" spans="1:14" ht="12.75" customHeight="1" x14ac:dyDescent="0.2">
      <c r="A1431" s="1066" t="s">
        <v>38</v>
      </c>
      <c r="B1431" s="1057"/>
      <c r="C1431" s="1057"/>
      <c r="D1431" s="1057"/>
      <c r="E1431" s="1057"/>
      <c r="F1431" s="1057"/>
      <c r="G1431" s="1058"/>
      <c r="H1431" s="28" t="s">
        <v>39</v>
      </c>
      <c r="I1431" s="1062" t="s">
        <v>385</v>
      </c>
      <c r="J1431" s="1058"/>
      <c r="K1431" s="1062" t="s">
        <v>132</v>
      </c>
      <c r="L1431" s="1058"/>
      <c r="M1431" s="1062" t="s">
        <v>386</v>
      </c>
      <c r="N1431" s="1058"/>
    </row>
    <row r="1432" spans="1:14" ht="12.75" customHeight="1" x14ac:dyDescent="0.2">
      <c r="A1432" s="1061"/>
      <c r="B1432" s="1057"/>
      <c r="C1432" s="1057"/>
      <c r="D1432" s="1057"/>
      <c r="E1432" s="1057"/>
      <c r="F1432" s="1057"/>
      <c r="G1432" s="1058"/>
      <c r="H1432" s="9"/>
      <c r="I1432" s="1059"/>
      <c r="J1432" s="1058"/>
      <c r="K1432" s="1064"/>
      <c r="L1432" s="1058"/>
      <c r="M1432" s="1059" t="str">
        <f>IF(A1432="","",I1432*K1432)</f>
        <v/>
      </c>
      <c r="N1432" s="1058"/>
    </row>
    <row r="1433" spans="1:14" ht="12.75" customHeight="1" x14ac:dyDescent="0.2">
      <c r="A1433" s="1056"/>
      <c r="B1433" s="1057"/>
      <c r="C1433" s="1057"/>
      <c r="D1433" s="1057"/>
      <c r="E1433" s="1057"/>
      <c r="F1433" s="1057"/>
      <c r="G1433" s="1058"/>
      <c r="H1433" s="9"/>
      <c r="I1433" s="1059"/>
      <c r="J1433" s="1058"/>
      <c r="K1433" s="1064"/>
      <c r="L1433" s="1058"/>
      <c r="M1433" s="1059" t="str">
        <f>IF(A1433="","",I1433*K1433)</f>
        <v/>
      </c>
      <c r="N1433" s="1058"/>
    </row>
    <row r="1434" spans="1:14" ht="12.75" customHeight="1" x14ac:dyDescent="0.2">
      <c r="A1434" s="1061"/>
      <c r="B1434" s="1057"/>
      <c r="C1434" s="1057"/>
      <c r="D1434" s="1057"/>
      <c r="E1434" s="1057"/>
      <c r="F1434" s="1057"/>
      <c r="G1434" s="1058"/>
      <c r="H1434" s="9"/>
      <c r="I1434" s="1059"/>
      <c r="J1434" s="1058"/>
      <c r="K1434" s="1060"/>
      <c r="L1434" s="1058"/>
      <c r="M1434" s="1059" t="str">
        <f>IF(A1434="","",I1434*K1434)</f>
        <v/>
      </c>
      <c r="N1434" s="1058"/>
    </row>
    <row r="1435" spans="1:14" ht="12.75" customHeight="1" x14ac:dyDescent="0.2">
      <c r="A1435" s="1061"/>
      <c r="B1435" s="1057"/>
      <c r="C1435" s="1057"/>
      <c r="D1435" s="1057"/>
      <c r="E1435" s="1057"/>
      <c r="F1435" s="1057"/>
      <c r="G1435" s="1058"/>
      <c r="H1435" s="9"/>
      <c r="I1435" s="1059"/>
      <c r="J1435" s="1058"/>
      <c r="K1435" s="1060"/>
      <c r="L1435" s="1058"/>
      <c r="M1435" s="1059" t="str">
        <f>IF(A1435="","",I1435*K1435)</f>
        <v/>
      </c>
      <c r="N1435" s="1058"/>
    </row>
    <row r="1436" spans="1:14" ht="12.75" customHeight="1" x14ac:dyDescent="0.2">
      <c r="A1436" s="1061"/>
      <c r="B1436" s="1057"/>
      <c r="C1436" s="1057"/>
      <c r="D1436" s="1057"/>
      <c r="E1436" s="1057"/>
      <c r="F1436" s="1057"/>
      <c r="G1436" s="1058"/>
      <c r="H1436" s="9"/>
      <c r="I1436" s="1059"/>
      <c r="J1436" s="1058"/>
      <c r="K1436" s="1060"/>
      <c r="L1436" s="1058"/>
      <c r="M1436" s="1059" t="str">
        <f>IF(A1436="","",I1436*K1436)</f>
        <v/>
      </c>
      <c r="N1436" s="1058"/>
    </row>
    <row r="1437" spans="1:14" ht="12.75" customHeight="1" x14ac:dyDescent="0.25">
      <c r="A1437" s="3"/>
      <c r="B1437" s="3"/>
      <c r="C1437" s="3"/>
      <c r="D1437" s="3"/>
      <c r="E1437" s="3"/>
      <c r="F1437" s="3"/>
      <c r="G1437" s="3"/>
      <c r="H1437" s="3"/>
      <c r="I1437" s="3"/>
      <c r="J1437" s="3"/>
      <c r="K1437" s="1066" t="s">
        <v>201</v>
      </c>
      <c r="L1437" s="1058"/>
      <c r="M1437" s="1059">
        <f>SUM(M1432:N1436)</f>
        <v>0</v>
      </c>
      <c r="N1437" s="1058"/>
    </row>
    <row r="1438" spans="1:14" ht="12.75" customHeight="1" x14ac:dyDescent="0.25">
      <c r="A1438" s="3"/>
      <c r="B1438" s="3"/>
      <c r="C1438" s="3"/>
      <c r="D1438" s="3"/>
      <c r="E1438" s="3"/>
      <c r="F1438" s="3"/>
      <c r="G1438" s="3"/>
      <c r="H1438" s="3"/>
      <c r="I1438" s="3"/>
      <c r="J1438" s="3"/>
      <c r="K1438" s="3"/>
      <c r="L1438" s="3"/>
      <c r="M1438" s="3"/>
      <c r="N1438" s="3"/>
    </row>
    <row r="1439" spans="1:14" ht="12.75" customHeight="1" x14ac:dyDescent="0.2">
      <c r="A1439" s="1065" t="s">
        <v>394</v>
      </c>
      <c r="B1439" s="1057"/>
      <c r="C1439" s="1057"/>
      <c r="D1439" s="1057"/>
      <c r="E1439" s="1057"/>
      <c r="F1439" s="1057"/>
      <c r="G1439" s="1057"/>
      <c r="H1439" s="1057"/>
      <c r="I1439" s="1057"/>
      <c r="J1439" s="1057"/>
      <c r="K1439" s="1057"/>
      <c r="L1439" s="1057"/>
      <c r="M1439" s="1057"/>
      <c r="N1439" s="1058"/>
    </row>
    <row r="1440" spans="1:14" ht="12.75" customHeight="1" x14ac:dyDescent="0.2">
      <c r="A1440" s="1066" t="s">
        <v>38</v>
      </c>
      <c r="B1440" s="1057"/>
      <c r="C1440" s="1057"/>
      <c r="D1440" s="1057"/>
      <c r="E1440" s="1057"/>
      <c r="F1440" s="1057"/>
      <c r="G1440" s="1058"/>
      <c r="H1440" s="28" t="s">
        <v>39</v>
      </c>
      <c r="I1440" s="1062" t="s">
        <v>385</v>
      </c>
      <c r="J1440" s="1058"/>
      <c r="K1440" s="30" t="s">
        <v>193</v>
      </c>
      <c r="L1440" s="31" t="s">
        <v>395</v>
      </c>
      <c r="M1440" s="1062" t="s">
        <v>386</v>
      </c>
      <c r="N1440" s="1058"/>
    </row>
    <row r="1441" spans="1:15" ht="12.75" customHeight="1" x14ac:dyDescent="0.25">
      <c r="A1441" s="1063" t="s">
        <v>423</v>
      </c>
      <c r="B1441" s="1057"/>
      <c r="C1441" s="1057"/>
      <c r="D1441" s="1057"/>
      <c r="E1441" s="1057"/>
      <c r="F1441" s="1057"/>
      <c r="G1441" s="1058"/>
      <c r="H1441" s="9" t="str">
        <f>IF(A1441="","",VLOOKUP(A1441,AA_Cuadrillas,4,FALSE))</f>
        <v>Cuadrilla</v>
      </c>
      <c r="I1441" s="1059">
        <f>IF(A1441="","",VLOOKUP(A1441,AA_Cuadrillas,5,FALSE))</f>
        <v>134236</v>
      </c>
      <c r="J1441" s="1058"/>
      <c r="K1441" s="1">
        <f>IF(A1441="","",'06'!$J$3)</f>
        <v>1.7233500000000002</v>
      </c>
      <c r="L1441" s="37">
        <v>2.2000000000000002</v>
      </c>
      <c r="M1441" s="1059">
        <f>IF(A1441="","",I1441*K1441*L1441)</f>
        <v>508938.3433200001</v>
      </c>
      <c r="N1441" s="1058"/>
    </row>
    <row r="1442" spans="1:15" ht="12.75" customHeight="1" x14ac:dyDescent="0.25">
      <c r="A1442" s="1063"/>
      <c r="B1442" s="1057"/>
      <c r="C1442" s="1057"/>
      <c r="D1442" s="1057"/>
      <c r="E1442" s="1057"/>
      <c r="F1442" s="1057"/>
      <c r="G1442" s="1058"/>
      <c r="H1442" s="9" t="str">
        <f>IF(A1442="","",VLOOKUP(A1442,AA_Cuadrillas,4,FALSE))</f>
        <v/>
      </c>
      <c r="I1442" s="1059" t="str">
        <f>IF(A1442="","",VLOOKUP(A1442,AA_Cuadrillas,5,FALSE))</f>
        <v/>
      </c>
      <c r="J1442" s="1058"/>
      <c r="K1442" s="1" t="str">
        <f>IF(A1442="","",'06'!$J$3)</f>
        <v/>
      </c>
      <c r="L1442" s="1"/>
      <c r="M1442" s="1059" t="str">
        <f>IF(A1442="","",I1442*K1442*L1442)</f>
        <v/>
      </c>
      <c r="N1442" s="1058"/>
    </row>
    <row r="1443" spans="1:15" ht="12.75" customHeight="1" x14ac:dyDescent="0.25">
      <c r="A1443" s="1063"/>
      <c r="B1443" s="1057"/>
      <c r="C1443" s="1057"/>
      <c r="D1443" s="1057"/>
      <c r="E1443" s="1057"/>
      <c r="F1443" s="1057"/>
      <c r="G1443" s="1058"/>
      <c r="H1443" s="9" t="str">
        <f>IF(A1443="","",VLOOKUP(A1443,AA_Cuadrillas,4,FALSE))</f>
        <v/>
      </c>
      <c r="I1443" s="1059" t="str">
        <f>IF(A1443="","",VLOOKUP(A1443,AA_Cuadrillas,5,FALSE))</f>
        <v/>
      </c>
      <c r="J1443" s="1058"/>
      <c r="K1443" s="1" t="str">
        <f>IF(A1443="","",'06'!$J$3)</f>
        <v/>
      </c>
      <c r="L1443" s="10"/>
      <c r="M1443" s="1059" t="str">
        <f>IF(A1443="","",I1443*K1443*L1443)</f>
        <v/>
      </c>
      <c r="N1443" s="1058"/>
    </row>
    <row r="1444" spans="1:15" ht="12.75" customHeight="1" x14ac:dyDescent="0.25">
      <c r="A1444" s="1063"/>
      <c r="B1444" s="1057"/>
      <c r="C1444" s="1057"/>
      <c r="D1444" s="1057"/>
      <c r="E1444" s="1057"/>
      <c r="F1444" s="1057"/>
      <c r="G1444" s="1058"/>
      <c r="H1444" s="9" t="str">
        <f>IF(A1444="","",VLOOKUP(A1444,AA_Cuadrillas,4,FALSE))</f>
        <v/>
      </c>
      <c r="I1444" s="1059" t="str">
        <f>IF(A1444="","",VLOOKUP(A1444,AA_Cuadrillas,5,FALSE))</f>
        <v/>
      </c>
      <c r="J1444" s="1058"/>
      <c r="K1444" s="1" t="str">
        <f>IF(A1444="","",'06'!$J$3)</f>
        <v/>
      </c>
      <c r="L1444" s="10"/>
      <c r="M1444" s="1059" t="str">
        <f>IF(A1444="","",I1444*K1444*L1444)</f>
        <v/>
      </c>
      <c r="N1444" s="1058"/>
    </row>
    <row r="1445" spans="1:15" ht="12.75" customHeight="1" x14ac:dyDescent="0.25">
      <c r="A1445" s="1063"/>
      <c r="B1445" s="1057"/>
      <c r="C1445" s="1057"/>
      <c r="D1445" s="1057"/>
      <c r="E1445" s="1057"/>
      <c r="F1445" s="1057"/>
      <c r="G1445" s="1058"/>
      <c r="H1445" s="9" t="str">
        <f>IF(A1445="","",VLOOKUP(A1445,AA_Cuadrillas,4,FALSE))</f>
        <v/>
      </c>
      <c r="I1445" s="1059" t="str">
        <f>IF(A1445="","",VLOOKUP(A1445,AA_Cuadrillas,5,FALSE))</f>
        <v/>
      </c>
      <c r="J1445" s="1058"/>
      <c r="K1445" s="1" t="str">
        <f>IF(A1445="","",'06'!$J$3)</f>
        <v/>
      </c>
      <c r="L1445" s="10"/>
      <c r="M1445" s="1059" t="str">
        <f>IF(A1445="","",I1445*K1445*L1445)</f>
        <v/>
      </c>
      <c r="N1445" s="1058"/>
    </row>
    <row r="1446" spans="1:15" ht="12.75" customHeight="1" x14ac:dyDescent="0.25">
      <c r="A1446" s="3"/>
      <c r="B1446" s="3"/>
      <c r="C1446" s="3"/>
      <c r="D1446" s="3"/>
      <c r="E1446" s="3"/>
      <c r="F1446" s="3"/>
      <c r="G1446" s="3"/>
      <c r="H1446" s="3"/>
      <c r="I1446" s="3"/>
      <c r="J1446" s="3"/>
      <c r="K1446" s="1066" t="s">
        <v>201</v>
      </c>
      <c r="L1446" s="1058"/>
      <c r="M1446" s="1059">
        <f>SUM(M1441:N1445)</f>
        <v>508938.3433200001</v>
      </c>
      <c r="N1446" s="1058"/>
    </row>
    <row r="1447" spans="1:15" ht="12.75" customHeight="1" x14ac:dyDescent="0.2"/>
    <row r="1448" spans="1:15" ht="12.75" customHeight="1" x14ac:dyDescent="0.2">
      <c r="A1448" s="1072" t="s">
        <v>1699</v>
      </c>
      <c r="B1448" s="1052"/>
      <c r="C1448" s="1052"/>
      <c r="D1448" s="1052"/>
      <c r="E1448" s="1052"/>
      <c r="F1448" s="1052"/>
      <c r="G1448" s="1052"/>
      <c r="H1448" s="1052"/>
      <c r="I1448" s="1052"/>
      <c r="J1448" s="1052"/>
      <c r="K1448" s="1052"/>
      <c r="L1448" s="1052"/>
      <c r="M1448" s="1052"/>
      <c r="N1448" s="1053"/>
      <c r="O1448" s="7"/>
    </row>
    <row r="1449" spans="1:15" ht="12.75" customHeight="1" x14ac:dyDescent="0.2">
      <c r="A1449" s="1031"/>
      <c r="B1449" s="1032"/>
      <c r="C1449" s="1032"/>
      <c r="D1449" s="1032"/>
      <c r="E1449" s="1032"/>
      <c r="F1449" s="1032"/>
      <c r="G1449" s="1032"/>
      <c r="H1449" s="1032"/>
      <c r="I1449" s="1032"/>
      <c r="J1449" s="1032"/>
      <c r="K1449" s="1032"/>
      <c r="L1449" s="1032"/>
      <c r="M1449" s="1032"/>
      <c r="N1449" s="1055"/>
      <c r="O1449" s="7"/>
    </row>
    <row r="1450" spans="1:15" ht="12.75" customHeight="1" x14ac:dyDescent="0.2">
      <c r="A1450" s="16"/>
      <c r="B1450" s="16"/>
      <c r="C1450" s="16"/>
      <c r="D1450" s="16"/>
      <c r="E1450" s="16"/>
      <c r="F1450" s="16"/>
      <c r="G1450" s="16"/>
      <c r="H1450" s="16"/>
      <c r="I1450" s="16"/>
      <c r="J1450" s="16"/>
      <c r="K1450" s="16"/>
      <c r="L1450" s="16"/>
      <c r="M1450" s="16"/>
      <c r="N1450" s="16"/>
    </row>
    <row r="1451" spans="1:15" ht="12.75" customHeight="1" x14ac:dyDescent="0.3">
      <c r="A1451" s="18" t="s">
        <v>324</v>
      </c>
      <c r="B1451" s="19" t="str">
        <f>A1448</f>
        <v>SUMINISTRO E INSTALACIÓN DE MACROMEDIDOR ULTRASONIDO D12"</v>
      </c>
      <c r="C1451" s="20" t="s">
        <v>382</v>
      </c>
      <c r="D1451" s="21" t="s">
        <v>424</v>
      </c>
      <c r="E1451" s="22" t="s">
        <v>125</v>
      </c>
      <c r="F1451" s="26">
        <f>(H1451+J1451+L1451+N1451)*$O$2</f>
        <v>21810345.6841725</v>
      </c>
      <c r="G1451" s="22" t="s">
        <v>285</v>
      </c>
      <c r="H1451" s="26">
        <f>M1470</f>
        <v>28916.951325000002</v>
      </c>
      <c r="I1451" s="22" t="s">
        <v>383</v>
      </c>
      <c r="J1451" s="36">
        <f>M1461</f>
        <v>16169933.01</v>
      </c>
      <c r="K1451" s="22" t="s">
        <v>287</v>
      </c>
      <c r="L1451" s="26">
        <f>M1479</f>
        <v>0</v>
      </c>
      <c r="M1451" s="22" t="s">
        <v>288</v>
      </c>
      <c r="N1451" s="26">
        <f>M1488</f>
        <v>578339.02650000004</v>
      </c>
    </row>
    <row r="1452" spans="1:15" ht="12.75" customHeight="1" x14ac:dyDescent="0.25">
      <c r="A1452" s="27"/>
      <c r="B1452" s="27"/>
      <c r="C1452" s="27"/>
      <c r="D1452" s="27"/>
      <c r="E1452" s="27"/>
      <c r="F1452" s="27"/>
      <c r="G1452" s="27"/>
      <c r="J1452" s="27"/>
      <c r="K1452" s="27"/>
      <c r="L1452" s="27"/>
      <c r="M1452" s="27"/>
      <c r="N1452" s="27"/>
    </row>
    <row r="1453" spans="1:15" ht="12.75" customHeight="1" x14ac:dyDescent="0.2">
      <c r="A1453" s="1065" t="s">
        <v>384</v>
      </c>
      <c r="B1453" s="1057"/>
      <c r="C1453" s="1057"/>
      <c r="D1453" s="1057"/>
      <c r="E1453" s="1057"/>
      <c r="F1453" s="1057"/>
      <c r="G1453" s="1057"/>
      <c r="H1453" s="1057"/>
      <c r="I1453" s="1057"/>
      <c r="J1453" s="1057"/>
      <c r="K1453" s="1057"/>
      <c r="L1453" s="1057"/>
      <c r="M1453" s="1057"/>
      <c r="N1453" s="1058"/>
    </row>
    <row r="1454" spans="1:15" ht="12.75" customHeight="1" x14ac:dyDescent="0.2">
      <c r="A1454" s="1066" t="s">
        <v>38</v>
      </c>
      <c r="B1454" s="1057"/>
      <c r="C1454" s="1057"/>
      <c r="D1454" s="1057"/>
      <c r="E1454" s="1057"/>
      <c r="F1454" s="1057"/>
      <c r="G1454" s="1058"/>
      <c r="H1454" s="28" t="s">
        <v>39</v>
      </c>
      <c r="I1454" s="1062" t="s">
        <v>385</v>
      </c>
      <c r="J1454" s="1058"/>
      <c r="K1454" s="1062" t="s">
        <v>132</v>
      </c>
      <c r="L1454" s="1058"/>
      <c r="M1454" s="1062" t="s">
        <v>386</v>
      </c>
      <c r="N1454" s="1058"/>
    </row>
    <row r="1455" spans="1:15" ht="12.75" customHeight="1" x14ac:dyDescent="0.2">
      <c r="A1455" s="1061" t="s">
        <v>1589</v>
      </c>
      <c r="B1455" s="1057"/>
      <c r="C1455" s="1057"/>
      <c r="D1455" s="1057"/>
      <c r="E1455" s="1057"/>
      <c r="F1455" s="1057"/>
      <c r="G1455" s="1058"/>
      <c r="H1455" s="9" t="str">
        <f t="shared" ref="H1455:H1460" si="95">IF(A1455="","",VLOOKUP(A1455,AA_Materiales,7,FALSE))</f>
        <v>Unidad</v>
      </c>
      <c r="I1455" s="1059">
        <f t="shared" ref="I1455:I1460" si="96">IF(A1455="","",VLOOKUP(A1455,AA_Materiales,8,FALSE))</f>
        <v>16169933.01</v>
      </c>
      <c r="J1455" s="1058"/>
      <c r="K1455" s="1060">
        <v>1</v>
      </c>
      <c r="L1455" s="1058"/>
      <c r="M1455" s="1059">
        <f t="shared" ref="M1455:M1460" si="97">IF(A1455="","",I1455*K1455)</f>
        <v>16169933.01</v>
      </c>
      <c r="N1455" s="1058"/>
    </row>
    <row r="1456" spans="1:15" ht="12.75" customHeight="1" x14ac:dyDescent="0.2">
      <c r="A1456" s="1056"/>
      <c r="B1456" s="1057"/>
      <c r="C1456" s="1057"/>
      <c r="D1456" s="1057"/>
      <c r="E1456" s="1057"/>
      <c r="F1456" s="1057"/>
      <c r="G1456" s="1058"/>
      <c r="H1456" s="9" t="str">
        <f t="shared" si="95"/>
        <v/>
      </c>
      <c r="I1456" s="1059" t="str">
        <f t="shared" si="96"/>
        <v/>
      </c>
      <c r="J1456" s="1058"/>
      <c r="K1456" s="1060"/>
      <c r="L1456" s="1058"/>
      <c r="M1456" s="1059" t="str">
        <f t="shared" si="97"/>
        <v/>
      </c>
      <c r="N1456" s="1058"/>
    </row>
    <row r="1457" spans="1:14" ht="12.75" customHeight="1" x14ac:dyDescent="0.2">
      <c r="A1457" s="1056"/>
      <c r="B1457" s="1057"/>
      <c r="C1457" s="1057"/>
      <c r="D1457" s="1057"/>
      <c r="E1457" s="1057"/>
      <c r="F1457" s="1057"/>
      <c r="G1457" s="1058"/>
      <c r="H1457" s="9" t="str">
        <f t="shared" si="95"/>
        <v/>
      </c>
      <c r="I1457" s="1059" t="str">
        <f t="shared" si="96"/>
        <v/>
      </c>
      <c r="J1457" s="1058"/>
      <c r="K1457" s="1060"/>
      <c r="L1457" s="1058"/>
      <c r="M1457" s="1059" t="str">
        <f t="shared" si="97"/>
        <v/>
      </c>
      <c r="N1457" s="1058"/>
    </row>
    <row r="1458" spans="1:14" ht="12.75" customHeight="1" x14ac:dyDescent="0.2">
      <c r="A1458" s="1056"/>
      <c r="B1458" s="1057"/>
      <c r="C1458" s="1057"/>
      <c r="D1458" s="1057"/>
      <c r="E1458" s="1057"/>
      <c r="F1458" s="1057"/>
      <c r="G1458" s="1058"/>
      <c r="H1458" s="9" t="str">
        <f t="shared" si="95"/>
        <v/>
      </c>
      <c r="I1458" s="1059" t="str">
        <f t="shared" si="96"/>
        <v/>
      </c>
      <c r="J1458" s="1058"/>
      <c r="K1458" s="1060"/>
      <c r="L1458" s="1058"/>
      <c r="M1458" s="1059" t="str">
        <f t="shared" si="97"/>
        <v/>
      </c>
      <c r="N1458" s="1058"/>
    </row>
    <row r="1459" spans="1:14" ht="12.75" customHeight="1" x14ac:dyDescent="0.2">
      <c r="A1459" s="1056"/>
      <c r="B1459" s="1057"/>
      <c r="C1459" s="1057"/>
      <c r="D1459" s="1057"/>
      <c r="E1459" s="1057"/>
      <c r="F1459" s="1057"/>
      <c r="G1459" s="1058"/>
      <c r="H1459" s="9" t="str">
        <f t="shared" si="95"/>
        <v/>
      </c>
      <c r="I1459" s="1059" t="str">
        <f t="shared" si="96"/>
        <v/>
      </c>
      <c r="J1459" s="1058"/>
      <c r="K1459" s="1060"/>
      <c r="L1459" s="1058"/>
      <c r="M1459" s="1059" t="str">
        <f t="shared" si="97"/>
        <v/>
      </c>
      <c r="N1459" s="1058"/>
    </row>
    <row r="1460" spans="1:14" ht="12.75" customHeight="1" x14ac:dyDescent="0.2">
      <c r="A1460" s="1056"/>
      <c r="B1460" s="1057"/>
      <c r="C1460" s="1057"/>
      <c r="D1460" s="1057"/>
      <c r="E1460" s="1057"/>
      <c r="F1460" s="1057"/>
      <c r="G1460" s="1058"/>
      <c r="H1460" s="9" t="str">
        <f t="shared" si="95"/>
        <v/>
      </c>
      <c r="I1460" s="1059" t="str">
        <f t="shared" si="96"/>
        <v/>
      </c>
      <c r="J1460" s="1058"/>
      <c r="K1460" s="1060"/>
      <c r="L1460" s="1058"/>
      <c r="M1460" s="1059" t="str">
        <f t="shared" si="97"/>
        <v/>
      </c>
      <c r="N1460" s="1058"/>
    </row>
    <row r="1461" spans="1:14" ht="12.75" customHeight="1" x14ac:dyDescent="0.25">
      <c r="A1461" s="3"/>
      <c r="B1461" s="3"/>
      <c r="C1461" s="3"/>
      <c r="D1461" s="3"/>
      <c r="E1461" s="3"/>
      <c r="F1461" s="3"/>
      <c r="G1461" s="3"/>
      <c r="H1461" s="3"/>
      <c r="I1461" s="3"/>
      <c r="J1461" s="3"/>
      <c r="K1461" s="1066" t="s">
        <v>201</v>
      </c>
      <c r="L1461" s="1058"/>
      <c r="M1461" s="1059">
        <f>SUM(M1455:N1460)</f>
        <v>16169933.01</v>
      </c>
      <c r="N1461" s="1058"/>
    </row>
    <row r="1462" spans="1:14" ht="12.75" customHeight="1" x14ac:dyDescent="0.25">
      <c r="A1462" s="3"/>
      <c r="B1462" s="3"/>
      <c r="C1462" s="3"/>
      <c r="D1462" s="3"/>
      <c r="E1462" s="3"/>
      <c r="F1462" s="3"/>
      <c r="G1462" s="3"/>
      <c r="H1462" s="3"/>
      <c r="I1462" s="3"/>
      <c r="J1462" s="3"/>
      <c r="K1462" s="3"/>
      <c r="L1462" s="3"/>
      <c r="M1462" s="3"/>
      <c r="N1462" s="3"/>
    </row>
    <row r="1463" spans="1:14" ht="12.75" customHeight="1" x14ac:dyDescent="0.2">
      <c r="A1463" s="1065" t="s">
        <v>390</v>
      </c>
      <c r="B1463" s="1057"/>
      <c r="C1463" s="1057"/>
      <c r="D1463" s="1057"/>
      <c r="E1463" s="1057"/>
      <c r="F1463" s="1057"/>
      <c r="G1463" s="1057"/>
      <c r="H1463" s="1057"/>
      <c r="I1463" s="1057"/>
      <c r="J1463" s="1057"/>
      <c r="K1463" s="1057"/>
      <c r="L1463" s="1057"/>
      <c r="M1463" s="1057"/>
      <c r="N1463" s="1058"/>
    </row>
    <row r="1464" spans="1:14" ht="12.75" customHeight="1" x14ac:dyDescent="0.2">
      <c r="A1464" s="1066" t="s">
        <v>38</v>
      </c>
      <c r="B1464" s="1057"/>
      <c r="C1464" s="1057"/>
      <c r="D1464" s="1057"/>
      <c r="E1464" s="1057"/>
      <c r="F1464" s="1057"/>
      <c r="G1464" s="1058"/>
      <c r="H1464" s="28" t="s">
        <v>39</v>
      </c>
      <c r="I1464" s="1062" t="s">
        <v>385</v>
      </c>
      <c r="J1464" s="1058"/>
      <c r="K1464" s="1062" t="s">
        <v>132</v>
      </c>
      <c r="L1464" s="1058"/>
      <c r="M1464" s="1062" t="s">
        <v>386</v>
      </c>
      <c r="N1464" s="1058"/>
    </row>
    <row r="1465" spans="1:14" ht="12.75" customHeight="1" x14ac:dyDescent="0.2">
      <c r="A1465" s="1061" t="s">
        <v>391</v>
      </c>
      <c r="B1465" s="1057"/>
      <c r="C1465" s="1057"/>
      <c r="D1465" s="1057"/>
      <c r="E1465" s="1057"/>
      <c r="F1465" s="1057"/>
      <c r="G1465" s="1058"/>
      <c r="H1465" s="9" t="str">
        <f>IF(A1465="","",VLOOKUP(A1465,AA_Equipos,7,FALSE))</f>
        <v>% M.O.</v>
      </c>
      <c r="I1465" s="1059">
        <f>+M1488</f>
        <v>578339.02650000004</v>
      </c>
      <c r="J1465" s="1058"/>
      <c r="K1465" s="1064">
        <v>0.05</v>
      </c>
      <c r="L1465" s="1058"/>
      <c r="M1465" s="1059">
        <f>IF(A1465="","",I1465*K1465)</f>
        <v>28916.951325000002</v>
      </c>
      <c r="N1465" s="1058"/>
    </row>
    <row r="1466" spans="1:14" ht="12.75" customHeight="1" x14ac:dyDescent="0.2">
      <c r="A1466" s="1056"/>
      <c r="B1466" s="1057"/>
      <c r="C1466" s="1057"/>
      <c r="D1466" s="1057"/>
      <c r="E1466" s="1057"/>
      <c r="F1466" s="1057"/>
      <c r="G1466" s="1058"/>
      <c r="H1466" s="9" t="str">
        <f>IF(A1466="","",VLOOKUP(A1466,AA_Equipos,7,FALSE))</f>
        <v/>
      </c>
      <c r="I1466" s="1059" t="str">
        <f>IF(A1466="","",VLOOKUP(A1466,AA_Equipos,8,FALSE))</f>
        <v/>
      </c>
      <c r="J1466" s="1058"/>
      <c r="K1466" s="1067"/>
      <c r="L1466" s="1058"/>
      <c r="M1466" s="1059" t="str">
        <f>IF(A1466="","",I1466*K1466)</f>
        <v/>
      </c>
      <c r="N1466" s="1058"/>
    </row>
    <row r="1467" spans="1:14" ht="12.75" customHeight="1" x14ac:dyDescent="0.2">
      <c r="A1467" s="1061"/>
      <c r="B1467" s="1057"/>
      <c r="C1467" s="1057"/>
      <c r="D1467" s="1057"/>
      <c r="E1467" s="1057"/>
      <c r="F1467" s="1057"/>
      <c r="G1467" s="1058"/>
      <c r="H1467" s="9" t="str">
        <f>IF(A1467="","",VLOOKUP(A1467,AA_Equipos,7,FALSE))</f>
        <v/>
      </c>
      <c r="I1467" s="1059" t="str">
        <f>IF(A1467="","",VLOOKUP(A1467,AA_Equipos,8,FALSE))</f>
        <v/>
      </c>
      <c r="J1467" s="1058"/>
      <c r="K1467" s="1070"/>
      <c r="L1467" s="1058"/>
      <c r="M1467" s="1059" t="str">
        <f>IF(A1467="","",I1467*K1467)</f>
        <v/>
      </c>
      <c r="N1467" s="1058"/>
    </row>
    <row r="1468" spans="1:14" ht="12.75" customHeight="1" x14ac:dyDescent="0.2">
      <c r="A1468" s="1061"/>
      <c r="B1468" s="1057"/>
      <c r="C1468" s="1057"/>
      <c r="D1468" s="1057"/>
      <c r="E1468" s="1057"/>
      <c r="F1468" s="1057"/>
      <c r="G1468" s="1058"/>
      <c r="H1468" s="9" t="str">
        <f>IF(A1468="","",VLOOKUP(A1468,AA_Equipos,7,FALSE))</f>
        <v/>
      </c>
      <c r="I1468" s="1059" t="str">
        <f>IF(A1468="","",VLOOKUP(A1468,AA_Equipos,8,FALSE))</f>
        <v/>
      </c>
      <c r="J1468" s="1058"/>
      <c r="K1468" s="1060"/>
      <c r="L1468" s="1058"/>
      <c r="M1468" s="1059" t="str">
        <f>IF(A1468="","",I1468*K1468)</f>
        <v/>
      </c>
      <c r="N1468" s="1058"/>
    </row>
    <row r="1469" spans="1:14" ht="12.75" customHeight="1" x14ac:dyDescent="0.2">
      <c r="A1469" s="1061"/>
      <c r="B1469" s="1057"/>
      <c r="C1469" s="1057"/>
      <c r="D1469" s="1057"/>
      <c r="E1469" s="1057"/>
      <c r="F1469" s="1057"/>
      <c r="G1469" s="1058"/>
      <c r="H1469" s="9" t="str">
        <f>IF(A1469="","",VLOOKUP(A1469,AA_Equipos,7,FALSE))</f>
        <v/>
      </c>
      <c r="I1469" s="1059" t="str">
        <f>IF(A1469="","",VLOOKUP(A1469,AA_Equipos,8,FALSE))</f>
        <v/>
      </c>
      <c r="J1469" s="1058"/>
      <c r="K1469" s="1060"/>
      <c r="L1469" s="1058"/>
      <c r="M1469" s="1059" t="str">
        <f>IF(A1469="","",I1469*K1469)</f>
        <v/>
      </c>
      <c r="N1469" s="1058"/>
    </row>
    <row r="1470" spans="1:14" ht="12.75" customHeight="1" x14ac:dyDescent="0.25">
      <c r="A1470" s="3"/>
      <c r="B1470" s="3"/>
      <c r="C1470" s="3"/>
      <c r="D1470" s="3"/>
      <c r="E1470" s="3"/>
      <c r="F1470" s="3"/>
      <c r="G1470" s="3"/>
      <c r="H1470" s="3"/>
      <c r="I1470" s="3"/>
      <c r="J1470" s="3"/>
      <c r="K1470" s="1066" t="s">
        <v>201</v>
      </c>
      <c r="L1470" s="1058"/>
      <c r="M1470" s="1059">
        <f>SUM(M1465:N1469)</f>
        <v>28916.951325000002</v>
      </c>
      <c r="N1470" s="1058"/>
    </row>
    <row r="1471" spans="1:14" ht="12.75" customHeight="1" x14ac:dyDescent="0.25">
      <c r="A1471" s="3"/>
      <c r="B1471" s="3"/>
      <c r="C1471" s="3"/>
      <c r="D1471" s="3"/>
      <c r="E1471" s="3"/>
      <c r="F1471" s="3"/>
      <c r="G1471" s="3"/>
      <c r="H1471" s="3"/>
      <c r="I1471" s="3"/>
      <c r="J1471" s="3"/>
      <c r="K1471" s="3"/>
      <c r="L1471" s="3"/>
      <c r="M1471" s="3"/>
      <c r="N1471" s="3"/>
    </row>
    <row r="1472" spans="1:14" ht="12.75" customHeight="1" x14ac:dyDescent="0.2">
      <c r="A1472" s="1065" t="s">
        <v>392</v>
      </c>
      <c r="B1472" s="1057"/>
      <c r="C1472" s="1057"/>
      <c r="D1472" s="1057"/>
      <c r="E1472" s="1057"/>
      <c r="F1472" s="1057"/>
      <c r="G1472" s="1057"/>
      <c r="H1472" s="1057"/>
      <c r="I1472" s="1057"/>
      <c r="J1472" s="1057"/>
      <c r="K1472" s="1057"/>
      <c r="L1472" s="1057"/>
      <c r="M1472" s="1057"/>
      <c r="N1472" s="1058"/>
    </row>
    <row r="1473" spans="1:14" ht="12.75" customHeight="1" x14ac:dyDescent="0.2">
      <c r="A1473" s="1066" t="s">
        <v>38</v>
      </c>
      <c r="B1473" s="1057"/>
      <c r="C1473" s="1057"/>
      <c r="D1473" s="1057"/>
      <c r="E1473" s="1057"/>
      <c r="F1473" s="1057"/>
      <c r="G1473" s="1058"/>
      <c r="H1473" s="28" t="s">
        <v>39</v>
      </c>
      <c r="I1473" s="1062" t="s">
        <v>385</v>
      </c>
      <c r="J1473" s="1058"/>
      <c r="K1473" s="1062" t="s">
        <v>132</v>
      </c>
      <c r="L1473" s="1058"/>
      <c r="M1473" s="1062" t="s">
        <v>386</v>
      </c>
      <c r="N1473" s="1058"/>
    </row>
    <row r="1474" spans="1:14" ht="12.75" customHeight="1" x14ac:dyDescent="0.2">
      <c r="A1474" s="1061"/>
      <c r="B1474" s="1057"/>
      <c r="C1474" s="1057"/>
      <c r="D1474" s="1057"/>
      <c r="E1474" s="1057"/>
      <c r="F1474" s="1057"/>
      <c r="G1474" s="1058"/>
      <c r="H1474" s="9"/>
      <c r="I1474" s="1059"/>
      <c r="J1474" s="1058"/>
      <c r="K1474" s="1064"/>
      <c r="L1474" s="1058"/>
      <c r="M1474" s="1059" t="str">
        <f>IF(A1474="","",I1474*K1474)</f>
        <v/>
      </c>
      <c r="N1474" s="1058"/>
    </row>
    <row r="1475" spans="1:14" ht="12.75" customHeight="1" x14ac:dyDescent="0.2">
      <c r="A1475" s="1056"/>
      <c r="B1475" s="1057"/>
      <c r="C1475" s="1057"/>
      <c r="D1475" s="1057"/>
      <c r="E1475" s="1057"/>
      <c r="F1475" s="1057"/>
      <c r="G1475" s="1058"/>
      <c r="H1475" s="9"/>
      <c r="I1475" s="1059"/>
      <c r="J1475" s="1058"/>
      <c r="K1475" s="1064"/>
      <c r="L1475" s="1058"/>
      <c r="M1475" s="1059" t="str">
        <f>IF(A1475="","",I1475*K1475)</f>
        <v/>
      </c>
      <c r="N1475" s="1058"/>
    </row>
    <row r="1476" spans="1:14" ht="12.75" customHeight="1" x14ac:dyDescent="0.2">
      <c r="A1476" s="1061"/>
      <c r="B1476" s="1057"/>
      <c r="C1476" s="1057"/>
      <c r="D1476" s="1057"/>
      <c r="E1476" s="1057"/>
      <c r="F1476" s="1057"/>
      <c r="G1476" s="1058"/>
      <c r="H1476" s="9"/>
      <c r="I1476" s="1059"/>
      <c r="J1476" s="1058"/>
      <c r="K1476" s="1060"/>
      <c r="L1476" s="1058"/>
      <c r="M1476" s="1059" t="str">
        <f>IF(A1476="","",I1476*K1476)</f>
        <v/>
      </c>
      <c r="N1476" s="1058"/>
    </row>
    <row r="1477" spans="1:14" ht="12.75" customHeight="1" x14ac:dyDescent="0.2">
      <c r="A1477" s="1061"/>
      <c r="B1477" s="1057"/>
      <c r="C1477" s="1057"/>
      <c r="D1477" s="1057"/>
      <c r="E1477" s="1057"/>
      <c r="F1477" s="1057"/>
      <c r="G1477" s="1058"/>
      <c r="H1477" s="9"/>
      <c r="I1477" s="1059"/>
      <c r="J1477" s="1058"/>
      <c r="K1477" s="1060"/>
      <c r="L1477" s="1058"/>
      <c r="M1477" s="1059" t="str">
        <f>IF(A1477="","",I1477*K1477)</f>
        <v/>
      </c>
      <c r="N1477" s="1058"/>
    </row>
    <row r="1478" spans="1:14" ht="12.75" customHeight="1" x14ac:dyDescent="0.2">
      <c r="A1478" s="1061"/>
      <c r="B1478" s="1057"/>
      <c r="C1478" s="1057"/>
      <c r="D1478" s="1057"/>
      <c r="E1478" s="1057"/>
      <c r="F1478" s="1057"/>
      <c r="G1478" s="1058"/>
      <c r="H1478" s="9"/>
      <c r="I1478" s="1059"/>
      <c r="J1478" s="1058"/>
      <c r="K1478" s="1060"/>
      <c r="L1478" s="1058"/>
      <c r="M1478" s="1059" t="str">
        <f>IF(A1478="","",I1478*K1478)</f>
        <v/>
      </c>
      <c r="N1478" s="1058"/>
    </row>
    <row r="1479" spans="1:14" ht="12.75" customHeight="1" x14ac:dyDescent="0.25">
      <c r="A1479" s="3"/>
      <c r="B1479" s="3"/>
      <c r="C1479" s="3"/>
      <c r="D1479" s="3"/>
      <c r="E1479" s="3"/>
      <c r="F1479" s="3"/>
      <c r="G1479" s="3"/>
      <c r="H1479" s="3"/>
      <c r="I1479" s="3"/>
      <c r="J1479" s="3"/>
      <c r="K1479" s="1066" t="s">
        <v>201</v>
      </c>
      <c r="L1479" s="1058"/>
      <c r="M1479" s="1059">
        <f>SUM(M1474:N1478)</f>
        <v>0</v>
      </c>
      <c r="N1479" s="1058"/>
    </row>
    <row r="1480" spans="1:14" ht="12.75" customHeight="1" x14ac:dyDescent="0.25">
      <c r="A1480" s="3"/>
      <c r="B1480" s="3"/>
      <c r="C1480" s="3"/>
      <c r="D1480" s="3"/>
      <c r="E1480" s="3"/>
      <c r="F1480" s="3"/>
      <c r="G1480" s="3"/>
      <c r="H1480" s="3"/>
      <c r="I1480" s="3"/>
      <c r="J1480" s="3"/>
      <c r="K1480" s="3"/>
      <c r="L1480" s="3"/>
      <c r="M1480" s="3"/>
      <c r="N1480" s="3"/>
    </row>
    <row r="1481" spans="1:14" ht="12.75" customHeight="1" x14ac:dyDescent="0.2">
      <c r="A1481" s="1065" t="s">
        <v>394</v>
      </c>
      <c r="B1481" s="1057"/>
      <c r="C1481" s="1057"/>
      <c r="D1481" s="1057"/>
      <c r="E1481" s="1057"/>
      <c r="F1481" s="1057"/>
      <c r="G1481" s="1057"/>
      <c r="H1481" s="1057"/>
      <c r="I1481" s="1057"/>
      <c r="J1481" s="1057"/>
      <c r="K1481" s="1057"/>
      <c r="L1481" s="1057"/>
      <c r="M1481" s="1057"/>
      <c r="N1481" s="1058"/>
    </row>
    <row r="1482" spans="1:14" ht="12.75" customHeight="1" x14ac:dyDescent="0.2">
      <c r="A1482" s="1066" t="s">
        <v>38</v>
      </c>
      <c r="B1482" s="1057"/>
      <c r="C1482" s="1057"/>
      <c r="D1482" s="1057"/>
      <c r="E1482" s="1057"/>
      <c r="F1482" s="1057"/>
      <c r="G1482" s="1058"/>
      <c r="H1482" s="28" t="s">
        <v>39</v>
      </c>
      <c r="I1482" s="1062" t="s">
        <v>385</v>
      </c>
      <c r="J1482" s="1058"/>
      <c r="K1482" s="30" t="s">
        <v>193</v>
      </c>
      <c r="L1482" s="31" t="s">
        <v>395</v>
      </c>
      <c r="M1482" s="1062" t="s">
        <v>386</v>
      </c>
      <c r="N1482" s="1058"/>
    </row>
    <row r="1483" spans="1:14" ht="12.75" customHeight="1" x14ac:dyDescent="0.25">
      <c r="A1483" s="1063" t="s">
        <v>423</v>
      </c>
      <c r="B1483" s="1057"/>
      <c r="C1483" s="1057"/>
      <c r="D1483" s="1057"/>
      <c r="E1483" s="1057"/>
      <c r="F1483" s="1057"/>
      <c r="G1483" s="1058"/>
      <c r="H1483" s="9" t="str">
        <f>IF(A1483="","",VLOOKUP(A1483,AA_Cuadrillas,4,FALSE))</f>
        <v>Cuadrilla</v>
      </c>
      <c r="I1483" s="1059">
        <f>IF(A1483="","",VLOOKUP(A1483,AA_Cuadrillas,5,FALSE))</f>
        <v>134236</v>
      </c>
      <c r="J1483" s="1058"/>
      <c r="K1483" s="1">
        <f>IF(A1483="","",'06'!$J$3)</f>
        <v>1.7233500000000002</v>
      </c>
      <c r="L1483" s="37">
        <v>2.5</v>
      </c>
      <c r="M1483" s="1059">
        <f>IF(A1483="","",I1483*K1483*L1483)</f>
        <v>578339.02650000004</v>
      </c>
      <c r="N1483" s="1058"/>
    </row>
    <row r="1484" spans="1:14" ht="12.75" customHeight="1" x14ac:dyDescent="0.25">
      <c r="A1484" s="1063"/>
      <c r="B1484" s="1057"/>
      <c r="C1484" s="1057"/>
      <c r="D1484" s="1057"/>
      <c r="E1484" s="1057"/>
      <c r="F1484" s="1057"/>
      <c r="G1484" s="1058"/>
      <c r="H1484" s="9" t="str">
        <f>IF(A1484="","",VLOOKUP(A1484,AA_Cuadrillas,4,FALSE))</f>
        <v/>
      </c>
      <c r="I1484" s="1059" t="str">
        <f>IF(A1484="","",VLOOKUP(A1484,AA_Cuadrillas,5,FALSE))</f>
        <v/>
      </c>
      <c r="J1484" s="1058"/>
      <c r="K1484" s="1" t="str">
        <f>IF(A1484="","",'06'!$J$3)</f>
        <v/>
      </c>
      <c r="L1484" s="1"/>
      <c r="M1484" s="1059" t="str">
        <f>IF(A1484="","",I1484*K1484*L1484)</f>
        <v/>
      </c>
      <c r="N1484" s="1058"/>
    </row>
    <row r="1485" spans="1:14" ht="12.75" customHeight="1" x14ac:dyDescent="0.25">
      <c r="A1485" s="1063"/>
      <c r="B1485" s="1057"/>
      <c r="C1485" s="1057"/>
      <c r="D1485" s="1057"/>
      <c r="E1485" s="1057"/>
      <c r="F1485" s="1057"/>
      <c r="G1485" s="1058"/>
      <c r="H1485" s="9" t="str">
        <f>IF(A1485="","",VLOOKUP(A1485,AA_Cuadrillas,4,FALSE))</f>
        <v/>
      </c>
      <c r="I1485" s="1059" t="str">
        <f>IF(A1485="","",VLOOKUP(A1485,AA_Cuadrillas,5,FALSE))</f>
        <v/>
      </c>
      <c r="J1485" s="1058"/>
      <c r="K1485" s="1" t="str">
        <f>IF(A1485="","",'06'!$J$3)</f>
        <v/>
      </c>
      <c r="L1485" s="10"/>
      <c r="M1485" s="1059" t="str">
        <f>IF(A1485="","",I1485*K1485*L1485)</f>
        <v/>
      </c>
      <c r="N1485" s="1058"/>
    </row>
    <row r="1486" spans="1:14" ht="12.75" customHeight="1" x14ac:dyDescent="0.25">
      <c r="A1486" s="1063"/>
      <c r="B1486" s="1057"/>
      <c r="C1486" s="1057"/>
      <c r="D1486" s="1057"/>
      <c r="E1486" s="1057"/>
      <c r="F1486" s="1057"/>
      <c r="G1486" s="1058"/>
      <c r="H1486" s="9" t="str">
        <f>IF(A1486="","",VLOOKUP(A1486,AA_Cuadrillas,4,FALSE))</f>
        <v/>
      </c>
      <c r="I1486" s="1059" t="str">
        <f>IF(A1486="","",VLOOKUP(A1486,AA_Cuadrillas,5,FALSE))</f>
        <v/>
      </c>
      <c r="J1486" s="1058"/>
      <c r="K1486" s="1" t="str">
        <f>IF(A1486="","",'06'!$J$3)</f>
        <v/>
      </c>
      <c r="L1486" s="10"/>
      <c r="M1486" s="1059" t="str">
        <f>IF(A1486="","",I1486*K1486*L1486)</f>
        <v/>
      </c>
      <c r="N1486" s="1058"/>
    </row>
    <row r="1487" spans="1:14" ht="12.75" customHeight="1" x14ac:dyDescent="0.25">
      <c r="A1487" s="1063"/>
      <c r="B1487" s="1057"/>
      <c r="C1487" s="1057"/>
      <c r="D1487" s="1057"/>
      <c r="E1487" s="1057"/>
      <c r="F1487" s="1057"/>
      <c r="G1487" s="1058"/>
      <c r="H1487" s="9" t="str">
        <f>IF(A1487="","",VLOOKUP(A1487,AA_Cuadrillas,4,FALSE))</f>
        <v/>
      </c>
      <c r="I1487" s="1059" t="str">
        <f>IF(A1487="","",VLOOKUP(A1487,AA_Cuadrillas,5,FALSE))</f>
        <v/>
      </c>
      <c r="J1487" s="1058"/>
      <c r="K1487" s="1" t="str">
        <f>IF(A1487="","",'06'!$J$3)</f>
        <v/>
      </c>
      <c r="L1487" s="10"/>
      <c r="M1487" s="1059" t="str">
        <f>IF(A1487="","",I1487*K1487*L1487)</f>
        <v/>
      </c>
      <c r="N1487" s="1058"/>
    </row>
    <row r="1488" spans="1:14" ht="12.75" customHeight="1" x14ac:dyDescent="0.25">
      <c r="A1488" s="3"/>
      <c r="B1488" s="3"/>
      <c r="C1488" s="3"/>
      <c r="D1488" s="3"/>
      <c r="E1488" s="3"/>
      <c r="F1488" s="3"/>
      <c r="G1488" s="3"/>
      <c r="H1488" s="3"/>
      <c r="I1488" s="3"/>
      <c r="J1488" s="3"/>
      <c r="K1488" s="1066" t="s">
        <v>201</v>
      </c>
      <c r="L1488" s="1058"/>
      <c r="M1488" s="1059">
        <f>SUM(M1483:N1487)</f>
        <v>578339.02650000004</v>
      </c>
      <c r="N1488" s="1058"/>
    </row>
    <row r="1489" spans="1:15" ht="12.75" customHeight="1" x14ac:dyDescent="0.2"/>
    <row r="1490" spans="1:15" ht="12.75" customHeight="1" x14ac:dyDescent="0.2">
      <c r="A1490" s="1072" t="s">
        <v>1700</v>
      </c>
      <c r="B1490" s="1052"/>
      <c r="C1490" s="1052"/>
      <c r="D1490" s="1052"/>
      <c r="E1490" s="1052"/>
      <c r="F1490" s="1052"/>
      <c r="G1490" s="1052"/>
      <c r="H1490" s="1052"/>
      <c r="I1490" s="1052"/>
      <c r="J1490" s="1052"/>
      <c r="K1490" s="1052"/>
      <c r="L1490" s="1052"/>
      <c r="M1490" s="1052"/>
      <c r="N1490" s="1053"/>
      <c r="O1490" s="7"/>
    </row>
    <row r="1491" spans="1:15" ht="12.75" customHeight="1" x14ac:dyDescent="0.2">
      <c r="A1491" s="1031"/>
      <c r="B1491" s="1032"/>
      <c r="C1491" s="1032"/>
      <c r="D1491" s="1032"/>
      <c r="E1491" s="1032"/>
      <c r="F1491" s="1032"/>
      <c r="G1491" s="1032"/>
      <c r="H1491" s="1032"/>
      <c r="I1491" s="1032"/>
      <c r="J1491" s="1032"/>
      <c r="K1491" s="1032"/>
      <c r="L1491" s="1032"/>
      <c r="M1491" s="1032"/>
      <c r="N1491" s="1055"/>
      <c r="O1491" s="7"/>
    </row>
    <row r="1492" spans="1:15" ht="12.75" customHeight="1" x14ac:dyDescent="0.2">
      <c r="A1492" s="16"/>
      <c r="B1492" s="16"/>
      <c r="C1492" s="16"/>
      <c r="D1492" s="16"/>
      <c r="E1492" s="16"/>
      <c r="F1492" s="16"/>
      <c r="G1492" s="16"/>
      <c r="H1492" s="16"/>
      <c r="I1492" s="16"/>
      <c r="J1492" s="16"/>
      <c r="K1492" s="16"/>
      <c r="L1492" s="16"/>
      <c r="M1492" s="16"/>
      <c r="N1492" s="16"/>
    </row>
    <row r="1493" spans="1:15" ht="12.75" customHeight="1" x14ac:dyDescent="0.3">
      <c r="A1493" s="18" t="s">
        <v>325</v>
      </c>
      <c r="B1493" s="19" t="str">
        <f>A1490</f>
        <v>SUMINISTRO E INSTALACIÓN DE MACROMEDIDOR ULTRASONIDO D8"</v>
      </c>
      <c r="C1493" s="20" t="s">
        <v>382</v>
      </c>
      <c r="D1493" s="21" t="s">
        <v>424</v>
      </c>
      <c r="E1493" s="22" t="s">
        <v>125</v>
      </c>
      <c r="F1493" s="26">
        <f>(H1493+J1493+L1493+N1493)*$O$2</f>
        <v>11467307.771172501</v>
      </c>
      <c r="G1493" s="22" t="s">
        <v>285</v>
      </c>
      <c r="H1493" s="26">
        <f>M1512</f>
        <v>28916.951325000002</v>
      </c>
      <c r="I1493" s="22" t="s">
        <v>383</v>
      </c>
      <c r="J1493" s="36">
        <f>M1503</f>
        <v>8213750</v>
      </c>
      <c r="K1493" s="22" t="s">
        <v>287</v>
      </c>
      <c r="L1493" s="26">
        <f>M1521</f>
        <v>0</v>
      </c>
      <c r="M1493" s="22" t="s">
        <v>288</v>
      </c>
      <c r="N1493" s="26">
        <f>M1530</f>
        <v>578339.02650000004</v>
      </c>
    </row>
    <row r="1494" spans="1:15" ht="12.75" customHeight="1" x14ac:dyDescent="0.25">
      <c r="A1494" s="27"/>
      <c r="B1494" s="27"/>
      <c r="C1494" s="27"/>
      <c r="D1494" s="27"/>
      <c r="E1494" s="27"/>
      <c r="F1494" s="27"/>
      <c r="G1494" s="27"/>
      <c r="J1494" s="27"/>
      <c r="K1494" s="27"/>
      <c r="L1494" s="27"/>
      <c r="M1494" s="27"/>
      <c r="N1494" s="27"/>
    </row>
    <row r="1495" spans="1:15" ht="12.75" customHeight="1" x14ac:dyDescent="0.2">
      <c r="A1495" s="1065" t="s">
        <v>384</v>
      </c>
      <c r="B1495" s="1057"/>
      <c r="C1495" s="1057"/>
      <c r="D1495" s="1057"/>
      <c r="E1495" s="1057"/>
      <c r="F1495" s="1057"/>
      <c r="G1495" s="1057"/>
      <c r="H1495" s="1057"/>
      <c r="I1495" s="1057"/>
      <c r="J1495" s="1057"/>
      <c r="K1495" s="1057"/>
      <c r="L1495" s="1057"/>
      <c r="M1495" s="1057"/>
      <c r="N1495" s="1058"/>
    </row>
    <row r="1496" spans="1:15" ht="12.75" customHeight="1" x14ac:dyDescent="0.2">
      <c r="A1496" s="1066" t="s">
        <v>38</v>
      </c>
      <c r="B1496" s="1057"/>
      <c r="C1496" s="1057"/>
      <c r="D1496" s="1057"/>
      <c r="E1496" s="1057"/>
      <c r="F1496" s="1057"/>
      <c r="G1496" s="1058"/>
      <c r="H1496" s="28" t="s">
        <v>39</v>
      </c>
      <c r="I1496" s="1062" t="s">
        <v>385</v>
      </c>
      <c r="J1496" s="1058"/>
      <c r="K1496" s="1062" t="s">
        <v>132</v>
      </c>
      <c r="L1496" s="1058"/>
      <c r="M1496" s="1062" t="s">
        <v>386</v>
      </c>
      <c r="N1496" s="1058"/>
    </row>
    <row r="1497" spans="1:15" ht="12.75" customHeight="1" x14ac:dyDescent="0.2">
      <c r="A1497" s="1061" t="s">
        <v>1605</v>
      </c>
      <c r="B1497" s="1057"/>
      <c r="C1497" s="1057"/>
      <c r="D1497" s="1057"/>
      <c r="E1497" s="1057"/>
      <c r="F1497" s="1057"/>
      <c r="G1497" s="1058"/>
      <c r="H1497" s="9" t="str">
        <f t="shared" ref="H1497:H1502" si="98">IF(A1497="","",VLOOKUP(A1497,AA_Materiales,7,FALSE))</f>
        <v>Unidad</v>
      </c>
      <c r="I1497" s="1059">
        <f t="shared" ref="I1497:I1502" si="99">IF(A1497="","",VLOOKUP(A1497,AA_Materiales,8,FALSE))</f>
        <v>8213750</v>
      </c>
      <c r="J1497" s="1058"/>
      <c r="K1497" s="1060">
        <v>1</v>
      </c>
      <c r="L1497" s="1058"/>
      <c r="M1497" s="1059">
        <f t="shared" ref="M1497:M1502" si="100">IF(A1497="","",I1497*K1497)</f>
        <v>8213750</v>
      </c>
      <c r="N1497" s="1058"/>
    </row>
    <row r="1498" spans="1:15" ht="12.75" customHeight="1" x14ac:dyDescent="0.2">
      <c r="A1498" s="1056"/>
      <c r="B1498" s="1057"/>
      <c r="C1498" s="1057"/>
      <c r="D1498" s="1057"/>
      <c r="E1498" s="1057"/>
      <c r="F1498" s="1057"/>
      <c r="G1498" s="1058"/>
      <c r="H1498" s="9" t="str">
        <f t="shared" si="98"/>
        <v/>
      </c>
      <c r="I1498" s="1059" t="str">
        <f t="shared" si="99"/>
        <v/>
      </c>
      <c r="J1498" s="1058"/>
      <c r="K1498" s="1060"/>
      <c r="L1498" s="1058"/>
      <c r="M1498" s="1059" t="str">
        <f t="shared" si="100"/>
        <v/>
      </c>
      <c r="N1498" s="1058"/>
    </row>
    <row r="1499" spans="1:15" ht="12.75" customHeight="1" x14ac:dyDescent="0.2">
      <c r="A1499" s="1056"/>
      <c r="B1499" s="1057"/>
      <c r="C1499" s="1057"/>
      <c r="D1499" s="1057"/>
      <c r="E1499" s="1057"/>
      <c r="F1499" s="1057"/>
      <c r="G1499" s="1058"/>
      <c r="H1499" s="9" t="str">
        <f t="shared" si="98"/>
        <v/>
      </c>
      <c r="I1499" s="1059" t="str">
        <f t="shared" si="99"/>
        <v/>
      </c>
      <c r="J1499" s="1058"/>
      <c r="K1499" s="1060"/>
      <c r="L1499" s="1058"/>
      <c r="M1499" s="1059" t="str">
        <f t="shared" si="100"/>
        <v/>
      </c>
      <c r="N1499" s="1058"/>
    </row>
    <row r="1500" spans="1:15" ht="12.75" customHeight="1" x14ac:dyDescent="0.2">
      <c r="A1500" s="1056"/>
      <c r="B1500" s="1057"/>
      <c r="C1500" s="1057"/>
      <c r="D1500" s="1057"/>
      <c r="E1500" s="1057"/>
      <c r="F1500" s="1057"/>
      <c r="G1500" s="1058"/>
      <c r="H1500" s="9" t="str">
        <f t="shared" si="98"/>
        <v/>
      </c>
      <c r="I1500" s="1059" t="str">
        <f t="shared" si="99"/>
        <v/>
      </c>
      <c r="J1500" s="1058"/>
      <c r="K1500" s="1060"/>
      <c r="L1500" s="1058"/>
      <c r="M1500" s="1059" t="str">
        <f t="shared" si="100"/>
        <v/>
      </c>
      <c r="N1500" s="1058"/>
    </row>
    <row r="1501" spans="1:15" ht="12.75" customHeight="1" x14ac:dyDescent="0.2">
      <c r="A1501" s="1056"/>
      <c r="B1501" s="1057"/>
      <c r="C1501" s="1057"/>
      <c r="D1501" s="1057"/>
      <c r="E1501" s="1057"/>
      <c r="F1501" s="1057"/>
      <c r="G1501" s="1058"/>
      <c r="H1501" s="9" t="str">
        <f t="shared" si="98"/>
        <v/>
      </c>
      <c r="I1501" s="1059" t="str">
        <f t="shared" si="99"/>
        <v/>
      </c>
      <c r="J1501" s="1058"/>
      <c r="K1501" s="1060"/>
      <c r="L1501" s="1058"/>
      <c r="M1501" s="1059" t="str">
        <f t="shared" si="100"/>
        <v/>
      </c>
      <c r="N1501" s="1058"/>
    </row>
    <row r="1502" spans="1:15" ht="12.75" customHeight="1" x14ac:dyDescent="0.2">
      <c r="A1502" s="1056"/>
      <c r="B1502" s="1057"/>
      <c r="C1502" s="1057"/>
      <c r="D1502" s="1057"/>
      <c r="E1502" s="1057"/>
      <c r="F1502" s="1057"/>
      <c r="G1502" s="1058"/>
      <c r="H1502" s="9" t="str">
        <f t="shared" si="98"/>
        <v/>
      </c>
      <c r="I1502" s="1059" t="str">
        <f t="shared" si="99"/>
        <v/>
      </c>
      <c r="J1502" s="1058"/>
      <c r="K1502" s="1060"/>
      <c r="L1502" s="1058"/>
      <c r="M1502" s="1059" t="str">
        <f t="shared" si="100"/>
        <v/>
      </c>
      <c r="N1502" s="1058"/>
    </row>
    <row r="1503" spans="1:15" ht="12.75" customHeight="1" x14ac:dyDescent="0.25">
      <c r="A1503" s="3"/>
      <c r="B1503" s="3"/>
      <c r="C1503" s="3"/>
      <c r="D1503" s="3"/>
      <c r="E1503" s="3"/>
      <c r="F1503" s="3"/>
      <c r="G1503" s="3"/>
      <c r="H1503" s="3"/>
      <c r="I1503" s="3"/>
      <c r="J1503" s="3"/>
      <c r="K1503" s="1066" t="s">
        <v>201</v>
      </c>
      <c r="L1503" s="1058"/>
      <c r="M1503" s="1059">
        <f>SUM(M1497:N1502)</f>
        <v>8213750</v>
      </c>
      <c r="N1503" s="1058"/>
    </row>
    <row r="1504" spans="1:15" ht="12.75" customHeight="1" x14ac:dyDescent="0.25">
      <c r="A1504" s="3"/>
      <c r="B1504" s="3"/>
      <c r="C1504" s="3"/>
      <c r="D1504" s="3"/>
      <c r="E1504" s="3"/>
      <c r="F1504" s="3"/>
      <c r="G1504" s="3"/>
      <c r="H1504" s="3"/>
      <c r="I1504" s="3"/>
      <c r="J1504" s="3"/>
      <c r="K1504" s="3"/>
      <c r="L1504" s="3"/>
      <c r="M1504" s="3"/>
      <c r="N1504" s="3"/>
    </row>
    <row r="1505" spans="1:14" ht="12.75" customHeight="1" x14ac:dyDescent="0.2">
      <c r="A1505" s="1065" t="s">
        <v>390</v>
      </c>
      <c r="B1505" s="1057"/>
      <c r="C1505" s="1057"/>
      <c r="D1505" s="1057"/>
      <c r="E1505" s="1057"/>
      <c r="F1505" s="1057"/>
      <c r="G1505" s="1057"/>
      <c r="H1505" s="1057"/>
      <c r="I1505" s="1057"/>
      <c r="J1505" s="1057"/>
      <c r="K1505" s="1057"/>
      <c r="L1505" s="1057"/>
      <c r="M1505" s="1057"/>
      <c r="N1505" s="1058"/>
    </row>
    <row r="1506" spans="1:14" ht="12.75" customHeight="1" x14ac:dyDescent="0.2">
      <c r="A1506" s="1066" t="s">
        <v>38</v>
      </c>
      <c r="B1506" s="1057"/>
      <c r="C1506" s="1057"/>
      <c r="D1506" s="1057"/>
      <c r="E1506" s="1057"/>
      <c r="F1506" s="1057"/>
      <c r="G1506" s="1058"/>
      <c r="H1506" s="28" t="s">
        <v>39</v>
      </c>
      <c r="I1506" s="1062" t="s">
        <v>385</v>
      </c>
      <c r="J1506" s="1058"/>
      <c r="K1506" s="1062" t="s">
        <v>132</v>
      </c>
      <c r="L1506" s="1058"/>
      <c r="M1506" s="1062" t="s">
        <v>386</v>
      </c>
      <c r="N1506" s="1058"/>
    </row>
    <row r="1507" spans="1:14" ht="12.75" customHeight="1" x14ac:dyDescent="0.2">
      <c r="A1507" s="1061" t="s">
        <v>391</v>
      </c>
      <c r="B1507" s="1057"/>
      <c r="C1507" s="1057"/>
      <c r="D1507" s="1057"/>
      <c r="E1507" s="1057"/>
      <c r="F1507" s="1057"/>
      <c r="G1507" s="1058"/>
      <c r="H1507" s="9" t="str">
        <f>IF(A1507="","",VLOOKUP(A1507,AA_Equipos,7,FALSE))</f>
        <v>% M.O.</v>
      </c>
      <c r="I1507" s="1059">
        <f>+M1530</f>
        <v>578339.02650000004</v>
      </c>
      <c r="J1507" s="1058"/>
      <c r="K1507" s="1064">
        <v>0.05</v>
      </c>
      <c r="L1507" s="1058"/>
      <c r="M1507" s="1059">
        <f>IF(A1507="","",I1507*K1507)</f>
        <v>28916.951325000002</v>
      </c>
      <c r="N1507" s="1058"/>
    </row>
    <row r="1508" spans="1:14" ht="12.75" customHeight="1" x14ac:dyDescent="0.2">
      <c r="A1508" s="1056"/>
      <c r="B1508" s="1057"/>
      <c r="C1508" s="1057"/>
      <c r="D1508" s="1057"/>
      <c r="E1508" s="1057"/>
      <c r="F1508" s="1057"/>
      <c r="G1508" s="1058"/>
      <c r="H1508" s="9" t="str">
        <f>IF(A1508="","",VLOOKUP(A1508,AA_Equipos,7,FALSE))</f>
        <v/>
      </c>
      <c r="I1508" s="1059" t="str">
        <f>IF(A1508="","",VLOOKUP(A1508,AA_Equipos,8,FALSE))</f>
        <v/>
      </c>
      <c r="J1508" s="1058"/>
      <c r="K1508" s="1067"/>
      <c r="L1508" s="1058"/>
      <c r="M1508" s="1059" t="str">
        <f>IF(A1508="","",I1508*K1508)</f>
        <v/>
      </c>
      <c r="N1508" s="1058"/>
    </row>
    <row r="1509" spans="1:14" ht="12.75" customHeight="1" x14ac:dyDescent="0.2">
      <c r="A1509" s="1061"/>
      <c r="B1509" s="1057"/>
      <c r="C1509" s="1057"/>
      <c r="D1509" s="1057"/>
      <c r="E1509" s="1057"/>
      <c r="F1509" s="1057"/>
      <c r="G1509" s="1058"/>
      <c r="H1509" s="9" t="str">
        <f>IF(A1509="","",VLOOKUP(A1509,AA_Equipos,7,FALSE))</f>
        <v/>
      </c>
      <c r="I1509" s="1059" t="str">
        <f>IF(A1509="","",VLOOKUP(A1509,AA_Equipos,8,FALSE))</f>
        <v/>
      </c>
      <c r="J1509" s="1058"/>
      <c r="K1509" s="1070"/>
      <c r="L1509" s="1058"/>
      <c r="M1509" s="1059" t="str">
        <f>IF(A1509="","",I1509*K1509)</f>
        <v/>
      </c>
      <c r="N1509" s="1058"/>
    </row>
    <row r="1510" spans="1:14" ht="12.75" customHeight="1" x14ac:dyDescent="0.2">
      <c r="A1510" s="1061"/>
      <c r="B1510" s="1057"/>
      <c r="C1510" s="1057"/>
      <c r="D1510" s="1057"/>
      <c r="E1510" s="1057"/>
      <c r="F1510" s="1057"/>
      <c r="G1510" s="1058"/>
      <c r="H1510" s="9" t="str">
        <f>IF(A1510="","",VLOOKUP(A1510,AA_Equipos,7,FALSE))</f>
        <v/>
      </c>
      <c r="I1510" s="1059" t="str">
        <f>IF(A1510="","",VLOOKUP(A1510,AA_Equipos,8,FALSE))</f>
        <v/>
      </c>
      <c r="J1510" s="1058"/>
      <c r="K1510" s="1060"/>
      <c r="L1510" s="1058"/>
      <c r="M1510" s="1059" t="str">
        <f>IF(A1510="","",I1510*K1510)</f>
        <v/>
      </c>
      <c r="N1510" s="1058"/>
    </row>
    <row r="1511" spans="1:14" ht="12.75" customHeight="1" x14ac:dyDescent="0.2">
      <c r="A1511" s="1061"/>
      <c r="B1511" s="1057"/>
      <c r="C1511" s="1057"/>
      <c r="D1511" s="1057"/>
      <c r="E1511" s="1057"/>
      <c r="F1511" s="1057"/>
      <c r="G1511" s="1058"/>
      <c r="H1511" s="9" t="str">
        <f>IF(A1511="","",VLOOKUP(A1511,AA_Equipos,7,FALSE))</f>
        <v/>
      </c>
      <c r="I1511" s="1059" t="str">
        <f>IF(A1511="","",VLOOKUP(A1511,AA_Equipos,8,FALSE))</f>
        <v/>
      </c>
      <c r="J1511" s="1058"/>
      <c r="K1511" s="1060"/>
      <c r="L1511" s="1058"/>
      <c r="M1511" s="1059" t="str">
        <f>IF(A1511="","",I1511*K1511)</f>
        <v/>
      </c>
      <c r="N1511" s="1058"/>
    </row>
    <row r="1512" spans="1:14" ht="12.75" customHeight="1" x14ac:dyDescent="0.25">
      <c r="A1512" s="3"/>
      <c r="B1512" s="3"/>
      <c r="C1512" s="3"/>
      <c r="D1512" s="3"/>
      <c r="E1512" s="3"/>
      <c r="F1512" s="3"/>
      <c r="G1512" s="3"/>
      <c r="H1512" s="3"/>
      <c r="I1512" s="3"/>
      <c r="J1512" s="3"/>
      <c r="K1512" s="1066" t="s">
        <v>201</v>
      </c>
      <c r="L1512" s="1058"/>
      <c r="M1512" s="1059">
        <f>SUM(M1507:N1511)</f>
        <v>28916.951325000002</v>
      </c>
      <c r="N1512" s="1058"/>
    </row>
    <row r="1513" spans="1:14" ht="12.75" customHeight="1" x14ac:dyDescent="0.25">
      <c r="A1513" s="3"/>
      <c r="B1513" s="3"/>
      <c r="C1513" s="3"/>
      <c r="D1513" s="3"/>
      <c r="E1513" s="3"/>
      <c r="F1513" s="3"/>
      <c r="G1513" s="3"/>
      <c r="H1513" s="3"/>
      <c r="I1513" s="3"/>
      <c r="J1513" s="3"/>
      <c r="K1513" s="3"/>
      <c r="L1513" s="3"/>
      <c r="M1513" s="3"/>
      <c r="N1513" s="3"/>
    </row>
    <row r="1514" spans="1:14" ht="12.75" customHeight="1" x14ac:dyDescent="0.2">
      <c r="A1514" s="1065" t="s">
        <v>392</v>
      </c>
      <c r="B1514" s="1057"/>
      <c r="C1514" s="1057"/>
      <c r="D1514" s="1057"/>
      <c r="E1514" s="1057"/>
      <c r="F1514" s="1057"/>
      <c r="G1514" s="1057"/>
      <c r="H1514" s="1057"/>
      <c r="I1514" s="1057"/>
      <c r="J1514" s="1057"/>
      <c r="K1514" s="1057"/>
      <c r="L1514" s="1057"/>
      <c r="M1514" s="1057"/>
      <c r="N1514" s="1058"/>
    </row>
    <row r="1515" spans="1:14" ht="12.75" customHeight="1" x14ac:dyDescent="0.2">
      <c r="A1515" s="1066" t="s">
        <v>38</v>
      </c>
      <c r="B1515" s="1057"/>
      <c r="C1515" s="1057"/>
      <c r="D1515" s="1057"/>
      <c r="E1515" s="1057"/>
      <c r="F1515" s="1057"/>
      <c r="G1515" s="1058"/>
      <c r="H1515" s="28" t="s">
        <v>39</v>
      </c>
      <c r="I1515" s="1062" t="s">
        <v>385</v>
      </c>
      <c r="J1515" s="1058"/>
      <c r="K1515" s="1062" t="s">
        <v>132</v>
      </c>
      <c r="L1515" s="1058"/>
      <c r="M1515" s="1062" t="s">
        <v>386</v>
      </c>
      <c r="N1515" s="1058"/>
    </row>
    <row r="1516" spans="1:14" ht="12.75" customHeight="1" x14ac:dyDescent="0.2">
      <c r="A1516" s="1061"/>
      <c r="B1516" s="1057"/>
      <c r="C1516" s="1057"/>
      <c r="D1516" s="1057"/>
      <c r="E1516" s="1057"/>
      <c r="F1516" s="1057"/>
      <c r="G1516" s="1058"/>
      <c r="H1516" s="9"/>
      <c r="I1516" s="1059"/>
      <c r="J1516" s="1058"/>
      <c r="K1516" s="1064"/>
      <c r="L1516" s="1058"/>
      <c r="M1516" s="1059" t="str">
        <f>IF(A1516="","",I1516*K1516)</f>
        <v/>
      </c>
      <c r="N1516" s="1058"/>
    </row>
    <row r="1517" spans="1:14" ht="12.75" customHeight="1" x14ac:dyDescent="0.2">
      <c r="A1517" s="1056"/>
      <c r="B1517" s="1057"/>
      <c r="C1517" s="1057"/>
      <c r="D1517" s="1057"/>
      <c r="E1517" s="1057"/>
      <c r="F1517" s="1057"/>
      <c r="G1517" s="1058"/>
      <c r="H1517" s="9"/>
      <c r="I1517" s="1059"/>
      <c r="J1517" s="1058"/>
      <c r="K1517" s="1064"/>
      <c r="L1517" s="1058"/>
      <c r="M1517" s="1059" t="str">
        <f>IF(A1517="","",I1517*K1517)</f>
        <v/>
      </c>
      <c r="N1517" s="1058"/>
    </row>
    <row r="1518" spans="1:14" ht="12.75" customHeight="1" x14ac:dyDescent="0.2">
      <c r="A1518" s="1061"/>
      <c r="B1518" s="1057"/>
      <c r="C1518" s="1057"/>
      <c r="D1518" s="1057"/>
      <c r="E1518" s="1057"/>
      <c r="F1518" s="1057"/>
      <c r="G1518" s="1058"/>
      <c r="H1518" s="9"/>
      <c r="I1518" s="1059"/>
      <c r="J1518" s="1058"/>
      <c r="K1518" s="1060"/>
      <c r="L1518" s="1058"/>
      <c r="M1518" s="1059" t="str">
        <f>IF(A1518="","",I1518*K1518)</f>
        <v/>
      </c>
      <c r="N1518" s="1058"/>
    </row>
    <row r="1519" spans="1:14" ht="12.75" customHeight="1" x14ac:dyDescent="0.2">
      <c r="A1519" s="1061"/>
      <c r="B1519" s="1057"/>
      <c r="C1519" s="1057"/>
      <c r="D1519" s="1057"/>
      <c r="E1519" s="1057"/>
      <c r="F1519" s="1057"/>
      <c r="G1519" s="1058"/>
      <c r="H1519" s="9"/>
      <c r="I1519" s="1059"/>
      <c r="J1519" s="1058"/>
      <c r="K1519" s="1060"/>
      <c r="L1519" s="1058"/>
      <c r="M1519" s="1059" t="str">
        <f>IF(A1519="","",I1519*K1519)</f>
        <v/>
      </c>
      <c r="N1519" s="1058"/>
    </row>
    <row r="1520" spans="1:14" ht="12.75" customHeight="1" x14ac:dyDescent="0.2">
      <c r="A1520" s="1061"/>
      <c r="B1520" s="1057"/>
      <c r="C1520" s="1057"/>
      <c r="D1520" s="1057"/>
      <c r="E1520" s="1057"/>
      <c r="F1520" s="1057"/>
      <c r="G1520" s="1058"/>
      <c r="H1520" s="9"/>
      <c r="I1520" s="1059"/>
      <c r="J1520" s="1058"/>
      <c r="K1520" s="1060"/>
      <c r="L1520" s="1058"/>
      <c r="M1520" s="1059" t="str">
        <f>IF(A1520="","",I1520*K1520)</f>
        <v/>
      </c>
      <c r="N1520" s="1058"/>
    </row>
    <row r="1521" spans="1:15" ht="12.75" customHeight="1" x14ac:dyDescent="0.25">
      <c r="A1521" s="3"/>
      <c r="B1521" s="3"/>
      <c r="C1521" s="3"/>
      <c r="D1521" s="3"/>
      <c r="E1521" s="3"/>
      <c r="F1521" s="3"/>
      <c r="G1521" s="3"/>
      <c r="H1521" s="3"/>
      <c r="I1521" s="3"/>
      <c r="J1521" s="3"/>
      <c r="K1521" s="1066" t="s">
        <v>201</v>
      </c>
      <c r="L1521" s="1058"/>
      <c r="M1521" s="1059">
        <f>SUM(M1516:N1520)</f>
        <v>0</v>
      </c>
      <c r="N1521" s="1058"/>
    </row>
    <row r="1522" spans="1:15" ht="12.75" customHeight="1" x14ac:dyDescent="0.25">
      <c r="A1522" s="3"/>
      <c r="B1522" s="3"/>
      <c r="C1522" s="3"/>
      <c r="D1522" s="3"/>
      <c r="E1522" s="3"/>
      <c r="F1522" s="3"/>
      <c r="G1522" s="3"/>
      <c r="H1522" s="3"/>
      <c r="I1522" s="3"/>
      <c r="J1522" s="3"/>
      <c r="K1522" s="3"/>
      <c r="L1522" s="3"/>
      <c r="M1522" s="3"/>
      <c r="N1522" s="3"/>
    </row>
    <row r="1523" spans="1:15" ht="12.75" customHeight="1" x14ac:dyDescent="0.2">
      <c r="A1523" s="1065" t="s">
        <v>394</v>
      </c>
      <c r="B1523" s="1057"/>
      <c r="C1523" s="1057"/>
      <c r="D1523" s="1057"/>
      <c r="E1523" s="1057"/>
      <c r="F1523" s="1057"/>
      <c r="G1523" s="1057"/>
      <c r="H1523" s="1057"/>
      <c r="I1523" s="1057"/>
      <c r="J1523" s="1057"/>
      <c r="K1523" s="1057"/>
      <c r="L1523" s="1057"/>
      <c r="M1523" s="1057"/>
      <c r="N1523" s="1058"/>
    </row>
    <row r="1524" spans="1:15" ht="12.75" customHeight="1" x14ac:dyDescent="0.2">
      <c r="A1524" s="1066" t="s">
        <v>38</v>
      </c>
      <c r="B1524" s="1057"/>
      <c r="C1524" s="1057"/>
      <c r="D1524" s="1057"/>
      <c r="E1524" s="1057"/>
      <c r="F1524" s="1057"/>
      <c r="G1524" s="1058"/>
      <c r="H1524" s="28" t="s">
        <v>39</v>
      </c>
      <c r="I1524" s="1062" t="s">
        <v>385</v>
      </c>
      <c r="J1524" s="1058"/>
      <c r="K1524" s="30" t="s">
        <v>193</v>
      </c>
      <c r="L1524" s="31" t="s">
        <v>395</v>
      </c>
      <c r="M1524" s="1062" t="s">
        <v>386</v>
      </c>
      <c r="N1524" s="1058"/>
    </row>
    <row r="1525" spans="1:15" ht="12.75" customHeight="1" x14ac:dyDescent="0.25">
      <c r="A1525" s="1063" t="s">
        <v>423</v>
      </c>
      <c r="B1525" s="1057"/>
      <c r="C1525" s="1057"/>
      <c r="D1525" s="1057"/>
      <c r="E1525" s="1057"/>
      <c r="F1525" s="1057"/>
      <c r="G1525" s="1058"/>
      <c r="H1525" s="9" t="str">
        <f>IF(A1525="","",VLOOKUP(A1525,AA_Cuadrillas,4,FALSE))</f>
        <v>Cuadrilla</v>
      </c>
      <c r="I1525" s="1059">
        <f>IF(A1525="","",VLOOKUP(A1525,AA_Cuadrillas,5,FALSE))</f>
        <v>134236</v>
      </c>
      <c r="J1525" s="1058"/>
      <c r="K1525" s="1">
        <f>IF(A1525="","",'06'!$J$3)</f>
        <v>1.7233500000000002</v>
      </c>
      <c r="L1525" s="37">
        <v>2.5</v>
      </c>
      <c r="M1525" s="1059">
        <f>IF(A1525="","",I1525*K1525*L1525)</f>
        <v>578339.02650000004</v>
      </c>
      <c r="N1525" s="1058"/>
    </row>
    <row r="1526" spans="1:15" ht="12.75" customHeight="1" x14ac:dyDescent="0.25">
      <c r="A1526" s="1063"/>
      <c r="B1526" s="1057"/>
      <c r="C1526" s="1057"/>
      <c r="D1526" s="1057"/>
      <c r="E1526" s="1057"/>
      <c r="F1526" s="1057"/>
      <c r="G1526" s="1058"/>
      <c r="H1526" s="9" t="str">
        <f>IF(A1526="","",VLOOKUP(A1526,AA_Cuadrillas,4,FALSE))</f>
        <v/>
      </c>
      <c r="I1526" s="1059" t="str">
        <f>IF(A1526="","",VLOOKUP(A1526,AA_Cuadrillas,5,FALSE))</f>
        <v/>
      </c>
      <c r="J1526" s="1058"/>
      <c r="K1526" s="1" t="str">
        <f>IF(A1526="","",'06'!$J$3)</f>
        <v/>
      </c>
      <c r="L1526" s="1"/>
      <c r="M1526" s="1059" t="str">
        <f>IF(A1526="","",I1526*K1526*L1526)</f>
        <v/>
      </c>
      <c r="N1526" s="1058"/>
    </row>
    <row r="1527" spans="1:15" ht="12.75" customHeight="1" x14ac:dyDescent="0.25">
      <c r="A1527" s="1063"/>
      <c r="B1527" s="1057"/>
      <c r="C1527" s="1057"/>
      <c r="D1527" s="1057"/>
      <c r="E1527" s="1057"/>
      <c r="F1527" s="1057"/>
      <c r="G1527" s="1058"/>
      <c r="H1527" s="9" t="str">
        <f>IF(A1527="","",VLOOKUP(A1527,AA_Cuadrillas,4,FALSE))</f>
        <v/>
      </c>
      <c r="I1527" s="1059" t="str">
        <f>IF(A1527="","",VLOOKUP(A1527,AA_Cuadrillas,5,FALSE))</f>
        <v/>
      </c>
      <c r="J1527" s="1058"/>
      <c r="K1527" s="1" t="str">
        <f>IF(A1527="","",'06'!$J$3)</f>
        <v/>
      </c>
      <c r="L1527" s="10"/>
      <c r="M1527" s="1059" t="str">
        <f>IF(A1527="","",I1527*K1527*L1527)</f>
        <v/>
      </c>
      <c r="N1527" s="1058"/>
    </row>
    <row r="1528" spans="1:15" ht="12.75" customHeight="1" x14ac:dyDescent="0.25">
      <c r="A1528" s="1063"/>
      <c r="B1528" s="1057"/>
      <c r="C1528" s="1057"/>
      <c r="D1528" s="1057"/>
      <c r="E1528" s="1057"/>
      <c r="F1528" s="1057"/>
      <c r="G1528" s="1058"/>
      <c r="H1528" s="9" t="str">
        <f>IF(A1528="","",VLOOKUP(A1528,AA_Cuadrillas,4,FALSE))</f>
        <v/>
      </c>
      <c r="I1528" s="1059" t="str">
        <f>IF(A1528="","",VLOOKUP(A1528,AA_Cuadrillas,5,FALSE))</f>
        <v/>
      </c>
      <c r="J1528" s="1058"/>
      <c r="K1528" s="1" t="str">
        <f>IF(A1528="","",'06'!$J$3)</f>
        <v/>
      </c>
      <c r="L1528" s="10"/>
      <c r="M1528" s="1059" t="str">
        <f>IF(A1528="","",I1528*K1528*L1528)</f>
        <v/>
      </c>
      <c r="N1528" s="1058"/>
    </row>
    <row r="1529" spans="1:15" ht="12.75" customHeight="1" x14ac:dyDescent="0.25">
      <c r="A1529" s="1063"/>
      <c r="B1529" s="1057"/>
      <c r="C1529" s="1057"/>
      <c r="D1529" s="1057"/>
      <c r="E1529" s="1057"/>
      <c r="F1529" s="1057"/>
      <c r="G1529" s="1058"/>
      <c r="H1529" s="9" t="str">
        <f>IF(A1529="","",VLOOKUP(A1529,AA_Cuadrillas,4,FALSE))</f>
        <v/>
      </c>
      <c r="I1529" s="1059" t="str">
        <f>IF(A1529="","",VLOOKUP(A1529,AA_Cuadrillas,5,FALSE))</f>
        <v/>
      </c>
      <c r="J1529" s="1058"/>
      <c r="K1529" s="1" t="str">
        <f>IF(A1529="","",'06'!$J$3)</f>
        <v/>
      </c>
      <c r="L1529" s="10"/>
      <c r="M1529" s="1059" t="str">
        <f>IF(A1529="","",I1529*K1529*L1529)</f>
        <v/>
      </c>
      <c r="N1529" s="1058"/>
    </row>
    <row r="1530" spans="1:15" ht="12.75" customHeight="1" x14ac:dyDescent="0.25">
      <c r="A1530" s="3"/>
      <c r="B1530" s="3"/>
      <c r="C1530" s="3"/>
      <c r="D1530" s="3"/>
      <c r="E1530" s="3"/>
      <c r="F1530" s="3"/>
      <c r="G1530" s="3"/>
      <c r="H1530" s="3"/>
      <c r="I1530" s="3"/>
      <c r="J1530" s="3"/>
      <c r="K1530" s="1066" t="s">
        <v>201</v>
      </c>
      <c r="L1530" s="1058"/>
      <c r="M1530" s="1059">
        <f>SUM(M1525:N1529)</f>
        <v>578339.02650000004</v>
      </c>
      <c r="N1530" s="1058"/>
    </row>
    <row r="1531" spans="1:15" ht="12.75" customHeight="1" x14ac:dyDescent="0.2"/>
    <row r="1532" spans="1:15" ht="12.75" customHeight="1" x14ac:dyDescent="0.2">
      <c r="A1532" s="1072" t="s">
        <v>1701</v>
      </c>
      <c r="B1532" s="1052"/>
      <c r="C1532" s="1052"/>
      <c r="D1532" s="1052"/>
      <c r="E1532" s="1052"/>
      <c r="F1532" s="1052"/>
      <c r="G1532" s="1052"/>
      <c r="H1532" s="1052"/>
      <c r="I1532" s="1052"/>
      <c r="J1532" s="1052"/>
      <c r="K1532" s="1052"/>
      <c r="L1532" s="1052"/>
      <c r="M1532" s="1052"/>
      <c r="N1532" s="1053"/>
      <c r="O1532" s="7"/>
    </row>
    <row r="1533" spans="1:15" ht="12.75" customHeight="1" x14ac:dyDescent="0.2">
      <c r="A1533" s="1031"/>
      <c r="B1533" s="1032"/>
      <c r="C1533" s="1032"/>
      <c r="D1533" s="1032"/>
      <c r="E1533" s="1032"/>
      <c r="F1533" s="1032"/>
      <c r="G1533" s="1032"/>
      <c r="H1533" s="1032"/>
      <c r="I1533" s="1032"/>
      <c r="J1533" s="1032"/>
      <c r="K1533" s="1032"/>
      <c r="L1533" s="1032"/>
      <c r="M1533" s="1032"/>
      <c r="N1533" s="1055"/>
      <c r="O1533" s="7"/>
    </row>
    <row r="1534" spans="1:15" ht="12.75" customHeight="1" x14ac:dyDescent="0.2">
      <c r="A1534" s="16"/>
      <c r="B1534" s="16"/>
      <c r="C1534" s="16"/>
      <c r="D1534" s="16"/>
      <c r="E1534" s="16"/>
      <c r="F1534" s="16"/>
      <c r="G1534" s="16"/>
      <c r="H1534" s="16"/>
      <c r="I1534" s="16"/>
      <c r="J1534" s="16"/>
      <c r="K1534" s="16"/>
      <c r="L1534" s="16"/>
      <c r="M1534" s="16"/>
      <c r="N1534" s="16"/>
    </row>
    <row r="1535" spans="1:15" ht="12.75" customHeight="1" x14ac:dyDescent="0.3">
      <c r="A1535" s="18" t="s">
        <v>326</v>
      </c>
      <c r="B1535" s="19" t="str">
        <f>A1532</f>
        <v>CONCRETO PARA PAVIMENTO RÍGIDO MR-38 HECHO EN OBRA, INCLUYE SELLADO DE JUNTAS Y ACERO DE TRANSFERENCIA Y UNIÓN</v>
      </c>
      <c r="C1535" s="20" t="s">
        <v>382</v>
      </c>
      <c r="D1535" s="127" t="s">
        <v>399</v>
      </c>
      <c r="E1535" s="22" t="s">
        <v>125</v>
      </c>
      <c r="F1535" s="26">
        <f>(H1535+J1535+L1535+N1535)*$O$2</f>
        <v>1704141.8641956165</v>
      </c>
      <c r="G1535" s="22" t="s">
        <v>285</v>
      </c>
      <c r="H1535" s="26">
        <f>M1554</f>
        <v>59862.026921199096</v>
      </c>
      <c r="I1535" s="22" t="s">
        <v>383</v>
      </c>
      <c r="J1535" s="38">
        <f>M1545</f>
        <v>1109197.464109852</v>
      </c>
      <c r="K1535" s="22" t="s">
        <v>287</v>
      </c>
      <c r="L1535" s="26">
        <f>M1563</f>
        <v>0</v>
      </c>
      <c r="M1535" s="22" t="s">
        <v>288</v>
      </c>
      <c r="N1535" s="26">
        <f>M1572</f>
        <v>141818.86604250001</v>
      </c>
    </row>
    <row r="1536" spans="1:15" ht="12.75" customHeight="1" x14ac:dyDescent="0.25">
      <c r="A1536" s="27"/>
      <c r="B1536" s="27"/>
      <c r="C1536" s="27"/>
      <c r="D1536" s="27"/>
      <c r="E1536" s="27"/>
      <c r="F1536" s="27"/>
      <c r="G1536" s="27"/>
      <c r="J1536" s="27"/>
      <c r="K1536" s="27"/>
      <c r="L1536" s="27"/>
      <c r="M1536" s="27"/>
      <c r="N1536" s="27"/>
    </row>
    <row r="1537" spans="1:14" ht="12.75" customHeight="1" x14ac:dyDescent="0.2">
      <c r="A1537" s="1065" t="s">
        <v>384</v>
      </c>
      <c r="B1537" s="1057"/>
      <c r="C1537" s="1057"/>
      <c r="D1537" s="1057"/>
      <c r="E1537" s="1057"/>
      <c r="F1537" s="1057"/>
      <c r="G1537" s="1057"/>
      <c r="H1537" s="1057"/>
      <c r="I1537" s="1057"/>
      <c r="J1537" s="1057"/>
      <c r="K1537" s="1057"/>
      <c r="L1537" s="1057"/>
      <c r="M1537" s="1057"/>
      <c r="N1537" s="1058"/>
    </row>
    <row r="1538" spans="1:14" ht="12.75" customHeight="1" x14ac:dyDescent="0.2">
      <c r="A1538" s="1066" t="s">
        <v>38</v>
      </c>
      <c r="B1538" s="1057"/>
      <c r="C1538" s="1057"/>
      <c r="D1538" s="1057"/>
      <c r="E1538" s="1057"/>
      <c r="F1538" s="1057"/>
      <c r="G1538" s="1058"/>
      <c r="H1538" s="28" t="s">
        <v>39</v>
      </c>
      <c r="I1538" s="1062" t="s">
        <v>385</v>
      </c>
      <c r="J1538" s="1058"/>
      <c r="K1538" s="1062" t="s">
        <v>132</v>
      </c>
      <c r="L1538" s="1058"/>
      <c r="M1538" s="1062" t="s">
        <v>386</v>
      </c>
      <c r="N1538" s="1058"/>
    </row>
    <row r="1539" spans="1:14" ht="12.75" customHeight="1" x14ac:dyDescent="0.2">
      <c r="A1539" s="1061" t="s">
        <v>1598</v>
      </c>
      <c r="B1539" s="1057"/>
      <c r="C1539" s="1057"/>
      <c r="D1539" s="1057"/>
      <c r="E1539" s="1057"/>
      <c r="F1539" s="1057"/>
      <c r="G1539" s="1058"/>
      <c r="H1539" s="9" t="str">
        <f t="shared" ref="H1539:H1544" si="101">IF(A1539="","",VLOOKUP(A1539,AA_Materiales,7,FALSE))</f>
        <v>m</v>
      </c>
      <c r="I1539" s="1059">
        <f t="shared" ref="I1539:I1544" si="102">IF(A1539="","",VLOOKUP(A1539,AA_Materiales,8,FALSE))</f>
        <v>136376.09005958124</v>
      </c>
      <c r="J1539" s="1058"/>
      <c r="K1539" s="1060">
        <v>1.6</v>
      </c>
      <c r="L1539" s="1058"/>
      <c r="M1539" s="1059">
        <f t="shared" ref="M1539:M1544" si="103">IF(A1539="","",I1539*K1539)</f>
        <v>218201.74409533001</v>
      </c>
      <c r="N1539" s="1058"/>
    </row>
    <row r="1540" spans="1:14" ht="12.75" customHeight="1" x14ac:dyDescent="0.2">
      <c r="A1540" s="1061" t="s">
        <v>1930</v>
      </c>
      <c r="B1540" s="1057"/>
      <c r="C1540" s="1057"/>
      <c r="D1540" s="1057"/>
      <c r="E1540" s="1057"/>
      <c r="F1540" s="1057"/>
      <c r="G1540" s="1058"/>
      <c r="H1540" s="9" t="str">
        <f t="shared" si="101"/>
        <v>m3</v>
      </c>
      <c r="I1540" s="1059">
        <f t="shared" si="102"/>
        <v>760862.06829960004</v>
      </c>
      <c r="J1540" s="1058"/>
      <c r="K1540" s="1060">
        <v>1.05</v>
      </c>
      <c r="L1540" s="1058"/>
      <c r="M1540" s="1059">
        <f t="shared" si="103"/>
        <v>798905.17171458004</v>
      </c>
      <c r="N1540" s="1058"/>
    </row>
    <row r="1541" spans="1:14" ht="12.75" customHeight="1" x14ac:dyDescent="0.2">
      <c r="A1541" s="1061" t="s">
        <v>1540</v>
      </c>
      <c r="B1541" s="1057"/>
      <c r="C1541" s="1057"/>
      <c r="D1541" s="1057"/>
      <c r="E1541" s="1057"/>
      <c r="F1541" s="1057"/>
      <c r="G1541" s="1058"/>
      <c r="H1541" s="9" t="str">
        <f t="shared" si="101"/>
        <v>Kg</v>
      </c>
      <c r="I1541" s="1059">
        <f t="shared" si="102"/>
        <v>5300</v>
      </c>
      <c r="J1541" s="1058"/>
      <c r="K1541" s="1060">
        <v>8</v>
      </c>
      <c r="L1541" s="1058"/>
      <c r="M1541" s="1059">
        <f t="shared" si="103"/>
        <v>42400</v>
      </c>
      <c r="N1541" s="1058"/>
    </row>
    <row r="1542" spans="1:14" ht="12.75" customHeight="1" x14ac:dyDescent="0.2">
      <c r="A1542" s="1061" t="s">
        <v>1599</v>
      </c>
      <c r="B1542" s="1057"/>
      <c r="C1542" s="1057"/>
      <c r="D1542" s="1057"/>
      <c r="E1542" s="1057"/>
      <c r="F1542" s="1057"/>
      <c r="G1542" s="1058"/>
      <c r="H1542" s="9" t="str">
        <f t="shared" si="101"/>
        <v>Kg</v>
      </c>
      <c r="I1542" s="1059">
        <f t="shared" si="102"/>
        <v>13545</v>
      </c>
      <c r="J1542" s="1058"/>
      <c r="K1542" s="1060">
        <v>2</v>
      </c>
      <c r="L1542" s="1058"/>
      <c r="M1542" s="1059">
        <f t="shared" si="103"/>
        <v>27090</v>
      </c>
      <c r="N1542" s="1058"/>
    </row>
    <row r="1543" spans="1:14" ht="12.75" customHeight="1" x14ac:dyDescent="0.2">
      <c r="A1543" s="1061" t="s">
        <v>1600</v>
      </c>
      <c r="B1543" s="1057"/>
      <c r="C1543" s="1057"/>
      <c r="D1543" s="1057"/>
      <c r="E1543" s="1057"/>
      <c r="F1543" s="1057"/>
      <c r="G1543" s="1058"/>
      <c r="H1543" s="9" t="str">
        <f t="shared" si="101"/>
        <v>m</v>
      </c>
      <c r="I1543" s="1059">
        <f t="shared" si="102"/>
        <v>11300.274149970919</v>
      </c>
      <c r="J1543" s="1058"/>
      <c r="K1543" s="1060">
        <v>2</v>
      </c>
      <c r="L1543" s="1058"/>
      <c r="M1543" s="1059">
        <f t="shared" si="103"/>
        <v>22600.548299941838</v>
      </c>
      <c r="N1543" s="1058"/>
    </row>
    <row r="1544" spans="1:14" ht="12.75" customHeight="1" x14ac:dyDescent="0.2">
      <c r="A1544" s="1061"/>
      <c r="B1544" s="1057"/>
      <c r="C1544" s="1057"/>
      <c r="D1544" s="1057"/>
      <c r="E1544" s="1057"/>
      <c r="F1544" s="1057"/>
      <c r="G1544" s="1058"/>
      <c r="H1544" s="9" t="str">
        <f t="shared" si="101"/>
        <v/>
      </c>
      <c r="I1544" s="1059" t="str">
        <f t="shared" si="102"/>
        <v/>
      </c>
      <c r="J1544" s="1058"/>
      <c r="K1544" s="1060"/>
      <c r="L1544" s="1058"/>
      <c r="M1544" s="1059" t="str">
        <f t="shared" si="103"/>
        <v/>
      </c>
      <c r="N1544" s="1058"/>
    </row>
    <row r="1545" spans="1:14" ht="12.75" customHeight="1" x14ac:dyDescent="0.25">
      <c r="A1545" s="3"/>
      <c r="B1545" s="3"/>
      <c r="C1545" s="3"/>
      <c r="D1545" s="3"/>
      <c r="E1545" s="3"/>
      <c r="F1545" s="3"/>
      <c r="G1545" s="3"/>
      <c r="H1545" s="3"/>
      <c r="I1545" s="3"/>
      <c r="J1545" s="3"/>
      <c r="K1545" s="1066" t="s">
        <v>201</v>
      </c>
      <c r="L1545" s="1058"/>
      <c r="M1545" s="1059">
        <f>SUM(M1539:N1544)</f>
        <v>1109197.464109852</v>
      </c>
      <c r="N1545" s="1058"/>
    </row>
    <row r="1546" spans="1:14" ht="12.75" customHeight="1" x14ac:dyDescent="0.25">
      <c r="A1546" s="3"/>
      <c r="B1546" s="3"/>
      <c r="C1546" s="3"/>
      <c r="D1546" s="3"/>
      <c r="E1546" s="3"/>
      <c r="F1546" s="3"/>
      <c r="G1546" s="3"/>
      <c r="H1546" s="3"/>
      <c r="I1546" s="3"/>
      <c r="J1546" s="3"/>
      <c r="K1546" s="3"/>
      <c r="L1546" s="3"/>
      <c r="M1546" s="3"/>
      <c r="N1546" s="3"/>
    </row>
    <row r="1547" spans="1:14" ht="12.75" customHeight="1" x14ac:dyDescent="0.2">
      <c r="A1547" s="1065" t="s">
        <v>390</v>
      </c>
      <c r="B1547" s="1057"/>
      <c r="C1547" s="1057"/>
      <c r="D1547" s="1057"/>
      <c r="E1547" s="1057"/>
      <c r="F1547" s="1057"/>
      <c r="G1547" s="1057"/>
      <c r="H1547" s="1057"/>
      <c r="I1547" s="1057"/>
      <c r="J1547" s="1057"/>
      <c r="K1547" s="1057"/>
      <c r="L1547" s="1057"/>
      <c r="M1547" s="1057"/>
      <c r="N1547" s="1058"/>
    </row>
    <row r="1548" spans="1:14" ht="12.75" customHeight="1" x14ac:dyDescent="0.2">
      <c r="A1548" s="1066" t="s">
        <v>38</v>
      </c>
      <c r="B1548" s="1057"/>
      <c r="C1548" s="1057"/>
      <c r="D1548" s="1057"/>
      <c r="E1548" s="1057"/>
      <c r="F1548" s="1057"/>
      <c r="G1548" s="1058"/>
      <c r="H1548" s="28" t="s">
        <v>39</v>
      </c>
      <c r="I1548" s="1062" t="s">
        <v>385</v>
      </c>
      <c r="J1548" s="1058"/>
      <c r="K1548" s="1062" t="s">
        <v>132</v>
      </c>
      <c r="L1548" s="1058"/>
      <c r="M1548" s="1062" t="s">
        <v>386</v>
      </c>
      <c r="N1548" s="1058"/>
    </row>
    <row r="1549" spans="1:14" ht="12.75" customHeight="1" x14ac:dyDescent="0.2">
      <c r="A1549" s="1061" t="s">
        <v>391</v>
      </c>
      <c r="B1549" s="1057"/>
      <c r="C1549" s="1057"/>
      <c r="D1549" s="1057"/>
      <c r="E1549" s="1057"/>
      <c r="F1549" s="1057"/>
      <c r="G1549" s="1058"/>
      <c r="H1549" s="9" t="str">
        <f>IF(A1549="","",VLOOKUP(A1549,AA_Equipos,7,FALSE))</f>
        <v>% M.O.</v>
      </c>
      <c r="I1549" s="1059">
        <f>+M1572</f>
        <v>141818.86604250001</v>
      </c>
      <c r="J1549" s="1058"/>
      <c r="K1549" s="1064">
        <v>0.05</v>
      </c>
      <c r="L1549" s="1058"/>
      <c r="M1549" s="1059">
        <f>IF(A1549="","",I1549*K1549)</f>
        <v>7090.9433021250006</v>
      </c>
      <c r="N1549" s="1058"/>
    </row>
    <row r="1550" spans="1:14" ht="12.75" customHeight="1" x14ac:dyDescent="0.2">
      <c r="A1550" s="1056" t="s">
        <v>1615</v>
      </c>
      <c r="B1550" s="1057"/>
      <c r="C1550" s="1057"/>
      <c r="D1550" s="1057"/>
      <c r="E1550" s="1057"/>
      <c r="F1550" s="1057"/>
      <c r="G1550" s="1058"/>
      <c r="H1550" s="9" t="str">
        <f>IF(A1550="","",VLOOKUP(A1550,AA_Equipos,7,FALSE))</f>
        <v>Hora</v>
      </c>
      <c r="I1550" s="1059">
        <f>IF(A1550="","",VLOOKUP(A1550,AA_Equipos,8,FALSE))</f>
        <v>1108.5499826768701</v>
      </c>
      <c r="J1550" s="1058"/>
      <c r="K1550" s="1067">
        <v>12</v>
      </c>
      <c r="L1550" s="1058"/>
      <c r="M1550" s="1059">
        <f>IF(A1550="","",I1550*K1550)</f>
        <v>13302.599792122441</v>
      </c>
      <c r="N1550" s="1058"/>
    </row>
    <row r="1551" spans="1:14" ht="12.75" customHeight="1" x14ac:dyDescent="0.2">
      <c r="A1551" s="1056" t="s">
        <v>1617</v>
      </c>
      <c r="B1551" s="1057"/>
      <c r="C1551" s="1057"/>
      <c r="D1551" s="1057"/>
      <c r="E1551" s="1057"/>
      <c r="F1551" s="1057"/>
      <c r="G1551" s="1058"/>
      <c r="H1551" s="9" t="str">
        <f>IF(A1551="","",VLOOKUP(A1551,AA_Equipos,7,FALSE))</f>
        <v>Hora</v>
      </c>
      <c r="I1551" s="1059">
        <f>IF(A1551="","",VLOOKUP(A1551,AA_Equipos,8,FALSE))</f>
        <v>11628</v>
      </c>
      <c r="J1551" s="1058"/>
      <c r="K1551" s="1070">
        <v>1.5</v>
      </c>
      <c r="L1551" s="1058"/>
      <c r="M1551" s="1059">
        <f>IF(A1551="","",I1551*K1551)</f>
        <v>17442</v>
      </c>
      <c r="N1551" s="1058"/>
    </row>
    <row r="1552" spans="1:14" ht="12.75" customHeight="1" x14ac:dyDescent="0.2">
      <c r="A1552" s="1056" t="s">
        <v>1607</v>
      </c>
      <c r="B1552" s="1057"/>
      <c r="C1552" s="1057"/>
      <c r="D1552" s="1057"/>
      <c r="E1552" s="1057"/>
      <c r="F1552" s="1057"/>
      <c r="G1552" s="1058"/>
      <c r="H1552" s="9" t="str">
        <f>IF(A1552="","",VLOOKUP(A1552,AA_Equipos,7,FALSE))</f>
        <v>Hora</v>
      </c>
      <c r="I1552" s="1059">
        <f>IF(A1552="","",VLOOKUP(A1552,AA_Equipos,8,FALSE))</f>
        <v>14684.3225513011</v>
      </c>
      <c r="J1552" s="1058"/>
      <c r="K1552" s="1060">
        <v>1.5</v>
      </c>
      <c r="L1552" s="1058"/>
      <c r="M1552" s="1059">
        <f>IF(A1552="","",I1552*K1552)</f>
        <v>22026.483826951651</v>
      </c>
      <c r="N1552" s="1058"/>
    </row>
    <row r="1553" spans="1:14" ht="12.75" customHeight="1" x14ac:dyDescent="0.2">
      <c r="A1553" s="1056"/>
      <c r="B1553" s="1057"/>
      <c r="C1553" s="1057"/>
      <c r="D1553" s="1057"/>
      <c r="E1553" s="1057"/>
      <c r="F1553" s="1057"/>
      <c r="G1553" s="1058"/>
      <c r="H1553" s="9" t="str">
        <f>IF(A1553="","",VLOOKUP(A1553,AA_Equipos,7,FALSE))</f>
        <v/>
      </c>
      <c r="I1553" s="1059" t="str">
        <f>IF(A1553="","",VLOOKUP(A1553,AA_Equipos,8,FALSE))</f>
        <v/>
      </c>
      <c r="J1553" s="1058"/>
      <c r="K1553" s="1060"/>
      <c r="L1553" s="1058"/>
      <c r="M1553" s="1059" t="str">
        <f>IF(A1553="","",I1553*K1553)</f>
        <v/>
      </c>
      <c r="N1553" s="1058"/>
    </row>
    <row r="1554" spans="1:14" ht="12.75" customHeight="1" x14ac:dyDescent="0.25">
      <c r="A1554" s="3"/>
      <c r="B1554" s="3"/>
      <c r="C1554" s="3"/>
      <c r="D1554" s="3"/>
      <c r="E1554" s="3"/>
      <c r="F1554" s="3"/>
      <c r="G1554" s="3"/>
      <c r="H1554" s="3"/>
      <c r="I1554" s="3"/>
      <c r="J1554" s="3"/>
      <c r="K1554" s="1066" t="s">
        <v>201</v>
      </c>
      <c r="L1554" s="1058"/>
      <c r="M1554" s="1059">
        <f>SUM(M1549:N1553)</f>
        <v>59862.026921199096</v>
      </c>
      <c r="N1554" s="1058"/>
    </row>
    <row r="1555" spans="1:14" ht="12.75" customHeight="1" x14ac:dyDescent="0.25">
      <c r="A1555" s="3"/>
      <c r="B1555" s="3"/>
      <c r="C1555" s="3"/>
      <c r="D1555" s="3"/>
      <c r="E1555" s="3"/>
      <c r="F1555" s="3"/>
      <c r="G1555" s="3"/>
      <c r="H1555" s="3"/>
      <c r="I1555" s="3"/>
      <c r="J1555" s="3"/>
      <c r="K1555" s="3"/>
      <c r="L1555" s="3"/>
      <c r="M1555" s="3"/>
      <c r="N1555" s="3"/>
    </row>
    <row r="1556" spans="1:14" ht="12.75" customHeight="1" x14ac:dyDescent="0.2">
      <c r="A1556" s="1065" t="s">
        <v>392</v>
      </c>
      <c r="B1556" s="1057"/>
      <c r="C1556" s="1057"/>
      <c r="D1556" s="1057"/>
      <c r="E1556" s="1057"/>
      <c r="F1556" s="1057"/>
      <c r="G1556" s="1057"/>
      <c r="H1556" s="1057"/>
      <c r="I1556" s="1057"/>
      <c r="J1556" s="1057"/>
      <c r="K1556" s="1057"/>
      <c r="L1556" s="1057"/>
      <c r="M1556" s="1057"/>
      <c r="N1556" s="1058"/>
    </row>
    <row r="1557" spans="1:14" ht="12.75" customHeight="1" x14ac:dyDescent="0.2">
      <c r="A1557" s="1066" t="s">
        <v>38</v>
      </c>
      <c r="B1557" s="1057"/>
      <c r="C1557" s="1057"/>
      <c r="D1557" s="1057"/>
      <c r="E1557" s="1057"/>
      <c r="F1557" s="1057"/>
      <c r="G1557" s="1058"/>
      <c r="H1557" s="28" t="s">
        <v>39</v>
      </c>
      <c r="I1557" s="1062" t="s">
        <v>385</v>
      </c>
      <c r="J1557" s="1058"/>
      <c r="K1557" s="1062" t="s">
        <v>132</v>
      </c>
      <c r="L1557" s="1058"/>
      <c r="M1557" s="1062" t="s">
        <v>386</v>
      </c>
      <c r="N1557" s="1058"/>
    </row>
    <row r="1558" spans="1:14" ht="12.75" customHeight="1" x14ac:dyDescent="0.2">
      <c r="A1558" s="1061"/>
      <c r="B1558" s="1057"/>
      <c r="C1558" s="1057"/>
      <c r="D1558" s="1057"/>
      <c r="E1558" s="1057"/>
      <c r="F1558" s="1057"/>
      <c r="G1558" s="1058"/>
      <c r="H1558" s="9"/>
      <c r="I1558" s="1059"/>
      <c r="J1558" s="1058"/>
      <c r="K1558" s="1064"/>
      <c r="L1558" s="1058"/>
      <c r="M1558" s="1059" t="str">
        <f>IF(A1558="","",I1558*K1558)</f>
        <v/>
      </c>
      <c r="N1558" s="1058"/>
    </row>
    <row r="1559" spans="1:14" ht="12.75" customHeight="1" x14ac:dyDescent="0.2">
      <c r="A1559" s="1056"/>
      <c r="B1559" s="1057"/>
      <c r="C1559" s="1057"/>
      <c r="D1559" s="1057"/>
      <c r="E1559" s="1057"/>
      <c r="F1559" s="1057"/>
      <c r="G1559" s="1058"/>
      <c r="H1559" s="9"/>
      <c r="I1559" s="1059"/>
      <c r="J1559" s="1058"/>
      <c r="K1559" s="1064"/>
      <c r="L1559" s="1058"/>
      <c r="M1559" s="1059" t="str">
        <f>IF(A1559="","",I1559*K1559)</f>
        <v/>
      </c>
      <c r="N1559" s="1058"/>
    </row>
    <row r="1560" spans="1:14" ht="12.75" customHeight="1" x14ac:dyDescent="0.2">
      <c r="A1560" s="1061"/>
      <c r="B1560" s="1057"/>
      <c r="C1560" s="1057"/>
      <c r="D1560" s="1057"/>
      <c r="E1560" s="1057"/>
      <c r="F1560" s="1057"/>
      <c r="G1560" s="1058"/>
      <c r="H1560" s="9"/>
      <c r="I1560" s="1059"/>
      <c r="J1560" s="1058"/>
      <c r="K1560" s="1060"/>
      <c r="L1560" s="1058"/>
      <c r="M1560" s="1059" t="str">
        <f>IF(A1560="","",I1560*K1560)</f>
        <v/>
      </c>
      <c r="N1560" s="1058"/>
    </row>
    <row r="1561" spans="1:14" ht="12.75" customHeight="1" x14ac:dyDescent="0.2">
      <c r="A1561" s="1061"/>
      <c r="B1561" s="1057"/>
      <c r="C1561" s="1057"/>
      <c r="D1561" s="1057"/>
      <c r="E1561" s="1057"/>
      <c r="F1561" s="1057"/>
      <c r="G1561" s="1058"/>
      <c r="H1561" s="9"/>
      <c r="I1561" s="1059"/>
      <c r="J1561" s="1058"/>
      <c r="K1561" s="1060"/>
      <c r="L1561" s="1058"/>
      <c r="M1561" s="1059" t="str">
        <f>IF(A1561="","",I1561*K1561)</f>
        <v/>
      </c>
      <c r="N1561" s="1058"/>
    </row>
    <row r="1562" spans="1:14" ht="12.75" customHeight="1" x14ac:dyDescent="0.2">
      <c r="A1562" s="1061"/>
      <c r="B1562" s="1057"/>
      <c r="C1562" s="1057"/>
      <c r="D1562" s="1057"/>
      <c r="E1562" s="1057"/>
      <c r="F1562" s="1057"/>
      <c r="G1562" s="1058"/>
      <c r="H1562" s="9"/>
      <c r="I1562" s="1059"/>
      <c r="J1562" s="1058"/>
      <c r="K1562" s="1060"/>
      <c r="L1562" s="1058"/>
      <c r="M1562" s="1059" t="str">
        <f>IF(A1562="","",I1562*K1562)</f>
        <v/>
      </c>
      <c r="N1562" s="1058"/>
    </row>
    <row r="1563" spans="1:14" ht="12.75" customHeight="1" x14ac:dyDescent="0.25">
      <c r="A1563" s="3"/>
      <c r="B1563" s="3"/>
      <c r="C1563" s="3"/>
      <c r="D1563" s="3"/>
      <c r="E1563" s="3"/>
      <c r="F1563" s="3"/>
      <c r="G1563" s="3"/>
      <c r="H1563" s="3"/>
      <c r="I1563" s="3"/>
      <c r="J1563" s="3"/>
      <c r="K1563" s="1066" t="s">
        <v>201</v>
      </c>
      <c r="L1563" s="1058"/>
      <c r="M1563" s="1059">
        <f>SUM(M1558:N1562)</f>
        <v>0</v>
      </c>
      <c r="N1563" s="1058"/>
    </row>
    <row r="1564" spans="1:14" ht="12.75" customHeight="1" x14ac:dyDescent="0.25">
      <c r="A1564" s="3"/>
      <c r="B1564" s="3"/>
      <c r="C1564" s="3"/>
      <c r="D1564" s="3"/>
      <c r="E1564" s="3"/>
      <c r="F1564" s="3"/>
      <c r="G1564" s="3"/>
      <c r="H1564" s="3"/>
      <c r="I1564" s="3"/>
      <c r="J1564" s="3"/>
      <c r="K1564" s="3"/>
      <c r="L1564" s="3"/>
      <c r="M1564" s="3"/>
      <c r="N1564" s="3"/>
    </row>
    <row r="1565" spans="1:14" ht="12.75" customHeight="1" x14ac:dyDescent="0.2">
      <c r="A1565" s="1065" t="s">
        <v>394</v>
      </c>
      <c r="B1565" s="1057"/>
      <c r="C1565" s="1057"/>
      <c r="D1565" s="1057"/>
      <c r="E1565" s="1057"/>
      <c r="F1565" s="1057"/>
      <c r="G1565" s="1057"/>
      <c r="H1565" s="1057"/>
      <c r="I1565" s="1057"/>
      <c r="J1565" s="1057"/>
      <c r="K1565" s="1057"/>
      <c r="L1565" s="1057"/>
      <c r="M1565" s="1057"/>
      <c r="N1565" s="1058"/>
    </row>
    <row r="1566" spans="1:14" ht="12.75" customHeight="1" x14ac:dyDescent="0.2">
      <c r="A1566" s="1066" t="s">
        <v>38</v>
      </c>
      <c r="B1566" s="1057"/>
      <c r="C1566" s="1057"/>
      <c r="D1566" s="1057"/>
      <c r="E1566" s="1057"/>
      <c r="F1566" s="1057"/>
      <c r="G1566" s="1058"/>
      <c r="H1566" s="28" t="s">
        <v>39</v>
      </c>
      <c r="I1566" s="1062" t="s">
        <v>385</v>
      </c>
      <c r="J1566" s="1058"/>
      <c r="K1566" s="30" t="s">
        <v>193</v>
      </c>
      <c r="L1566" s="31" t="s">
        <v>395</v>
      </c>
      <c r="M1566" s="1062" t="s">
        <v>386</v>
      </c>
      <c r="N1566" s="1058"/>
    </row>
    <row r="1567" spans="1:14" ht="12.75" customHeight="1" x14ac:dyDescent="0.25">
      <c r="A1567" s="1063" t="s">
        <v>531</v>
      </c>
      <c r="B1567" s="1057"/>
      <c r="C1567" s="1057"/>
      <c r="D1567" s="1057"/>
      <c r="E1567" s="1057"/>
      <c r="F1567" s="1057"/>
      <c r="G1567" s="1058"/>
      <c r="H1567" s="9" t="str">
        <f>IF(A1567="","",VLOOKUP(A1567,AA_Cuadrillas,4,FALSE))</f>
        <v>Cuadrilla</v>
      </c>
      <c r="I1567" s="1059">
        <f>IF(A1567="","",VLOOKUP(A1567,AA_Cuadrillas,5,FALSE))</f>
        <v>548617</v>
      </c>
      <c r="J1567" s="1058"/>
      <c r="K1567" s="1">
        <f>IF(A1567="","",'06'!$J$3)</f>
        <v>1.7233500000000002</v>
      </c>
      <c r="L1567" s="37">
        <v>0.15</v>
      </c>
      <c r="M1567" s="1059">
        <f>IF(A1567="","",I1567*K1567*L1567)</f>
        <v>141818.86604250001</v>
      </c>
      <c r="N1567" s="1058"/>
    </row>
    <row r="1568" spans="1:14" ht="12.75" customHeight="1" x14ac:dyDescent="0.25">
      <c r="A1568" s="1063"/>
      <c r="B1568" s="1057"/>
      <c r="C1568" s="1057"/>
      <c r="D1568" s="1057"/>
      <c r="E1568" s="1057"/>
      <c r="F1568" s="1057"/>
      <c r="G1568" s="1058"/>
      <c r="H1568" s="9" t="str">
        <f>IF(A1568="","",VLOOKUP(A1568,AA_Cuadrillas,4,FALSE))</f>
        <v/>
      </c>
      <c r="I1568" s="1059" t="str">
        <f>IF(A1568="","",VLOOKUP(A1568,AA_Cuadrillas,5,FALSE))</f>
        <v/>
      </c>
      <c r="J1568" s="1058"/>
      <c r="K1568" s="1" t="str">
        <f>IF(A1568="","",'06'!$J$3)</f>
        <v/>
      </c>
      <c r="L1568" s="1"/>
      <c r="M1568" s="1059" t="str">
        <f>IF(A1568="","",I1568*K1568*L1568)</f>
        <v/>
      </c>
      <c r="N1568" s="1058"/>
    </row>
    <row r="1569" spans="1:15" ht="12.75" customHeight="1" x14ac:dyDescent="0.25">
      <c r="A1569" s="1063"/>
      <c r="B1569" s="1057"/>
      <c r="C1569" s="1057"/>
      <c r="D1569" s="1057"/>
      <c r="E1569" s="1057"/>
      <c r="F1569" s="1057"/>
      <c r="G1569" s="1058"/>
      <c r="H1569" s="9" t="str">
        <f>IF(A1569="","",VLOOKUP(A1569,AA_Cuadrillas,4,FALSE))</f>
        <v/>
      </c>
      <c r="I1569" s="1059" t="str">
        <f>IF(A1569="","",VLOOKUP(A1569,AA_Cuadrillas,5,FALSE))</f>
        <v/>
      </c>
      <c r="J1569" s="1058"/>
      <c r="K1569" s="1" t="str">
        <f>IF(A1569="","",'06'!$J$3)</f>
        <v/>
      </c>
      <c r="L1569" s="10"/>
      <c r="M1569" s="1059" t="str">
        <f>IF(A1569="","",I1569*K1569*L1569)</f>
        <v/>
      </c>
      <c r="N1569" s="1058"/>
    </row>
    <row r="1570" spans="1:15" ht="12.75" customHeight="1" x14ac:dyDescent="0.25">
      <c r="A1570" s="1063"/>
      <c r="B1570" s="1057"/>
      <c r="C1570" s="1057"/>
      <c r="D1570" s="1057"/>
      <c r="E1570" s="1057"/>
      <c r="F1570" s="1057"/>
      <c r="G1570" s="1058"/>
      <c r="H1570" s="9" t="str">
        <f>IF(A1570="","",VLOOKUP(A1570,AA_Cuadrillas,4,FALSE))</f>
        <v/>
      </c>
      <c r="I1570" s="1059" t="str">
        <f>IF(A1570="","",VLOOKUP(A1570,AA_Cuadrillas,5,FALSE))</f>
        <v/>
      </c>
      <c r="J1570" s="1058"/>
      <c r="K1570" s="1" t="str">
        <f>IF(A1570="","",'06'!$J$3)</f>
        <v/>
      </c>
      <c r="L1570" s="10"/>
      <c r="M1570" s="1059" t="str">
        <f>IF(A1570="","",I1570*K1570*L1570)</f>
        <v/>
      </c>
      <c r="N1570" s="1058"/>
    </row>
    <row r="1571" spans="1:15" ht="12.75" customHeight="1" x14ac:dyDescent="0.25">
      <c r="A1571" s="1063"/>
      <c r="B1571" s="1057"/>
      <c r="C1571" s="1057"/>
      <c r="D1571" s="1057"/>
      <c r="E1571" s="1057"/>
      <c r="F1571" s="1057"/>
      <c r="G1571" s="1058"/>
      <c r="H1571" s="9" t="str">
        <f>IF(A1571="","",VLOOKUP(A1571,AA_Cuadrillas,4,FALSE))</f>
        <v/>
      </c>
      <c r="I1571" s="1059" t="str">
        <f>IF(A1571="","",VLOOKUP(A1571,AA_Cuadrillas,5,FALSE))</f>
        <v/>
      </c>
      <c r="J1571" s="1058"/>
      <c r="K1571" s="1" t="str">
        <f>IF(A1571="","",'06'!$J$3)</f>
        <v/>
      </c>
      <c r="L1571" s="10"/>
      <c r="M1571" s="1059" t="str">
        <f>IF(A1571="","",I1571*K1571*L1571)</f>
        <v/>
      </c>
      <c r="N1571" s="1058"/>
    </row>
    <row r="1572" spans="1:15" ht="12.75" customHeight="1" x14ac:dyDescent="0.25">
      <c r="A1572" s="3"/>
      <c r="B1572" s="3"/>
      <c r="C1572" s="3"/>
      <c r="D1572" s="3"/>
      <c r="E1572" s="3"/>
      <c r="F1572" s="3"/>
      <c r="G1572" s="3"/>
      <c r="H1572" s="3"/>
      <c r="I1572" s="3"/>
      <c r="J1572" s="3"/>
      <c r="K1572" s="1066" t="s">
        <v>201</v>
      </c>
      <c r="L1572" s="1058"/>
      <c r="M1572" s="1059">
        <f>SUM(M1567:N1571)</f>
        <v>141818.86604250001</v>
      </c>
      <c r="N1572" s="1058"/>
    </row>
    <row r="1573" spans="1:15" ht="12.75" customHeight="1" x14ac:dyDescent="0.2"/>
    <row r="1574" spans="1:15" ht="12.75" customHeight="1" x14ac:dyDescent="0.2">
      <c r="A1574" s="1072" t="s">
        <v>1702</v>
      </c>
      <c r="B1574" s="1052"/>
      <c r="C1574" s="1052"/>
      <c r="D1574" s="1052"/>
      <c r="E1574" s="1052"/>
      <c r="F1574" s="1052"/>
      <c r="G1574" s="1052"/>
      <c r="H1574" s="1052"/>
      <c r="I1574" s="1052"/>
      <c r="J1574" s="1052"/>
      <c r="K1574" s="1052"/>
      <c r="L1574" s="1052"/>
      <c r="M1574" s="1052"/>
      <c r="N1574" s="1053"/>
      <c r="O1574" s="7"/>
    </row>
    <row r="1575" spans="1:15" ht="12.75" customHeight="1" x14ac:dyDescent="0.2">
      <c r="A1575" s="1031"/>
      <c r="B1575" s="1032"/>
      <c r="C1575" s="1032"/>
      <c r="D1575" s="1032"/>
      <c r="E1575" s="1032"/>
      <c r="F1575" s="1032"/>
      <c r="G1575" s="1032"/>
      <c r="H1575" s="1032"/>
      <c r="I1575" s="1032"/>
      <c r="J1575" s="1032"/>
      <c r="K1575" s="1032"/>
      <c r="L1575" s="1032"/>
      <c r="M1575" s="1032"/>
      <c r="N1575" s="1055"/>
      <c r="O1575" s="7"/>
    </row>
    <row r="1576" spans="1:15" ht="12.75" customHeight="1" x14ac:dyDescent="0.2">
      <c r="A1576" s="16"/>
      <c r="B1576" s="16"/>
      <c r="C1576" s="16"/>
      <c r="D1576" s="16"/>
      <c r="E1576" s="16"/>
      <c r="F1576" s="16"/>
      <c r="G1576" s="16"/>
      <c r="H1576" s="16"/>
      <c r="I1576" s="16"/>
      <c r="J1576" s="16"/>
      <c r="K1576" s="16"/>
      <c r="L1576" s="16"/>
      <c r="M1576" s="16"/>
      <c r="N1576" s="16"/>
    </row>
    <row r="1577" spans="1:15" ht="12.75" customHeight="1" x14ac:dyDescent="0.3">
      <c r="A1577" s="18" t="s">
        <v>327</v>
      </c>
      <c r="B1577" s="19" t="str">
        <f>A1574</f>
        <v>ANDÉN CONCRETO 10CM 3000PSI</v>
      </c>
      <c r="C1577" s="20" t="s">
        <v>382</v>
      </c>
      <c r="D1577" s="127" t="s">
        <v>399</v>
      </c>
      <c r="E1577" s="22" t="s">
        <v>125</v>
      </c>
      <c r="F1577" s="26">
        <f>(H1577+J1577+L1577+N1577)*$O$2</f>
        <v>186214.95568585</v>
      </c>
      <c r="G1577" s="22" t="s">
        <v>285</v>
      </c>
      <c r="H1577" s="26">
        <f>M1598</f>
        <v>2896.7273144999999</v>
      </c>
      <c r="I1577" s="22" t="s">
        <v>383</v>
      </c>
      <c r="J1577" s="38">
        <f>M1589</f>
        <v>82411</v>
      </c>
      <c r="K1577" s="22" t="s">
        <v>287</v>
      </c>
      <c r="L1577" s="26">
        <f>M1607</f>
        <v>0</v>
      </c>
      <c r="M1577" s="22" t="s">
        <v>288</v>
      </c>
      <c r="N1577" s="26">
        <f>M1616</f>
        <v>57934.546289999998</v>
      </c>
    </row>
    <row r="1578" spans="1:15" ht="12.75" customHeight="1" x14ac:dyDescent="0.25">
      <c r="A1578" s="27"/>
      <c r="B1578" s="27"/>
      <c r="C1578" s="27"/>
      <c r="D1578" s="27"/>
      <c r="E1578" s="27"/>
      <c r="F1578" s="27"/>
      <c r="G1578" s="27"/>
      <c r="J1578" s="27"/>
      <c r="K1578" s="27"/>
      <c r="L1578" s="27"/>
      <c r="M1578" s="27"/>
      <c r="N1578" s="27"/>
    </row>
    <row r="1579" spans="1:15" ht="12.75" customHeight="1" x14ac:dyDescent="0.2">
      <c r="A1579" s="1065" t="s">
        <v>384</v>
      </c>
      <c r="B1579" s="1057"/>
      <c r="C1579" s="1057"/>
      <c r="D1579" s="1057"/>
      <c r="E1579" s="1057"/>
      <c r="F1579" s="1057"/>
      <c r="G1579" s="1057"/>
      <c r="H1579" s="1057"/>
      <c r="I1579" s="1057"/>
      <c r="J1579" s="1057"/>
      <c r="K1579" s="1057"/>
      <c r="L1579" s="1057"/>
      <c r="M1579" s="1057"/>
      <c r="N1579" s="1058"/>
    </row>
    <row r="1580" spans="1:15" ht="12.75" customHeight="1" x14ac:dyDescent="0.2">
      <c r="A1580" s="1066" t="s">
        <v>38</v>
      </c>
      <c r="B1580" s="1057"/>
      <c r="C1580" s="1057"/>
      <c r="D1580" s="1057"/>
      <c r="E1580" s="1057"/>
      <c r="F1580" s="1057"/>
      <c r="G1580" s="1058"/>
      <c r="H1580" s="28" t="s">
        <v>39</v>
      </c>
      <c r="I1580" s="1062" t="s">
        <v>385</v>
      </c>
      <c r="J1580" s="1058"/>
      <c r="K1580" s="1062" t="s">
        <v>132</v>
      </c>
      <c r="L1580" s="1058"/>
      <c r="M1580" s="1062" t="s">
        <v>386</v>
      </c>
      <c r="N1580" s="1058"/>
    </row>
    <row r="1581" spans="1:15" ht="12.75" customHeight="1" x14ac:dyDescent="0.2">
      <c r="A1581" s="1061" t="s">
        <v>408</v>
      </c>
      <c r="B1581" s="1057"/>
      <c r="C1581" s="1057"/>
      <c r="D1581" s="1057"/>
      <c r="E1581" s="1057"/>
      <c r="F1581" s="1057"/>
      <c r="G1581" s="1058"/>
      <c r="H1581" s="9" t="str">
        <f t="shared" ref="H1581:H1586" si="104">IF(A1581="","",VLOOKUP(A1581,AA_Materiales,7,FALSE))</f>
        <v>L</v>
      </c>
      <c r="I1581" s="1059">
        <f t="shared" ref="I1581:I1588" si="105">IF(A1581="","",VLOOKUP(A1581,AA_Materiales,8,FALSE))</f>
        <v>20</v>
      </c>
      <c r="J1581" s="1058"/>
      <c r="K1581" s="1060">
        <v>35</v>
      </c>
      <c r="L1581" s="1058"/>
      <c r="M1581" s="1059">
        <f t="shared" ref="M1581:M1588" si="106">IF(A1581="","",I1581*K1581)</f>
        <v>700</v>
      </c>
      <c r="N1581" s="1058"/>
    </row>
    <row r="1582" spans="1:15" ht="12.75" customHeight="1" x14ac:dyDescent="0.2">
      <c r="A1582" s="1061" t="s">
        <v>1503</v>
      </c>
      <c r="B1582" s="1057"/>
      <c r="C1582" s="1057"/>
      <c r="D1582" s="1057"/>
      <c r="E1582" s="1057"/>
      <c r="F1582" s="1057"/>
      <c r="G1582" s="1058"/>
      <c r="H1582" s="9" t="str">
        <f t="shared" si="104"/>
        <v>LB</v>
      </c>
      <c r="I1582" s="1059">
        <f t="shared" si="105"/>
        <v>5100</v>
      </c>
      <c r="J1582" s="1058"/>
      <c r="K1582" s="1060">
        <v>0.15</v>
      </c>
      <c r="L1582" s="1058"/>
      <c r="M1582" s="1059">
        <f t="shared" si="106"/>
        <v>765</v>
      </c>
      <c r="N1582" s="1058"/>
    </row>
    <row r="1583" spans="1:15" ht="12.75" customHeight="1" x14ac:dyDescent="0.2">
      <c r="A1583" s="1061" t="s">
        <v>1583</v>
      </c>
      <c r="B1583" s="1057"/>
      <c r="C1583" s="1057"/>
      <c r="D1583" s="1057"/>
      <c r="E1583" s="1057"/>
      <c r="F1583" s="1057"/>
      <c r="G1583" s="1058"/>
      <c r="H1583" s="9" t="str">
        <f t="shared" si="104"/>
        <v>ml</v>
      </c>
      <c r="I1583" s="1059">
        <f t="shared" si="105"/>
        <v>13000</v>
      </c>
      <c r="J1583" s="1058"/>
      <c r="K1583" s="1060">
        <v>0.105</v>
      </c>
      <c r="L1583" s="1058"/>
      <c r="M1583" s="1059">
        <f t="shared" si="106"/>
        <v>1365</v>
      </c>
      <c r="N1583" s="1058"/>
    </row>
    <row r="1584" spans="1:15" ht="12.75" customHeight="1" x14ac:dyDescent="0.2">
      <c r="A1584" s="1061" t="s">
        <v>1592</v>
      </c>
      <c r="B1584" s="1057"/>
      <c r="C1584" s="1057"/>
      <c r="D1584" s="1057"/>
      <c r="E1584" s="1057"/>
      <c r="F1584" s="1057"/>
      <c r="G1584" s="1058"/>
      <c r="H1584" s="9" t="str">
        <f t="shared" si="104"/>
        <v>m3</v>
      </c>
      <c r="I1584" s="1059">
        <f t="shared" si="105"/>
        <v>530540</v>
      </c>
      <c r="J1584" s="1058"/>
      <c r="K1584" s="1060">
        <v>0.15</v>
      </c>
      <c r="L1584" s="1058"/>
      <c r="M1584" s="1059">
        <f t="shared" si="106"/>
        <v>79581</v>
      </c>
      <c r="N1584" s="1058"/>
    </row>
    <row r="1585" spans="1:14" ht="12.75" customHeight="1" x14ac:dyDescent="0.2">
      <c r="A1585" s="1061"/>
      <c r="B1585" s="1057"/>
      <c r="C1585" s="1057"/>
      <c r="D1585" s="1057"/>
      <c r="E1585" s="1057"/>
      <c r="F1585" s="1057"/>
      <c r="G1585" s="1058"/>
      <c r="H1585" s="9" t="str">
        <f t="shared" si="104"/>
        <v/>
      </c>
      <c r="I1585" s="1059" t="str">
        <f t="shared" si="105"/>
        <v/>
      </c>
      <c r="J1585" s="1058"/>
      <c r="K1585" s="1060"/>
      <c r="L1585" s="1058"/>
      <c r="M1585" s="1059" t="str">
        <f t="shared" si="106"/>
        <v/>
      </c>
      <c r="N1585" s="1058"/>
    </row>
    <row r="1586" spans="1:14" ht="12.75" customHeight="1" x14ac:dyDescent="0.2">
      <c r="A1586" s="1061"/>
      <c r="B1586" s="1057"/>
      <c r="C1586" s="1057"/>
      <c r="D1586" s="1057"/>
      <c r="E1586" s="1057"/>
      <c r="F1586" s="1057"/>
      <c r="G1586" s="1058"/>
      <c r="H1586" s="9" t="str">
        <f t="shared" si="104"/>
        <v/>
      </c>
      <c r="I1586" s="1059" t="str">
        <f t="shared" si="105"/>
        <v/>
      </c>
      <c r="J1586" s="1058"/>
      <c r="K1586" s="1060"/>
      <c r="L1586" s="1058"/>
      <c r="M1586" s="1059" t="str">
        <f t="shared" si="106"/>
        <v/>
      </c>
      <c r="N1586" s="1058"/>
    </row>
    <row r="1587" spans="1:14" ht="12.75" customHeight="1" x14ac:dyDescent="0.2">
      <c r="A1587" s="1061"/>
      <c r="B1587" s="1057"/>
      <c r="C1587" s="1057"/>
      <c r="D1587" s="1057"/>
      <c r="E1587" s="1057"/>
      <c r="F1587" s="1057"/>
      <c r="G1587" s="1058"/>
      <c r="H1587" s="9"/>
      <c r="I1587" s="1059" t="str">
        <f t="shared" si="105"/>
        <v/>
      </c>
      <c r="J1587" s="1058"/>
      <c r="K1587" s="1060"/>
      <c r="L1587" s="1058"/>
      <c r="M1587" s="1059" t="str">
        <f t="shared" si="106"/>
        <v/>
      </c>
      <c r="N1587" s="1058"/>
    </row>
    <row r="1588" spans="1:14" ht="12.75" customHeight="1" x14ac:dyDescent="0.2">
      <c r="A1588" s="1061"/>
      <c r="B1588" s="1057"/>
      <c r="C1588" s="1057"/>
      <c r="D1588" s="1057"/>
      <c r="E1588" s="1057"/>
      <c r="F1588" s="1057"/>
      <c r="G1588" s="1058"/>
      <c r="H1588" s="9" t="str">
        <f>IF(A1588="","",VLOOKUP(A1588,AA_Materiales,7,FALSE))</f>
        <v/>
      </c>
      <c r="I1588" s="1059" t="str">
        <f t="shared" si="105"/>
        <v/>
      </c>
      <c r="J1588" s="1058"/>
      <c r="K1588" s="1060"/>
      <c r="L1588" s="1058"/>
      <c r="M1588" s="1059" t="str">
        <f t="shared" si="106"/>
        <v/>
      </c>
      <c r="N1588" s="1058"/>
    </row>
    <row r="1589" spans="1:14" ht="12.75" customHeight="1" x14ac:dyDescent="0.25">
      <c r="A1589" s="3"/>
      <c r="B1589" s="3"/>
      <c r="C1589" s="3"/>
      <c r="D1589" s="3"/>
      <c r="E1589" s="3"/>
      <c r="F1589" s="3"/>
      <c r="G1589" s="3"/>
      <c r="H1589" s="3"/>
      <c r="I1589" s="3"/>
      <c r="J1589" s="3"/>
      <c r="K1589" s="1066" t="s">
        <v>201</v>
      </c>
      <c r="L1589" s="1058"/>
      <c r="M1589" s="1059">
        <f>SUM(M1581:N1588)</f>
        <v>82411</v>
      </c>
      <c r="N1589" s="1058"/>
    </row>
    <row r="1590" spans="1:14" ht="12.75" customHeight="1" x14ac:dyDescent="0.25">
      <c r="A1590" s="3"/>
      <c r="B1590" s="3"/>
      <c r="C1590" s="3"/>
      <c r="D1590" s="3"/>
      <c r="E1590" s="3"/>
      <c r="F1590" s="3"/>
      <c r="G1590" s="3"/>
      <c r="H1590" s="3"/>
      <c r="I1590" s="3"/>
      <c r="J1590" s="3"/>
      <c r="K1590" s="3"/>
      <c r="L1590" s="3"/>
      <c r="M1590" s="3"/>
      <c r="N1590" s="3"/>
    </row>
    <row r="1591" spans="1:14" ht="12.75" customHeight="1" x14ac:dyDescent="0.2">
      <c r="A1591" s="1065" t="s">
        <v>390</v>
      </c>
      <c r="B1591" s="1057"/>
      <c r="C1591" s="1057"/>
      <c r="D1591" s="1057"/>
      <c r="E1591" s="1057"/>
      <c r="F1591" s="1057"/>
      <c r="G1591" s="1057"/>
      <c r="H1591" s="1057"/>
      <c r="I1591" s="1057"/>
      <c r="J1591" s="1057"/>
      <c r="K1591" s="1057"/>
      <c r="L1591" s="1057"/>
      <c r="M1591" s="1057"/>
      <c r="N1591" s="1058"/>
    </row>
    <row r="1592" spans="1:14" ht="12.75" customHeight="1" x14ac:dyDescent="0.2">
      <c r="A1592" s="1066" t="s">
        <v>38</v>
      </c>
      <c r="B1592" s="1057"/>
      <c r="C1592" s="1057"/>
      <c r="D1592" s="1057"/>
      <c r="E1592" s="1057"/>
      <c r="F1592" s="1057"/>
      <c r="G1592" s="1058"/>
      <c r="H1592" s="28" t="s">
        <v>39</v>
      </c>
      <c r="I1592" s="1062" t="s">
        <v>385</v>
      </c>
      <c r="J1592" s="1058"/>
      <c r="K1592" s="1062" t="s">
        <v>132</v>
      </c>
      <c r="L1592" s="1058"/>
      <c r="M1592" s="1062" t="s">
        <v>386</v>
      </c>
      <c r="N1592" s="1058"/>
    </row>
    <row r="1593" spans="1:14" ht="12.75" customHeight="1" x14ac:dyDescent="0.2">
      <c r="A1593" s="1061" t="s">
        <v>391</v>
      </c>
      <c r="B1593" s="1057"/>
      <c r="C1593" s="1057"/>
      <c r="D1593" s="1057"/>
      <c r="E1593" s="1057"/>
      <c r="F1593" s="1057"/>
      <c r="G1593" s="1058"/>
      <c r="H1593" s="9" t="str">
        <f>IF(A1593="","",VLOOKUP(A1593,AA_Equipos,7,FALSE))</f>
        <v>% M.O.</v>
      </c>
      <c r="I1593" s="1059">
        <f>+M1616</f>
        <v>57934.546289999998</v>
      </c>
      <c r="J1593" s="1058"/>
      <c r="K1593" s="1064">
        <v>0.05</v>
      </c>
      <c r="L1593" s="1058"/>
      <c r="M1593" s="1059">
        <f>IF(A1593="","",I1593*K1593)</f>
        <v>2896.7273144999999</v>
      </c>
      <c r="N1593" s="1058"/>
    </row>
    <row r="1594" spans="1:14" ht="12.75" customHeight="1" x14ac:dyDescent="0.2">
      <c r="A1594" s="1056"/>
      <c r="B1594" s="1057"/>
      <c r="C1594" s="1057"/>
      <c r="D1594" s="1057"/>
      <c r="E1594" s="1057"/>
      <c r="F1594" s="1057"/>
      <c r="G1594" s="1058"/>
      <c r="H1594" s="9" t="str">
        <f>IF(A1594="","",VLOOKUP(A1594,AA_Equipos,7,FALSE))</f>
        <v/>
      </c>
      <c r="I1594" s="1059" t="str">
        <f>IF(A1594="","",VLOOKUP(A1594,AA_Equipos,8,FALSE))</f>
        <v/>
      </c>
      <c r="J1594" s="1058"/>
      <c r="K1594" s="1067"/>
      <c r="L1594" s="1058"/>
      <c r="M1594" s="1059" t="str">
        <f>IF(A1594="","",I1594*K1594)</f>
        <v/>
      </c>
      <c r="N1594" s="1058"/>
    </row>
    <row r="1595" spans="1:14" ht="12.75" customHeight="1" x14ac:dyDescent="0.2">
      <c r="A1595" s="1061"/>
      <c r="B1595" s="1057"/>
      <c r="C1595" s="1057"/>
      <c r="D1595" s="1057"/>
      <c r="E1595" s="1057"/>
      <c r="F1595" s="1057"/>
      <c r="G1595" s="1058"/>
      <c r="H1595" s="9" t="str">
        <f>IF(A1595="","",VLOOKUP(A1595,AA_Equipos,7,FALSE))</f>
        <v/>
      </c>
      <c r="I1595" s="1059"/>
      <c r="J1595" s="1058"/>
      <c r="K1595" s="1064"/>
      <c r="L1595" s="1058"/>
      <c r="M1595" s="1059" t="str">
        <f>IF(A1595="","",I1595*K1595)</f>
        <v/>
      </c>
      <c r="N1595" s="1058"/>
    </row>
    <row r="1596" spans="1:14" ht="12.75" customHeight="1" x14ac:dyDescent="0.2">
      <c r="A1596" s="1061"/>
      <c r="B1596" s="1057"/>
      <c r="C1596" s="1057"/>
      <c r="D1596" s="1057"/>
      <c r="E1596" s="1057"/>
      <c r="F1596" s="1057"/>
      <c r="G1596" s="1058"/>
      <c r="H1596" s="9" t="str">
        <f>IF(A1596="","",VLOOKUP(A1596,AA_Equipos,7,FALSE))</f>
        <v/>
      </c>
      <c r="I1596" s="1059" t="str">
        <f>IF(A1596="","",VLOOKUP(A1596,AA_Equipos,8,FALSE))</f>
        <v/>
      </c>
      <c r="J1596" s="1058"/>
      <c r="K1596" s="1060"/>
      <c r="L1596" s="1058"/>
      <c r="M1596" s="1059" t="str">
        <f>IF(A1596="","",I1596*K1596)</f>
        <v/>
      </c>
      <c r="N1596" s="1058"/>
    </row>
    <row r="1597" spans="1:14" ht="12.75" customHeight="1" x14ac:dyDescent="0.2">
      <c r="A1597" s="1061"/>
      <c r="B1597" s="1057"/>
      <c r="C1597" s="1057"/>
      <c r="D1597" s="1057"/>
      <c r="E1597" s="1057"/>
      <c r="F1597" s="1057"/>
      <c r="G1597" s="1058"/>
      <c r="H1597" s="9" t="str">
        <f>IF(A1597="","",VLOOKUP(A1597,AA_Equipos,7,FALSE))</f>
        <v/>
      </c>
      <c r="I1597" s="1059" t="str">
        <f>IF(A1597="","",VLOOKUP(A1597,AA_Equipos,8,FALSE))</f>
        <v/>
      </c>
      <c r="J1597" s="1058"/>
      <c r="K1597" s="1060"/>
      <c r="L1597" s="1058"/>
      <c r="M1597" s="1059" t="str">
        <f>IF(A1597="","",I1597*K1597)</f>
        <v/>
      </c>
      <c r="N1597" s="1058"/>
    </row>
    <row r="1598" spans="1:14" ht="12.75" customHeight="1" x14ac:dyDescent="0.25">
      <c r="A1598" s="3"/>
      <c r="B1598" s="3"/>
      <c r="C1598" s="3"/>
      <c r="D1598" s="3"/>
      <c r="E1598" s="3"/>
      <c r="F1598" s="3"/>
      <c r="G1598" s="3"/>
      <c r="H1598" s="3"/>
      <c r="I1598" s="3"/>
      <c r="J1598" s="3"/>
      <c r="K1598" s="1066" t="s">
        <v>201</v>
      </c>
      <c r="L1598" s="1058"/>
      <c r="M1598" s="1059">
        <f>SUM(M1593:N1597)</f>
        <v>2896.7273144999999</v>
      </c>
      <c r="N1598" s="1058"/>
    </row>
    <row r="1599" spans="1:14" ht="12.75" customHeight="1" x14ac:dyDescent="0.25">
      <c r="A1599" s="3"/>
      <c r="B1599" s="3"/>
      <c r="C1599" s="3"/>
      <c r="D1599" s="3"/>
      <c r="E1599" s="3"/>
      <c r="F1599" s="3"/>
      <c r="G1599" s="3"/>
      <c r="H1599" s="3"/>
      <c r="I1599" s="3"/>
      <c r="J1599" s="3"/>
      <c r="K1599" s="3"/>
      <c r="L1599" s="3"/>
      <c r="M1599" s="3"/>
      <c r="N1599" s="3"/>
    </row>
    <row r="1600" spans="1:14" ht="12.75" customHeight="1" x14ac:dyDescent="0.2">
      <c r="A1600" s="1065" t="s">
        <v>392</v>
      </c>
      <c r="B1600" s="1057"/>
      <c r="C1600" s="1057"/>
      <c r="D1600" s="1057"/>
      <c r="E1600" s="1057"/>
      <c r="F1600" s="1057"/>
      <c r="G1600" s="1057"/>
      <c r="H1600" s="1057"/>
      <c r="I1600" s="1057"/>
      <c r="J1600" s="1057"/>
      <c r="K1600" s="1057"/>
      <c r="L1600" s="1057"/>
      <c r="M1600" s="1057"/>
      <c r="N1600" s="1058"/>
    </row>
    <row r="1601" spans="1:14" ht="12.75" customHeight="1" x14ac:dyDescent="0.2">
      <c r="A1601" s="1066" t="s">
        <v>38</v>
      </c>
      <c r="B1601" s="1057"/>
      <c r="C1601" s="1057"/>
      <c r="D1601" s="1057"/>
      <c r="E1601" s="1057"/>
      <c r="F1601" s="1057"/>
      <c r="G1601" s="1058"/>
      <c r="H1601" s="28" t="s">
        <v>39</v>
      </c>
      <c r="I1601" s="1062" t="s">
        <v>385</v>
      </c>
      <c r="J1601" s="1058"/>
      <c r="K1601" s="1062" t="s">
        <v>132</v>
      </c>
      <c r="L1601" s="1058"/>
      <c r="M1601" s="1062" t="s">
        <v>386</v>
      </c>
      <c r="N1601" s="1058"/>
    </row>
    <row r="1602" spans="1:14" ht="12.75" customHeight="1" x14ac:dyDescent="0.2">
      <c r="A1602" s="1061"/>
      <c r="B1602" s="1057"/>
      <c r="C1602" s="1057"/>
      <c r="D1602" s="1057"/>
      <c r="E1602" s="1057"/>
      <c r="F1602" s="1057"/>
      <c r="G1602" s="1058"/>
      <c r="H1602" s="9"/>
      <c r="I1602" s="1059"/>
      <c r="J1602" s="1058"/>
      <c r="K1602" s="1064"/>
      <c r="L1602" s="1058"/>
      <c r="M1602" s="1059" t="str">
        <f>IF(A1602="","",I1602*K1602)</f>
        <v/>
      </c>
      <c r="N1602" s="1058"/>
    </row>
    <row r="1603" spans="1:14" ht="12.75" customHeight="1" x14ac:dyDescent="0.2">
      <c r="A1603" s="1056"/>
      <c r="B1603" s="1057"/>
      <c r="C1603" s="1057"/>
      <c r="D1603" s="1057"/>
      <c r="E1603" s="1057"/>
      <c r="F1603" s="1057"/>
      <c r="G1603" s="1058"/>
      <c r="H1603" s="9"/>
      <c r="I1603" s="1059"/>
      <c r="J1603" s="1058"/>
      <c r="K1603" s="1064"/>
      <c r="L1603" s="1058"/>
      <c r="M1603" s="1059" t="str">
        <f>IF(A1603="","",I1603*K1603)</f>
        <v/>
      </c>
      <c r="N1603" s="1058"/>
    </row>
    <row r="1604" spans="1:14" ht="12.75" customHeight="1" x14ac:dyDescent="0.2">
      <c r="A1604" s="1061"/>
      <c r="B1604" s="1057"/>
      <c r="C1604" s="1057"/>
      <c r="D1604" s="1057"/>
      <c r="E1604" s="1057"/>
      <c r="F1604" s="1057"/>
      <c r="G1604" s="1058"/>
      <c r="H1604" s="9"/>
      <c r="I1604" s="1059"/>
      <c r="J1604" s="1058"/>
      <c r="K1604" s="1060"/>
      <c r="L1604" s="1058"/>
      <c r="M1604" s="1059" t="str">
        <f>IF(A1604="","",I1604*K1604)</f>
        <v/>
      </c>
      <c r="N1604" s="1058"/>
    </row>
    <row r="1605" spans="1:14" ht="12.75" customHeight="1" x14ac:dyDescent="0.2">
      <c r="A1605" s="1061"/>
      <c r="B1605" s="1057"/>
      <c r="C1605" s="1057"/>
      <c r="D1605" s="1057"/>
      <c r="E1605" s="1057"/>
      <c r="F1605" s="1057"/>
      <c r="G1605" s="1058"/>
      <c r="H1605" s="9"/>
      <c r="I1605" s="1059"/>
      <c r="J1605" s="1058"/>
      <c r="K1605" s="1060"/>
      <c r="L1605" s="1058"/>
      <c r="M1605" s="1059" t="str">
        <f>IF(A1605="","",I1605*K1605)</f>
        <v/>
      </c>
      <c r="N1605" s="1058"/>
    </row>
    <row r="1606" spans="1:14" ht="12.75" customHeight="1" x14ac:dyDescent="0.2">
      <c r="A1606" s="1061"/>
      <c r="B1606" s="1057"/>
      <c r="C1606" s="1057"/>
      <c r="D1606" s="1057"/>
      <c r="E1606" s="1057"/>
      <c r="F1606" s="1057"/>
      <c r="G1606" s="1058"/>
      <c r="H1606" s="9"/>
      <c r="I1606" s="1059"/>
      <c r="J1606" s="1058"/>
      <c r="K1606" s="1060"/>
      <c r="L1606" s="1058"/>
      <c r="M1606" s="1059" t="str">
        <f>IF(A1606="","",I1606*K1606)</f>
        <v/>
      </c>
      <c r="N1606" s="1058"/>
    </row>
    <row r="1607" spans="1:14" ht="12.75" customHeight="1" x14ac:dyDescent="0.25">
      <c r="A1607" s="3"/>
      <c r="B1607" s="3"/>
      <c r="C1607" s="3"/>
      <c r="D1607" s="3"/>
      <c r="E1607" s="3"/>
      <c r="F1607" s="3"/>
      <c r="G1607" s="3"/>
      <c r="H1607" s="3"/>
      <c r="I1607" s="3"/>
      <c r="J1607" s="3"/>
      <c r="K1607" s="1066" t="s">
        <v>201</v>
      </c>
      <c r="L1607" s="1058"/>
      <c r="M1607" s="1059">
        <f>SUM(M1602:N1606)</f>
        <v>0</v>
      </c>
      <c r="N1607" s="1058"/>
    </row>
    <row r="1608" spans="1:14" ht="12.75" customHeight="1" x14ac:dyDescent="0.25">
      <c r="A1608" s="3"/>
      <c r="B1608" s="3"/>
      <c r="C1608" s="3"/>
      <c r="D1608" s="3"/>
      <c r="E1608" s="3"/>
      <c r="F1608" s="3"/>
      <c r="G1608" s="3"/>
      <c r="H1608" s="3"/>
      <c r="I1608" s="3"/>
      <c r="J1608" s="3"/>
      <c r="K1608" s="3"/>
      <c r="L1608" s="3"/>
      <c r="M1608" s="3"/>
      <c r="N1608" s="3"/>
    </row>
    <row r="1609" spans="1:14" ht="12.75" customHeight="1" x14ac:dyDescent="0.2">
      <c r="A1609" s="1065" t="s">
        <v>394</v>
      </c>
      <c r="B1609" s="1057"/>
      <c r="C1609" s="1057"/>
      <c r="D1609" s="1057"/>
      <c r="E1609" s="1057"/>
      <c r="F1609" s="1057"/>
      <c r="G1609" s="1057"/>
      <c r="H1609" s="1057"/>
      <c r="I1609" s="1057"/>
      <c r="J1609" s="1057"/>
      <c r="K1609" s="1057"/>
      <c r="L1609" s="1057"/>
      <c r="M1609" s="1057"/>
      <c r="N1609" s="1058"/>
    </row>
    <row r="1610" spans="1:14" ht="12.75" customHeight="1" x14ac:dyDescent="0.2">
      <c r="A1610" s="1066" t="s">
        <v>38</v>
      </c>
      <c r="B1610" s="1057"/>
      <c r="C1610" s="1057"/>
      <c r="D1610" s="1057"/>
      <c r="E1610" s="1057"/>
      <c r="F1610" s="1057"/>
      <c r="G1610" s="1058"/>
      <c r="H1610" s="28" t="s">
        <v>39</v>
      </c>
      <c r="I1610" s="1062" t="s">
        <v>385</v>
      </c>
      <c r="J1610" s="1058"/>
      <c r="K1610" s="30" t="s">
        <v>193</v>
      </c>
      <c r="L1610" s="31" t="s">
        <v>395</v>
      </c>
      <c r="M1610" s="1062" t="s">
        <v>386</v>
      </c>
      <c r="N1610" s="1058"/>
    </row>
    <row r="1611" spans="1:14" ht="12.75" customHeight="1" x14ac:dyDescent="0.25">
      <c r="A1611" s="1063" t="s">
        <v>418</v>
      </c>
      <c r="B1611" s="1057"/>
      <c r="C1611" s="1057"/>
      <c r="D1611" s="1057"/>
      <c r="E1611" s="1057"/>
      <c r="F1611" s="1057"/>
      <c r="G1611" s="1058"/>
      <c r="H1611" s="9" t="str">
        <f>IF(A1611="","",VLOOKUP(A1611,AA_Cuadrillas,4,FALSE))</f>
        <v>Cuadrilla</v>
      </c>
      <c r="I1611" s="1059">
        <f>IF(A1611="","",VLOOKUP(A1611,AA_Cuadrillas,5,FALSE))</f>
        <v>280145</v>
      </c>
      <c r="J1611" s="1058"/>
      <c r="K1611" s="1">
        <f>IF(A1611="","",'06'!$J$3)</f>
        <v>1.7233500000000002</v>
      </c>
      <c r="L1611" s="32">
        <v>0.12</v>
      </c>
      <c r="M1611" s="1059">
        <f>IF(A1611="","",I1611*K1611*L1611)</f>
        <v>57934.546289999998</v>
      </c>
      <c r="N1611" s="1058"/>
    </row>
    <row r="1612" spans="1:14" ht="12.75" customHeight="1" x14ac:dyDescent="0.25">
      <c r="A1612" s="1063"/>
      <c r="B1612" s="1057"/>
      <c r="C1612" s="1057"/>
      <c r="D1612" s="1057"/>
      <c r="E1612" s="1057"/>
      <c r="F1612" s="1057"/>
      <c r="G1612" s="1058"/>
      <c r="H1612" s="9" t="str">
        <f>IF(A1612="","",VLOOKUP(A1612,AA_Cuadrillas,4,FALSE))</f>
        <v/>
      </c>
      <c r="I1612" s="1059" t="str">
        <f>IF(A1612="","",VLOOKUP(A1612,AA_Cuadrillas,5,FALSE))</f>
        <v/>
      </c>
      <c r="J1612" s="1058"/>
      <c r="K1612" s="1" t="str">
        <f>IF(A1612="","",'06'!$J$3)</f>
        <v/>
      </c>
      <c r="L1612" s="1"/>
      <c r="M1612" s="1059" t="str">
        <f>IF(A1612="","",I1612*K1612*L1612)</f>
        <v/>
      </c>
      <c r="N1612" s="1058"/>
    </row>
    <row r="1613" spans="1:14" ht="12.75" customHeight="1" x14ac:dyDescent="0.25">
      <c r="A1613" s="1063"/>
      <c r="B1613" s="1057"/>
      <c r="C1613" s="1057"/>
      <c r="D1613" s="1057"/>
      <c r="E1613" s="1057"/>
      <c r="F1613" s="1057"/>
      <c r="G1613" s="1058"/>
      <c r="H1613" s="9" t="str">
        <f>IF(A1613="","",VLOOKUP(A1613,AA_Cuadrillas,4,FALSE))</f>
        <v/>
      </c>
      <c r="I1613" s="1059" t="str">
        <f>IF(A1613="","",VLOOKUP(A1613,AA_Cuadrillas,5,FALSE))</f>
        <v/>
      </c>
      <c r="J1613" s="1058"/>
      <c r="K1613" s="1" t="str">
        <f>IF(A1613="","",'06'!$J$3)</f>
        <v/>
      </c>
      <c r="L1613" s="10"/>
      <c r="M1613" s="1059" t="str">
        <f>IF(A1613="","",I1613*K1613*L1613)</f>
        <v/>
      </c>
      <c r="N1613" s="1058"/>
    </row>
    <row r="1614" spans="1:14" ht="12.75" customHeight="1" x14ac:dyDescent="0.25">
      <c r="A1614" s="1063"/>
      <c r="B1614" s="1057"/>
      <c r="C1614" s="1057"/>
      <c r="D1614" s="1057"/>
      <c r="E1614" s="1057"/>
      <c r="F1614" s="1057"/>
      <c r="G1614" s="1058"/>
      <c r="H1614" s="9" t="str">
        <f>IF(A1614="","",VLOOKUP(A1614,AA_Cuadrillas,4,FALSE))</f>
        <v/>
      </c>
      <c r="I1614" s="1059" t="str">
        <f>IF(A1614="","",VLOOKUP(A1614,AA_Cuadrillas,5,FALSE))</f>
        <v/>
      </c>
      <c r="J1614" s="1058"/>
      <c r="K1614" s="1" t="str">
        <f>IF(A1614="","",'06'!$J$3)</f>
        <v/>
      </c>
      <c r="L1614" s="10"/>
      <c r="M1614" s="1059" t="str">
        <f>IF(A1614="","",I1614*K1614*L1614)</f>
        <v/>
      </c>
      <c r="N1614" s="1058"/>
    </row>
    <row r="1615" spans="1:14" ht="12.75" customHeight="1" x14ac:dyDescent="0.25">
      <c r="A1615" s="1063"/>
      <c r="B1615" s="1057"/>
      <c r="C1615" s="1057"/>
      <c r="D1615" s="1057"/>
      <c r="E1615" s="1057"/>
      <c r="F1615" s="1057"/>
      <c r="G1615" s="1058"/>
      <c r="H1615" s="9" t="str">
        <f>IF(A1615="","",VLOOKUP(A1615,AA_Cuadrillas,4,FALSE))</f>
        <v/>
      </c>
      <c r="I1615" s="1059" t="str">
        <f>IF(A1615="","",VLOOKUP(A1615,AA_Cuadrillas,5,FALSE))</f>
        <v/>
      </c>
      <c r="J1615" s="1058"/>
      <c r="K1615" s="1" t="str">
        <f>IF(A1615="","",'06'!$J$3)</f>
        <v/>
      </c>
      <c r="L1615" s="10"/>
      <c r="M1615" s="1059" t="str">
        <f>IF(A1615="","",I1615*K1615*L1615)</f>
        <v/>
      </c>
      <c r="N1615" s="1058"/>
    </row>
    <row r="1616" spans="1:14" ht="12.75" customHeight="1" x14ac:dyDescent="0.25">
      <c r="A1616" s="3"/>
      <c r="B1616" s="3"/>
      <c r="C1616" s="3"/>
      <c r="D1616" s="3"/>
      <c r="E1616" s="3"/>
      <c r="F1616" s="3"/>
      <c r="G1616" s="3"/>
      <c r="H1616" s="3"/>
      <c r="I1616" s="3"/>
      <c r="J1616" s="3"/>
      <c r="K1616" s="1066" t="s">
        <v>201</v>
      </c>
      <c r="L1616" s="1058"/>
      <c r="M1616" s="1059">
        <f>SUM(M1611:N1615)</f>
        <v>57934.546289999998</v>
      </c>
      <c r="N1616" s="1058"/>
    </row>
    <row r="1617" spans="1:15" ht="12.75" customHeight="1" x14ac:dyDescent="0.2"/>
    <row r="1618" spans="1:15" ht="12.75" customHeight="1" x14ac:dyDescent="0.2">
      <c r="A1618" s="1072" t="s">
        <v>1703</v>
      </c>
      <c r="B1618" s="1052"/>
      <c r="C1618" s="1052"/>
      <c r="D1618" s="1052"/>
      <c r="E1618" s="1052"/>
      <c r="F1618" s="1052"/>
      <c r="G1618" s="1052"/>
      <c r="H1618" s="1052"/>
      <c r="I1618" s="1052"/>
      <c r="J1618" s="1052"/>
      <c r="K1618" s="1052"/>
      <c r="L1618" s="1052"/>
      <c r="M1618" s="1052"/>
      <c r="N1618" s="1053"/>
      <c r="O1618" s="7"/>
    </row>
    <row r="1619" spans="1:15" ht="12.75" customHeight="1" x14ac:dyDescent="0.2">
      <c r="A1619" s="1031"/>
      <c r="B1619" s="1032"/>
      <c r="C1619" s="1032"/>
      <c r="D1619" s="1032"/>
      <c r="E1619" s="1032"/>
      <c r="F1619" s="1032"/>
      <c r="G1619" s="1032"/>
      <c r="H1619" s="1032"/>
      <c r="I1619" s="1032"/>
      <c r="J1619" s="1032"/>
      <c r="K1619" s="1032"/>
      <c r="L1619" s="1032"/>
      <c r="M1619" s="1032"/>
      <c r="N1619" s="1055"/>
      <c r="O1619" s="7"/>
    </row>
    <row r="1620" spans="1:15" ht="12.75" customHeight="1" x14ac:dyDescent="0.2">
      <c r="A1620" s="16"/>
      <c r="B1620" s="16"/>
      <c r="C1620" s="16"/>
      <c r="D1620" s="16"/>
      <c r="E1620" s="16"/>
      <c r="F1620" s="16"/>
      <c r="G1620" s="16"/>
      <c r="H1620" s="16"/>
      <c r="I1620" s="16"/>
      <c r="J1620" s="16"/>
      <c r="K1620" s="16"/>
      <c r="L1620" s="16"/>
      <c r="M1620" s="16"/>
      <c r="N1620" s="16"/>
    </row>
    <row r="1621" spans="1:15" ht="12.75" customHeight="1" x14ac:dyDescent="0.3">
      <c r="A1621" s="18" t="s">
        <v>328</v>
      </c>
      <c r="B1621" s="19" t="str">
        <f>A1618</f>
        <v>RETIRO DE SOBRANTES (INCLUYE CARGUE Y BOTADERO AUTORIZADO)</v>
      </c>
      <c r="C1621" s="20" t="s">
        <v>382</v>
      </c>
      <c r="D1621" s="127" t="s">
        <v>399</v>
      </c>
      <c r="E1621" s="22" t="s">
        <v>125</v>
      </c>
      <c r="F1621" s="26">
        <f>(H1621+J1621+L1621+N1621)*$O$2</f>
        <v>22815</v>
      </c>
      <c r="G1621" s="22" t="s">
        <v>285</v>
      </c>
      <c r="H1621" s="26">
        <f>M1642</f>
        <v>0</v>
      </c>
      <c r="I1621" s="22" t="s">
        <v>383</v>
      </c>
      <c r="J1621" s="36">
        <f>M1633</f>
        <v>3250</v>
      </c>
      <c r="K1621" s="22" t="s">
        <v>287</v>
      </c>
      <c r="L1621" s="26">
        <f>M1651</f>
        <v>14300</v>
      </c>
      <c r="M1621" s="22" t="s">
        <v>288</v>
      </c>
      <c r="N1621" s="26">
        <f>M1660</f>
        <v>0</v>
      </c>
    </row>
    <row r="1622" spans="1:15" ht="12.75" customHeight="1" x14ac:dyDescent="0.25">
      <c r="A1622" s="27"/>
      <c r="B1622" s="27"/>
      <c r="C1622" s="27"/>
      <c r="D1622" s="27"/>
      <c r="E1622" s="27"/>
      <c r="F1622" s="27"/>
      <c r="G1622" s="27"/>
      <c r="J1622" s="27"/>
      <c r="K1622" s="27"/>
      <c r="L1622" s="27"/>
      <c r="M1622" s="27"/>
      <c r="N1622" s="27"/>
    </row>
    <row r="1623" spans="1:15" ht="12.75" customHeight="1" x14ac:dyDescent="0.2">
      <c r="A1623" s="1065" t="s">
        <v>384</v>
      </c>
      <c r="B1623" s="1057"/>
      <c r="C1623" s="1057"/>
      <c r="D1623" s="1057"/>
      <c r="E1623" s="1057"/>
      <c r="F1623" s="1057"/>
      <c r="G1623" s="1057"/>
      <c r="H1623" s="1057"/>
      <c r="I1623" s="1057"/>
      <c r="J1623" s="1057"/>
      <c r="K1623" s="1057"/>
      <c r="L1623" s="1057"/>
      <c r="M1623" s="1057"/>
      <c r="N1623" s="1058"/>
    </row>
    <row r="1624" spans="1:15" ht="12.75" customHeight="1" x14ac:dyDescent="0.2">
      <c r="A1624" s="1066" t="s">
        <v>38</v>
      </c>
      <c r="B1624" s="1057"/>
      <c r="C1624" s="1057"/>
      <c r="D1624" s="1057"/>
      <c r="E1624" s="1057"/>
      <c r="F1624" s="1057"/>
      <c r="G1624" s="1058"/>
      <c r="H1624" s="28" t="s">
        <v>39</v>
      </c>
      <c r="I1624" s="1062" t="s">
        <v>385</v>
      </c>
      <c r="J1624" s="1058"/>
      <c r="K1624" s="1062" t="s">
        <v>132</v>
      </c>
      <c r="L1624" s="1058"/>
      <c r="M1624" s="1062" t="s">
        <v>386</v>
      </c>
      <c r="N1624" s="1058"/>
    </row>
    <row r="1625" spans="1:15" ht="12.75" customHeight="1" x14ac:dyDescent="0.2">
      <c r="A1625" s="1061" t="s">
        <v>1547</v>
      </c>
      <c r="B1625" s="1057"/>
      <c r="C1625" s="1057"/>
      <c r="D1625" s="1057"/>
      <c r="E1625" s="1057"/>
      <c r="F1625" s="1057"/>
      <c r="G1625" s="1058"/>
      <c r="H1625" s="9" t="str">
        <f t="shared" ref="H1625:H1630" si="107">IF(A1625="","",VLOOKUP(A1625,AA_Materiales,7,FALSE))</f>
        <v>m3</v>
      </c>
      <c r="I1625" s="1059">
        <f t="shared" ref="I1625:I1632" si="108">IF(A1625="","",VLOOKUP(A1625,AA_Materiales,8,FALSE))</f>
        <v>2500</v>
      </c>
      <c r="J1625" s="1058"/>
      <c r="K1625" s="1060">
        <v>1.3</v>
      </c>
      <c r="L1625" s="1058"/>
      <c r="M1625" s="1059">
        <f t="shared" ref="M1625:M1632" si="109">IF(A1625="","",I1625*K1625)</f>
        <v>3250</v>
      </c>
      <c r="N1625" s="1058"/>
    </row>
    <row r="1626" spans="1:15" ht="12.75" customHeight="1" x14ac:dyDescent="0.2">
      <c r="A1626" s="1061"/>
      <c r="B1626" s="1057"/>
      <c r="C1626" s="1057"/>
      <c r="D1626" s="1057"/>
      <c r="E1626" s="1057"/>
      <c r="F1626" s="1057"/>
      <c r="G1626" s="1058"/>
      <c r="H1626" s="9" t="str">
        <f t="shared" si="107"/>
        <v/>
      </c>
      <c r="I1626" s="1059" t="str">
        <f t="shared" si="108"/>
        <v/>
      </c>
      <c r="J1626" s="1058"/>
      <c r="K1626" s="1060"/>
      <c r="L1626" s="1058"/>
      <c r="M1626" s="1059" t="str">
        <f t="shared" si="109"/>
        <v/>
      </c>
      <c r="N1626" s="1058"/>
    </row>
    <row r="1627" spans="1:15" ht="12.75" customHeight="1" x14ac:dyDescent="0.2">
      <c r="A1627" s="1061"/>
      <c r="B1627" s="1057"/>
      <c r="C1627" s="1057"/>
      <c r="D1627" s="1057"/>
      <c r="E1627" s="1057"/>
      <c r="F1627" s="1057"/>
      <c r="G1627" s="1058"/>
      <c r="H1627" s="9" t="str">
        <f t="shared" si="107"/>
        <v/>
      </c>
      <c r="I1627" s="1059" t="str">
        <f t="shared" si="108"/>
        <v/>
      </c>
      <c r="J1627" s="1058"/>
      <c r="K1627" s="1060"/>
      <c r="L1627" s="1058"/>
      <c r="M1627" s="1059" t="str">
        <f t="shared" si="109"/>
        <v/>
      </c>
      <c r="N1627" s="1058"/>
    </row>
    <row r="1628" spans="1:15" ht="12.75" customHeight="1" x14ac:dyDescent="0.2">
      <c r="A1628" s="1061"/>
      <c r="B1628" s="1057"/>
      <c r="C1628" s="1057"/>
      <c r="D1628" s="1057"/>
      <c r="E1628" s="1057"/>
      <c r="F1628" s="1057"/>
      <c r="G1628" s="1058"/>
      <c r="H1628" s="9" t="str">
        <f t="shared" si="107"/>
        <v/>
      </c>
      <c r="I1628" s="1059" t="str">
        <f t="shared" si="108"/>
        <v/>
      </c>
      <c r="J1628" s="1058"/>
      <c r="K1628" s="1060"/>
      <c r="L1628" s="1058"/>
      <c r="M1628" s="1059" t="str">
        <f t="shared" si="109"/>
        <v/>
      </c>
      <c r="N1628" s="1058"/>
    </row>
    <row r="1629" spans="1:15" ht="12.75" customHeight="1" x14ac:dyDescent="0.2">
      <c r="A1629" s="1061"/>
      <c r="B1629" s="1057"/>
      <c r="C1629" s="1057"/>
      <c r="D1629" s="1057"/>
      <c r="E1629" s="1057"/>
      <c r="F1629" s="1057"/>
      <c r="G1629" s="1058"/>
      <c r="H1629" s="9" t="str">
        <f t="shared" si="107"/>
        <v/>
      </c>
      <c r="I1629" s="1059" t="str">
        <f t="shared" si="108"/>
        <v/>
      </c>
      <c r="J1629" s="1058"/>
      <c r="K1629" s="1060"/>
      <c r="L1629" s="1058"/>
      <c r="M1629" s="1059" t="str">
        <f t="shared" si="109"/>
        <v/>
      </c>
      <c r="N1629" s="1058"/>
    </row>
    <row r="1630" spans="1:15" ht="12.75" customHeight="1" x14ac:dyDescent="0.2">
      <c r="A1630" s="1061"/>
      <c r="B1630" s="1057"/>
      <c r="C1630" s="1057"/>
      <c r="D1630" s="1057"/>
      <c r="E1630" s="1057"/>
      <c r="F1630" s="1057"/>
      <c r="G1630" s="1058"/>
      <c r="H1630" s="9" t="str">
        <f t="shared" si="107"/>
        <v/>
      </c>
      <c r="I1630" s="1059" t="str">
        <f t="shared" si="108"/>
        <v/>
      </c>
      <c r="J1630" s="1058"/>
      <c r="K1630" s="1060"/>
      <c r="L1630" s="1058"/>
      <c r="M1630" s="1059" t="str">
        <f t="shared" si="109"/>
        <v/>
      </c>
      <c r="N1630" s="1058"/>
    </row>
    <row r="1631" spans="1:15" ht="12.75" customHeight="1" x14ac:dyDescent="0.2">
      <c r="A1631" s="1061"/>
      <c r="B1631" s="1057"/>
      <c r="C1631" s="1057"/>
      <c r="D1631" s="1057"/>
      <c r="E1631" s="1057"/>
      <c r="F1631" s="1057"/>
      <c r="G1631" s="1058"/>
      <c r="H1631" s="9"/>
      <c r="I1631" s="1059" t="str">
        <f t="shared" si="108"/>
        <v/>
      </c>
      <c r="J1631" s="1058"/>
      <c r="K1631" s="1060"/>
      <c r="L1631" s="1058"/>
      <c r="M1631" s="1059" t="str">
        <f t="shared" si="109"/>
        <v/>
      </c>
      <c r="N1631" s="1058"/>
    </row>
    <row r="1632" spans="1:15" ht="12.75" customHeight="1" x14ac:dyDescent="0.2">
      <c r="A1632" s="1061"/>
      <c r="B1632" s="1057"/>
      <c r="C1632" s="1057"/>
      <c r="D1632" s="1057"/>
      <c r="E1632" s="1057"/>
      <c r="F1632" s="1057"/>
      <c r="G1632" s="1058"/>
      <c r="H1632" s="9" t="str">
        <f>IF(A1632="","",VLOOKUP(A1632,AA_Materiales,7,FALSE))</f>
        <v/>
      </c>
      <c r="I1632" s="1059" t="str">
        <f t="shared" si="108"/>
        <v/>
      </c>
      <c r="J1632" s="1058"/>
      <c r="K1632" s="1060"/>
      <c r="L1632" s="1058"/>
      <c r="M1632" s="1059" t="str">
        <f t="shared" si="109"/>
        <v/>
      </c>
      <c r="N1632" s="1058"/>
    </row>
    <row r="1633" spans="1:14" ht="12.75" customHeight="1" x14ac:dyDescent="0.25">
      <c r="A1633" s="3"/>
      <c r="B1633" s="3"/>
      <c r="C1633" s="3"/>
      <c r="D1633" s="3"/>
      <c r="E1633" s="3"/>
      <c r="F1633" s="3"/>
      <c r="G1633" s="3"/>
      <c r="H1633" s="3"/>
      <c r="I1633" s="3"/>
      <c r="J1633" s="3"/>
      <c r="K1633" s="1066" t="s">
        <v>201</v>
      </c>
      <c r="L1633" s="1058"/>
      <c r="M1633" s="1059">
        <f>SUM(M1625:N1632)</f>
        <v>3250</v>
      </c>
      <c r="N1633" s="1058"/>
    </row>
    <row r="1634" spans="1:14" ht="12.75" customHeight="1" x14ac:dyDescent="0.25">
      <c r="A1634" s="3"/>
      <c r="B1634" s="3"/>
      <c r="C1634" s="3"/>
      <c r="D1634" s="3"/>
      <c r="E1634" s="3"/>
      <c r="F1634" s="3"/>
      <c r="G1634" s="3"/>
      <c r="H1634" s="3"/>
      <c r="I1634" s="3"/>
      <c r="J1634" s="3"/>
      <c r="K1634" s="3"/>
      <c r="L1634" s="3"/>
      <c r="M1634" s="3"/>
      <c r="N1634" s="3"/>
    </row>
    <row r="1635" spans="1:14" ht="12.75" customHeight="1" x14ac:dyDescent="0.2">
      <c r="A1635" s="1065" t="s">
        <v>390</v>
      </c>
      <c r="B1635" s="1057"/>
      <c r="C1635" s="1057"/>
      <c r="D1635" s="1057"/>
      <c r="E1635" s="1057"/>
      <c r="F1635" s="1057"/>
      <c r="G1635" s="1057"/>
      <c r="H1635" s="1057"/>
      <c r="I1635" s="1057"/>
      <c r="J1635" s="1057"/>
      <c r="K1635" s="1057"/>
      <c r="L1635" s="1057"/>
      <c r="M1635" s="1057"/>
      <c r="N1635" s="1058"/>
    </row>
    <row r="1636" spans="1:14" ht="12.75" customHeight="1" x14ac:dyDescent="0.2">
      <c r="A1636" s="1066" t="s">
        <v>38</v>
      </c>
      <c r="B1636" s="1057"/>
      <c r="C1636" s="1057"/>
      <c r="D1636" s="1057"/>
      <c r="E1636" s="1057"/>
      <c r="F1636" s="1057"/>
      <c r="G1636" s="1058"/>
      <c r="H1636" s="28" t="s">
        <v>39</v>
      </c>
      <c r="I1636" s="1062" t="s">
        <v>385</v>
      </c>
      <c r="J1636" s="1058"/>
      <c r="K1636" s="1062" t="s">
        <v>132</v>
      </c>
      <c r="L1636" s="1058"/>
      <c r="M1636" s="1062" t="s">
        <v>386</v>
      </c>
      <c r="N1636" s="1058"/>
    </row>
    <row r="1637" spans="1:14" ht="12.75" customHeight="1" x14ac:dyDescent="0.2">
      <c r="A1637" s="1061" t="s">
        <v>391</v>
      </c>
      <c r="B1637" s="1057"/>
      <c r="C1637" s="1057"/>
      <c r="D1637" s="1057"/>
      <c r="E1637" s="1057"/>
      <c r="F1637" s="1057"/>
      <c r="G1637" s="1058"/>
      <c r="H1637" s="9" t="str">
        <f>IF(A1637="","",VLOOKUP(A1637,AA_Equipos,7,FALSE))</f>
        <v>% M.O.</v>
      </c>
      <c r="I1637" s="1059">
        <f>+M1660</f>
        <v>0</v>
      </c>
      <c r="J1637" s="1058"/>
      <c r="K1637" s="1064">
        <v>0.05</v>
      </c>
      <c r="L1637" s="1058"/>
      <c r="M1637" s="1059">
        <f>IF(A1637="","",I1637*K1637)</f>
        <v>0</v>
      </c>
      <c r="N1637" s="1058"/>
    </row>
    <row r="1638" spans="1:14" ht="12.75" customHeight="1" x14ac:dyDescent="0.2">
      <c r="A1638" s="1056"/>
      <c r="B1638" s="1057"/>
      <c r="C1638" s="1057"/>
      <c r="D1638" s="1057"/>
      <c r="E1638" s="1057"/>
      <c r="F1638" s="1057"/>
      <c r="G1638" s="1058"/>
      <c r="H1638" s="9" t="str">
        <f>IF(A1638="","",VLOOKUP(A1638,AA_Equipos,7,FALSE))</f>
        <v/>
      </c>
      <c r="I1638" s="1059" t="str">
        <f>IF(A1638="","",VLOOKUP(A1638,AA_Equipos,8,FALSE))</f>
        <v/>
      </c>
      <c r="J1638" s="1058"/>
      <c r="K1638" s="1067"/>
      <c r="L1638" s="1058"/>
      <c r="M1638" s="1059" t="str">
        <f>IF(A1638="","",I1638*K1638)</f>
        <v/>
      </c>
      <c r="N1638" s="1058"/>
    </row>
    <row r="1639" spans="1:14" ht="12.75" customHeight="1" x14ac:dyDescent="0.2">
      <c r="A1639" s="1061"/>
      <c r="B1639" s="1057"/>
      <c r="C1639" s="1057"/>
      <c r="D1639" s="1057"/>
      <c r="E1639" s="1057"/>
      <c r="F1639" s="1057"/>
      <c r="G1639" s="1058"/>
      <c r="H1639" s="9" t="str">
        <f>IF(A1639="","",VLOOKUP(A1639,AA_Equipos,7,FALSE))</f>
        <v/>
      </c>
      <c r="I1639" s="1059" t="str">
        <f>IF(A1639="","",VLOOKUP(A1639,AA_Equipos,8,FALSE))</f>
        <v/>
      </c>
      <c r="J1639" s="1058"/>
      <c r="K1639" s="1067"/>
      <c r="L1639" s="1058"/>
      <c r="M1639" s="1059" t="str">
        <f>IF(A1639="","",I1639*K1639)</f>
        <v/>
      </c>
      <c r="N1639" s="1058"/>
    </row>
    <row r="1640" spans="1:14" ht="12.75" customHeight="1" x14ac:dyDescent="0.2">
      <c r="A1640" s="1061"/>
      <c r="B1640" s="1057"/>
      <c r="C1640" s="1057"/>
      <c r="D1640" s="1057"/>
      <c r="E1640" s="1057"/>
      <c r="F1640" s="1057"/>
      <c r="G1640" s="1058"/>
      <c r="H1640" s="9" t="str">
        <f>IF(A1640="","",VLOOKUP(A1640,AA_Equipos,7,FALSE))</f>
        <v/>
      </c>
      <c r="I1640" s="1059" t="str">
        <f>IF(A1640="","",VLOOKUP(A1640,AA_Equipos,8,FALSE))</f>
        <v/>
      </c>
      <c r="J1640" s="1058"/>
      <c r="K1640" s="1067"/>
      <c r="L1640" s="1058"/>
      <c r="M1640" s="1059" t="str">
        <f>IF(A1640="","",I1640*K1640)</f>
        <v/>
      </c>
      <c r="N1640" s="1058"/>
    </row>
    <row r="1641" spans="1:14" ht="12.75" customHeight="1" x14ac:dyDescent="0.2">
      <c r="A1641" s="1061"/>
      <c r="B1641" s="1057"/>
      <c r="C1641" s="1057"/>
      <c r="D1641" s="1057"/>
      <c r="E1641" s="1057"/>
      <c r="F1641" s="1057"/>
      <c r="G1641" s="1058"/>
      <c r="H1641" s="9" t="str">
        <f>IF(A1641="","",VLOOKUP(A1641,AA_Equipos,7,FALSE))</f>
        <v/>
      </c>
      <c r="I1641" s="1059" t="str">
        <f>IF(A1641="","",VLOOKUP(A1641,AA_Equipos,8,FALSE))</f>
        <v/>
      </c>
      <c r="J1641" s="1058"/>
      <c r="K1641" s="1060"/>
      <c r="L1641" s="1058"/>
      <c r="M1641" s="1059" t="str">
        <f>IF(A1641="","",I1641*K1641)</f>
        <v/>
      </c>
      <c r="N1641" s="1058"/>
    </row>
    <row r="1642" spans="1:14" ht="12.75" customHeight="1" x14ac:dyDescent="0.25">
      <c r="A1642" s="3"/>
      <c r="B1642" s="3"/>
      <c r="C1642" s="3"/>
      <c r="D1642" s="3"/>
      <c r="E1642" s="3"/>
      <c r="F1642" s="3"/>
      <c r="G1642" s="3"/>
      <c r="H1642" s="3"/>
      <c r="I1642" s="3"/>
      <c r="J1642" s="3"/>
      <c r="K1642" s="1066" t="s">
        <v>201</v>
      </c>
      <c r="L1642" s="1058"/>
      <c r="M1642" s="1059">
        <f>SUM(M1637:N1641)</f>
        <v>0</v>
      </c>
      <c r="N1642" s="1058"/>
    </row>
    <row r="1643" spans="1:14" ht="12.75" customHeight="1" x14ac:dyDescent="0.25">
      <c r="A1643" s="3"/>
      <c r="B1643" s="3"/>
      <c r="C1643" s="3"/>
      <c r="D1643" s="3"/>
      <c r="E1643" s="3"/>
      <c r="F1643" s="3"/>
      <c r="G1643" s="3"/>
      <c r="H1643" s="3"/>
      <c r="I1643" s="3"/>
      <c r="J1643" s="3"/>
      <c r="K1643" s="3"/>
      <c r="L1643" s="3"/>
      <c r="M1643" s="3"/>
      <c r="N1643" s="3"/>
    </row>
    <row r="1644" spans="1:14" ht="12.75" customHeight="1" x14ac:dyDescent="0.2">
      <c r="A1644" s="1065" t="s">
        <v>392</v>
      </c>
      <c r="B1644" s="1057"/>
      <c r="C1644" s="1057"/>
      <c r="D1644" s="1057"/>
      <c r="E1644" s="1057"/>
      <c r="F1644" s="1057"/>
      <c r="G1644" s="1057"/>
      <c r="H1644" s="1057"/>
      <c r="I1644" s="1057"/>
      <c r="J1644" s="1057"/>
      <c r="K1644" s="1057"/>
      <c r="L1644" s="1057"/>
      <c r="M1644" s="1057"/>
      <c r="N1644" s="1058"/>
    </row>
    <row r="1645" spans="1:14" ht="12.75" customHeight="1" x14ac:dyDescent="0.2">
      <c r="A1645" s="1066" t="s">
        <v>38</v>
      </c>
      <c r="B1645" s="1057"/>
      <c r="C1645" s="1057"/>
      <c r="D1645" s="1057"/>
      <c r="E1645" s="1057"/>
      <c r="F1645" s="1057"/>
      <c r="G1645" s="1058"/>
      <c r="H1645" s="28" t="s">
        <v>132</v>
      </c>
      <c r="I1645" s="1062" t="s">
        <v>385</v>
      </c>
      <c r="J1645" s="1058"/>
      <c r="K1645" s="1062" t="s">
        <v>1917</v>
      </c>
      <c r="L1645" s="1058"/>
      <c r="M1645" s="1062" t="s">
        <v>386</v>
      </c>
      <c r="N1645" s="1058"/>
    </row>
    <row r="1646" spans="1:14" ht="12.75" customHeight="1" x14ac:dyDescent="0.2">
      <c r="A1646" s="1061" t="s">
        <v>1931</v>
      </c>
      <c r="B1646" s="1057"/>
      <c r="C1646" s="1057"/>
      <c r="D1646" s="1057"/>
      <c r="E1646" s="1057"/>
      <c r="F1646" s="1057"/>
      <c r="G1646" s="1058"/>
      <c r="H1646" s="1">
        <f>+K1625</f>
        <v>1.3</v>
      </c>
      <c r="I1646" s="1059">
        <v>2200</v>
      </c>
      <c r="J1646" s="1058"/>
      <c r="K1646" s="1060">
        <v>5</v>
      </c>
      <c r="L1646" s="1083"/>
      <c r="M1646" s="1059">
        <f>IF(A1646="","",H1646*I1646*K1646)</f>
        <v>14300</v>
      </c>
      <c r="N1646" s="1058"/>
    </row>
    <row r="1647" spans="1:14" ht="12.75" customHeight="1" x14ac:dyDescent="0.2">
      <c r="A1647" s="1056"/>
      <c r="B1647" s="1057"/>
      <c r="C1647" s="1057"/>
      <c r="D1647" s="1057"/>
      <c r="E1647" s="1057"/>
      <c r="F1647" s="1057"/>
      <c r="G1647" s="1058"/>
      <c r="H1647" s="9"/>
      <c r="I1647" s="1059"/>
      <c r="J1647" s="1058"/>
      <c r="K1647" s="1064"/>
      <c r="L1647" s="1058"/>
      <c r="M1647" s="1059" t="str">
        <f>IF(A1647="","",I1647*K1647)</f>
        <v/>
      </c>
      <c r="N1647" s="1058"/>
    </row>
    <row r="1648" spans="1:14" ht="12.75" customHeight="1" x14ac:dyDescent="0.2">
      <c r="A1648" s="1061"/>
      <c r="B1648" s="1057"/>
      <c r="C1648" s="1057"/>
      <c r="D1648" s="1057"/>
      <c r="E1648" s="1057"/>
      <c r="F1648" s="1057"/>
      <c r="G1648" s="1058"/>
      <c r="H1648" s="9"/>
      <c r="I1648" s="1059"/>
      <c r="J1648" s="1058"/>
      <c r="K1648" s="1060"/>
      <c r="L1648" s="1058"/>
      <c r="M1648" s="1059" t="str">
        <f>IF(A1648="","",I1648*K1648)</f>
        <v/>
      </c>
      <c r="N1648" s="1058"/>
    </row>
    <row r="1649" spans="1:15" ht="12.75" customHeight="1" x14ac:dyDescent="0.2">
      <c r="A1649" s="1061"/>
      <c r="B1649" s="1057"/>
      <c r="C1649" s="1057"/>
      <c r="D1649" s="1057"/>
      <c r="E1649" s="1057"/>
      <c r="F1649" s="1057"/>
      <c r="G1649" s="1058"/>
      <c r="H1649" s="9"/>
      <c r="I1649" s="1059"/>
      <c r="J1649" s="1058"/>
      <c r="K1649" s="1060"/>
      <c r="L1649" s="1058"/>
      <c r="M1649" s="1059" t="str">
        <f>IF(A1649="","",I1649*K1649)</f>
        <v/>
      </c>
      <c r="N1649" s="1058"/>
    </row>
    <row r="1650" spans="1:15" ht="12.75" customHeight="1" x14ac:dyDescent="0.2">
      <c r="A1650" s="1061"/>
      <c r="B1650" s="1057"/>
      <c r="C1650" s="1057"/>
      <c r="D1650" s="1057"/>
      <c r="E1650" s="1057"/>
      <c r="F1650" s="1057"/>
      <c r="G1650" s="1058"/>
      <c r="H1650" s="9"/>
      <c r="I1650" s="1059"/>
      <c r="J1650" s="1058"/>
      <c r="K1650" s="1060"/>
      <c r="L1650" s="1058"/>
      <c r="M1650" s="1059" t="str">
        <f>IF(A1650="","",I1650*K1650)</f>
        <v/>
      </c>
      <c r="N1650" s="1058"/>
    </row>
    <row r="1651" spans="1:15" ht="12.75" customHeight="1" x14ac:dyDescent="0.25">
      <c r="A1651" s="3"/>
      <c r="B1651" s="3"/>
      <c r="C1651" s="3"/>
      <c r="D1651" s="3"/>
      <c r="E1651" s="3"/>
      <c r="F1651" s="3"/>
      <c r="G1651" s="3"/>
      <c r="H1651" s="3"/>
      <c r="I1651" s="3"/>
      <c r="J1651" s="3"/>
      <c r="K1651" s="1066" t="s">
        <v>201</v>
      </c>
      <c r="L1651" s="1058"/>
      <c r="M1651" s="1059">
        <f>SUM(M1646:N1650)</f>
        <v>14300</v>
      </c>
      <c r="N1651" s="1058"/>
    </row>
    <row r="1652" spans="1:15" ht="12.75" customHeight="1" x14ac:dyDescent="0.25">
      <c r="A1652" s="3"/>
      <c r="B1652" s="3"/>
      <c r="C1652" s="3"/>
      <c r="D1652" s="3"/>
      <c r="E1652" s="3"/>
      <c r="F1652" s="3"/>
      <c r="G1652" s="3"/>
      <c r="H1652" s="3"/>
      <c r="I1652" s="3"/>
      <c r="J1652" s="3"/>
      <c r="K1652" s="3"/>
      <c r="L1652" s="3"/>
      <c r="M1652" s="3"/>
      <c r="N1652" s="3"/>
    </row>
    <row r="1653" spans="1:15" ht="12.75" customHeight="1" x14ac:dyDescent="0.2">
      <c r="A1653" s="1065" t="s">
        <v>394</v>
      </c>
      <c r="B1653" s="1057"/>
      <c r="C1653" s="1057"/>
      <c r="D1653" s="1057"/>
      <c r="E1653" s="1057"/>
      <c r="F1653" s="1057"/>
      <c r="G1653" s="1057"/>
      <c r="H1653" s="1057"/>
      <c r="I1653" s="1057"/>
      <c r="J1653" s="1057"/>
      <c r="K1653" s="1057"/>
      <c r="L1653" s="1057"/>
      <c r="M1653" s="1057"/>
      <c r="N1653" s="1058"/>
    </row>
    <row r="1654" spans="1:15" ht="12.75" customHeight="1" x14ac:dyDescent="0.2">
      <c r="A1654" s="1066" t="s">
        <v>38</v>
      </c>
      <c r="B1654" s="1057"/>
      <c r="C1654" s="1057"/>
      <c r="D1654" s="1057"/>
      <c r="E1654" s="1057"/>
      <c r="F1654" s="1057"/>
      <c r="G1654" s="1058"/>
      <c r="H1654" s="28" t="s">
        <v>39</v>
      </c>
      <c r="I1654" s="1062" t="s">
        <v>385</v>
      </c>
      <c r="J1654" s="1058"/>
      <c r="K1654" s="30" t="s">
        <v>193</v>
      </c>
      <c r="L1654" s="31" t="s">
        <v>395</v>
      </c>
      <c r="M1654" s="1062" t="s">
        <v>386</v>
      </c>
      <c r="N1654" s="1058"/>
    </row>
    <row r="1655" spans="1:15" ht="12.75" customHeight="1" x14ac:dyDescent="0.25">
      <c r="A1655" s="1063"/>
      <c r="B1655" s="1057"/>
      <c r="C1655" s="1057"/>
      <c r="D1655" s="1057"/>
      <c r="E1655" s="1057"/>
      <c r="F1655" s="1057"/>
      <c r="G1655" s="1058"/>
      <c r="H1655" s="9" t="str">
        <f>IF(A1655="","",VLOOKUP(A1655,AA_Cuadrillas,4,FALSE))</f>
        <v/>
      </c>
      <c r="I1655" s="1059" t="str">
        <f>IF(A1655="","",VLOOKUP(A1655,AA_Cuadrillas,5,FALSE))</f>
        <v/>
      </c>
      <c r="J1655" s="1058"/>
      <c r="K1655" s="1" t="str">
        <f>IF(A1655="","",'06'!$J$3)</f>
        <v/>
      </c>
      <c r="L1655" s="32"/>
      <c r="M1655" s="1059" t="str">
        <f>IF(A1655="","",I1655*K1655*L1655)</f>
        <v/>
      </c>
      <c r="N1655" s="1058"/>
    </row>
    <row r="1656" spans="1:15" ht="12.75" customHeight="1" x14ac:dyDescent="0.25">
      <c r="A1656" s="1063"/>
      <c r="B1656" s="1057"/>
      <c r="C1656" s="1057"/>
      <c r="D1656" s="1057"/>
      <c r="E1656" s="1057"/>
      <c r="F1656" s="1057"/>
      <c r="G1656" s="1058"/>
      <c r="H1656" s="9" t="str">
        <f>IF(A1656="","",VLOOKUP(A1656,AA_Cuadrillas,4,FALSE))</f>
        <v/>
      </c>
      <c r="I1656" s="1059" t="str">
        <f>IF(A1656="","",VLOOKUP(A1656,AA_Cuadrillas,5,FALSE))</f>
        <v/>
      </c>
      <c r="J1656" s="1058"/>
      <c r="K1656" s="1" t="str">
        <f>IF(A1656="","",'06'!$J$3)</f>
        <v/>
      </c>
      <c r="L1656" s="1"/>
      <c r="M1656" s="1059" t="str">
        <f>IF(A1656="","",I1656*K1656*L1656)</f>
        <v/>
      </c>
      <c r="N1656" s="1058"/>
    </row>
    <row r="1657" spans="1:15" ht="12.75" customHeight="1" x14ac:dyDescent="0.25">
      <c r="A1657" s="1063"/>
      <c r="B1657" s="1057"/>
      <c r="C1657" s="1057"/>
      <c r="D1657" s="1057"/>
      <c r="E1657" s="1057"/>
      <c r="F1657" s="1057"/>
      <c r="G1657" s="1058"/>
      <c r="H1657" s="9" t="str">
        <f>IF(A1657="","",VLOOKUP(A1657,AA_Cuadrillas,4,FALSE))</f>
        <v/>
      </c>
      <c r="I1657" s="1059" t="str">
        <f>IF(A1657="","",VLOOKUP(A1657,AA_Cuadrillas,5,FALSE))</f>
        <v/>
      </c>
      <c r="J1657" s="1058"/>
      <c r="K1657" s="1" t="str">
        <f>IF(A1657="","",'06'!$J$3)</f>
        <v/>
      </c>
      <c r="L1657" s="10"/>
      <c r="M1657" s="1059" t="str">
        <f>IF(A1657="","",I1657*K1657*L1657)</f>
        <v/>
      </c>
      <c r="N1657" s="1058"/>
    </row>
    <row r="1658" spans="1:15" ht="12.75" customHeight="1" x14ac:dyDescent="0.25">
      <c r="A1658" s="1063"/>
      <c r="B1658" s="1057"/>
      <c r="C1658" s="1057"/>
      <c r="D1658" s="1057"/>
      <c r="E1658" s="1057"/>
      <c r="F1658" s="1057"/>
      <c r="G1658" s="1058"/>
      <c r="H1658" s="9" t="str">
        <f>IF(A1658="","",VLOOKUP(A1658,AA_Cuadrillas,4,FALSE))</f>
        <v/>
      </c>
      <c r="I1658" s="1059" t="str">
        <f>IF(A1658="","",VLOOKUP(A1658,AA_Cuadrillas,5,FALSE))</f>
        <v/>
      </c>
      <c r="J1658" s="1058"/>
      <c r="K1658" s="1" t="str">
        <f>IF(A1658="","",'06'!$J$3)</f>
        <v/>
      </c>
      <c r="L1658" s="10"/>
      <c r="M1658" s="1059" t="str">
        <f>IF(A1658="","",I1658*K1658*L1658)</f>
        <v/>
      </c>
      <c r="N1658" s="1058"/>
    </row>
    <row r="1659" spans="1:15" ht="12.75" customHeight="1" x14ac:dyDescent="0.25">
      <c r="A1659" s="1063"/>
      <c r="B1659" s="1057"/>
      <c r="C1659" s="1057"/>
      <c r="D1659" s="1057"/>
      <c r="E1659" s="1057"/>
      <c r="F1659" s="1057"/>
      <c r="G1659" s="1058"/>
      <c r="H1659" s="9" t="str">
        <f>IF(A1659="","",VLOOKUP(A1659,AA_Cuadrillas,4,FALSE))</f>
        <v/>
      </c>
      <c r="I1659" s="1059" t="str">
        <f>IF(A1659="","",VLOOKUP(A1659,AA_Cuadrillas,5,FALSE))</f>
        <v/>
      </c>
      <c r="J1659" s="1058"/>
      <c r="K1659" s="1" t="str">
        <f>IF(A1659="","",'06'!$J$3)</f>
        <v/>
      </c>
      <c r="L1659" s="10"/>
      <c r="M1659" s="1059" t="str">
        <f>IF(A1659="","",I1659*K1659*L1659)</f>
        <v/>
      </c>
      <c r="N1659" s="1058"/>
    </row>
    <row r="1660" spans="1:15" ht="12.75" customHeight="1" x14ac:dyDescent="0.25">
      <c r="A1660" s="3"/>
      <c r="B1660" s="3"/>
      <c r="C1660" s="3"/>
      <c r="D1660" s="3"/>
      <c r="E1660" s="3"/>
      <c r="F1660" s="3"/>
      <c r="G1660" s="3"/>
      <c r="H1660" s="3"/>
      <c r="I1660" s="3"/>
      <c r="J1660" s="3"/>
      <c r="K1660" s="1066" t="s">
        <v>201</v>
      </c>
      <c r="L1660" s="1058"/>
      <c r="M1660" s="1059">
        <f>SUM(M1655:N1659)</f>
        <v>0</v>
      </c>
      <c r="N1660" s="1058"/>
    </row>
    <row r="1661" spans="1:15" ht="12.75" customHeight="1" x14ac:dyDescent="0.2"/>
    <row r="1662" spans="1:15" ht="12.75" customHeight="1" x14ac:dyDescent="0.2">
      <c r="A1662" s="1072" t="s">
        <v>1704</v>
      </c>
      <c r="B1662" s="1052"/>
      <c r="C1662" s="1052"/>
      <c r="D1662" s="1052"/>
      <c r="E1662" s="1052"/>
      <c r="F1662" s="1052"/>
      <c r="G1662" s="1052"/>
      <c r="H1662" s="1052"/>
      <c r="I1662" s="1052"/>
      <c r="J1662" s="1052"/>
      <c r="K1662" s="1052"/>
      <c r="L1662" s="1052"/>
      <c r="M1662" s="1052"/>
      <c r="N1662" s="1053"/>
      <c r="O1662" s="7"/>
    </row>
    <row r="1663" spans="1:15" ht="12.75" customHeight="1" x14ac:dyDescent="0.2">
      <c r="A1663" s="1031"/>
      <c r="B1663" s="1032"/>
      <c r="C1663" s="1032"/>
      <c r="D1663" s="1032"/>
      <c r="E1663" s="1032"/>
      <c r="F1663" s="1032"/>
      <c r="G1663" s="1032"/>
      <c r="H1663" s="1032"/>
      <c r="I1663" s="1032"/>
      <c r="J1663" s="1032"/>
      <c r="K1663" s="1032"/>
      <c r="L1663" s="1032"/>
      <c r="M1663" s="1032"/>
      <c r="N1663" s="1055"/>
      <c r="O1663" s="7"/>
    </row>
    <row r="1664" spans="1:15" ht="12.75" customHeight="1" x14ac:dyDescent="0.2">
      <c r="A1664" s="16"/>
      <c r="B1664" s="16"/>
      <c r="C1664" s="16"/>
      <c r="D1664" s="16"/>
      <c r="E1664" s="16"/>
      <c r="F1664" s="16"/>
      <c r="G1664" s="16"/>
      <c r="H1664" s="16"/>
      <c r="I1664" s="16"/>
      <c r="J1664" s="16"/>
      <c r="K1664" s="16"/>
      <c r="L1664" s="16"/>
      <c r="M1664" s="16"/>
      <c r="N1664" s="16"/>
    </row>
    <row r="1665" spans="1:14" ht="12.75" customHeight="1" x14ac:dyDescent="0.3">
      <c r="A1665" s="18" t="s">
        <v>329</v>
      </c>
      <c r="B1665" s="19" t="str">
        <f>A1662</f>
        <v>RETIRO Y DISPOSICIÓN DE TUBERÍA HASTA 12"</v>
      </c>
      <c r="C1665" s="20" t="s">
        <v>382</v>
      </c>
      <c r="D1665" s="127" t="s">
        <v>419</v>
      </c>
      <c r="E1665" s="22" t="s">
        <v>125</v>
      </c>
      <c r="F1665" s="26">
        <f>(H1665+J1665+L1665+N1665)*$O$2</f>
        <v>7434.8672785139997</v>
      </c>
      <c r="G1665" s="22" t="s">
        <v>285</v>
      </c>
      <c r="H1665" s="26">
        <f>M1684</f>
        <v>146.84803217999999</v>
      </c>
      <c r="I1665" s="22" t="s">
        <v>383</v>
      </c>
      <c r="J1665" s="38">
        <f>M1675</f>
        <v>2500</v>
      </c>
      <c r="K1665" s="22" t="s">
        <v>287</v>
      </c>
      <c r="L1665" s="26">
        <f>M1693</f>
        <v>135.32</v>
      </c>
      <c r="M1665" s="22" t="s">
        <v>288</v>
      </c>
      <c r="N1665" s="26">
        <f>M1700</f>
        <v>2936.9606435999999</v>
      </c>
    </row>
    <row r="1666" spans="1:14" ht="12.75" customHeight="1" x14ac:dyDescent="0.25">
      <c r="A1666" s="27"/>
      <c r="B1666" s="27"/>
      <c r="C1666" s="27"/>
      <c r="D1666" s="27"/>
      <c r="E1666" s="27"/>
      <c r="F1666" s="27"/>
      <c r="G1666" s="27"/>
      <c r="J1666" s="27"/>
      <c r="K1666" s="27"/>
      <c r="L1666" s="27"/>
      <c r="M1666" s="27"/>
      <c r="N1666" s="27"/>
    </row>
    <row r="1667" spans="1:14" ht="12.75" customHeight="1" x14ac:dyDescent="0.2">
      <c r="A1667" s="1065" t="s">
        <v>384</v>
      </c>
      <c r="B1667" s="1057"/>
      <c r="C1667" s="1057"/>
      <c r="D1667" s="1057"/>
      <c r="E1667" s="1057"/>
      <c r="F1667" s="1057"/>
      <c r="G1667" s="1057"/>
      <c r="H1667" s="1057"/>
      <c r="I1667" s="1057"/>
      <c r="J1667" s="1057"/>
      <c r="K1667" s="1057"/>
      <c r="L1667" s="1057"/>
      <c r="M1667" s="1057"/>
      <c r="N1667" s="1058"/>
    </row>
    <row r="1668" spans="1:14" ht="12.75" customHeight="1" x14ac:dyDescent="0.2">
      <c r="A1668" s="1066" t="s">
        <v>38</v>
      </c>
      <c r="B1668" s="1057"/>
      <c r="C1668" s="1057"/>
      <c r="D1668" s="1057"/>
      <c r="E1668" s="1057"/>
      <c r="F1668" s="1057"/>
      <c r="G1668" s="1058"/>
      <c r="H1668" s="28" t="s">
        <v>39</v>
      </c>
      <c r="I1668" s="1062" t="s">
        <v>385</v>
      </c>
      <c r="J1668" s="1058"/>
      <c r="K1668" s="1062" t="s">
        <v>132</v>
      </c>
      <c r="L1668" s="1058"/>
      <c r="M1668" s="1062" t="s">
        <v>386</v>
      </c>
      <c r="N1668" s="1058"/>
    </row>
    <row r="1669" spans="1:14" ht="12.75" customHeight="1" x14ac:dyDescent="0.2">
      <c r="A1669" s="1061" t="s">
        <v>1547</v>
      </c>
      <c r="B1669" s="1057"/>
      <c r="C1669" s="1057"/>
      <c r="D1669" s="1057"/>
      <c r="E1669" s="1057"/>
      <c r="F1669" s="1057"/>
      <c r="G1669" s="1058"/>
      <c r="H1669" s="9" t="str">
        <f t="shared" ref="H1669:H1674" si="110">IF(A1669="","",VLOOKUP(A1669,AA_Materiales,7,FALSE))</f>
        <v>m3</v>
      </c>
      <c r="I1669" s="1059">
        <f t="shared" ref="I1669:I1674" si="111">IF(A1669="","",VLOOKUP(A1669,AA_Materiales,8,FALSE))</f>
        <v>2500</v>
      </c>
      <c r="J1669" s="1058"/>
      <c r="K1669" s="1060">
        <v>1</v>
      </c>
      <c r="L1669" s="1058"/>
      <c r="M1669" s="1059">
        <f t="shared" ref="M1669:M1674" si="112">IF(A1669="","",I1669*K1669)</f>
        <v>2500</v>
      </c>
      <c r="N1669" s="1058"/>
    </row>
    <row r="1670" spans="1:14" ht="12.75" customHeight="1" x14ac:dyDescent="0.2">
      <c r="A1670" s="1061"/>
      <c r="B1670" s="1057"/>
      <c r="C1670" s="1057"/>
      <c r="D1670" s="1057"/>
      <c r="E1670" s="1057"/>
      <c r="F1670" s="1057"/>
      <c r="G1670" s="1058"/>
      <c r="H1670" s="9" t="str">
        <f t="shared" si="110"/>
        <v/>
      </c>
      <c r="I1670" s="1059" t="str">
        <f t="shared" si="111"/>
        <v/>
      </c>
      <c r="J1670" s="1058"/>
      <c r="K1670" s="1060"/>
      <c r="L1670" s="1058"/>
      <c r="M1670" s="1059" t="str">
        <f t="shared" si="112"/>
        <v/>
      </c>
      <c r="N1670" s="1058"/>
    </row>
    <row r="1671" spans="1:14" ht="12.75" customHeight="1" x14ac:dyDescent="0.2">
      <c r="A1671" s="1061"/>
      <c r="B1671" s="1057"/>
      <c r="C1671" s="1057"/>
      <c r="D1671" s="1057"/>
      <c r="E1671" s="1057"/>
      <c r="F1671" s="1057"/>
      <c r="G1671" s="1058"/>
      <c r="H1671" s="9" t="str">
        <f t="shared" si="110"/>
        <v/>
      </c>
      <c r="I1671" s="1059" t="str">
        <f t="shared" si="111"/>
        <v/>
      </c>
      <c r="J1671" s="1058"/>
      <c r="K1671" s="1060"/>
      <c r="L1671" s="1058"/>
      <c r="M1671" s="1059" t="str">
        <f t="shared" si="112"/>
        <v/>
      </c>
      <c r="N1671" s="1058"/>
    </row>
    <row r="1672" spans="1:14" ht="12.75" customHeight="1" x14ac:dyDescent="0.2">
      <c r="A1672" s="1061"/>
      <c r="B1672" s="1057"/>
      <c r="C1672" s="1057"/>
      <c r="D1672" s="1057"/>
      <c r="E1672" s="1057"/>
      <c r="F1672" s="1057"/>
      <c r="G1672" s="1058"/>
      <c r="H1672" s="9" t="str">
        <f t="shared" si="110"/>
        <v/>
      </c>
      <c r="I1672" s="1059" t="str">
        <f t="shared" si="111"/>
        <v/>
      </c>
      <c r="J1672" s="1058"/>
      <c r="K1672" s="1060"/>
      <c r="L1672" s="1058"/>
      <c r="M1672" s="1059" t="str">
        <f t="shared" si="112"/>
        <v/>
      </c>
      <c r="N1672" s="1058"/>
    </row>
    <row r="1673" spans="1:14" ht="12.75" customHeight="1" x14ac:dyDescent="0.2">
      <c r="A1673" s="1061"/>
      <c r="B1673" s="1057"/>
      <c r="C1673" s="1057"/>
      <c r="D1673" s="1057"/>
      <c r="E1673" s="1057"/>
      <c r="F1673" s="1057"/>
      <c r="G1673" s="1058"/>
      <c r="H1673" s="9" t="str">
        <f t="shared" si="110"/>
        <v/>
      </c>
      <c r="I1673" s="1059" t="str">
        <f t="shared" si="111"/>
        <v/>
      </c>
      <c r="J1673" s="1058"/>
      <c r="K1673" s="1060"/>
      <c r="L1673" s="1058"/>
      <c r="M1673" s="1059" t="str">
        <f t="shared" si="112"/>
        <v/>
      </c>
      <c r="N1673" s="1058"/>
    </row>
    <row r="1674" spans="1:14" ht="12.75" customHeight="1" x14ac:dyDescent="0.2">
      <c r="A1674" s="1061"/>
      <c r="B1674" s="1057"/>
      <c r="C1674" s="1057"/>
      <c r="D1674" s="1057"/>
      <c r="E1674" s="1057"/>
      <c r="F1674" s="1057"/>
      <c r="G1674" s="1058"/>
      <c r="H1674" s="9" t="str">
        <f t="shared" si="110"/>
        <v/>
      </c>
      <c r="I1674" s="1059" t="str">
        <f t="shared" si="111"/>
        <v/>
      </c>
      <c r="J1674" s="1058"/>
      <c r="K1674" s="1060"/>
      <c r="L1674" s="1058"/>
      <c r="M1674" s="1059" t="str">
        <f t="shared" si="112"/>
        <v/>
      </c>
      <c r="N1674" s="1058"/>
    </row>
    <row r="1675" spans="1:14" ht="12.75" customHeight="1" x14ac:dyDescent="0.25">
      <c r="A1675" s="3"/>
      <c r="B1675" s="3"/>
      <c r="C1675" s="3"/>
      <c r="D1675" s="3"/>
      <c r="E1675" s="3"/>
      <c r="F1675" s="3"/>
      <c r="G1675" s="3"/>
      <c r="H1675" s="3"/>
      <c r="I1675" s="3"/>
      <c r="J1675" s="3"/>
      <c r="K1675" s="1066" t="s">
        <v>201</v>
      </c>
      <c r="L1675" s="1058"/>
      <c r="M1675" s="1059">
        <f>SUM(M1669:N1674)</f>
        <v>2500</v>
      </c>
      <c r="N1675" s="1058"/>
    </row>
    <row r="1676" spans="1:14" ht="12.75" customHeight="1" x14ac:dyDescent="0.25">
      <c r="A1676" s="3"/>
      <c r="B1676" s="3"/>
      <c r="C1676" s="3"/>
      <c r="D1676" s="3"/>
      <c r="E1676" s="3"/>
      <c r="F1676" s="3"/>
      <c r="G1676" s="3"/>
      <c r="H1676" s="3"/>
      <c r="I1676" s="3"/>
      <c r="J1676" s="3"/>
      <c r="K1676" s="3"/>
      <c r="L1676" s="3"/>
      <c r="M1676" s="3"/>
      <c r="N1676" s="3"/>
    </row>
    <row r="1677" spans="1:14" ht="12.75" customHeight="1" x14ac:dyDescent="0.2">
      <c r="A1677" s="1065" t="s">
        <v>390</v>
      </c>
      <c r="B1677" s="1057"/>
      <c r="C1677" s="1057"/>
      <c r="D1677" s="1057"/>
      <c r="E1677" s="1057"/>
      <c r="F1677" s="1057"/>
      <c r="G1677" s="1057"/>
      <c r="H1677" s="1057"/>
      <c r="I1677" s="1057"/>
      <c r="J1677" s="1057"/>
      <c r="K1677" s="1057"/>
      <c r="L1677" s="1057"/>
      <c r="M1677" s="1057"/>
      <c r="N1677" s="1058"/>
    </row>
    <row r="1678" spans="1:14" ht="12.75" customHeight="1" x14ac:dyDescent="0.2">
      <c r="A1678" s="1066" t="s">
        <v>38</v>
      </c>
      <c r="B1678" s="1057"/>
      <c r="C1678" s="1057"/>
      <c r="D1678" s="1057"/>
      <c r="E1678" s="1057"/>
      <c r="F1678" s="1057"/>
      <c r="G1678" s="1058"/>
      <c r="H1678" s="28" t="s">
        <v>39</v>
      </c>
      <c r="I1678" s="1062" t="s">
        <v>385</v>
      </c>
      <c r="J1678" s="1058"/>
      <c r="K1678" s="1062" t="s">
        <v>132</v>
      </c>
      <c r="L1678" s="1058"/>
      <c r="M1678" s="1062" t="s">
        <v>386</v>
      </c>
      <c r="N1678" s="1058"/>
    </row>
    <row r="1679" spans="1:14" ht="12.75" customHeight="1" x14ac:dyDescent="0.2">
      <c r="A1679" s="1061" t="s">
        <v>391</v>
      </c>
      <c r="B1679" s="1057"/>
      <c r="C1679" s="1057"/>
      <c r="D1679" s="1057"/>
      <c r="E1679" s="1057"/>
      <c r="F1679" s="1057"/>
      <c r="G1679" s="1058"/>
      <c r="H1679" s="9" t="str">
        <f>IF(A1679="","",VLOOKUP(A1679,AA_Equipos,7,FALSE))</f>
        <v>% M.O.</v>
      </c>
      <c r="I1679" s="1059">
        <f>+M1700</f>
        <v>2936.9606435999999</v>
      </c>
      <c r="J1679" s="1058"/>
      <c r="K1679" s="1064">
        <v>0.05</v>
      </c>
      <c r="L1679" s="1058"/>
      <c r="M1679" s="1059">
        <f>IF(A1679="","",I1679*K1679)</f>
        <v>146.84803217999999</v>
      </c>
      <c r="N1679" s="1058"/>
    </row>
    <row r="1680" spans="1:14" ht="12.75" customHeight="1" x14ac:dyDescent="0.2">
      <c r="A1680" s="1056"/>
      <c r="B1680" s="1057"/>
      <c r="C1680" s="1057"/>
      <c r="D1680" s="1057"/>
      <c r="E1680" s="1057"/>
      <c r="F1680" s="1057"/>
      <c r="G1680" s="1058"/>
      <c r="H1680" s="9" t="str">
        <f>IF(A1680="","",VLOOKUP(A1680,AA_Equipos,7,FALSE))</f>
        <v/>
      </c>
      <c r="I1680" s="1059" t="str">
        <f>IF(A1680="","",VLOOKUP(A1680,AA_Equipos,8,FALSE))</f>
        <v/>
      </c>
      <c r="J1680" s="1058"/>
      <c r="K1680" s="1067"/>
      <c r="L1680" s="1058"/>
      <c r="M1680" s="1059" t="str">
        <f>IF(A1680="","",I1680*K1680)</f>
        <v/>
      </c>
      <c r="N1680" s="1058"/>
    </row>
    <row r="1681" spans="1:14" ht="12.75" customHeight="1" x14ac:dyDescent="0.2">
      <c r="A1681" s="1061"/>
      <c r="B1681" s="1057"/>
      <c r="C1681" s="1057"/>
      <c r="D1681" s="1057"/>
      <c r="E1681" s="1057"/>
      <c r="F1681" s="1057"/>
      <c r="G1681" s="1058"/>
      <c r="H1681" s="9" t="str">
        <f>IF(A1681="","",VLOOKUP(A1681,AA_Equipos,7,FALSE))</f>
        <v/>
      </c>
      <c r="I1681" s="1059" t="str">
        <f>IF(A1681="","",VLOOKUP(A1681,AA_Equipos,8,FALSE))</f>
        <v/>
      </c>
      <c r="J1681" s="1058"/>
      <c r="K1681" s="1067"/>
      <c r="L1681" s="1058"/>
      <c r="M1681" s="1059" t="str">
        <f>IF(A1681="","",I1681*K1681)</f>
        <v/>
      </c>
      <c r="N1681" s="1058"/>
    </row>
    <row r="1682" spans="1:14" ht="12.75" customHeight="1" x14ac:dyDescent="0.2">
      <c r="A1682" s="1061"/>
      <c r="B1682" s="1057"/>
      <c r="C1682" s="1057"/>
      <c r="D1682" s="1057"/>
      <c r="E1682" s="1057"/>
      <c r="F1682" s="1057"/>
      <c r="G1682" s="1058"/>
      <c r="H1682" s="9" t="str">
        <f>IF(A1682="","",VLOOKUP(A1682,AA_Equipos,7,FALSE))</f>
        <v/>
      </c>
      <c r="I1682" s="1059" t="str">
        <f>IF(A1682="","",VLOOKUP(A1682,AA_Equipos,8,FALSE))</f>
        <v/>
      </c>
      <c r="J1682" s="1058"/>
      <c r="K1682" s="1067"/>
      <c r="L1682" s="1058"/>
      <c r="M1682" s="1059" t="str">
        <f>IF(A1682="","",I1682*K1682)</f>
        <v/>
      </c>
      <c r="N1682" s="1058"/>
    </row>
    <row r="1683" spans="1:14" ht="12.75" customHeight="1" x14ac:dyDescent="0.2">
      <c r="A1683" s="1061"/>
      <c r="B1683" s="1057"/>
      <c r="C1683" s="1057"/>
      <c r="D1683" s="1057"/>
      <c r="E1683" s="1057"/>
      <c r="F1683" s="1057"/>
      <c r="G1683" s="1058"/>
      <c r="H1683" s="9" t="str">
        <f>IF(A1683="","",VLOOKUP(A1683,AA_Equipos,7,FALSE))</f>
        <v/>
      </c>
      <c r="I1683" s="1059" t="str">
        <f>IF(A1683="","",VLOOKUP(A1683,AA_Equipos,8,FALSE))</f>
        <v/>
      </c>
      <c r="J1683" s="1058"/>
      <c r="K1683" s="1060"/>
      <c r="L1683" s="1058"/>
      <c r="M1683" s="1059" t="str">
        <f>IF(A1683="","",I1683*K1683)</f>
        <v/>
      </c>
      <c r="N1683" s="1058"/>
    </row>
    <row r="1684" spans="1:14" ht="12.75" customHeight="1" x14ac:dyDescent="0.25">
      <c r="A1684" s="3"/>
      <c r="B1684" s="3"/>
      <c r="C1684" s="3"/>
      <c r="D1684" s="3"/>
      <c r="E1684" s="3"/>
      <c r="F1684" s="3"/>
      <c r="G1684" s="3"/>
      <c r="H1684" s="3"/>
      <c r="I1684" s="3"/>
      <c r="J1684" s="3"/>
      <c r="K1684" s="1066" t="s">
        <v>201</v>
      </c>
      <c r="L1684" s="1058"/>
      <c r="M1684" s="1059">
        <f>SUM(M1679:N1683)</f>
        <v>146.84803217999999</v>
      </c>
      <c r="N1684" s="1058"/>
    </row>
    <row r="1685" spans="1:14" ht="12.75" customHeight="1" x14ac:dyDescent="0.25">
      <c r="A1685" s="3"/>
      <c r="B1685" s="3"/>
      <c r="C1685" s="3"/>
      <c r="D1685" s="3"/>
      <c r="E1685" s="3"/>
      <c r="F1685" s="3"/>
      <c r="G1685" s="3"/>
      <c r="H1685" s="3"/>
      <c r="I1685" s="3"/>
      <c r="J1685" s="3"/>
      <c r="K1685" s="3"/>
      <c r="L1685" s="3"/>
      <c r="M1685" s="3"/>
      <c r="N1685" s="3"/>
    </row>
    <row r="1686" spans="1:14" ht="12.75" customHeight="1" x14ac:dyDescent="0.2">
      <c r="A1686" s="1065" t="s">
        <v>392</v>
      </c>
      <c r="B1686" s="1057"/>
      <c r="C1686" s="1057"/>
      <c r="D1686" s="1057"/>
      <c r="E1686" s="1057"/>
      <c r="F1686" s="1057"/>
      <c r="G1686" s="1057"/>
      <c r="H1686" s="1057"/>
      <c r="I1686" s="1057"/>
      <c r="J1686" s="1057"/>
      <c r="K1686" s="1057"/>
      <c r="L1686" s="1057"/>
      <c r="M1686" s="1057"/>
      <c r="N1686" s="1058"/>
    </row>
    <row r="1687" spans="1:14" ht="12.75" customHeight="1" x14ac:dyDescent="0.2">
      <c r="A1687" s="1066" t="s">
        <v>38</v>
      </c>
      <c r="B1687" s="1057"/>
      <c r="C1687" s="1057"/>
      <c r="D1687" s="1057"/>
      <c r="E1687" s="1057"/>
      <c r="F1687" s="1057"/>
      <c r="G1687" s="1058"/>
      <c r="H1687" s="28" t="s">
        <v>132</v>
      </c>
      <c r="I1687" s="1062" t="s">
        <v>385</v>
      </c>
      <c r="J1687" s="1058"/>
      <c r="K1687" s="1062" t="s">
        <v>132</v>
      </c>
      <c r="L1687" s="1058"/>
      <c r="M1687" s="1062" t="s">
        <v>386</v>
      </c>
      <c r="N1687" s="1058"/>
    </row>
    <row r="1688" spans="1:14" ht="12.75" customHeight="1" x14ac:dyDescent="0.2">
      <c r="A1688" s="1061" t="s">
        <v>1932</v>
      </c>
      <c r="B1688" s="1057"/>
      <c r="C1688" s="1057"/>
      <c r="D1688" s="1057"/>
      <c r="E1688" s="1057"/>
      <c r="F1688" s="1057"/>
      <c r="G1688" s="1058"/>
      <c r="H1688" s="1">
        <f>+K1669</f>
        <v>1</v>
      </c>
      <c r="I1688" s="1059">
        <v>1.7</v>
      </c>
      <c r="J1688" s="1058"/>
      <c r="K1688" s="1082">
        <v>79.599999999999994</v>
      </c>
      <c r="L1688" s="1058"/>
      <c r="M1688" s="1059">
        <f>IF(A1688="","",H1688*I1688*K1688)</f>
        <v>135.32</v>
      </c>
      <c r="N1688" s="1058"/>
    </row>
    <row r="1689" spans="1:14" ht="12.75" customHeight="1" x14ac:dyDescent="0.2">
      <c r="A1689" s="1056"/>
      <c r="B1689" s="1057"/>
      <c r="C1689" s="1057"/>
      <c r="D1689" s="1057"/>
      <c r="E1689" s="1057"/>
      <c r="F1689" s="1057"/>
      <c r="G1689" s="1058"/>
      <c r="H1689" s="9"/>
      <c r="I1689" s="1059"/>
      <c r="J1689" s="1058"/>
      <c r="K1689" s="1064"/>
      <c r="L1689" s="1058"/>
      <c r="M1689" s="1059" t="str">
        <f>IF(A1689="","",I1689*K1689)</f>
        <v/>
      </c>
      <c r="N1689" s="1058"/>
    </row>
    <row r="1690" spans="1:14" ht="12.75" customHeight="1" x14ac:dyDescent="0.2">
      <c r="A1690" s="1061"/>
      <c r="B1690" s="1057"/>
      <c r="C1690" s="1057"/>
      <c r="D1690" s="1057"/>
      <c r="E1690" s="1057"/>
      <c r="F1690" s="1057"/>
      <c r="G1690" s="1058"/>
      <c r="H1690" s="9"/>
      <c r="I1690" s="1059"/>
      <c r="J1690" s="1058"/>
      <c r="K1690" s="1060"/>
      <c r="L1690" s="1058"/>
      <c r="M1690" s="1059" t="str">
        <f>IF(A1690="","",I1690*K1690)</f>
        <v/>
      </c>
      <c r="N1690" s="1058"/>
    </row>
    <row r="1691" spans="1:14" ht="12.75" customHeight="1" x14ac:dyDescent="0.2">
      <c r="A1691" s="1061"/>
      <c r="B1691" s="1057"/>
      <c r="C1691" s="1057"/>
      <c r="D1691" s="1057"/>
      <c r="E1691" s="1057"/>
      <c r="F1691" s="1057"/>
      <c r="G1691" s="1058"/>
      <c r="H1691" s="9"/>
      <c r="I1691" s="1059"/>
      <c r="J1691" s="1058"/>
      <c r="K1691" s="1060"/>
      <c r="L1691" s="1058"/>
      <c r="M1691" s="1059" t="str">
        <f>IF(A1691="","",I1691*K1691)</f>
        <v/>
      </c>
      <c r="N1691" s="1058"/>
    </row>
    <row r="1692" spans="1:14" ht="12.75" customHeight="1" x14ac:dyDescent="0.2">
      <c r="A1692" s="1061"/>
      <c r="B1692" s="1057"/>
      <c r="C1692" s="1057"/>
      <c r="D1692" s="1057"/>
      <c r="E1692" s="1057"/>
      <c r="F1692" s="1057"/>
      <c r="G1692" s="1058"/>
      <c r="H1692" s="9"/>
      <c r="I1692" s="1059"/>
      <c r="J1692" s="1058"/>
      <c r="K1692" s="1060"/>
      <c r="L1692" s="1058"/>
      <c r="M1692" s="1059" t="str">
        <f>IF(A1692="","",I1692*K1692)</f>
        <v/>
      </c>
      <c r="N1692" s="1058"/>
    </row>
    <row r="1693" spans="1:14" ht="12.75" customHeight="1" x14ac:dyDescent="0.25">
      <c r="A1693" s="3"/>
      <c r="B1693" s="3"/>
      <c r="C1693" s="3"/>
      <c r="D1693" s="3"/>
      <c r="E1693" s="3"/>
      <c r="F1693" s="3"/>
      <c r="G1693" s="3"/>
      <c r="H1693" s="3"/>
      <c r="I1693" s="3"/>
      <c r="J1693" s="3"/>
      <c r="K1693" s="1066" t="s">
        <v>201</v>
      </c>
      <c r="L1693" s="1058"/>
      <c r="M1693" s="1059">
        <f>SUM(M1688:N1692)</f>
        <v>135.32</v>
      </c>
      <c r="N1693" s="1058"/>
    </row>
    <row r="1694" spans="1:14" ht="12.75" customHeight="1" x14ac:dyDescent="0.25">
      <c r="A1694" s="3"/>
      <c r="B1694" s="3"/>
      <c r="C1694" s="3"/>
      <c r="D1694" s="3"/>
      <c r="E1694" s="3"/>
      <c r="F1694" s="3"/>
      <c r="G1694" s="3"/>
      <c r="H1694" s="3"/>
      <c r="I1694" s="3"/>
      <c r="J1694" s="3"/>
      <c r="K1694" s="3"/>
      <c r="L1694" s="3"/>
      <c r="M1694" s="3"/>
      <c r="N1694" s="3"/>
    </row>
    <row r="1695" spans="1:14" ht="12.75" customHeight="1" x14ac:dyDescent="0.2">
      <c r="A1695" s="1065" t="s">
        <v>394</v>
      </c>
      <c r="B1695" s="1057"/>
      <c r="C1695" s="1057"/>
      <c r="D1695" s="1057"/>
      <c r="E1695" s="1057"/>
      <c r="F1695" s="1057"/>
      <c r="G1695" s="1057"/>
      <c r="H1695" s="1057"/>
      <c r="I1695" s="1057"/>
      <c r="J1695" s="1057"/>
      <c r="K1695" s="1057"/>
      <c r="L1695" s="1057"/>
      <c r="M1695" s="1057"/>
      <c r="N1695" s="1058"/>
    </row>
    <row r="1696" spans="1:14" ht="12.75" customHeight="1" x14ac:dyDescent="0.2">
      <c r="A1696" s="1066" t="s">
        <v>38</v>
      </c>
      <c r="B1696" s="1057"/>
      <c r="C1696" s="1057"/>
      <c r="D1696" s="1057"/>
      <c r="E1696" s="1057"/>
      <c r="F1696" s="1057"/>
      <c r="G1696" s="1058"/>
      <c r="H1696" s="28" t="s">
        <v>39</v>
      </c>
      <c r="I1696" s="1062" t="s">
        <v>385</v>
      </c>
      <c r="J1696" s="1058"/>
      <c r="K1696" s="30" t="s">
        <v>193</v>
      </c>
      <c r="L1696" s="31" t="s">
        <v>395</v>
      </c>
      <c r="M1696" s="1062" t="s">
        <v>386</v>
      </c>
      <c r="N1696" s="1058"/>
    </row>
    <row r="1697" spans="1:15" ht="12.75" customHeight="1" x14ac:dyDescent="0.25">
      <c r="A1697" s="1063" t="s">
        <v>404</v>
      </c>
      <c r="B1697" s="1057"/>
      <c r="C1697" s="1057"/>
      <c r="D1697" s="1057"/>
      <c r="E1697" s="1057"/>
      <c r="F1697" s="1057"/>
      <c r="G1697" s="1058"/>
      <c r="H1697" s="9" t="str">
        <f>IF(A1697="","",VLOOKUP(A1697,AA_Cuadrillas,4,FALSE))</f>
        <v>Cuadrilla</v>
      </c>
      <c r="I1697" s="1059">
        <f>IF(A1697="","",VLOOKUP(A1697,AA_Cuadrillas,5,FALSE))</f>
        <v>213027</v>
      </c>
      <c r="J1697" s="1058"/>
      <c r="K1697" s="1">
        <f>IF(A1697="","",'06'!$J$3)</f>
        <v>1.7233500000000002</v>
      </c>
      <c r="L1697" s="32">
        <v>8.0000000000000002E-3</v>
      </c>
      <c r="M1697" s="1059">
        <f>IF(A1697="","",I1697*K1697*L1697)</f>
        <v>2936.9606435999999</v>
      </c>
      <c r="N1697" s="1058"/>
    </row>
    <row r="1698" spans="1:15" ht="12.75" customHeight="1" x14ac:dyDescent="0.25">
      <c r="A1698" s="1063"/>
      <c r="B1698" s="1057"/>
      <c r="C1698" s="1057"/>
      <c r="D1698" s="1057"/>
      <c r="E1698" s="1057"/>
      <c r="F1698" s="1057"/>
      <c r="G1698" s="1058"/>
      <c r="H1698" s="9" t="str">
        <f>IF(A1698="","",VLOOKUP(A1698,AA_Cuadrillas,4,FALSE))</f>
        <v/>
      </c>
      <c r="I1698" s="1059" t="str">
        <f>IF(A1698="","",VLOOKUP(A1698,AA_Cuadrillas,5,FALSE))</f>
        <v/>
      </c>
      <c r="J1698" s="1058"/>
      <c r="K1698" s="1" t="str">
        <f>IF(A1698="","",'06'!$J$3)</f>
        <v/>
      </c>
      <c r="L1698" s="10"/>
      <c r="M1698" s="1059" t="str">
        <f>IF(A1698="","",I1698*K1698*L1698)</f>
        <v/>
      </c>
      <c r="N1698" s="1058"/>
    </row>
    <row r="1699" spans="1:15" ht="12.75" customHeight="1" x14ac:dyDescent="0.25">
      <c r="A1699" s="1063"/>
      <c r="B1699" s="1057"/>
      <c r="C1699" s="1057"/>
      <c r="D1699" s="1057"/>
      <c r="E1699" s="1057"/>
      <c r="F1699" s="1057"/>
      <c r="G1699" s="1058"/>
      <c r="H1699" s="9" t="str">
        <f>IF(A1699="","",VLOOKUP(A1699,AA_Cuadrillas,4,FALSE))</f>
        <v/>
      </c>
      <c r="I1699" s="1059" t="str">
        <f>IF(A1699="","",VLOOKUP(A1699,AA_Cuadrillas,5,FALSE))</f>
        <v/>
      </c>
      <c r="J1699" s="1058"/>
      <c r="K1699" s="1" t="str">
        <f>IF(A1699="","",'06'!$J$3)</f>
        <v/>
      </c>
      <c r="L1699" s="10"/>
      <c r="M1699" s="1059" t="str">
        <f>IF(A1699="","",I1699*K1699*L1699)</f>
        <v/>
      </c>
      <c r="N1699" s="1058"/>
    </row>
    <row r="1700" spans="1:15" ht="12.75" customHeight="1" x14ac:dyDescent="0.25">
      <c r="A1700" s="3"/>
      <c r="B1700" s="3"/>
      <c r="C1700" s="3"/>
      <c r="D1700" s="3"/>
      <c r="E1700" s="3"/>
      <c r="F1700" s="3"/>
      <c r="G1700" s="3"/>
      <c r="H1700" s="3"/>
      <c r="I1700" s="3"/>
      <c r="J1700" s="3"/>
      <c r="K1700" s="1066" t="s">
        <v>201</v>
      </c>
      <c r="L1700" s="1058"/>
      <c r="M1700" s="1059">
        <f>SUM(M1697:N1699)</f>
        <v>2936.9606435999999</v>
      </c>
      <c r="N1700" s="1058"/>
    </row>
    <row r="1701" spans="1:15" ht="12.75" customHeight="1" x14ac:dyDescent="0.2"/>
    <row r="1702" spans="1:15" ht="12.75" customHeight="1" x14ac:dyDescent="0.2">
      <c r="A1702" s="1072" t="s">
        <v>1705</v>
      </c>
      <c r="B1702" s="1052"/>
      <c r="C1702" s="1052"/>
      <c r="D1702" s="1052"/>
      <c r="E1702" s="1052"/>
      <c r="F1702" s="1052"/>
      <c r="G1702" s="1052"/>
      <c r="H1702" s="1052"/>
      <c r="I1702" s="1052"/>
      <c r="J1702" s="1052"/>
      <c r="K1702" s="1052"/>
      <c r="L1702" s="1052"/>
      <c r="M1702" s="1052"/>
      <c r="N1702" s="1053"/>
      <c r="O1702" s="7"/>
    </row>
    <row r="1703" spans="1:15" ht="12.75" customHeight="1" x14ac:dyDescent="0.2">
      <c r="A1703" s="1031"/>
      <c r="B1703" s="1032"/>
      <c r="C1703" s="1032"/>
      <c r="D1703" s="1032"/>
      <c r="E1703" s="1032"/>
      <c r="F1703" s="1032"/>
      <c r="G1703" s="1032"/>
      <c r="H1703" s="1032"/>
      <c r="I1703" s="1032"/>
      <c r="J1703" s="1032"/>
      <c r="K1703" s="1032"/>
      <c r="L1703" s="1032"/>
      <c r="M1703" s="1032"/>
      <c r="N1703" s="1055"/>
      <c r="O1703" s="7"/>
    </row>
    <row r="1704" spans="1:15" ht="12.75" customHeight="1" x14ac:dyDescent="0.2">
      <c r="A1704" s="16"/>
      <c r="B1704" s="16"/>
      <c r="C1704" s="16"/>
      <c r="D1704" s="16"/>
      <c r="E1704" s="16"/>
      <c r="F1704" s="16"/>
      <c r="G1704" s="16"/>
      <c r="H1704" s="16"/>
      <c r="I1704" s="16"/>
      <c r="J1704" s="16"/>
      <c r="K1704" s="16"/>
      <c r="L1704" s="16"/>
      <c r="M1704" s="16"/>
      <c r="N1704" s="16"/>
    </row>
    <row r="1705" spans="1:15" ht="12.75" customHeight="1" x14ac:dyDescent="0.3">
      <c r="A1705" s="18" t="s">
        <v>330</v>
      </c>
      <c r="B1705" s="19" t="str">
        <f>A1702</f>
        <v>ENROCADO DE PROTECCIÓN (PIEDRA Y CONCRETO DE 17.2 MPA (2500 PSI))</v>
      </c>
      <c r="C1705" s="20" t="s">
        <v>382</v>
      </c>
      <c r="D1705" s="21" t="s">
        <v>399</v>
      </c>
      <c r="E1705" s="22" t="s">
        <v>125</v>
      </c>
      <c r="F1705" s="26">
        <f>(H1705+J1705+L1705+N1705)*$O$2</f>
        <v>847135.90853784618</v>
      </c>
      <c r="G1705" s="22" t="s">
        <v>285</v>
      </c>
      <c r="H1705" s="26">
        <f>M1724</f>
        <v>13540.680770937062</v>
      </c>
      <c r="I1705" s="22" t="s">
        <v>383</v>
      </c>
      <c r="J1705" s="36">
        <f>M1715</f>
        <v>387970</v>
      </c>
      <c r="K1705" s="22" t="s">
        <v>287</v>
      </c>
      <c r="L1705" s="26">
        <f>M1733</f>
        <v>0</v>
      </c>
      <c r="M1705" s="22" t="s">
        <v>288</v>
      </c>
      <c r="N1705" s="26">
        <f>M1742</f>
        <v>250132.32579663696</v>
      </c>
    </row>
    <row r="1706" spans="1:15" ht="12.75" customHeight="1" x14ac:dyDescent="0.25">
      <c r="A1706" s="27"/>
      <c r="B1706" s="27"/>
      <c r="C1706" s="27"/>
      <c r="D1706" s="27"/>
      <c r="E1706" s="27"/>
      <c r="F1706" s="27"/>
      <c r="G1706" s="27"/>
      <c r="J1706" s="27"/>
      <c r="K1706" s="27"/>
      <c r="L1706" s="27"/>
      <c r="M1706" s="27"/>
      <c r="N1706" s="27"/>
    </row>
    <row r="1707" spans="1:15" ht="12.75" customHeight="1" x14ac:dyDescent="0.2">
      <c r="A1707" s="1065" t="s">
        <v>384</v>
      </c>
      <c r="B1707" s="1057"/>
      <c r="C1707" s="1057"/>
      <c r="D1707" s="1057"/>
      <c r="E1707" s="1057"/>
      <c r="F1707" s="1057"/>
      <c r="G1707" s="1057"/>
      <c r="H1707" s="1057"/>
      <c r="I1707" s="1057"/>
      <c r="J1707" s="1057"/>
      <c r="K1707" s="1057"/>
      <c r="L1707" s="1057"/>
      <c r="M1707" s="1057"/>
      <c r="N1707" s="1058"/>
    </row>
    <row r="1708" spans="1:15" ht="12.75" customHeight="1" x14ac:dyDescent="0.2">
      <c r="A1708" s="1066" t="s">
        <v>38</v>
      </c>
      <c r="B1708" s="1057"/>
      <c r="C1708" s="1057"/>
      <c r="D1708" s="1057"/>
      <c r="E1708" s="1057"/>
      <c r="F1708" s="1057"/>
      <c r="G1708" s="1058"/>
      <c r="H1708" s="28" t="s">
        <v>39</v>
      </c>
      <c r="I1708" s="1062" t="s">
        <v>385</v>
      </c>
      <c r="J1708" s="1058"/>
      <c r="K1708" s="1062" t="s">
        <v>132</v>
      </c>
      <c r="L1708" s="1058"/>
      <c r="M1708" s="1062" t="s">
        <v>386</v>
      </c>
      <c r="N1708" s="1058"/>
    </row>
    <row r="1709" spans="1:15" ht="12.75" customHeight="1" x14ac:dyDescent="0.2">
      <c r="A1709" s="1061" t="s">
        <v>1587</v>
      </c>
      <c r="B1709" s="1057"/>
      <c r="C1709" s="1057"/>
      <c r="D1709" s="1057"/>
      <c r="E1709" s="1057"/>
      <c r="F1709" s="1057"/>
      <c r="G1709" s="1058"/>
      <c r="H1709" s="9" t="str">
        <f t="shared" ref="H1709:H1714" si="113">IF(A1709="","",VLOOKUP(A1709,AA_Materiales,7,FALSE))</f>
        <v>m3</v>
      </c>
      <c r="I1709" s="1059">
        <f t="shared" ref="I1709:I1714" si="114">IF(A1709="","",VLOOKUP(A1709,AA_Materiales,8,FALSE))</f>
        <v>83300</v>
      </c>
      <c r="J1709" s="1058"/>
      <c r="K1709" s="1060">
        <v>0.7</v>
      </c>
      <c r="L1709" s="1058"/>
      <c r="M1709" s="1059">
        <f t="shared" ref="M1709:M1714" si="115">IF(A1709="","",I1709*K1709)</f>
        <v>58309.999999999993</v>
      </c>
      <c r="N1709" s="1058"/>
    </row>
    <row r="1710" spans="1:15" ht="12.75" customHeight="1" x14ac:dyDescent="0.2">
      <c r="A1710" s="1061" t="s">
        <v>405</v>
      </c>
      <c r="B1710" s="1057"/>
      <c r="C1710" s="1057"/>
      <c r="D1710" s="1057"/>
      <c r="E1710" s="1057"/>
      <c r="F1710" s="1057"/>
      <c r="G1710" s="1058"/>
      <c r="H1710" s="9" t="str">
        <f t="shared" si="113"/>
        <v>Kg</v>
      </c>
      <c r="I1710" s="1059">
        <f t="shared" si="114"/>
        <v>646</v>
      </c>
      <c r="J1710" s="1058"/>
      <c r="K1710" s="1060">
        <v>350</v>
      </c>
      <c r="L1710" s="1058"/>
      <c r="M1710" s="1059">
        <f t="shared" si="115"/>
        <v>226100</v>
      </c>
      <c r="N1710" s="1058"/>
    </row>
    <row r="1711" spans="1:15" ht="12.75" customHeight="1" x14ac:dyDescent="0.2">
      <c r="A1711" s="1061" t="s">
        <v>1524</v>
      </c>
      <c r="B1711" s="1057"/>
      <c r="C1711" s="1057"/>
      <c r="D1711" s="1057"/>
      <c r="E1711" s="1057"/>
      <c r="F1711" s="1057"/>
      <c r="G1711" s="1058"/>
      <c r="H1711" s="9" t="str">
        <f t="shared" si="113"/>
        <v>m3</v>
      </c>
      <c r="I1711" s="1059">
        <f t="shared" si="114"/>
        <v>71400</v>
      </c>
      <c r="J1711" s="1058"/>
      <c r="K1711" s="1060">
        <v>0.6</v>
      </c>
      <c r="L1711" s="1058"/>
      <c r="M1711" s="1059">
        <f t="shared" si="115"/>
        <v>42840</v>
      </c>
      <c r="N1711" s="1058"/>
    </row>
    <row r="1712" spans="1:15" ht="12.75" customHeight="1" x14ac:dyDescent="0.2">
      <c r="A1712" s="1061" t="s">
        <v>1505</v>
      </c>
      <c r="B1712" s="1057"/>
      <c r="C1712" s="1057"/>
      <c r="D1712" s="1057"/>
      <c r="E1712" s="1057"/>
      <c r="F1712" s="1057"/>
      <c r="G1712" s="1058"/>
      <c r="H1712" s="9" t="str">
        <f t="shared" si="113"/>
        <v>m3</v>
      </c>
      <c r="I1712" s="1059">
        <f t="shared" si="114"/>
        <v>71400</v>
      </c>
      <c r="J1712" s="1058"/>
      <c r="K1712" s="1060">
        <v>0.8</v>
      </c>
      <c r="L1712" s="1058"/>
      <c r="M1712" s="1059">
        <f t="shared" si="115"/>
        <v>57120</v>
      </c>
      <c r="N1712" s="1058"/>
    </row>
    <row r="1713" spans="1:14" ht="12.75" customHeight="1" x14ac:dyDescent="0.2">
      <c r="A1713" s="1061" t="s">
        <v>408</v>
      </c>
      <c r="B1713" s="1057"/>
      <c r="C1713" s="1057"/>
      <c r="D1713" s="1057"/>
      <c r="E1713" s="1057"/>
      <c r="F1713" s="1057"/>
      <c r="G1713" s="1058"/>
      <c r="H1713" s="9" t="str">
        <f t="shared" si="113"/>
        <v>L</v>
      </c>
      <c r="I1713" s="1059">
        <f t="shared" si="114"/>
        <v>20</v>
      </c>
      <c r="J1713" s="1058"/>
      <c r="K1713" s="1060">
        <v>180</v>
      </c>
      <c r="L1713" s="1058"/>
      <c r="M1713" s="1059">
        <f t="shared" si="115"/>
        <v>3600</v>
      </c>
      <c r="N1713" s="1058"/>
    </row>
    <row r="1714" spans="1:14" ht="12.75" customHeight="1" x14ac:dyDescent="0.2">
      <c r="A1714" s="1061"/>
      <c r="B1714" s="1057"/>
      <c r="C1714" s="1057"/>
      <c r="D1714" s="1057"/>
      <c r="E1714" s="1057"/>
      <c r="F1714" s="1057"/>
      <c r="G1714" s="1058"/>
      <c r="H1714" s="9" t="str">
        <f t="shared" si="113"/>
        <v/>
      </c>
      <c r="I1714" s="1059" t="str">
        <f t="shared" si="114"/>
        <v/>
      </c>
      <c r="J1714" s="1058"/>
      <c r="K1714" s="1060"/>
      <c r="L1714" s="1058"/>
      <c r="M1714" s="1059" t="str">
        <f t="shared" si="115"/>
        <v/>
      </c>
      <c r="N1714" s="1058"/>
    </row>
    <row r="1715" spans="1:14" ht="12.75" customHeight="1" x14ac:dyDescent="0.25">
      <c r="A1715" s="3"/>
      <c r="B1715" s="3"/>
      <c r="C1715" s="3"/>
      <c r="D1715" s="3"/>
      <c r="E1715" s="3"/>
      <c r="F1715" s="3"/>
      <c r="G1715" s="3"/>
      <c r="H1715" s="3"/>
      <c r="I1715" s="3"/>
      <c r="J1715" s="3"/>
      <c r="K1715" s="1066" t="s">
        <v>201</v>
      </c>
      <c r="L1715" s="1058"/>
      <c r="M1715" s="1059">
        <f>SUM(M1709:N1714)</f>
        <v>387970</v>
      </c>
      <c r="N1715" s="1058"/>
    </row>
    <row r="1716" spans="1:14" ht="12.75" customHeight="1" x14ac:dyDescent="0.25">
      <c r="A1716" s="3"/>
      <c r="B1716" s="3"/>
      <c r="C1716" s="3"/>
      <c r="D1716" s="3"/>
      <c r="E1716" s="3"/>
      <c r="F1716" s="3"/>
      <c r="G1716" s="3"/>
      <c r="H1716" s="3"/>
      <c r="I1716" s="3"/>
      <c r="J1716" s="3"/>
      <c r="K1716" s="3"/>
      <c r="L1716" s="3"/>
      <c r="M1716" s="3"/>
      <c r="N1716" s="3"/>
    </row>
    <row r="1717" spans="1:14" ht="12.75" customHeight="1" x14ac:dyDescent="0.2">
      <c r="A1717" s="1065" t="s">
        <v>390</v>
      </c>
      <c r="B1717" s="1057"/>
      <c r="C1717" s="1057"/>
      <c r="D1717" s="1057"/>
      <c r="E1717" s="1057"/>
      <c r="F1717" s="1057"/>
      <c r="G1717" s="1057"/>
      <c r="H1717" s="1057"/>
      <c r="I1717" s="1057"/>
      <c r="J1717" s="1057"/>
      <c r="K1717" s="1057"/>
      <c r="L1717" s="1057"/>
      <c r="M1717" s="1057"/>
      <c r="N1717" s="1058"/>
    </row>
    <row r="1718" spans="1:14" ht="12.75" customHeight="1" x14ac:dyDescent="0.2">
      <c r="A1718" s="1066" t="s">
        <v>38</v>
      </c>
      <c r="B1718" s="1057"/>
      <c r="C1718" s="1057"/>
      <c r="D1718" s="1057"/>
      <c r="E1718" s="1057"/>
      <c r="F1718" s="1057"/>
      <c r="G1718" s="1058"/>
      <c r="H1718" s="28" t="s">
        <v>39</v>
      </c>
      <c r="I1718" s="1062" t="s">
        <v>385</v>
      </c>
      <c r="J1718" s="1058"/>
      <c r="K1718" s="1062" t="s">
        <v>132</v>
      </c>
      <c r="L1718" s="1058"/>
      <c r="M1718" s="1062" t="s">
        <v>386</v>
      </c>
      <c r="N1718" s="1058"/>
    </row>
    <row r="1719" spans="1:14" ht="12.75" customHeight="1" x14ac:dyDescent="0.2">
      <c r="A1719" s="1061" t="s">
        <v>391</v>
      </c>
      <c r="B1719" s="1057"/>
      <c r="C1719" s="1057"/>
      <c r="D1719" s="1057"/>
      <c r="E1719" s="1057"/>
      <c r="F1719" s="1057"/>
      <c r="G1719" s="1058"/>
      <c r="H1719" s="9" t="str">
        <f>IF(A1719="","",VLOOKUP(A1719,AA_Equipos,7,FALSE))</f>
        <v>% M.O.</v>
      </c>
      <c r="I1719" s="1059">
        <f>M1742</f>
        <v>250132.32579663696</v>
      </c>
      <c r="J1719" s="1058"/>
      <c r="K1719" s="1064">
        <v>0.05</v>
      </c>
      <c r="L1719" s="1058"/>
      <c r="M1719" s="1059">
        <f>IF(A1719="","",I1719*K1719)</f>
        <v>12506.616289831849</v>
      </c>
      <c r="N1719" s="1058"/>
    </row>
    <row r="1720" spans="1:14" ht="12.75" customHeight="1" x14ac:dyDescent="0.2">
      <c r="A1720" s="1056" t="s">
        <v>1612</v>
      </c>
      <c r="B1720" s="1057"/>
      <c r="C1720" s="1057"/>
      <c r="D1720" s="1057"/>
      <c r="E1720" s="1057"/>
      <c r="F1720" s="1057"/>
      <c r="G1720" s="1058"/>
      <c r="H1720" s="9" t="str">
        <f>IF(A1720="","",VLOOKUP(A1720,AA_Equipos,7,FALSE))</f>
        <v>Hora</v>
      </c>
      <c r="I1720" s="1059">
        <f>IF(A1720="","",VLOOKUP(A1720,AA_Equipos,8,FALSE))</f>
        <v>13784.079533132501</v>
      </c>
      <c r="J1720" s="1058"/>
      <c r="K1720" s="1067">
        <v>13.33</v>
      </c>
      <c r="L1720" s="1058"/>
      <c r="M1720" s="1059">
        <f>IF(A1720="","",I1720/K1720)</f>
        <v>1034.0644811052139</v>
      </c>
      <c r="N1720" s="1058"/>
    </row>
    <row r="1721" spans="1:14" ht="12.75" customHeight="1" x14ac:dyDescent="0.2">
      <c r="A1721" s="1061"/>
      <c r="B1721" s="1057"/>
      <c r="C1721" s="1057"/>
      <c r="D1721" s="1057"/>
      <c r="E1721" s="1057"/>
      <c r="F1721" s="1057"/>
      <c r="G1721" s="1058"/>
      <c r="H1721" s="9" t="str">
        <f>IF(A1721="","",VLOOKUP(A1721,AA_Equipos,7,FALSE))</f>
        <v/>
      </c>
      <c r="I1721" s="1059" t="str">
        <f>IF(A1721="","",VLOOKUP(A1721,AA_Equipos,8,FALSE))</f>
        <v/>
      </c>
      <c r="J1721" s="1058"/>
      <c r="K1721" s="1060"/>
      <c r="L1721" s="1058"/>
      <c r="M1721" s="1059" t="str">
        <f>IF(A1721="","",I1721*K1721)</f>
        <v/>
      </c>
      <c r="N1721" s="1058"/>
    </row>
    <row r="1722" spans="1:14" ht="12.75" customHeight="1" x14ac:dyDescent="0.2">
      <c r="A1722" s="1061"/>
      <c r="B1722" s="1057"/>
      <c r="C1722" s="1057"/>
      <c r="D1722" s="1057"/>
      <c r="E1722" s="1057"/>
      <c r="F1722" s="1057"/>
      <c r="G1722" s="1058"/>
      <c r="H1722" s="9" t="str">
        <f>IF(A1722="","",VLOOKUP(A1722,AA_Equipos,7,FALSE))</f>
        <v/>
      </c>
      <c r="I1722" s="1059" t="str">
        <f>IF(A1722="","",VLOOKUP(A1722,AA_Equipos,8,FALSE))</f>
        <v/>
      </c>
      <c r="J1722" s="1058"/>
      <c r="K1722" s="1060"/>
      <c r="L1722" s="1058"/>
      <c r="M1722" s="1059" t="str">
        <f>IF(A1722="","",I1722*K1722)</f>
        <v/>
      </c>
      <c r="N1722" s="1058"/>
    </row>
    <row r="1723" spans="1:14" ht="12.75" customHeight="1" x14ac:dyDescent="0.2">
      <c r="A1723" s="1061"/>
      <c r="B1723" s="1057"/>
      <c r="C1723" s="1057"/>
      <c r="D1723" s="1057"/>
      <c r="E1723" s="1057"/>
      <c r="F1723" s="1057"/>
      <c r="G1723" s="1058"/>
      <c r="H1723" s="9" t="str">
        <f>IF(A1723="","",VLOOKUP(A1723,AA_Equipos,7,FALSE))</f>
        <v/>
      </c>
      <c r="I1723" s="1059" t="str">
        <f>IF(A1723="","",VLOOKUP(A1723,AA_Equipos,8,FALSE))</f>
        <v/>
      </c>
      <c r="J1723" s="1058"/>
      <c r="K1723" s="1060"/>
      <c r="L1723" s="1058"/>
      <c r="M1723" s="1059" t="str">
        <f>IF(A1723="","",I1723*K1723)</f>
        <v/>
      </c>
      <c r="N1723" s="1058"/>
    </row>
    <row r="1724" spans="1:14" ht="12.75" customHeight="1" x14ac:dyDescent="0.25">
      <c r="A1724" s="3"/>
      <c r="B1724" s="3"/>
      <c r="C1724" s="3"/>
      <c r="D1724" s="3"/>
      <c r="E1724" s="3"/>
      <c r="F1724" s="3"/>
      <c r="G1724" s="3"/>
      <c r="H1724" s="3"/>
      <c r="I1724" s="3"/>
      <c r="J1724" s="3"/>
      <c r="K1724" s="1066" t="s">
        <v>201</v>
      </c>
      <c r="L1724" s="1058"/>
      <c r="M1724" s="1059">
        <f>SUM(M1719:N1723)</f>
        <v>13540.680770937062</v>
      </c>
      <c r="N1724" s="1058"/>
    </row>
    <row r="1725" spans="1:14" ht="12.75" customHeight="1" x14ac:dyDescent="0.25">
      <c r="A1725" s="3"/>
      <c r="B1725" s="3"/>
      <c r="C1725" s="3"/>
      <c r="D1725" s="3"/>
      <c r="E1725" s="3"/>
      <c r="F1725" s="3"/>
      <c r="G1725" s="3"/>
      <c r="H1725" s="3"/>
      <c r="I1725" s="3"/>
      <c r="J1725" s="3"/>
      <c r="K1725" s="3"/>
      <c r="L1725" s="3"/>
      <c r="M1725" s="3"/>
      <c r="N1725" s="3"/>
    </row>
    <row r="1726" spans="1:14" ht="12.75" customHeight="1" x14ac:dyDescent="0.2">
      <c r="A1726" s="1065" t="s">
        <v>392</v>
      </c>
      <c r="B1726" s="1057"/>
      <c r="C1726" s="1057"/>
      <c r="D1726" s="1057"/>
      <c r="E1726" s="1057"/>
      <c r="F1726" s="1057"/>
      <c r="G1726" s="1057"/>
      <c r="H1726" s="1057"/>
      <c r="I1726" s="1057"/>
      <c r="J1726" s="1057"/>
      <c r="K1726" s="1057"/>
      <c r="L1726" s="1057"/>
      <c r="M1726" s="1057"/>
      <c r="N1726" s="1058"/>
    </row>
    <row r="1727" spans="1:14" ht="12.75" customHeight="1" x14ac:dyDescent="0.2">
      <c r="A1727" s="1066" t="s">
        <v>38</v>
      </c>
      <c r="B1727" s="1057"/>
      <c r="C1727" s="1057"/>
      <c r="D1727" s="1057"/>
      <c r="E1727" s="1057"/>
      <c r="F1727" s="1057"/>
      <c r="G1727" s="1058"/>
      <c r="H1727" s="28" t="s">
        <v>39</v>
      </c>
      <c r="I1727" s="1062" t="s">
        <v>385</v>
      </c>
      <c r="J1727" s="1058"/>
      <c r="K1727" s="1062" t="s">
        <v>132</v>
      </c>
      <c r="L1727" s="1058"/>
      <c r="M1727" s="1062" t="s">
        <v>386</v>
      </c>
      <c r="N1727" s="1058"/>
    </row>
    <row r="1728" spans="1:14" ht="12.75" customHeight="1" x14ac:dyDescent="0.2">
      <c r="A1728" s="1061"/>
      <c r="B1728" s="1057"/>
      <c r="C1728" s="1057"/>
      <c r="D1728" s="1057"/>
      <c r="E1728" s="1057"/>
      <c r="F1728" s="1057"/>
      <c r="G1728" s="1058"/>
      <c r="H1728" s="9" t="s">
        <v>409</v>
      </c>
      <c r="I1728" s="1059"/>
      <c r="J1728" s="1058"/>
      <c r="K1728" s="1064"/>
      <c r="L1728" s="1058"/>
      <c r="M1728" s="1059" t="str">
        <f>IF(A1728="","",I1728*K1728)</f>
        <v/>
      </c>
      <c r="N1728" s="1058"/>
    </row>
    <row r="1729" spans="1:15" ht="12.75" customHeight="1" x14ac:dyDescent="0.2">
      <c r="A1729" s="1056"/>
      <c r="B1729" s="1057"/>
      <c r="C1729" s="1057"/>
      <c r="D1729" s="1057"/>
      <c r="E1729" s="1057"/>
      <c r="F1729" s="1057"/>
      <c r="G1729" s="1058"/>
      <c r="H1729" s="9" t="s">
        <v>414</v>
      </c>
      <c r="I1729" s="1059"/>
      <c r="J1729" s="1058"/>
      <c r="K1729" s="1060"/>
      <c r="L1729" s="1058"/>
      <c r="M1729" s="1059" t="str">
        <f>IF(A1729="","",I1729*K1729)</f>
        <v/>
      </c>
      <c r="N1729" s="1058"/>
    </row>
    <row r="1730" spans="1:15" ht="12.75" customHeight="1" x14ac:dyDescent="0.2">
      <c r="A1730" s="1061"/>
      <c r="B1730" s="1057"/>
      <c r="C1730" s="1057"/>
      <c r="D1730" s="1057"/>
      <c r="E1730" s="1057"/>
      <c r="F1730" s="1057"/>
      <c r="G1730" s="1058"/>
      <c r="H1730" s="9"/>
      <c r="I1730" s="1059"/>
      <c r="J1730" s="1058"/>
      <c r="K1730" s="1060"/>
      <c r="L1730" s="1058"/>
      <c r="M1730" s="1059" t="str">
        <f>IF(A1730="","",I1730*K1730)</f>
        <v/>
      </c>
      <c r="N1730" s="1058"/>
    </row>
    <row r="1731" spans="1:15" ht="12.75" customHeight="1" x14ac:dyDescent="0.2">
      <c r="A1731" s="1061"/>
      <c r="B1731" s="1057"/>
      <c r="C1731" s="1057"/>
      <c r="D1731" s="1057"/>
      <c r="E1731" s="1057"/>
      <c r="F1731" s="1057"/>
      <c r="G1731" s="1058"/>
      <c r="H1731" s="9"/>
      <c r="I1731" s="1059"/>
      <c r="J1731" s="1058"/>
      <c r="K1731" s="1060"/>
      <c r="L1731" s="1058"/>
      <c r="M1731" s="1059" t="str">
        <f>IF(A1731="","",I1731*K1731)</f>
        <v/>
      </c>
      <c r="N1731" s="1058"/>
    </row>
    <row r="1732" spans="1:15" ht="12.75" customHeight="1" x14ac:dyDescent="0.2">
      <c r="A1732" s="1061"/>
      <c r="B1732" s="1057"/>
      <c r="C1732" s="1057"/>
      <c r="D1732" s="1057"/>
      <c r="E1732" s="1057"/>
      <c r="F1732" s="1057"/>
      <c r="G1732" s="1058"/>
      <c r="H1732" s="9"/>
      <c r="I1732" s="1059"/>
      <c r="J1732" s="1058"/>
      <c r="K1732" s="1060"/>
      <c r="L1732" s="1058"/>
      <c r="M1732" s="1059" t="str">
        <f>IF(A1732="","",I1732*K1732)</f>
        <v/>
      </c>
      <c r="N1732" s="1058"/>
    </row>
    <row r="1733" spans="1:15" ht="12.75" customHeight="1" x14ac:dyDescent="0.25">
      <c r="A1733" s="3"/>
      <c r="B1733" s="3"/>
      <c r="C1733" s="3"/>
      <c r="D1733" s="3"/>
      <c r="E1733" s="3"/>
      <c r="F1733" s="3"/>
      <c r="G1733" s="3"/>
      <c r="H1733" s="3"/>
      <c r="I1733" s="3"/>
      <c r="J1733" s="3"/>
      <c r="K1733" s="1066" t="s">
        <v>201</v>
      </c>
      <c r="L1733" s="1058"/>
      <c r="M1733" s="1059">
        <f>SUM(M1728:N1732)</f>
        <v>0</v>
      </c>
      <c r="N1733" s="1058"/>
    </row>
    <row r="1734" spans="1:15" ht="12.75" customHeight="1" x14ac:dyDescent="0.25">
      <c r="A1734" s="3"/>
      <c r="B1734" s="3"/>
      <c r="C1734" s="3"/>
      <c r="D1734" s="3"/>
      <c r="E1734" s="3"/>
      <c r="F1734" s="3"/>
      <c r="G1734" s="3"/>
      <c r="H1734" s="3"/>
      <c r="I1734" s="3"/>
      <c r="J1734" s="3"/>
      <c r="K1734" s="3"/>
      <c r="L1734" s="3"/>
      <c r="M1734" s="3"/>
      <c r="N1734" s="3"/>
    </row>
    <row r="1735" spans="1:15" ht="12.75" customHeight="1" x14ac:dyDescent="0.2">
      <c r="A1735" s="1065" t="s">
        <v>394</v>
      </c>
      <c r="B1735" s="1057"/>
      <c r="C1735" s="1057"/>
      <c r="D1735" s="1057"/>
      <c r="E1735" s="1057"/>
      <c r="F1735" s="1057"/>
      <c r="G1735" s="1057"/>
      <c r="H1735" s="1057"/>
      <c r="I1735" s="1057"/>
      <c r="J1735" s="1057"/>
      <c r="K1735" s="1057"/>
      <c r="L1735" s="1057"/>
      <c r="M1735" s="1057"/>
      <c r="N1735" s="1058"/>
    </row>
    <row r="1736" spans="1:15" ht="12.75" customHeight="1" x14ac:dyDescent="0.2">
      <c r="A1736" s="1066" t="s">
        <v>38</v>
      </c>
      <c r="B1736" s="1057"/>
      <c r="C1736" s="1057"/>
      <c r="D1736" s="1057"/>
      <c r="E1736" s="1057"/>
      <c r="F1736" s="1057"/>
      <c r="G1736" s="1058"/>
      <c r="H1736" s="28" t="s">
        <v>39</v>
      </c>
      <c r="I1736" s="1062" t="s">
        <v>385</v>
      </c>
      <c r="J1736" s="1058"/>
      <c r="K1736" s="30" t="s">
        <v>193</v>
      </c>
      <c r="L1736" s="31" t="s">
        <v>395</v>
      </c>
      <c r="M1736" s="1062" t="s">
        <v>386</v>
      </c>
      <c r="N1736" s="1058"/>
    </row>
    <row r="1737" spans="1:15" ht="12.75" customHeight="1" x14ac:dyDescent="0.25">
      <c r="A1737" s="1063" t="s">
        <v>411</v>
      </c>
      <c r="B1737" s="1057"/>
      <c r="C1737" s="1057"/>
      <c r="D1737" s="1057"/>
      <c r="E1737" s="1057"/>
      <c r="F1737" s="1057"/>
      <c r="G1737" s="1058"/>
      <c r="H1737" s="9" t="str">
        <f>IF(A1737="","",VLOOKUP(A1737,AA_Cuadrillas,4,FALSE))</f>
        <v>Cuadrilla</v>
      </c>
      <c r="I1737" s="1059">
        <f>IF(A1737="","",VLOOKUP(A1737,AA_Cuadrillas,5,FALSE))</f>
        <v>414381</v>
      </c>
      <c r="J1737" s="1058"/>
      <c r="K1737" s="1">
        <f>IF(A1737="","",'06'!$J$3)</f>
        <v>1.7233500000000002</v>
      </c>
      <c r="L1737" s="32">
        <v>0.35026480304191571</v>
      </c>
      <c r="M1737" s="1059">
        <f>IF(A1737="","",I1737*K1737*L1737)</f>
        <v>250132.32579663696</v>
      </c>
      <c r="N1737" s="1058"/>
    </row>
    <row r="1738" spans="1:15" ht="12.75" customHeight="1" x14ac:dyDescent="0.25">
      <c r="A1738" s="1063"/>
      <c r="B1738" s="1057"/>
      <c r="C1738" s="1057"/>
      <c r="D1738" s="1057"/>
      <c r="E1738" s="1057"/>
      <c r="F1738" s="1057"/>
      <c r="G1738" s="1058"/>
      <c r="H1738" s="9" t="str">
        <f>IF(A1738="","",VLOOKUP(A1738,AA_Cuadrillas,4,FALSE))</f>
        <v/>
      </c>
      <c r="I1738" s="1059" t="str">
        <f>IF(A1738="","",VLOOKUP(A1738,AA_Cuadrillas,5,FALSE))</f>
        <v/>
      </c>
      <c r="J1738" s="1058"/>
      <c r="K1738" s="1" t="str">
        <f>IF(A1738="","",'06'!$J$3)</f>
        <v/>
      </c>
      <c r="L1738" s="1"/>
      <c r="M1738" s="1059" t="str">
        <f>IF(A1738="","",I1738*K1738*L1738)</f>
        <v/>
      </c>
      <c r="N1738" s="1058"/>
    </row>
    <row r="1739" spans="1:15" ht="12.75" customHeight="1" x14ac:dyDescent="0.25">
      <c r="A1739" s="1063"/>
      <c r="B1739" s="1057"/>
      <c r="C1739" s="1057"/>
      <c r="D1739" s="1057"/>
      <c r="E1739" s="1057"/>
      <c r="F1739" s="1057"/>
      <c r="G1739" s="1058"/>
      <c r="H1739" s="9" t="str">
        <f>IF(A1739="","",VLOOKUP(A1739,AA_Cuadrillas,4,FALSE))</f>
        <v/>
      </c>
      <c r="I1739" s="1059" t="str">
        <f>IF(A1739="","",VLOOKUP(A1739,AA_Cuadrillas,5,FALSE))</f>
        <v/>
      </c>
      <c r="J1739" s="1058"/>
      <c r="K1739" s="1" t="str">
        <f>IF(A1739="","",'06'!$J$3)</f>
        <v/>
      </c>
      <c r="L1739" s="10"/>
      <c r="M1739" s="1059" t="str">
        <f>IF(A1739="","",I1739*K1739*L1739)</f>
        <v/>
      </c>
      <c r="N1739" s="1058"/>
    </row>
    <row r="1740" spans="1:15" ht="12.75" customHeight="1" x14ac:dyDescent="0.25">
      <c r="A1740" s="1063"/>
      <c r="B1740" s="1057"/>
      <c r="C1740" s="1057"/>
      <c r="D1740" s="1057"/>
      <c r="E1740" s="1057"/>
      <c r="F1740" s="1057"/>
      <c r="G1740" s="1058"/>
      <c r="H1740" s="9" t="str">
        <f>IF(A1740="","",VLOOKUP(A1740,AA_Cuadrillas,4,FALSE))</f>
        <v/>
      </c>
      <c r="I1740" s="1059" t="str">
        <f>IF(A1740="","",VLOOKUP(A1740,AA_Cuadrillas,5,FALSE))</f>
        <v/>
      </c>
      <c r="J1740" s="1058"/>
      <c r="K1740" s="1" t="str">
        <f>IF(A1740="","",'06'!$J$3)</f>
        <v/>
      </c>
      <c r="L1740" s="10"/>
      <c r="M1740" s="1059" t="str">
        <f>IF(A1740="","",I1740*K1740*L1740)</f>
        <v/>
      </c>
      <c r="N1740" s="1058"/>
    </row>
    <row r="1741" spans="1:15" ht="12.75" customHeight="1" x14ac:dyDescent="0.25">
      <c r="A1741" s="1063"/>
      <c r="B1741" s="1057"/>
      <c r="C1741" s="1057"/>
      <c r="D1741" s="1057"/>
      <c r="E1741" s="1057"/>
      <c r="F1741" s="1057"/>
      <c r="G1741" s="1058"/>
      <c r="H1741" s="9" t="str">
        <f>IF(A1741="","",VLOOKUP(A1741,AA_Cuadrillas,4,FALSE))</f>
        <v/>
      </c>
      <c r="I1741" s="1059" t="str">
        <f>IF(A1741="","",VLOOKUP(A1741,AA_Cuadrillas,5,FALSE))</f>
        <v/>
      </c>
      <c r="J1741" s="1058"/>
      <c r="K1741" s="1" t="str">
        <f>IF(A1741="","",'06'!$J$3)</f>
        <v/>
      </c>
      <c r="L1741" s="10"/>
      <c r="M1741" s="1059" t="str">
        <f>IF(A1741="","",I1741*K1741*L1741)</f>
        <v/>
      </c>
      <c r="N1741" s="1058"/>
    </row>
    <row r="1742" spans="1:15" ht="12.75" customHeight="1" x14ac:dyDescent="0.25">
      <c r="A1742" s="3"/>
      <c r="B1742" s="3"/>
      <c r="C1742" s="3"/>
      <c r="D1742" s="3"/>
      <c r="E1742" s="3"/>
      <c r="F1742" s="3"/>
      <c r="G1742" s="3"/>
      <c r="H1742" s="3"/>
      <c r="I1742" s="3"/>
      <c r="J1742" s="3"/>
      <c r="K1742" s="1066" t="s">
        <v>201</v>
      </c>
      <c r="L1742" s="1058"/>
      <c r="M1742" s="1059">
        <f>SUM(M1737:N1741)</f>
        <v>250132.32579663696</v>
      </c>
      <c r="N1742" s="1058"/>
    </row>
    <row r="1743" spans="1:15" ht="12.75" customHeight="1" x14ac:dyDescent="0.2"/>
    <row r="1744" spans="1:15" ht="12.75" customHeight="1" x14ac:dyDescent="0.2">
      <c r="A1744" s="1072" t="s">
        <v>1706</v>
      </c>
      <c r="B1744" s="1052"/>
      <c r="C1744" s="1052"/>
      <c r="D1744" s="1052"/>
      <c r="E1744" s="1052"/>
      <c r="F1744" s="1052"/>
      <c r="G1744" s="1052"/>
      <c r="H1744" s="1052"/>
      <c r="I1744" s="1052"/>
      <c r="J1744" s="1052"/>
      <c r="K1744" s="1052"/>
      <c r="L1744" s="1052"/>
      <c r="M1744" s="1052"/>
      <c r="N1744" s="1053"/>
      <c r="O1744" s="7"/>
    </row>
    <row r="1745" spans="1:15" ht="12.75" customHeight="1" x14ac:dyDescent="0.2">
      <c r="A1745" s="1031"/>
      <c r="B1745" s="1032"/>
      <c r="C1745" s="1032"/>
      <c r="D1745" s="1032"/>
      <c r="E1745" s="1032"/>
      <c r="F1745" s="1032"/>
      <c r="G1745" s="1032"/>
      <c r="H1745" s="1032"/>
      <c r="I1745" s="1032"/>
      <c r="J1745" s="1032"/>
      <c r="K1745" s="1032"/>
      <c r="L1745" s="1032"/>
      <c r="M1745" s="1032"/>
      <c r="N1745" s="1055"/>
      <c r="O1745" s="7"/>
    </row>
    <row r="1746" spans="1:15" ht="12.75" customHeight="1" x14ac:dyDescent="0.2">
      <c r="A1746" s="16"/>
      <c r="B1746" s="16"/>
      <c r="C1746" s="16"/>
      <c r="D1746" s="16"/>
      <c r="E1746" s="16"/>
      <c r="F1746" s="16"/>
      <c r="G1746" s="16"/>
      <c r="H1746" s="16"/>
      <c r="I1746" s="16"/>
      <c r="J1746" s="16"/>
      <c r="K1746" s="16"/>
      <c r="L1746" s="16"/>
      <c r="M1746" s="16"/>
      <c r="N1746" s="16"/>
    </row>
    <row r="1747" spans="1:15" ht="12.75" customHeight="1" x14ac:dyDescent="0.3">
      <c r="A1747" s="18" t="s">
        <v>331</v>
      </c>
      <c r="B1747" s="19" t="str">
        <f>A1744</f>
        <v>CONCRETO PREPARADO EN OBRA, IMPERMEABILIZADO DE 31 MPA (4500 PSI)</v>
      </c>
      <c r="C1747" s="20" t="s">
        <v>382</v>
      </c>
      <c r="D1747" s="21" t="s">
        <v>399</v>
      </c>
      <c r="E1747" s="22" t="s">
        <v>125</v>
      </c>
      <c r="F1747" s="26">
        <f>(H1747+J1747+L1747+N1747)*$O$2</f>
        <v>1784263.7533028442</v>
      </c>
      <c r="G1747" s="22" t="s">
        <v>285</v>
      </c>
      <c r="H1747" s="26">
        <f>M1766</f>
        <v>219184.37326180609</v>
      </c>
      <c r="I1747" s="22" t="s">
        <v>383</v>
      </c>
      <c r="J1747" s="38">
        <f>M1757</f>
        <v>924678.74096579861</v>
      </c>
      <c r="K1747" s="22" t="s">
        <v>287</v>
      </c>
      <c r="L1747" s="26">
        <f>M1775</f>
        <v>0</v>
      </c>
      <c r="M1747" s="22" t="s">
        <v>288</v>
      </c>
      <c r="N1747" s="26">
        <f>M1784</f>
        <v>228647.46523612188</v>
      </c>
    </row>
    <row r="1748" spans="1:15" ht="12.75" customHeight="1" x14ac:dyDescent="0.25">
      <c r="A1748" s="27"/>
      <c r="B1748" s="27"/>
      <c r="C1748" s="27"/>
      <c r="D1748" s="27"/>
      <c r="E1748" s="27"/>
      <c r="F1748" s="27"/>
      <c r="G1748" s="27"/>
      <c r="J1748" s="27"/>
      <c r="K1748" s="27"/>
      <c r="L1748" s="27"/>
      <c r="M1748" s="27"/>
      <c r="N1748" s="27"/>
    </row>
    <row r="1749" spans="1:15" ht="12.75" customHeight="1" x14ac:dyDescent="0.2">
      <c r="A1749" s="1065" t="s">
        <v>384</v>
      </c>
      <c r="B1749" s="1057"/>
      <c r="C1749" s="1057"/>
      <c r="D1749" s="1057"/>
      <c r="E1749" s="1057"/>
      <c r="F1749" s="1057"/>
      <c r="G1749" s="1057"/>
      <c r="H1749" s="1057"/>
      <c r="I1749" s="1057"/>
      <c r="J1749" s="1057"/>
      <c r="K1749" s="1057"/>
      <c r="L1749" s="1057"/>
      <c r="M1749" s="1057"/>
      <c r="N1749" s="1058"/>
    </row>
    <row r="1750" spans="1:15" ht="12.75" customHeight="1" x14ac:dyDescent="0.2">
      <c r="A1750" s="1066" t="s">
        <v>38</v>
      </c>
      <c r="B1750" s="1057"/>
      <c r="C1750" s="1057"/>
      <c r="D1750" s="1057"/>
      <c r="E1750" s="1057"/>
      <c r="F1750" s="1057"/>
      <c r="G1750" s="1058"/>
      <c r="H1750" s="28" t="s">
        <v>39</v>
      </c>
      <c r="I1750" s="1062" t="s">
        <v>385</v>
      </c>
      <c r="J1750" s="1058"/>
      <c r="K1750" s="1062" t="s">
        <v>132</v>
      </c>
      <c r="L1750" s="1058"/>
      <c r="M1750" s="1062" t="s">
        <v>386</v>
      </c>
      <c r="N1750" s="1058"/>
    </row>
    <row r="1751" spans="1:15" ht="12.75" customHeight="1" x14ac:dyDescent="0.2">
      <c r="A1751" s="1061" t="s">
        <v>1933</v>
      </c>
      <c r="B1751" s="1057"/>
      <c r="C1751" s="1057"/>
      <c r="D1751" s="1057"/>
      <c r="E1751" s="1057"/>
      <c r="F1751" s="1057"/>
      <c r="G1751" s="1058"/>
      <c r="H1751" s="9" t="str">
        <f t="shared" ref="H1751:H1756" si="116">IF(A1751="","",VLOOKUP(A1751,AA_Materiales,7,FALSE))</f>
        <v>m3</v>
      </c>
      <c r="I1751" s="1059">
        <f t="shared" ref="I1751:I1756" si="117">IF(A1751="","",VLOOKUP(A1751,AA_Materiales,8,FALSE))</f>
        <v>816464.22535045003</v>
      </c>
      <c r="J1751" s="1058"/>
      <c r="K1751" s="1060">
        <v>1.05</v>
      </c>
      <c r="L1751" s="1058"/>
      <c r="M1751" s="1059">
        <f t="shared" ref="M1751:M1756" si="118">IF(A1751="","",I1751*K1751)</f>
        <v>857287.43661797256</v>
      </c>
      <c r="N1751" s="1058"/>
    </row>
    <row r="1752" spans="1:15" ht="12.75" customHeight="1" x14ac:dyDescent="0.2">
      <c r="A1752" s="1061" t="s">
        <v>1588</v>
      </c>
      <c r="B1752" s="1057"/>
      <c r="C1752" s="1057"/>
      <c r="D1752" s="1057"/>
      <c r="E1752" s="1057"/>
      <c r="F1752" s="1057"/>
      <c r="G1752" s="1058"/>
      <c r="H1752" s="9" t="str">
        <f t="shared" si="116"/>
        <v>Kg</v>
      </c>
      <c r="I1752" s="1059">
        <f t="shared" si="117"/>
        <v>26956.521739130436</v>
      </c>
      <c r="J1752" s="1058"/>
      <c r="K1752" s="1060">
        <v>2.5</v>
      </c>
      <c r="L1752" s="1058"/>
      <c r="M1752" s="1059">
        <f t="shared" si="118"/>
        <v>67391.304347826095</v>
      </c>
      <c r="N1752" s="1058"/>
    </row>
    <row r="1753" spans="1:15" ht="12.75" customHeight="1" x14ac:dyDescent="0.2">
      <c r="A1753" s="1061"/>
      <c r="B1753" s="1057"/>
      <c r="C1753" s="1057"/>
      <c r="D1753" s="1057"/>
      <c r="E1753" s="1057"/>
      <c r="F1753" s="1057"/>
      <c r="G1753" s="1058"/>
      <c r="H1753" s="9" t="str">
        <f t="shared" si="116"/>
        <v/>
      </c>
      <c r="I1753" s="1059" t="str">
        <f t="shared" si="117"/>
        <v/>
      </c>
      <c r="J1753" s="1058"/>
      <c r="K1753" s="1060"/>
      <c r="L1753" s="1058"/>
      <c r="M1753" s="1059" t="str">
        <f t="shared" si="118"/>
        <v/>
      </c>
      <c r="N1753" s="1058"/>
    </row>
    <row r="1754" spans="1:15" ht="12.75" customHeight="1" x14ac:dyDescent="0.2">
      <c r="A1754" s="1061"/>
      <c r="B1754" s="1057"/>
      <c r="C1754" s="1057"/>
      <c r="D1754" s="1057"/>
      <c r="E1754" s="1057"/>
      <c r="F1754" s="1057"/>
      <c r="G1754" s="1058"/>
      <c r="H1754" s="9" t="str">
        <f t="shared" si="116"/>
        <v/>
      </c>
      <c r="I1754" s="1059" t="str">
        <f t="shared" si="117"/>
        <v/>
      </c>
      <c r="J1754" s="1058"/>
      <c r="K1754" s="1060"/>
      <c r="L1754" s="1058"/>
      <c r="M1754" s="1059" t="str">
        <f t="shared" si="118"/>
        <v/>
      </c>
      <c r="N1754" s="1058"/>
    </row>
    <row r="1755" spans="1:15" ht="12.75" customHeight="1" x14ac:dyDescent="0.2">
      <c r="A1755" s="1061"/>
      <c r="B1755" s="1057"/>
      <c r="C1755" s="1057"/>
      <c r="D1755" s="1057"/>
      <c r="E1755" s="1057"/>
      <c r="F1755" s="1057"/>
      <c r="G1755" s="1058"/>
      <c r="H1755" s="9" t="str">
        <f t="shared" si="116"/>
        <v/>
      </c>
      <c r="I1755" s="1059" t="str">
        <f t="shared" si="117"/>
        <v/>
      </c>
      <c r="J1755" s="1058"/>
      <c r="K1755" s="1060"/>
      <c r="L1755" s="1058"/>
      <c r="M1755" s="1059" t="str">
        <f t="shared" si="118"/>
        <v/>
      </c>
      <c r="N1755" s="1058"/>
    </row>
    <row r="1756" spans="1:15" ht="12.75" customHeight="1" x14ac:dyDescent="0.2">
      <c r="A1756" s="1061"/>
      <c r="B1756" s="1057"/>
      <c r="C1756" s="1057"/>
      <c r="D1756" s="1057"/>
      <c r="E1756" s="1057"/>
      <c r="F1756" s="1057"/>
      <c r="G1756" s="1058"/>
      <c r="H1756" s="9" t="str">
        <f t="shared" si="116"/>
        <v/>
      </c>
      <c r="I1756" s="1059" t="str">
        <f t="shared" si="117"/>
        <v/>
      </c>
      <c r="J1756" s="1058"/>
      <c r="K1756" s="1060"/>
      <c r="L1756" s="1058"/>
      <c r="M1756" s="1059" t="str">
        <f t="shared" si="118"/>
        <v/>
      </c>
      <c r="N1756" s="1058"/>
    </row>
    <row r="1757" spans="1:15" ht="12.75" customHeight="1" x14ac:dyDescent="0.25">
      <c r="A1757" s="3"/>
      <c r="B1757" s="3"/>
      <c r="C1757" s="3"/>
      <c r="D1757" s="3"/>
      <c r="E1757" s="3"/>
      <c r="F1757" s="3"/>
      <c r="G1757" s="3"/>
      <c r="H1757" s="3"/>
      <c r="I1757" s="3"/>
      <c r="J1757" s="3"/>
      <c r="K1757" s="1066" t="s">
        <v>201</v>
      </c>
      <c r="L1757" s="1058"/>
      <c r="M1757" s="1059">
        <f>SUM(M1751:N1756)</f>
        <v>924678.74096579861</v>
      </c>
      <c r="N1757" s="1058"/>
    </row>
    <row r="1758" spans="1:15" ht="12.75" customHeight="1" x14ac:dyDescent="0.25">
      <c r="A1758" s="3"/>
      <c r="B1758" s="3"/>
      <c r="C1758" s="3"/>
      <c r="D1758" s="3"/>
      <c r="E1758" s="3"/>
      <c r="F1758" s="3"/>
      <c r="G1758" s="3"/>
      <c r="H1758" s="3"/>
      <c r="I1758" s="3"/>
      <c r="J1758" s="3"/>
      <c r="K1758" s="3"/>
      <c r="L1758" s="3"/>
      <c r="M1758" s="3"/>
      <c r="N1758" s="3"/>
    </row>
    <row r="1759" spans="1:15" ht="12.75" customHeight="1" x14ac:dyDescent="0.2">
      <c r="A1759" s="1065" t="s">
        <v>390</v>
      </c>
      <c r="B1759" s="1057"/>
      <c r="C1759" s="1057"/>
      <c r="D1759" s="1057"/>
      <c r="E1759" s="1057"/>
      <c r="F1759" s="1057"/>
      <c r="G1759" s="1057"/>
      <c r="H1759" s="1057"/>
      <c r="I1759" s="1057"/>
      <c r="J1759" s="1057"/>
      <c r="K1759" s="1057"/>
      <c r="L1759" s="1057"/>
      <c r="M1759" s="1057"/>
      <c r="N1759" s="1058"/>
    </row>
    <row r="1760" spans="1:15" ht="12.75" customHeight="1" x14ac:dyDescent="0.2">
      <c r="A1760" s="1066" t="s">
        <v>38</v>
      </c>
      <c r="B1760" s="1057"/>
      <c r="C1760" s="1057"/>
      <c r="D1760" s="1057"/>
      <c r="E1760" s="1057"/>
      <c r="F1760" s="1057"/>
      <c r="G1760" s="1058"/>
      <c r="H1760" s="28" t="s">
        <v>39</v>
      </c>
      <c r="I1760" s="1062" t="s">
        <v>385</v>
      </c>
      <c r="J1760" s="1058"/>
      <c r="K1760" s="1062" t="s">
        <v>132</v>
      </c>
      <c r="L1760" s="1058"/>
      <c r="M1760" s="1062" t="s">
        <v>386</v>
      </c>
      <c r="N1760" s="1058"/>
    </row>
    <row r="1761" spans="1:14" ht="12.75" customHeight="1" x14ac:dyDescent="0.2">
      <c r="A1761" s="1061" t="s">
        <v>391</v>
      </c>
      <c r="B1761" s="1057"/>
      <c r="C1761" s="1057"/>
      <c r="D1761" s="1057"/>
      <c r="E1761" s="1057"/>
      <c r="F1761" s="1057"/>
      <c r="G1761" s="1058"/>
      <c r="H1761" s="9" t="str">
        <f>IF(A1761="","",VLOOKUP(A1761,AA_Equipos,7,FALSE))</f>
        <v>% M.O.</v>
      </c>
      <c r="I1761" s="1059">
        <f>M1784</f>
        <v>228647.46523612188</v>
      </c>
      <c r="J1761" s="1058"/>
      <c r="K1761" s="1064">
        <v>0.05</v>
      </c>
      <c r="L1761" s="1058"/>
      <c r="M1761" s="1059">
        <f>IF(A1761="","",I1761*K1761)</f>
        <v>11432.373261806095</v>
      </c>
      <c r="N1761" s="1058"/>
    </row>
    <row r="1762" spans="1:14" ht="12.75" customHeight="1" x14ac:dyDescent="0.2">
      <c r="A1762" s="1056" t="s">
        <v>1609</v>
      </c>
      <c r="B1762" s="1057"/>
      <c r="C1762" s="1057"/>
      <c r="D1762" s="1057"/>
      <c r="E1762" s="1057"/>
      <c r="F1762" s="1057"/>
      <c r="G1762" s="1058"/>
      <c r="H1762" s="9" t="str">
        <f>IF(A1762="","",VLOOKUP(A1762,AA_Equipos,7,FALSE))</f>
        <v>M2/Día</v>
      </c>
      <c r="I1762" s="1059">
        <f>IF(A1762="","",VLOOKUP(A1762,AA_Equipos,8,FALSE))</f>
        <v>200000</v>
      </c>
      <c r="J1762" s="1058"/>
      <c r="K1762" s="1067">
        <v>1</v>
      </c>
      <c r="L1762" s="1058"/>
      <c r="M1762" s="1059">
        <f>IF(A1762="","",I1762*K1762)</f>
        <v>200000</v>
      </c>
      <c r="N1762" s="1058"/>
    </row>
    <row r="1763" spans="1:14" ht="12.75" customHeight="1" x14ac:dyDescent="0.2">
      <c r="A1763" s="1056" t="s">
        <v>1617</v>
      </c>
      <c r="B1763" s="1057"/>
      <c r="C1763" s="1057"/>
      <c r="D1763" s="1057"/>
      <c r="E1763" s="1057"/>
      <c r="F1763" s="1057"/>
      <c r="G1763" s="1058"/>
      <c r="H1763" s="9" t="str">
        <f>IF(A1763="","",VLOOKUP(A1763,AA_Equipos,7,FALSE))</f>
        <v>Hora</v>
      </c>
      <c r="I1763" s="1059">
        <f>IF(A1763="","",VLOOKUP(A1763,AA_Equipos,8,FALSE))</f>
        <v>11628</v>
      </c>
      <c r="J1763" s="1058"/>
      <c r="K1763" s="1060">
        <v>1.5</v>
      </c>
      <c r="L1763" s="1058"/>
      <c r="M1763" s="1059">
        <f>IF(A1763="","",I1763/K1763)</f>
        <v>7752</v>
      </c>
      <c r="N1763" s="1058"/>
    </row>
    <row r="1764" spans="1:14" ht="12.75" customHeight="1" x14ac:dyDescent="0.2">
      <c r="A1764" s="1056"/>
      <c r="B1764" s="1057"/>
      <c r="C1764" s="1057"/>
      <c r="D1764" s="1057"/>
      <c r="E1764" s="1057"/>
      <c r="F1764" s="1057"/>
      <c r="G1764" s="1058"/>
      <c r="H1764" s="9" t="str">
        <f>IF(A1764="","",VLOOKUP(A1764,AA_Equipos,7,FALSE))</f>
        <v/>
      </c>
      <c r="I1764" s="1059" t="str">
        <f>IF(A1764="","",VLOOKUP(A1764,AA_Equipos,8,FALSE))</f>
        <v/>
      </c>
      <c r="J1764" s="1058"/>
      <c r="K1764" s="1060"/>
      <c r="L1764" s="1058"/>
      <c r="M1764" s="1059" t="str">
        <f>IF(A1764="","",I1764*K1764)</f>
        <v/>
      </c>
      <c r="N1764" s="1058"/>
    </row>
    <row r="1765" spans="1:14" ht="12.75" customHeight="1" x14ac:dyDescent="0.2">
      <c r="A1765" s="1056"/>
      <c r="B1765" s="1057"/>
      <c r="C1765" s="1057"/>
      <c r="D1765" s="1057"/>
      <c r="E1765" s="1057"/>
      <c r="F1765" s="1057"/>
      <c r="G1765" s="1058"/>
      <c r="H1765" s="9" t="str">
        <f>IF(A1765="","",VLOOKUP(A1765,AA_Equipos,7,FALSE))</f>
        <v/>
      </c>
      <c r="I1765" s="1059" t="str">
        <f>IF(A1765="","",VLOOKUP(A1765,AA_Equipos,8,FALSE))</f>
        <v/>
      </c>
      <c r="J1765" s="1058"/>
      <c r="K1765" s="1060"/>
      <c r="L1765" s="1058"/>
      <c r="M1765" s="1059" t="str">
        <f>IF(A1765="","",I1765*K1765)</f>
        <v/>
      </c>
      <c r="N1765" s="1058"/>
    </row>
    <row r="1766" spans="1:14" ht="12.75" customHeight="1" x14ac:dyDescent="0.25">
      <c r="A1766" s="3"/>
      <c r="B1766" s="3"/>
      <c r="C1766" s="3"/>
      <c r="D1766" s="3"/>
      <c r="E1766" s="3"/>
      <c r="F1766" s="3"/>
      <c r="G1766" s="3"/>
      <c r="H1766" s="3"/>
      <c r="I1766" s="3"/>
      <c r="J1766" s="3"/>
      <c r="K1766" s="1066" t="s">
        <v>201</v>
      </c>
      <c r="L1766" s="1058"/>
      <c r="M1766" s="1059">
        <f>SUM(M1761:N1765)</f>
        <v>219184.37326180609</v>
      </c>
      <c r="N1766" s="1058"/>
    </row>
    <row r="1767" spans="1:14" ht="12.75" customHeight="1" x14ac:dyDescent="0.25">
      <c r="A1767" s="3"/>
      <c r="B1767" s="3"/>
      <c r="C1767" s="3"/>
      <c r="D1767" s="3"/>
      <c r="E1767" s="3"/>
      <c r="F1767" s="3"/>
      <c r="G1767" s="3"/>
      <c r="H1767" s="3"/>
      <c r="I1767" s="3"/>
      <c r="J1767" s="3"/>
      <c r="K1767" s="3"/>
      <c r="L1767" s="3"/>
      <c r="M1767" s="3"/>
      <c r="N1767" s="3"/>
    </row>
    <row r="1768" spans="1:14" ht="12.75" customHeight="1" x14ac:dyDescent="0.2">
      <c r="A1768" s="1065" t="s">
        <v>392</v>
      </c>
      <c r="B1768" s="1057"/>
      <c r="C1768" s="1057"/>
      <c r="D1768" s="1057"/>
      <c r="E1768" s="1057"/>
      <c r="F1768" s="1057"/>
      <c r="G1768" s="1057"/>
      <c r="H1768" s="1057"/>
      <c r="I1768" s="1057"/>
      <c r="J1768" s="1057"/>
      <c r="K1768" s="1057"/>
      <c r="L1768" s="1057"/>
      <c r="M1768" s="1057"/>
      <c r="N1768" s="1058"/>
    </row>
    <row r="1769" spans="1:14" ht="12.75" customHeight="1" x14ac:dyDescent="0.2">
      <c r="A1769" s="1066" t="s">
        <v>38</v>
      </c>
      <c r="B1769" s="1057"/>
      <c r="C1769" s="1057"/>
      <c r="D1769" s="1057"/>
      <c r="E1769" s="1057"/>
      <c r="F1769" s="1057"/>
      <c r="G1769" s="1058"/>
      <c r="H1769" s="28" t="s">
        <v>39</v>
      </c>
      <c r="I1769" s="1062" t="s">
        <v>385</v>
      </c>
      <c r="J1769" s="1058"/>
      <c r="K1769" s="1062" t="s">
        <v>132</v>
      </c>
      <c r="L1769" s="1058"/>
      <c r="M1769" s="1062" t="s">
        <v>386</v>
      </c>
      <c r="N1769" s="1058"/>
    </row>
    <row r="1770" spans="1:14" ht="12.75" customHeight="1" x14ac:dyDescent="0.2">
      <c r="A1770" s="1061"/>
      <c r="B1770" s="1057"/>
      <c r="C1770" s="1057"/>
      <c r="D1770" s="1057"/>
      <c r="E1770" s="1057"/>
      <c r="F1770" s="1057"/>
      <c r="G1770" s="1058"/>
      <c r="H1770" s="9" t="s">
        <v>409</v>
      </c>
      <c r="I1770" s="1059">
        <f>+M1766</f>
        <v>219184.37326180609</v>
      </c>
      <c r="J1770" s="1058"/>
      <c r="K1770" s="1064">
        <v>0.05</v>
      </c>
      <c r="L1770" s="1058"/>
      <c r="M1770" s="1059" t="str">
        <f>IF(A1770="","",I1770*K1770)</f>
        <v/>
      </c>
      <c r="N1770" s="1058"/>
    </row>
    <row r="1771" spans="1:14" ht="12.75" customHeight="1" x14ac:dyDescent="0.2">
      <c r="A1771" s="1056"/>
      <c r="B1771" s="1057"/>
      <c r="C1771" s="1057"/>
      <c r="D1771" s="1057"/>
      <c r="E1771" s="1057"/>
      <c r="F1771" s="1057"/>
      <c r="G1771" s="1058"/>
      <c r="H1771" s="9" t="s">
        <v>414</v>
      </c>
      <c r="I1771" s="1059">
        <f>+'08'!$J$88</f>
        <v>410550</v>
      </c>
      <c r="J1771" s="1058"/>
      <c r="K1771" s="1060">
        <f>+Indice!$G$30</f>
        <v>44.7</v>
      </c>
      <c r="L1771" s="1058"/>
      <c r="M1771" s="1059" t="str">
        <f>IF(A1771="","",I1771*K1771)</f>
        <v/>
      </c>
      <c r="N1771" s="1058"/>
    </row>
    <row r="1772" spans="1:14" ht="12.75" customHeight="1" x14ac:dyDescent="0.2">
      <c r="A1772" s="1061"/>
      <c r="B1772" s="1057"/>
      <c r="C1772" s="1057"/>
      <c r="D1772" s="1057"/>
      <c r="E1772" s="1057"/>
      <c r="F1772" s="1057"/>
      <c r="G1772" s="1058"/>
      <c r="H1772" s="9"/>
      <c r="I1772" s="1059"/>
      <c r="J1772" s="1058"/>
      <c r="K1772" s="1060"/>
      <c r="L1772" s="1058"/>
      <c r="M1772" s="1059" t="str">
        <f>IF(A1772="","",I1772*K1772)</f>
        <v/>
      </c>
      <c r="N1772" s="1058"/>
    </row>
    <row r="1773" spans="1:14" ht="12.75" customHeight="1" x14ac:dyDescent="0.2">
      <c r="A1773" s="1061"/>
      <c r="B1773" s="1057"/>
      <c r="C1773" s="1057"/>
      <c r="D1773" s="1057"/>
      <c r="E1773" s="1057"/>
      <c r="F1773" s="1057"/>
      <c r="G1773" s="1058"/>
      <c r="H1773" s="9"/>
      <c r="I1773" s="1059"/>
      <c r="J1773" s="1058"/>
      <c r="K1773" s="1060"/>
      <c r="L1773" s="1058"/>
      <c r="M1773" s="1059" t="str">
        <f>IF(A1773="","",I1773*K1773)</f>
        <v/>
      </c>
      <c r="N1773" s="1058"/>
    </row>
    <row r="1774" spans="1:14" ht="12.75" customHeight="1" x14ac:dyDescent="0.2">
      <c r="A1774" s="1061"/>
      <c r="B1774" s="1057"/>
      <c r="C1774" s="1057"/>
      <c r="D1774" s="1057"/>
      <c r="E1774" s="1057"/>
      <c r="F1774" s="1057"/>
      <c r="G1774" s="1058"/>
      <c r="H1774" s="9"/>
      <c r="I1774" s="1059"/>
      <c r="J1774" s="1058"/>
      <c r="K1774" s="1060"/>
      <c r="L1774" s="1058"/>
      <c r="M1774" s="1059" t="str">
        <f>IF(A1774="","",I1774*K1774)</f>
        <v/>
      </c>
      <c r="N1774" s="1058"/>
    </row>
    <row r="1775" spans="1:14" ht="12.75" customHeight="1" x14ac:dyDescent="0.25">
      <c r="A1775" s="3"/>
      <c r="B1775" s="3"/>
      <c r="C1775" s="3"/>
      <c r="D1775" s="3"/>
      <c r="E1775" s="3"/>
      <c r="F1775" s="3"/>
      <c r="G1775" s="3"/>
      <c r="H1775" s="3"/>
      <c r="I1775" s="3"/>
      <c r="J1775" s="3"/>
      <c r="K1775" s="1066" t="s">
        <v>201</v>
      </c>
      <c r="L1775" s="1058"/>
      <c r="M1775" s="1059">
        <f>SUM(M1770:N1774)</f>
        <v>0</v>
      </c>
      <c r="N1775" s="1058"/>
    </row>
    <row r="1776" spans="1:14" ht="12.75" customHeight="1" x14ac:dyDescent="0.25">
      <c r="A1776" s="3"/>
      <c r="B1776" s="3"/>
      <c r="C1776" s="3"/>
      <c r="D1776" s="3"/>
      <c r="E1776" s="3"/>
      <c r="F1776" s="3"/>
      <c r="G1776" s="3"/>
      <c r="H1776" s="3"/>
      <c r="I1776" s="3"/>
      <c r="J1776" s="3"/>
      <c r="K1776" s="3"/>
      <c r="L1776" s="3"/>
      <c r="M1776" s="3"/>
      <c r="N1776" s="3"/>
    </row>
    <row r="1777" spans="1:15" ht="12.75" customHeight="1" x14ac:dyDescent="0.2">
      <c r="A1777" s="1065" t="s">
        <v>394</v>
      </c>
      <c r="B1777" s="1057"/>
      <c r="C1777" s="1057"/>
      <c r="D1777" s="1057"/>
      <c r="E1777" s="1057"/>
      <c r="F1777" s="1057"/>
      <c r="G1777" s="1057"/>
      <c r="H1777" s="1057"/>
      <c r="I1777" s="1057"/>
      <c r="J1777" s="1057"/>
      <c r="K1777" s="1057"/>
      <c r="L1777" s="1057"/>
      <c r="M1777" s="1057"/>
      <c r="N1777" s="1058"/>
    </row>
    <row r="1778" spans="1:15" ht="12.75" customHeight="1" x14ac:dyDescent="0.2">
      <c r="A1778" s="1066" t="s">
        <v>38</v>
      </c>
      <c r="B1778" s="1057"/>
      <c r="C1778" s="1057"/>
      <c r="D1778" s="1057"/>
      <c r="E1778" s="1057"/>
      <c r="F1778" s="1057"/>
      <c r="G1778" s="1058"/>
      <c r="H1778" s="28" t="s">
        <v>39</v>
      </c>
      <c r="I1778" s="1062" t="s">
        <v>385</v>
      </c>
      <c r="J1778" s="1058"/>
      <c r="K1778" s="30" t="s">
        <v>193</v>
      </c>
      <c r="L1778" s="31" t="s">
        <v>395</v>
      </c>
      <c r="M1778" s="1062" t="s">
        <v>386</v>
      </c>
      <c r="N1778" s="1058"/>
    </row>
    <row r="1779" spans="1:15" ht="12.75" customHeight="1" x14ac:dyDescent="0.25">
      <c r="A1779" s="1063" t="s">
        <v>411</v>
      </c>
      <c r="B1779" s="1057"/>
      <c r="C1779" s="1057"/>
      <c r="D1779" s="1057"/>
      <c r="E1779" s="1057"/>
      <c r="F1779" s="1057"/>
      <c r="G1779" s="1058"/>
      <c r="H1779" s="9" t="str">
        <f>IF(A1779="","",VLOOKUP(A1779,AA_Cuadrillas,4,FALSE))</f>
        <v>Cuadrilla</v>
      </c>
      <c r="I1779" s="1059">
        <f>IF(A1779="","",VLOOKUP(A1779,AA_Cuadrillas,5,FALSE))</f>
        <v>414381</v>
      </c>
      <c r="J1779" s="1058"/>
      <c r="K1779" s="1">
        <f>IF(A1779="","",'06'!$J$3)</f>
        <v>1.7233500000000002</v>
      </c>
      <c r="L1779" s="32">
        <v>0.32017916565520643</v>
      </c>
      <c r="M1779" s="1059">
        <f>IF(A1779="","",I1779*K1779*L1779)</f>
        <v>228647.46523612188</v>
      </c>
      <c r="N1779" s="1058"/>
    </row>
    <row r="1780" spans="1:15" ht="12.75" customHeight="1" x14ac:dyDescent="0.25">
      <c r="A1780" s="1063"/>
      <c r="B1780" s="1057"/>
      <c r="C1780" s="1057"/>
      <c r="D1780" s="1057"/>
      <c r="E1780" s="1057"/>
      <c r="F1780" s="1057"/>
      <c r="G1780" s="1058"/>
      <c r="H1780" s="9" t="str">
        <f>IF(A1780="","",VLOOKUP(A1780,AA_Cuadrillas,4,FALSE))</f>
        <v/>
      </c>
      <c r="I1780" s="1059" t="str">
        <f>IF(A1780="","",VLOOKUP(A1780,AA_Cuadrillas,5,FALSE))</f>
        <v/>
      </c>
      <c r="J1780" s="1058"/>
      <c r="K1780" s="1" t="str">
        <f>IF(A1780="","",'06'!$J$3)</f>
        <v/>
      </c>
      <c r="L1780" s="1"/>
      <c r="M1780" s="1059" t="str">
        <f>IF(A1780="","",I1780*K1780*L1780)</f>
        <v/>
      </c>
      <c r="N1780" s="1058"/>
    </row>
    <row r="1781" spans="1:15" ht="12.75" customHeight="1" x14ac:dyDescent="0.25">
      <c r="A1781" s="1063"/>
      <c r="B1781" s="1057"/>
      <c r="C1781" s="1057"/>
      <c r="D1781" s="1057"/>
      <c r="E1781" s="1057"/>
      <c r="F1781" s="1057"/>
      <c r="G1781" s="1058"/>
      <c r="H1781" s="9" t="str">
        <f>IF(A1781="","",VLOOKUP(A1781,AA_Cuadrillas,4,FALSE))</f>
        <v/>
      </c>
      <c r="I1781" s="1059" t="str">
        <f>IF(A1781="","",VLOOKUP(A1781,AA_Cuadrillas,5,FALSE))</f>
        <v/>
      </c>
      <c r="J1781" s="1058"/>
      <c r="K1781" s="1" t="str">
        <f>IF(A1781="","",'06'!$J$3)</f>
        <v/>
      </c>
      <c r="L1781" s="10"/>
      <c r="M1781" s="1059" t="str">
        <f>IF(A1781="","",I1781*K1781*L1781)</f>
        <v/>
      </c>
      <c r="N1781" s="1058"/>
    </row>
    <row r="1782" spans="1:15" ht="12.75" customHeight="1" x14ac:dyDescent="0.25">
      <c r="A1782" s="1063"/>
      <c r="B1782" s="1057"/>
      <c r="C1782" s="1057"/>
      <c r="D1782" s="1057"/>
      <c r="E1782" s="1057"/>
      <c r="F1782" s="1057"/>
      <c r="G1782" s="1058"/>
      <c r="H1782" s="9" t="str">
        <f>IF(A1782="","",VLOOKUP(A1782,AA_Cuadrillas,4,FALSE))</f>
        <v/>
      </c>
      <c r="I1782" s="1059" t="str">
        <f>IF(A1782="","",VLOOKUP(A1782,AA_Cuadrillas,5,FALSE))</f>
        <v/>
      </c>
      <c r="J1782" s="1058"/>
      <c r="K1782" s="1" t="str">
        <f>IF(A1782="","",'06'!$J$3)</f>
        <v/>
      </c>
      <c r="L1782" s="10"/>
      <c r="M1782" s="1059" t="str">
        <f>IF(A1782="","",I1782*K1782*L1782)</f>
        <v/>
      </c>
      <c r="N1782" s="1058"/>
    </row>
    <row r="1783" spans="1:15" ht="12.75" customHeight="1" x14ac:dyDescent="0.25">
      <c r="A1783" s="1063"/>
      <c r="B1783" s="1057"/>
      <c r="C1783" s="1057"/>
      <c r="D1783" s="1057"/>
      <c r="E1783" s="1057"/>
      <c r="F1783" s="1057"/>
      <c r="G1783" s="1058"/>
      <c r="H1783" s="9" t="str">
        <f>IF(A1783="","",VLOOKUP(A1783,AA_Cuadrillas,4,FALSE))</f>
        <v/>
      </c>
      <c r="I1783" s="1059" t="str">
        <f>IF(A1783="","",VLOOKUP(A1783,AA_Cuadrillas,5,FALSE))</f>
        <v/>
      </c>
      <c r="J1783" s="1058"/>
      <c r="K1783" s="1" t="str">
        <f>IF(A1783="","",'06'!$J$3)</f>
        <v/>
      </c>
      <c r="L1783" s="10"/>
      <c r="M1783" s="1059" t="str">
        <f>IF(A1783="","",I1783*K1783*L1783)</f>
        <v/>
      </c>
      <c r="N1783" s="1058"/>
    </row>
    <row r="1784" spans="1:15" ht="12.75" customHeight="1" x14ac:dyDescent="0.25">
      <c r="A1784" s="3"/>
      <c r="B1784" s="3"/>
      <c r="C1784" s="3"/>
      <c r="D1784" s="3"/>
      <c r="E1784" s="3"/>
      <c r="F1784" s="3"/>
      <c r="G1784" s="3"/>
      <c r="H1784" s="3"/>
      <c r="I1784" s="3"/>
      <c r="J1784" s="3"/>
      <c r="K1784" s="1066" t="s">
        <v>201</v>
      </c>
      <c r="L1784" s="1058"/>
      <c r="M1784" s="1059">
        <f>SUM(M1779:N1783)</f>
        <v>228647.46523612188</v>
      </c>
      <c r="N1784" s="1058"/>
    </row>
    <row r="1785" spans="1:15" ht="12.75" customHeight="1" x14ac:dyDescent="0.2"/>
    <row r="1786" spans="1:15" ht="12.75" customHeight="1" x14ac:dyDescent="0.2">
      <c r="A1786" s="1072" t="s">
        <v>1707</v>
      </c>
      <c r="B1786" s="1052"/>
      <c r="C1786" s="1052"/>
      <c r="D1786" s="1052"/>
      <c r="E1786" s="1052"/>
      <c r="F1786" s="1052"/>
      <c r="G1786" s="1052"/>
      <c r="H1786" s="1052"/>
      <c r="I1786" s="1052"/>
      <c r="J1786" s="1052"/>
      <c r="K1786" s="1052"/>
      <c r="L1786" s="1052"/>
      <c r="M1786" s="1052"/>
      <c r="N1786" s="1053"/>
      <c r="O1786" s="7"/>
    </row>
    <row r="1787" spans="1:15" ht="12.75" customHeight="1" x14ac:dyDescent="0.2">
      <c r="A1787" s="1031"/>
      <c r="B1787" s="1032"/>
      <c r="C1787" s="1032"/>
      <c r="D1787" s="1032"/>
      <c r="E1787" s="1032"/>
      <c r="F1787" s="1032"/>
      <c r="G1787" s="1032"/>
      <c r="H1787" s="1032"/>
      <c r="I1787" s="1032"/>
      <c r="J1787" s="1032"/>
      <c r="K1787" s="1032"/>
      <c r="L1787" s="1032"/>
      <c r="M1787" s="1032"/>
      <c r="N1787" s="1055"/>
      <c r="O1787" s="7"/>
    </row>
    <row r="1788" spans="1:15" ht="12.75" customHeight="1" x14ac:dyDescent="0.2">
      <c r="A1788" s="16"/>
      <c r="B1788" s="16"/>
      <c r="C1788" s="16"/>
      <c r="D1788" s="16"/>
      <c r="E1788" s="16"/>
      <c r="F1788" s="16"/>
      <c r="G1788" s="16"/>
      <c r="H1788" s="16"/>
      <c r="I1788" s="16"/>
      <c r="J1788" s="16"/>
      <c r="K1788" s="16"/>
      <c r="L1788" s="16"/>
      <c r="M1788" s="16"/>
      <c r="N1788" s="16"/>
    </row>
    <row r="1789" spans="1:15" ht="12.75" customHeight="1" x14ac:dyDescent="0.3">
      <c r="A1789" s="18" t="s">
        <v>332</v>
      </c>
      <c r="B1789" s="19" t="str">
        <f>A1786</f>
        <v>ACERO DE REFUERZO 60000PSI</v>
      </c>
      <c r="C1789" s="20" t="s">
        <v>382</v>
      </c>
      <c r="D1789" s="127" t="s">
        <v>415</v>
      </c>
      <c r="E1789" s="22" t="s">
        <v>125</v>
      </c>
      <c r="F1789" s="26">
        <f>(H1789+J1789+L1789+N1789)*$O$2</f>
        <v>8972.5357280975004</v>
      </c>
      <c r="G1789" s="22" t="s">
        <v>285</v>
      </c>
      <c r="H1789" s="26">
        <f>M1808</f>
        <v>48.278788575000007</v>
      </c>
      <c r="I1789" s="22" t="s">
        <v>383</v>
      </c>
      <c r="J1789" s="36">
        <f>M1799</f>
        <v>5888.0959999999995</v>
      </c>
      <c r="K1789" s="22" t="s">
        <v>287</v>
      </c>
      <c r="L1789" s="26">
        <f>M1817</f>
        <v>0</v>
      </c>
      <c r="M1789" s="22" t="s">
        <v>288</v>
      </c>
      <c r="N1789" s="26">
        <f>M1826</f>
        <v>965.57577150000009</v>
      </c>
    </row>
    <row r="1790" spans="1:15" ht="12.75" customHeight="1" x14ac:dyDescent="0.25">
      <c r="A1790" s="27"/>
      <c r="B1790" s="27"/>
      <c r="C1790" s="27"/>
      <c r="D1790" s="27"/>
      <c r="E1790" s="27"/>
      <c r="F1790" s="27"/>
      <c r="G1790" s="27"/>
      <c r="J1790" s="27"/>
      <c r="K1790" s="27"/>
      <c r="L1790" s="27"/>
      <c r="M1790" s="27"/>
      <c r="N1790" s="27"/>
    </row>
    <row r="1791" spans="1:15" ht="12.75" customHeight="1" x14ac:dyDescent="0.2">
      <c r="A1791" s="1065" t="s">
        <v>384</v>
      </c>
      <c r="B1791" s="1057"/>
      <c r="C1791" s="1057"/>
      <c r="D1791" s="1057"/>
      <c r="E1791" s="1057"/>
      <c r="F1791" s="1057"/>
      <c r="G1791" s="1057"/>
      <c r="H1791" s="1057"/>
      <c r="I1791" s="1057"/>
      <c r="J1791" s="1057"/>
      <c r="K1791" s="1057"/>
      <c r="L1791" s="1057"/>
      <c r="M1791" s="1057"/>
      <c r="N1791" s="1058"/>
    </row>
    <row r="1792" spans="1:15" ht="12.75" customHeight="1" x14ac:dyDescent="0.2">
      <c r="A1792" s="1066" t="s">
        <v>38</v>
      </c>
      <c r="B1792" s="1057"/>
      <c r="C1792" s="1057"/>
      <c r="D1792" s="1057"/>
      <c r="E1792" s="1057"/>
      <c r="F1792" s="1057"/>
      <c r="G1792" s="1058"/>
      <c r="H1792" s="28" t="s">
        <v>39</v>
      </c>
      <c r="I1792" s="1062" t="s">
        <v>385</v>
      </c>
      <c r="J1792" s="1058"/>
      <c r="K1792" s="1062" t="s">
        <v>132</v>
      </c>
      <c r="L1792" s="1058"/>
      <c r="M1792" s="1062" t="s">
        <v>386</v>
      </c>
      <c r="N1792" s="1058"/>
    </row>
    <row r="1793" spans="1:14" ht="12.75" customHeight="1" x14ac:dyDescent="0.2">
      <c r="A1793" s="1061" t="s">
        <v>1540</v>
      </c>
      <c r="B1793" s="1057"/>
      <c r="C1793" s="1057"/>
      <c r="D1793" s="1057"/>
      <c r="E1793" s="1057"/>
      <c r="F1793" s="1057"/>
      <c r="G1793" s="1058"/>
      <c r="H1793" s="9" t="str">
        <f t="shared" ref="H1793:H1798" si="119">IF(A1793="","",VLOOKUP(A1793,AA_Materiales,7,FALSE))</f>
        <v>Kg</v>
      </c>
      <c r="I1793" s="1059">
        <f t="shared" ref="I1793:I1798" si="120">IF(A1793="","",VLOOKUP(A1793,AA_Materiales,8,FALSE))</f>
        <v>5300</v>
      </c>
      <c r="J1793" s="1058"/>
      <c r="K1793" s="1060">
        <v>1.05</v>
      </c>
      <c r="L1793" s="1058"/>
      <c r="M1793" s="1059">
        <f t="shared" ref="M1793:M1798" si="121">IF(A1793="","",I1793*K1793)</f>
        <v>5565</v>
      </c>
      <c r="N1793" s="1058"/>
    </row>
    <row r="1794" spans="1:14" ht="12.75" customHeight="1" x14ac:dyDescent="0.2">
      <c r="A1794" s="1061" t="s">
        <v>1522</v>
      </c>
      <c r="B1794" s="1057"/>
      <c r="C1794" s="1057"/>
      <c r="D1794" s="1057"/>
      <c r="E1794" s="1057"/>
      <c r="F1794" s="1057"/>
      <c r="G1794" s="1058"/>
      <c r="H1794" s="9" t="str">
        <f t="shared" si="119"/>
        <v>Kg</v>
      </c>
      <c r="I1794" s="1059">
        <f t="shared" si="120"/>
        <v>8500</v>
      </c>
      <c r="J1794" s="1058"/>
      <c r="K1794" s="1060">
        <v>0.03</v>
      </c>
      <c r="L1794" s="1058"/>
      <c r="M1794" s="1059">
        <f t="shared" si="121"/>
        <v>255</v>
      </c>
      <c r="N1794" s="1058"/>
    </row>
    <row r="1795" spans="1:14" ht="12.75" customHeight="1" x14ac:dyDescent="0.2">
      <c r="A1795" s="1061" t="s">
        <v>1934</v>
      </c>
      <c r="B1795" s="1057"/>
      <c r="C1795" s="1057"/>
      <c r="D1795" s="1057"/>
      <c r="E1795" s="1057"/>
      <c r="F1795" s="1057"/>
      <c r="G1795" s="1058"/>
      <c r="H1795" s="9" t="str">
        <f t="shared" si="119"/>
        <v>Unidad</v>
      </c>
      <c r="I1795" s="1059">
        <f t="shared" si="120"/>
        <v>6809.6</v>
      </c>
      <c r="J1795" s="1058"/>
      <c r="K1795" s="1060">
        <v>0.01</v>
      </c>
      <c r="L1795" s="1058"/>
      <c r="M1795" s="1059">
        <f t="shared" si="121"/>
        <v>68.096000000000004</v>
      </c>
      <c r="N1795" s="1058"/>
    </row>
    <row r="1796" spans="1:14" ht="12.75" customHeight="1" x14ac:dyDescent="0.2">
      <c r="A1796" s="1061"/>
      <c r="B1796" s="1057"/>
      <c r="C1796" s="1057"/>
      <c r="D1796" s="1057"/>
      <c r="E1796" s="1057"/>
      <c r="F1796" s="1057"/>
      <c r="G1796" s="1058"/>
      <c r="H1796" s="9" t="str">
        <f t="shared" si="119"/>
        <v/>
      </c>
      <c r="I1796" s="1059" t="str">
        <f t="shared" si="120"/>
        <v/>
      </c>
      <c r="J1796" s="1058"/>
      <c r="K1796" s="1060"/>
      <c r="L1796" s="1058"/>
      <c r="M1796" s="1059" t="str">
        <f t="shared" si="121"/>
        <v/>
      </c>
      <c r="N1796" s="1058"/>
    </row>
    <row r="1797" spans="1:14" ht="12.75" customHeight="1" x14ac:dyDescent="0.2">
      <c r="A1797" s="1061"/>
      <c r="B1797" s="1057"/>
      <c r="C1797" s="1057"/>
      <c r="D1797" s="1057"/>
      <c r="E1797" s="1057"/>
      <c r="F1797" s="1057"/>
      <c r="G1797" s="1058"/>
      <c r="H1797" s="9" t="str">
        <f t="shared" si="119"/>
        <v/>
      </c>
      <c r="I1797" s="1059" t="str">
        <f t="shared" si="120"/>
        <v/>
      </c>
      <c r="J1797" s="1058"/>
      <c r="K1797" s="1060"/>
      <c r="L1797" s="1058"/>
      <c r="M1797" s="1059" t="str">
        <f t="shared" si="121"/>
        <v/>
      </c>
      <c r="N1797" s="1058"/>
    </row>
    <row r="1798" spans="1:14" ht="12.75" customHeight="1" x14ac:dyDescent="0.2">
      <c r="A1798" s="1061"/>
      <c r="B1798" s="1057"/>
      <c r="C1798" s="1057"/>
      <c r="D1798" s="1057"/>
      <c r="E1798" s="1057"/>
      <c r="F1798" s="1057"/>
      <c r="G1798" s="1058"/>
      <c r="H1798" s="9" t="str">
        <f t="shared" si="119"/>
        <v/>
      </c>
      <c r="I1798" s="1059" t="str">
        <f t="shared" si="120"/>
        <v/>
      </c>
      <c r="J1798" s="1058"/>
      <c r="K1798" s="1060"/>
      <c r="L1798" s="1058"/>
      <c r="M1798" s="1059" t="str">
        <f t="shared" si="121"/>
        <v/>
      </c>
      <c r="N1798" s="1058"/>
    </row>
    <row r="1799" spans="1:14" ht="12.75" customHeight="1" x14ac:dyDescent="0.25">
      <c r="A1799" s="3"/>
      <c r="B1799" s="3"/>
      <c r="C1799" s="3"/>
      <c r="D1799" s="3"/>
      <c r="E1799" s="3"/>
      <c r="F1799" s="3"/>
      <c r="G1799" s="3"/>
      <c r="H1799" s="3"/>
      <c r="I1799" s="3"/>
      <c r="J1799" s="3"/>
      <c r="K1799" s="1066" t="s">
        <v>201</v>
      </c>
      <c r="L1799" s="1058"/>
      <c r="M1799" s="1059">
        <f>SUM(M1793:N1798)</f>
        <v>5888.0959999999995</v>
      </c>
      <c r="N1799" s="1058"/>
    </row>
    <row r="1800" spans="1:14" ht="12.75" customHeight="1" x14ac:dyDescent="0.25">
      <c r="A1800" s="3"/>
      <c r="B1800" s="3"/>
      <c r="C1800" s="3"/>
      <c r="D1800" s="3"/>
      <c r="E1800" s="3"/>
      <c r="F1800" s="3"/>
      <c r="G1800" s="3"/>
      <c r="H1800" s="3"/>
      <c r="I1800" s="3"/>
      <c r="J1800" s="3"/>
      <c r="K1800" s="3"/>
      <c r="L1800" s="3"/>
      <c r="M1800" s="3"/>
      <c r="N1800" s="3"/>
    </row>
    <row r="1801" spans="1:14" ht="12.75" customHeight="1" x14ac:dyDescent="0.2">
      <c r="A1801" s="1065" t="s">
        <v>390</v>
      </c>
      <c r="B1801" s="1057"/>
      <c r="C1801" s="1057"/>
      <c r="D1801" s="1057"/>
      <c r="E1801" s="1057"/>
      <c r="F1801" s="1057"/>
      <c r="G1801" s="1057"/>
      <c r="H1801" s="1057"/>
      <c r="I1801" s="1057"/>
      <c r="J1801" s="1057"/>
      <c r="K1801" s="1057"/>
      <c r="L1801" s="1057"/>
      <c r="M1801" s="1057"/>
      <c r="N1801" s="1058"/>
    </row>
    <row r="1802" spans="1:14" ht="12.75" customHeight="1" x14ac:dyDescent="0.2">
      <c r="A1802" s="1066" t="s">
        <v>38</v>
      </c>
      <c r="B1802" s="1057"/>
      <c r="C1802" s="1057"/>
      <c r="D1802" s="1057"/>
      <c r="E1802" s="1057"/>
      <c r="F1802" s="1057"/>
      <c r="G1802" s="1058"/>
      <c r="H1802" s="28" t="s">
        <v>39</v>
      </c>
      <c r="I1802" s="1062" t="s">
        <v>385</v>
      </c>
      <c r="J1802" s="1058"/>
      <c r="K1802" s="1062" t="s">
        <v>132</v>
      </c>
      <c r="L1802" s="1058"/>
      <c r="M1802" s="1062" t="s">
        <v>386</v>
      </c>
      <c r="N1802" s="1058"/>
    </row>
    <row r="1803" spans="1:14" ht="12.75" customHeight="1" x14ac:dyDescent="0.2">
      <c r="A1803" s="1061" t="s">
        <v>391</v>
      </c>
      <c r="B1803" s="1057"/>
      <c r="C1803" s="1057"/>
      <c r="D1803" s="1057"/>
      <c r="E1803" s="1057"/>
      <c r="F1803" s="1057"/>
      <c r="G1803" s="1058"/>
      <c r="H1803" s="9" t="str">
        <f>IF(A1803="","",VLOOKUP(A1803,AA_Equipos,7,FALSE))</f>
        <v>% M.O.</v>
      </c>
      <c r="I1803" s="1059">
        <f>M1826</f>
        <v>965.57577150000009</v>
      </c>
      <c r="J1803" s="1058"/>
      <c r="K1803" s="1064">
        <v>0.05</v>
      </c>
      <c r="L1803" s="1058"/>
      <c r="M1803" s="1059">
        <f>IF(A1803="","",I1803*K1803)</f>
        <v>48.278788575000007</v>
      </c>
      <c r="N1803" s="1058"/>
    </row>
    <row r="1804" spans="1:14" ht="12.75" customHeight="1" x14ac:dyDescent="0.2">
      <c r="A1804" s="1056"/>
      <c r="B1804" s="1057"/>
      <c r="C1804" s="1057"/>
      <c r="D1804" s="1057"/>
      <c r="E1804" s="1057"/>
      <c r="F1804" s="1057"/>
      <c r="G1804" s="1058"/>
      <c r="H1804" s="9" t="str">
        <f>IF(A1804="","",VLOOKUP(A1804,AA_Equipos,7,FALSE))</f>
        <v/>
      </c>
      <c r="I1804" s="1059" t="str">
        <f>IF(A1804="","",VLOOKUP(A1804,AA_Equipos,8,FALSE))</f>
        <v/>
      </c>
      <c r="J1804" s="1058"/>
      <c r="K1804" s="1067"/>
      <c r="L1804" s="1058"/>
      <c r="M1804" s="1059" t="str">
        <f>IF(A1804="","",I1804*K1804)</f>
        <v/>
      </c>
      <c r="N1804" s="1058"/>
    </row>
    <row r="1805" spans="1:14" ht="12.75" customHeight="1" x14ac:dyDescent="0.2">
      <c r="A1805" s="1061"/>
      <c r="B1805" s="1057"/>
      <c r="C1805" s="1057"/>
      <c r="D1805" s="1057"/>
      <c r="E1805" s="1057"/>
      <c r="F1805" s="1057"/>
      <c r="G1805" s="1058"/>
      <c r="H1805" s="9" t="str">
        <f>IF(A1805="","",VLOOKUP(A1805,AA_Equipos,7,FALSE))</f>
        <v/>
      </c>
      <c r="I1805" s="1059" t="str">
        <f>IF(A1805="","",VLOOKUP(A1805,AA_Equipos,8,FALSE))</f>
        <v/>
      </c>
      <c r="J1805" s="1058"/>
      <c r="K1805" s="1060"/>
      <c r="L1805" s="1058"/>
      <c r="M1805" s="1059" t="str">
        <f>IF(A1805="","",I1805*K1805)</f>
        <v/>
      </c>
      <c r="N1805" s="1058"/>
    </row>
    <row r="1806" spans="1:14" ht="12.75" customHeight="1" x14ac:dyDescent="0.2">
      <c r="A1806" s="1061"/>
      <c r="B1806" s="1057"/>
      <c r="C1806" s="1057"/>
      <c r="D1806" s="1057"/>
      <c r="E1806" s="1057"/>
      <c r="F1806" s="1057"/>
      <c r="G1806" s="1058"/>
      <c r="H1806" s="9" t="str">
        <f>IF(A1806="","",VLOOKUP(A1806,AA_Equipos,7,FALSE))</f>
        <v/>
      </c>
      <c r="I1806" s="1059" t="str">
        <f>IF(A1806="","",VLOOKUP(A1806,AA_Equipos,8,FALSE))</f>
        <v/>
      </c>
      <c r="J1806" s="1058"/>
      <c r="K1806" s="1060"/>
      <c r="L1806" s="1058"/>
      <c r="M1806" s="1059" t="str">
        <f>IF(A1806="","",I1806*K1806)</f>
        <v/>
      </c>
      <c r="N1806" s="1058"/>
    </row>
    <row r="1807" spans="1:14" ht="12.75" customHeight="1" x14ac:dyDescent="0.2">
      <c r="A1807" s="1061"/>
      <c r="B1807" s="1057"/>
      <c r="C1807" s="1057"/>
      <c r="D1807" s="1057"/>
      <c r="E1807" s="1057"/>
      <c r="F1807" s="1057"/>
      <c r="G1807" s="1058"/>
      <c r="H1807" s="9" t="str">
        <f>IF(A1807="","",VLOOKUP(A1807,AA_Equipos,7,FALSE))</f>
        <v/>
      </c>
      <c r="I1807" s="1059" t="str">
        <f>IF(A1807="","",VLOOKUP(A1807,AA_Equipos,8,FALSE))</f>
        <v/>
      </c>
      <c r="J1807" s="1058"/>
      <c r="K1807" s="1060"/>
      <c r="L1807" s="1058"/>
      <c r="M1807" s="1059" t="str">
        <f>IF(A1807="","",I1807*K1807)</f>
        <v/>
      </c>
      <c r="N1807" s="1058"/>
    </row>
    <row r="1808" spans="1:14" ht="12.75" customHeight="1" x14ac:dyDescent="0.25">
      <c r="A1808" s="3"/>
      <c r="B1808" s="3"/>
      <c r="C1808" s="3"/>
      <c r="D1808" s="3"/>
      <c r="E1808" s="3"/>
      <c r="F1808" s="3"/>
      <c r="G1808" s="3"/>
      <c r="H1808" s="3"/>
      <c r="I1808" s="3"/>
      <c r="J1808" s="3"/>
      <c r="K1808" s="1066" t="s">
        <v>201</v>
      </c>
      <c r="L1808" s="1058"/>
      <c r="M1808" s="1059">
        <f>SUM(M1803:N1807)</f>
        <v>48.278788575000007</v>
      </c>
      <c r="N1808" s="1058"/>
    </row>
    <row r="1809" spans="1:14" ht="12.75" customHeight="1" x14ac:dyDescent="0.25">
      <c r="A1809" s="3"/>
      <c r="B1809" s="3"/>
      <c r="C1809" s="3"/>
      <c r="D1809" s="3"/>
      <c r="E1809" s="3"/>
      <c r="F1809" s="3"/>
      <c r="G1809" s="3"/>
      <c r="H1809" s="3"/>
      <c r="I1809" s="3"/>
      <c r="J1809" s="3"/>
      <c r="K1809" s="3"/>
      <c r="L1809" s="3"/>
      <c r="M1809" s="3"/>
      <c r="N1809" s="3"/>
    </row>
    <row r="1810" spans="1:14" ht="12.75" customHeight="1" x14ac:dyDescent="0.2">
      <c r="A1810" s="1065" t="s">
        <v>392</v>
      </c>
      <c r="B1810" s="1057"/>
      <c r="C1810" s="1057"/>
      <c r="D1810" s="1057"/>
      <c r="E1810" s="1057"/>
      <c r="F1810" s="1057"/>
      <c r="G1810" s="1057"/>
      <c r="H1810" s="1057"/>
      <c r="I1810" s="1057"/>
      <c r="J1810" s="1057"/>
      <c r="K1810" s="1057"/>
      <c r="L1810" s="1057"/>
      <c r="M1810" s="1057"/>
      <c r="N1810" s="1058"/>
    </row>
    <row r="1811" spans="1:14" ht="12.75" customHeight="1" x14ac:dyDescent="0.2">
      <c r="A1811" s="1066" t="s">
        <v>38</v>
      </c>
      <c r="B1811" s="1057"/>
      <c r="C1811" s="1057"/>
      <c r="D1811" s="1057"/>
      <c r="E1811" s="1057"/>
      <c r="F1811" s="1057"/>
      <c r="G1811" s="1058"/>
      <c r="H1811" s="28" t="s">
        <v>39</v>
      </c>
      <c r="I1811" s="1062" t="s">
        <v>385</v>
      </c>
      <c r="J1811" s="1058"/>
      <c r="K1811" s="1062" t="s">
        <v>132</v>
      </c>
      <c r="L1811" s="1058"/>
      <c r="M1811" s="1062" t="s">
        <v>386</v>
      </c>
      <c r="N1811" s="1058"/>
    </row>
    <row r="1812" spans="1:14" ht="12.75" customHeight="1" x14ac:dyDescent="0.2">
      <c r="A1812" s="1061"/>
      <c r="B1812" s="1057"/>
      <c r="C1812" s="1057"/>
      <c r="D1812" s="1057"/>
      <c r="E1812" s="1057"/>
      <c r="F1812" s="1057"/>
      <c r="G1812" s="1058"/>
      <c r="H1812" s="9"/>
      <c r="I1812" s="1059"/>
      <c r="J1812" s="1058"/>
      <c r="K1812" s="1064"/>
      <c r="L1812" s="1058"/>
      <c r="M1812" s="1059" t="str">
        <f>IF(A1812="","",I1812*K1812)</f>
        <v/>
      </c>
      <c r="N1812" s="1058"/>
    </row>
    <row r="1813" spans="1:14" ht="12.75" customHeight="1" x14ac:dyDescent="0.2">
      <c r="A1813" s="1056"/>
      <c r="B1813" s="1057"/>
      <c r="C1813" s="1057"/>
      <c r="D1813" s="1057"/>
      <c r="E1813" s="1057"/>
      <c r="F1813" s="1057"/>
      <c r="G1813" s="1058"/>
      <c r="H1813" s="9"/>
      <c r="I1813" s="1059"/>
      <c r="J1813" s="1058"/>
      <c r="K1813" s="1060"/>
      <c r="L1813" s="1058"/>
      <c r="M1813" s="1059" t="str">
        <f>IF(A1813="","",I1813*K1813)</f>
        <v/>
      </c>
      <c r="N1813" s="1058"/>
    </row>
    <row r="1814" spans="1:14" ht="12.75" customHeight="1" x14ac:dyDescent="0.2">
      <c r="A1814" s="1061"/>
      <c r="B1814" s="1057"/>
      <c r="C1814" s="1057"/>
      <c r="D1814" s="1057"/>
      <c r="E1814" s="1057"/>
      <c r="F1814" s="1057"/>
      <c r="G1814" s="1058"/>
      <c r="H1814" s="9"/>
      <c r="I1814" s="1059"/>
      <c r="J1814" s="1058"/>
      <c r="K1814" s="1060"/>
      <c r="L1814" s="1058"/>
      <c r="M1814" s="1059" t="str">
        <f>IF(A1814="","",I1814*K1814)</f>
        <v/>
      </c>
      <c r="N1814" s="1058"/>
    </row>
    <row r="1815" spans="1:14" ht="12.75" customHeight="1" x14ac:dyDescent="0.2">
      <c r="A1815" s="1061"/>
      <c r="B1815" s="1057"/>
      <c r="C1815" s="1057"/>
      <c r="D1815" s="1057"/>
      <c r="E1815" s="1057"/>
      <c r="F1815" s="1057"/>
      <c r="G1815" s="1058"/>
      <c r="H1815" s="9"/>
      <c r="I1815" s="1059"/>
      <c r="J1815" s="1058"/>
      <c r="K1815" s="1060"/>
      <c r="L1815" s="1058"/>
      <c r="M1815" s="1059" t="str">
        <f>IF(A1815="","",I1815*K1815)</f>
        <v/>
      </c>
      <c r="N1815" s="1058"/>
    </row>
    <row r="1816" spans="1:14" ht="12.75" customHeight="1" x14ac:dyDescent="0.2">
      <c r="A1816" s="1061"/>
      <c r="B1816" s="1057"/>
      <c r="C1816" s="1057"/>
      <c r="D1816" s="1057"/>
      <c r="E1816" s="1057"/>
      <c r="F1816" s="1057"/>
      <c r="G1816" s="1058"/>
      <c r="H1816" s="9"/>
      <c r="I1816" s="1059"/>
      <c r="J1816" s="1058"/>
      <c r="K1816" s="1060"/>
      <c r="L1816" s="1058"/>
      <c r="M1816" s="1059" t="str">
        <f>IF(A1816="","",I1816*K1816)</f>
        <v/>
      </c>
      <c r="N1816" s="1058"/>
    </row>
    <row r="1817" spans="1:14" ht="12.75" customHeight="1" x14ac:dyDescent="0.25">
      <c r="A1817" s="3"/>
      <c r="B1817" s="3"/>
      <c r="C1817" s="3"/>
      <c r="D1817" s="3"/>
      <c r="E1817" s="3"/>
      <c r="F1817" s="3"/>
      <c r="G1817" s="3"/>
      <c r="H1817" s="3"/>
      <c r="I1817" s="3"/>
      <c r="J1817" s="3"/>
      <c r="K1817" s="1066" t="s">
        <v>201</v>
      </c>
      <c r="L1817" s="1058"/>
      <c r="M1817" s="1059">
        <f>SUM(M1812:N1816)</f>
        <v>0</v>
      </c>
      <c r="N1817" s="1058"/>
    </row>
    <row r="1818" spans="1:14" ht="12.75" customHeight="1" x14ac:dyDescent="0.25">
      <c r="A1818" s="3"/>
      <c r="B1818" s="3"/>
      <c r="C1818" s="3"/>
      <c r="D1818" s="3"/>
      <c r="E1818" s="3"/>
      <c r="F1818" s="3"/>
      <c r="G1818" s="3"/>
      <c r="H1818" s="3"/>
      <c r="I1818" s="3"/>
      <c r="J1818" s="3"/>
      <c r="K1818" s="3"/>
      <c r="L1818" s="3"/>
      <c r="M1818" s="3"/>
      <c r="N1818" s="3"/>
    </row>
    <row r="1819" spans="1:14" ht="12.75" customHeight="1" x14ac:dyDescent="0.2">
      <c r="A1819" s="1065" t="s">
        <v>394</v>
      </c>
      <c r="B1819" s="1057"/>
      <c r="C1819" s="1057"/>
      <c r="D1819" s="1057"/>
      <c r="E1819" s="1057"/>
      <c r="F1819" s="1057"/>
      <c r="G1819" s="1057"/>
      <c r="H1819" s="1057"/>
      <c r="I1819" s="1057"/>
      <c r="J1819" s="1057"/>
      <c r="K1819" s="1057"/>
      <c r="L1819" s="1057"/>
      <c r="M1819" s="1057"/>
      <c r="N1819" s="1058"/>
    </row>
    <row r="1820" spans="1:14" ht="12.75" customHeight="1" x14ac:dyDescent="0.2">
      <c r="A1820" s="1066" t="s">
        <v>38</v>
      </c>
      <c r="B1820" s="1057"/>
      <c r="C1820" s="1057"/>
      <c r="D1820" s="1057"/>
      <c r="E1820" s="1057"/>
      <c r="F1820" s="1057"/>
      <c r="G1820" s="1058"/>
      <c r="H1820" s="28" t="s">
        <v>39</v>
      </c>
      <c r="I1820" s="1062" t="s">
        <v>385</v>
      </c>
      <c r="J1820" s="1058"/>
      <c r="K1820" s="30" t="s">
        <v>193</v>
      </c>
      <c r="L1820" s="31" t="s">
        <v>395</v>
      </c>
      <c r="M1820" s="1062" t="s">
        <v>386</v>
      </c>
      <c r="N1820" s="1058"/>
    </row>
    <row r="1821" spans="1:14" ht="12.75" customHeight="1" x14ac:dyDescent="0.25">
      <c r="A1821" s="1063" t="s">
        <v>418</v>
      </c>
      <c r="B1821" s="1057"/>
      <c r="C1821" s="1057"/>
      <c r="D1821" s="1057"/>
      <c r="E1821" s="1057"/>
      <c r="F1821" s="1057"/>
      <c r="G1821" s="1058"/>
      <c r="H1821" s="9" t="str">
        <f>IF(A1821="","",VLOOKUP(A1821,AA_Cuadrillas,4,FALSE))</f>
        <v>Cuadrilla</v>
      </c>
      <c r="I1821" s="1059">
        <f>IF(A1821="","",VLOOKUP(A1821,AA_Cuadrillas,5,FALSE))</f>
        <v>280145</v>
      </c>
      <c r="J1821" s="1058"/>
      <c r="K1821" s="1">
        <f>IF(A1821="","",'06'!$J$3)</f>
        <v>1.7233500000000002</v>
      </c>
      <c r="L1821" s="32">
        <v>2E-3</v>
      </c>
      <c r="M1821" s="1059">
        <f>IF(A1821="","",I1821*K1821*L1821)</f>
        <v>965.57577150000009</v>
      </c>
      <c r="N1821" s="1058"/>
    </row>
    <row r="1822" spans="1:14" ht="12.75" customHeight="1" x14ac:dyDescent="0.25">
      <c r="A1822" s="1063"/>
      <c r="B1822" s="1057"/>
      <c r="C1822" s="1057"/>
      <c r="D1822" s="1057"/>
      <c r="E1822" s="1057"/>
      <c r="F1822" s="1057"/>
      <c r="G1822" s="1058"/>
      <c r="H1822" s="9" t="str">
        <f>IF(A1822="","",VLOOKUP(A1822,AA_Cuadrillas,4,FALSE))</f>
        <v/>
      </c>
      <c r="I1822" s="1059" t="str">
        <f>IF(A1822="","",VLOOKUP(A1822,AA_Cuadrillas,5,FALSE))</f>
        <v/>
      </c>
      <c r="J1822" s="1058"/>
      <c r="K1822" s="1" t="str">
        <f>IF(A1822="","",'06'!$J$3)</f>
        <v/>
      </c>
      <c r="L1822" s="1"/>
      <c r="M1822" s="1059" t="str">
        <f>IF(A1822="","",I1822*K1822*L1822)</f>
        <v/>
      </c>
      <c r="N1822" s="1058"/>
    </row>
    <row r="1823" spans="1:14" ht="12.75" customHeight="1" x14ac:dyDescent="0.25">
      <c r="A1823" s="1063"/>
      <c r="B1823" s="1057"/>
      <c r="C1823" s="1057"/>
      <c r="D1823" s="1057"/>
      <c r="E1823" s="1057"/>
      <c r="F1823" s="1057"/>
      <c r="G1823" s="1058"/>
      <c r="H1823" s="9" t="str">
        <f>IF(A1823="","",VLOOKUP(A1823,AA_Cuadrillas,4,FALSE))</f>
        <v/>
      </c>
      <c r="I1823" s="1059" t="str">
        <f>IF(A1823="","",VLOOKUP(A1823,AA_Cuadrillas,5,FALSE))</f>
        <v/>
      </c>
      <c r="J1823" s="1058"/>
      <c r="K1823" s="1" t="str">
        <f>IF(A1823="","",'06'!$J$3)</f>
        <v/>
      </c>
      <c r="L1823" s="10"/>
      <c r="M1823" s="1059" t="str">
        <f>IF(A1823="","",I1823*K1823*L1823)</f>
        <v/>
      </c>
      <c r="N1823" s="1058"/>
    </row>
    <row r="1824" spans="1:14" ht="12.75" customHeight="1" x14ac:dyDescent="0.25">
      <c r="A1824" s="1063"/>
      <c r="B1824" s="1057"/>
      <c r="C1824" s="1057"/>
      <c r="D1824" s="1057"/>
      <c r="E1824" s="1057"/>
      <c r="F1824" s="1057"/>
      <c r="G1824" s="1058"/>
      <c r="H1824" s="9" t="str">
        <f>IF(A1824="","",VLOOKUP(A1824,AA_Cuadrillas,4,FALSE))</f>
        <v/>
      </c>
      <c r="I1824" s="1059" t="str">
        <f>IF(A1824="","",VLOOKUP(A1824,AA_Cuadrillas,5,FALSE))</f>
        <v/>
      </c>
      <c r="J1824" s="1058"/>
      <c r="K1824" s="1" t="str">
        <f>IF(A1824="","",'06'!$J$3)</f>
        <v/>
      </c>
      <c r="L1824" s="10"/>
      <c r="M1824" s="1059" t="str">
        <f>IF(A1824="","",I1824*K1824*L1824)</f>
        <v/>
      </c>
      <c r="N1824" s="1058"/>
    </row>
    <row r="1825" spans="1:15" ht="12.75" customHeight="1" x14ac:dyDescent="0.25">
      <c r="A1825" s="1063"/>
      <c r="B1825" s="1057"/>
      <c r="C1825" s="1057"/>
      <c r="D1825" s="1057"/>
      <c r="E1825" s="1057"/>
      <c r="F1825" s="1057"/>
      <c r="G1825" s="1058"/>
      <c r="H1825" s="9" t="str">
        <f>IF(A1825="","",VLOOKUP(A1825,AA_Cuadrillas,4,FALSE))</f>
        <v/>
      </c>
      <c r="I1825" s="1059" t="str">
        <f>IF(A1825="","",VLOOKUP(A1825,AA_Cuadrillas,5,FALSE))</f>
        <v/>
      </c>
      <c r="J1825" s="1058"/>
      <c r="K1825" s="1" t="str">
        <f>IF(A1825="","",'06'!$J$3)</f>
        <v/>
      </c>
      <c r="L1825" s="10"/>
      <c r="M1825" s="1059" t="str">
        <f>IF(A1825="","",I1825*K1825*L1825)</f>
        <v/>
      </c>
      <c r="N1825" s="1058"/>
    </row>
    <row r="1826" spans="1:15" ht="12.75" customHeight="1" x14ac:dyDescent="0.25">
      <c r="A1826" s="3"/>
      <c r="B1826" s="3"/>
      <c r="C1826" s="3"/>
      <c r="D1826" s="3"/>
      <c r="E1826" s="3"/>
      <c r="F1826" s="3"/>
      <c r="G1826" s="3"/>
      <c r="H1826" s="3"/>
      <c r="I1826" s="3"/>
      <c r="J1826" s="3"/>
      <c r="K1826" s="1066" t="s">
        <v>201</v>
      </c>
      <c r="L1826" s="1058"/>
      <c r="M1826" s="1059">
        <f>SUM(M1821:N1825)</f>
        <v>965.57577150000009</v>
      </c>
      <c r="N1826" s="1058"/>
    </row>
    <row r="1827" spans="1:15" ht="12.75" customHeight="1" x14ac:dyDescent="0.2"/>
    <row r="1828" spans="1:15" ht="12.75" customHeight="1" x14ac:dyDescent="0.2">
      <c r="A1828" s="1072" t="s">
        <v>1708</v>
      </c>
      <c r="B1828" s="1052"/>
      <c r="C1828" s="1052"/>
      <c r="D1828" s="1052"/>
      <c r="E1828" s="1052"/>
      <c r="F1828" s="1052"/>
      <c r="G1828" s="1052"/>
      <c r="H1828" s="1052"/>
      <c r="I1828" s="1052"/>
      <c r="J1828" s="1052"/>
      <c r="K1828" s="1052"/>
      <c r="L1828" s="1052"/>
      <c r="M1828" s="1052"/>
      <c r="N1828" s="1053"/>
      <c r="O1828" s="7"/>
    </row>
    <row r="1829" spans="1:15" ht="12.75" customHeight="1" x14ac:dyDescent="0.2">
      <c r="A1829" s="1031"/>
      <c r="B1829" s="1032"/>
      <c r="C1829" s="1032"/>
      <c r="D1829" s="1032"/>
      <c r="E1829" s="1032"/>
      <c r="F1829" s="1032"/>
      <c r="G1829" s="1032"/>
      <c r="H1829" s="1032"/>
      <c r="I1829" s="1032"/>
      <c r="J1829" s="1032"/>
      <c r="K1829" s="1032"/>
      <c r="L1829" s="1032"/>
      <c r="M1829" s="1032"/>
      <c r="N1829" s="1055"/>
      <c r="O1829" s="7"/>
    </row>
    <row r="1830" spans="1:15" ht="12.75" customHeight="1" x14ac:dyDescent="0.2">
      <c r="A1830" s="16"/>
      <c r="B1830" s="16"/>
      <c r="C1830" s="16"/>
      <c r="D1830" s="16"/>
      <c r="E1830" s="16"/>
      <c r="F1830" s="16"/>
      <c r="G1830" s="16"/>
      <c r="H1830" s="16"/>
      <c r="I1830" s="16"/>
      <c r="J1830" s="16"/>
      <c r="K1830" s="16"/>
      <c r="L1830" s="16"/>
      <c r="M1830" s="16"/>
      <c r="N1830" s="16"/>
    </row>
    <row r="1831" spans="1:15" ht="12.75" customHeight="1" x14ac:dyDescent="0.3">
      <c r="A1831" s="18" t="s">
        <v>333</v>
      </c>
      <c r="B1831" s="19" t="str">
        <f>A1828</f>
        <v>PASO PARA POZO DE INSPECCION, EN POLIPROPILENOS CON MOLĖCULA ORIGINAL DE ALTO IMPACTO CON ALMA DE ACERO INOXIDABLE MEDIDAS FINALEST 40 CM X 32 CM X 2 QM COLOR. AMARILLO</v>
      </c>
      <c r="C1831" s="20" t="s">
        <v>382</v>
      </c>
      <c r="D1831" s="127" t="s">
        <v>424</v>
      </c>
      <c r="E1831" s="22" t="s">
        <v>125</v>
      </c>
      <c r="F1831" s="26">
        <f>(H1831+J1831+L1831+N1831)*$O$2</f>
        <v>164364.38650813999</v>
      </c>
      <c r="G1831" s="22" t="s">
        <v>285</v>
      </c>
      <c r="H1831" s="26">
        <f>M1850</f>
        <v>694.0068318000001</v>
      </c>
      <c r="I1831" s="22" t="s">
        <v>383</v>
      </c>
      <c r="J1831" s="26">
        <f>M1841</f>
        <v>111860</v>
      </c>
      <c r="K1831" s="22" t="s">
        <v>287</v>
      </c>
      <c r="L1831" s="26">
        <f>M1859</f>
        <v>0</v>
      </c>
      <c r="M1831" s="22" t="s">
        <v>288</v>
      </c>
      <c r="N1831" s="26">
        <f>M1868</f>
        <v>13880.136636000001</v>
      </c>
    </row>
    <row r="1832" spans="1:15" ht="12.75" customHeight="1" x14ac:dyDescent="0.25">
      <c r="A1832" s="27"/>
      <c r="B1832" s="27"/>
      <c r="C1832" s="27"/>
      <c r="D1832" s="27"/>
      <c r="E1832" s="27"/>
      <c r="F1832" s="27"/>
      <c r="G1832" s="27"/>
      <c r="J1832" s="27"/>
      <c r="K1832" s="27"/>
      <c r="L1832" s="27"/>
      <c r="M1832" s="27"/>
      <c r="N1832" s="27"/>
    </row>
    <row r="1833" spans="1:15" ht="12.75" customHeight="1" x14ac:dyDescent="0.2">
      <c r="A1833" s="1065" t="s">
        <v>384</v>
      </c>
      <c r="B1833" s="1057"/>
      <c r="C1833" s="1057"/>
      <c r="D1833" s="1057"/>
      <c r="E1833" s="1057"/>
      <c r="F1833" s="1057"/>
      <c r="G1833" s="1057"/>
      <c r="H1833" s="1057"/>
      <c r="I1833" s="1057"/>
      <c r="J1833" s="1057"/>
      <c r="K1833" s="1057"/>
      <c r="L1833" s="1057"/>
      <c r="M1833" s="1057"/>
      <c r="N1833" s="1058"/>
    </row>
    <row r="1834" spans="1:15" ht="12.75" customHeight="1" x14ac:dyDescent="0.2">
      <c r="A1834" s="1066" t="s">
        <v>38</v>
      </c>
      <c r="B1834" s="1057"/>
      <c r="C1834" s="1057"/>
      <c r="D1834" s="1057"/>
      <c r="E1834" s="1057"/>
      <c r="F1834" s="1057"/>
      <c r="G1834" s="1058"/>
      <c r="H1834" s="28" t="s">
        <v>39</v>
      </c>
      <c r="I1834" s="1062" t="s">
        <v>385</v>
      </c>
      <c r="J1834" s="1058"/>
      <c r="K1834" s="1062" t="s">
        <v>132</v>
      </c>
      <c r="L1834" s="1058"/>
      <c r="M1834" s="1062" t="s">
        <v>386</v>
      </c>
      <c r="N1834" s="1058"/>
    </row>
    <row r="1835" spans="1:15" ht="12.75" customHeight="1" x14ac:dyDescent="0.2">
      <c r="A1835" s="1061" t="s">
        <v>1549</v>
      </c>
      <c r="B1835" s="1057"/>
      <c r="C1835" s="1057"/>
      <c r="D1835" s="1057"/>
      <c r="E1835" s="1057"/>
      <c r="F1835" s="1057"/>
      <c r="G1835" s="1058"/>
      <c r="H1835" s="9" t="str">
        <f t="shared" ref="H1835:H1840" si="122">IF(A1835="","",VLOOKUP(A1835,AA_Materiales,7,FALSE))</f>
        <v>Unidad</v>
      </c>
      <c r="I1835" s="1059">
        <f t="shared" ref="I1835:I1840" si="123">IF(A1835="","",VLOOKUP(A1835,AA_Materiales,8,FALSE))</f>
        <v>111860</v>
      </c>
      <c r="J1835" s="1058"/>
      <c r="K1835" s="1060">
        <v>1</v>
      </c>
      <c r="L1835" s="1058"/>
      <c r="M1835" s="1059">
        <f t="shared" ref="M1835:M1840" si="124">IF(A1835="","",I1835*K1835)</f>
        <v>111860</v>
      </c>
      <c r="N1835" s="1058"/>
    </row>
    <row r="1836" spans="1:15" ht="12.75" customHeight="1" x14ac:dyDescent="0.2">
      <c r="A1836" s="1061"/>
      <c r="B1836" s="1057"/>
      <c r="C1836" s="1057"/>
      <c r="D1836" s="1057"/>
      <c r="E1836" s="1057"/>
      <c r="F1836" s="1057"/>
      <c r="G1836" s="1058"/>
      <c r="H1836" s="9" t="str">
        <f t="shared" si="122"/>
        <v/>
      </c>
      <c r="I1836" s="1059" t="str">
        <f t="shared" si="123"/>
        <v/>
      </c>
      <c r="J1836" s="1058"/>
      <c r="K1836" s="1060"/>
      <c r="L1836" s="1058"/>
      <c r="M1836" s="1059" t="str">
        <f t="shared" si="124"/>
        <v/>
      </c>
      <c r="N1836" s="1058"/>
    </row>
    <row r="1837" spans="1:15" ht="12.75" customHeight="1" x14ac:dyDescent="0.2">
      <c r="A1837" s="1061"/>
      <c r="B1837" s="1057"/>
      <c r="C1837" s="1057"/>
      <c r="D1837" s="1057"/>
      <c r="E1837" s="1057"/>
      <c r="F1837" s="1057"/>
      <c r="G1837" s="1058"/>
      <c r="H1837" s="9" t="str">
        <f t="shared" si="122"/>
        <v/>
      </c>
      <c r="I1837" s="1059" t="str">
        <f t="shared" si="123"/>
        <v/>
      </c>
      <c r="J1837" s="1058"/>
      <c r="K1837" s="1060"/>
      <c r="L1837" s="1058"/>
      <c r="M1837" s="1059" t="str">
        <f t="shared" si="124"/>
        <v/>
      </c>
      <c r="N1837" s="1058"/>
    </row>
    <row r="1838" spans="1:15" ht="12.75" customHeight="1" x14ac:dyDescent="0.2">
      <c r="A1838" s="1061"/>
      <c r="B1838" s="1057"/>
      <c r="C1838" s="1057"/>
      <c r="D1838" s="1057"/>
      <c r="E1838" s="1057"/>
      <c r="F1838" s="1057"/>
      <c r="G1838" s="1058"/>
      <c r="H1838" s="9" t="str">
        <f t="shared" si="122"/>
        <v/>
      </c>
      <c r="I1838" s="1059" t="str">
        <f t="shared" si="123"/>
        <v/>
      </c>
      <c r="J1838" s="1058"/>
      <c r="K1838" s="1060"/>
      <c r="L1838" s="1058"/>
      <c r="M1838" s="1059" t="str">
        <f t="shared" si="124"/>
        <v/>
      </c>
      <c r="N1838" s="1058"/>
    </row>
    <row r="1839" spans="1:15" ht="12.75" customHeight="1" x14ac:dyDescent="0.2">
      <c r="A1839" s="1061"/>
      <c r="B1839" s="1057"/>
      <c r="C1839" s="1057"/>
      <c r="D1839" s="1057"/>
      <c r="E1839" s="1057"/>
      <c r="F1839" s="1057"/>
      <c r="G1839" s="1058"/>
      <c r="H1839" s="9" t="str">
        <f t="shared" si="122"/>
        <v/>
      </c>
      <c r="I1839" s="1059" t="str">
        <f t="shared" si="123"/>
        <v/>
      </c>
      <c r="J1839" s="1058"/>
      <c r="K1839" s="1060"/>
      <c r="L1839" s="1058"/>
      <c r="M1839" s="1059" t="str">
        <f t="shared" si="124"/>
        <v/>
      </c>
      <c r="N1839" s="1058"/>
    </row>
    <row r="1840" spans="1:15" ht="12.75" customHeight="1" x14ac:dyDescent="0.2">
      <c r="A1840" s="1061"/>
      <c r="B1840" s="1057"/>
      <c r="C1840" s="1057"/>
      <c r="D1840" s="1057"/>
      <c r="E1840" s="1057"/>
      <c r="F1840" s="1057"/>
      <c r="G1840" s="1058"/>
      <c r="H1840" s="9" t="str">
        <f t="shared" si="122"/>
        <v/>
      </c>
      <c r="I1840" s="1059" t="str">
        <f t="shared" si="123"/>
        <v/>
      </c>
      <c r="J1840" s="1058"/>
      <c r="K1840" s="1060"/>
      <c r="L1840" s="1058"/>
      <c r="M1840" s="1059" t="str">
        <f t="shared" si="124"/>
        <v/>
      </c>
      <c r="N1840" s="1058"/>
    </row>
    <row r="1841" spans="1:14" ht="12.75" customHeight="1" x14ac:dyDescent="0.25">
      <c r="A1841" s="3"/>
      <c r="B1841" s="3"/>
      <c r="C1841" s="3"/>
      <c r="D1841" s="3"/>
      <c r="E1841" s="3"/>
      <c r="F1841" s="3"/>
      <c r="G1841" s="3"/>
      <c r="H1841" s="3"/>
      <c r="I1841" s="3"/>
      <c r="J1841" s="3"/>
      <c r="K1841" s="1066" t="s">
        <v>201</v>
      </c>
      <c r="L1841" s="1058"/>
      <c r="M1841" s="1059">
        <f>SUM(M1835:N1840)</f>
        <v>111860</v>
      </c>
      <c r="N1841" s="1058"/>
    </row>
    <row r="1842" spans="1:14" ht="12.75" customHeight="1" x14ac:dyDescent="0.25">
      <c r="A1842" s="3"/>
      <c r="B1842" s="3"/>
      <c r="C1842" s="3"/>
      <c r="D1842" s="3"/>
      <c r="E1842" s="3"/>
      <c r="F1842" s="3"/>
      <c r="G1842" s="3"/>
      <c r="H1842" s="3"/>
      <c r="I1842" s="3"/>
      <c r="J1842" s="3"/>
      <c r="K1842" s="3"/>
      <c r="L1842" s="3"/>
      <c r="M1842" s="3"/>
      <c r="N1842" s="3"/>
    </row>
    <row r="1843" spans="1:14" ht="12.75" customHeight="1" x14ac:dyDescent="0.2">
      <c r="A1843" s="1065" t="s">
        <v>390</v>
      </c>
      <c r="B1843" s="1057"/>
      <c r="C1843" s="1057"/>
      <c r="D1843" s="1057"/>
      <c r="E1843" s="1057"/>
      <c r="F1843" s="1057"/>
      <c r="G1843" s="1057"/>
      <c r="H1843" s="1057"/>
      <c r="I1843" s="1057"/>
      <c r="J1843" s="1057"/>
      <c r="K1843" s="1057"/>
      <c r="L1843" s="1057"/>
      <c r="M1843" s="1057"/>
      <c r="N1843" s="1058"/>
    </row>
    <row r="1844" spans="1:14" ht="12.75" customHeight="1" x14ac:dyDescent="0.2">
      <c r="A1844" s="1066" t="s">
        <v>38</v>
      </c>
      <c r="B1844" s="1057"/>
      <c r="C1844" s="1057"/>
      <c r="D1844" s="1057"/>
      <c r="E1844" s="1057"/>
      <c r="F1844" s="1057"/>
      <c r="G1844" s="1058"/>
      <c r="H1844" s="28" t="s">
        <v>39</v>
      </c>
      <c r="I1844" s="1062" t="s">
        <v>385</v>
      </c>
      <c r="J1844" s="1058"/>
      <c r="K1844" s="1062" t="s">
        <v>132</v>
      </c>
      <c r="L1844" s="1058"/>
      <c r="M1844" s="1062" t="s">
        <v>386</v>
      </c>
      <c r="N1844" s="1058"/>
    </row>
    <row r="1845" spans="1:14" ht="12.75" customHeight="1" x14ac:dyDescent="0.2">
      <c r="A1845" s="1061" t="s">
        <v>391</v>
      </c>
      <c r="B1845" s="1057"/>
      <c r="C1845" s="1057"/>
      <c r="D1845" s="1057"/>
      <c r="E1845" s="1057"/>
      <c r="F1845" s="1057"/>
      <c r="G1845" s="1058"/>
      <c r="H1845" s="9" t="str">
        <f>IF(A1845="","",VLOOKUP(A1845,AA_Equipos,7,FALSE))</f>
        <v>% M.O.</v>
      </c>
      <c r="I1845" s="1059">
        <f>M1868</f>
        <v>13880.136636000001</v>
      </c>
      <c r="J1845" s="1058"/>
      <c r="K1845" s="1064">
        <v>0.05</v>
      </c>
      <c r="L1845" s="1058"/>
      <c r="M1845" s="1059">
        <f>IF(A1845="","",I1845*K1845)</f>
        <v>694.0068318000001</v>
      </c>
      <c r="N1845" s="1058"/>
    </row>
    <row r="1846" spans="1:14" ht="12.75" customHeight="1" x14ac:dyDescent="0.2">
      <c r="A1846" s="1056"/>
      <c r="B1846" s="1057"/>
      <c r="C1846" s="1057"/>
      <c r="D1846" s="1057"/>
      <c r="E1846" s="1057"/>
      <c r="F1846" s="1057"/>
      <c r="G1846" s="1058"/>
      <c r="H1846" s="9" t="str">
        <f>IF(A1846="","",VLOOKUP(A1846,AA_Equipos,7,FALSE))</f>
        <v/>
      </c>
      <c r="I1846" s="1059" t="str">
        <f>IF(A1846="","",VLOOKUP(A1846,AA_Equipos,8,FALSE))</f>
        <v/>
      </c>
      <c r="J1846" s="1058"/>
      <c r="K1846" s="1067"/>
      <c r="L1846" s="1058"/>
      <c r="M1846" s="1059" t="str">
        <f>IF(A1846="","",I1846*K1846)</f>
        <v/>
      </c>
      <c r="N1846" s="1058"/>
    </row>
    <row r="1847" spans="1:14" ht="12.75" customHeight="1" x14ac:dyDescent="0.2">
      <c r="A1847" s="1056"/>
      <c r="B1847" s="1057"/>
      <c r="C1847" s="1057"/>
      <c r="D1847" s="1057"/>
      <c r="E1847" s="1057"/>
      <c r="F1847" s="1057"/>
      <c r="G1847" s="1058"/>
      <c r="H1847" s="9" t="str">
        <f>IF(A1847="","",VLOOKUP(A1847,AA_Equipos,7,FALSE))</f>
        <v/>
      </c>
      <c r="I1847" s="1059" t="str">
        <f>IF(A1847="","",VLOOKUP(A1847,AA_Equipos,8,FALSE))</f>
        <v/>
      </c>
      <c r="J1847" s="1058"/>
      <c r="K1847" s="1060"/>
      <c r="L1847" s="1058"/>
      <c r="M1847" s="1059" t="str">
        <f>IF(A1847="","",I1847*K1847)</f>
        <v/>
      </c>
      <c r="N1847" s="1058"/>
    </row>
    <row r="1848" spans="1:14" ht="12.75" customHeight="1" x14ac:dyDescent="0.2">
      <c r="A1848" s="1061"/>
      <c r="B1848" s="1057"/>
      <c r="C1848" s="1057"/>
      <c r="D1848" s="1057"/>
      <c r="E1848" s="1057"/>
      <c r="F1848" s="1057"/>
      <c r="G1848" s="1058"/>
      <c r="H1848" s="9" t="str">
        <f>IF(A1848="","",VLOOKUP(A1848,AA_Equipos,7,FALSE))</f>
        <v/>
      </c>
      <c r="I1848" s="1059" t="str">
        <f>IF(A1848="","",VLOOKUP(A1848,AA_Equipos,8,FALSE))</f>
        <v/>
      </c>
      <c r="J1848" s="1058"/>
      <c r="K1848" s="1060"/>
      <c r="L1848" s="1058"/>
      <c r="M1848" s="1059" t="str">
        <f>IF(A1848="","",I1848*K1848)</f>
        <v/>
      </c>
      <c r="N1848" s="1058"/>
    </row>
    <row r="1849" spans="1:14" ht="12.75" customHeight="1" x14ac:dyDescent="0.2">
      <c r="A1849" s="1061"/>
      <c r="B1849" s="1057"/>
      <c r="C1849" s="1057"/>
      <c r="D1849" s="1057"/>
      <c r="E1849" s="1057"/>
      <c r="F1849" s="1057"/>
      <c r="G1849" s="1058"/>
      <c r="H1849" s="9" t="str">
        <f>IF(A1849="","",VLOOKUP(A1849,AA_Equipos,7,FALSE))</f>
        <v/>
      </c>
      <c r="I1849" s="1059" t="str">
        <f>IF(A1849="","",VLOOKUP(A1849,AA_Equipos,8,FALSE))</f>
        <v/>
      </c>
      <c r="J1849" s="1058"/>
      <c r="K1849" s="1060"/>
      <c r="L1849" s="1058"/>
      <c r="M1849" s="1059" t="str">
        <f>IF(A1849="","",I1849*K1849)</f>
        <v/>
      </c>
      <c r="N1849" s="1058"/>
    </row>
    <row r="1850" spans="1:14" ht="12.75" customHeight="1" x14ac:dyDescent="0.25">
      <c r="A1850" s="3"/>
      <c r="B1850" s="3"/>
      <c r="C1850" s="3"/>
      <c r="D1850" s="3"/>
      <c r="E1850" s="3"/>
      <c r="F1850" s="3"/>
      <c r="G1850" s="3"/>
      <c r="H1850" s="3"/>
      <c r="I1850" s="3"/>
      <c r="J1850" s="3"/>
      <c r="K1850" s="1066" t="s">
        <v>201</v>
      </c>
      <c r="L1850" s="1058"/>
      <c r="M1850" s="1059">
        <f>SUM(M1845:N1849)</f>
        <v>694.0068318000001</v>
      </c>
      <c r="N1850" s="1058"/>
    </row>
    <row r="1851" spans="1:14" ht="12.75" customHeight="1" x14ac:dyDescent="0.25">
      <c r="A1851" s="3"/>
      <c r="B1851" s="3"/>
      <c r="C1851" s="3"/>
      <c r="D1851" s="3"/>
      <c r="E1851" s="3"/>
      <c r="F1851" s="3"/>
      <c r="G1851" s="3"/>
      <c r="H1851" s="3"/>
      <c r="I1851" s="3"/>
      <c r="J1851" s="3"/>
      <c r="K1851" s="3"/>
      <c r="L1851" s="3"/>
      <c r="M1851" s="3"/>
      <c r="N1851" s="3"/>
    </row>
    <row r="1852" spans="1:14" ht="12.75" customHeight="1" x14ac:dyDescent="0.2">
      <c r="A1852" s="1065" t="s">
        <v>392</v>
      </c>
      <c r="B1852" s="1057"/>
      <c r="C1852" s="1057"/>
      <c r="D1852" s="1057"/>
      <c r="E1852" s="1057"/>
      <c r="F1852" s="1057"/>
      <c r="G1852" s="1057"/>
      <c r="H1852" s="1057"/>
      <c r="I1852" s="1057"/>
      <c r="J1852" s="1057"/>
      <c r="K1852" s="1057"/>
      <c r="L1852" s="1057"/>
      <c r="M1852" s="1057"/>
      <c r="N1852" s="1058"/>
    </row>
    <row r="1853" spans="1:14" ht="12.75" customHeight="1" x14ac:dyDescent="0.2">
      <c r="A1853" s="1066" t="s">
        <v>38</v>
      </c>
      <c r="B1853" s="1057"/>
      <c r="C1853" s="1057"/>
      <c r="D1853" s="1057"/>
      <c r="E1853" s="1057"/>
      <c r="F1853" s="1057"/>
      <c r="G1853" s="1058"/>
      <c r="H1853" s="28" t="s">
        <v>39</v>
      </c>
      <c r="I1853" s="1062" t="s">
        <v>385</v>
      </c>
      <c r="J1853" s="1058"/>
      <c r="K1853" s="1062" t="s">
        <v>132</v>
      </c>
      <c r="L1853" s="1058"/>
      <c r="M1853" s="1062" t="s">
        <v>386</v>
      </c>
      <c r="N1853" s="1058"/>
    </row>
    <row r="1854" spans="1:14" ht="12.75" customHeight="1" x14ac:dyDescent="0.2">
      <c r="A1854" s="1061"/>
      <c r="B1854" s="1057"/>
      <c r="C1854" s="1057"/>
      <c r="D1854" s="1057"/>
      <c r="E1854" s="1057"/>
      <c r="F1854" s="1057"/>
      <c r="G1854" s="1058"/>
      <c r="H1854" s="9"/>
      <c r="I1854" s="1059"/>
      <c r="J1854" s="1058"/>
      <c r="K1854" s="1060"/>
      <c r="L1854" s="1058"/>
      <c r="M1854" s="1059" t="str">
        <f>IF(A1854="","",I1854*K1854)</f>
        <v/>
      </c>
      <c r="N1854" s="1058"/>
    </row>
    <row r="1855" spans="1:14" ht="12.75" customHeight="1" x14ac:dyDescent="0.2">
      <c r="A1855" s="1056"/>
      <c r="B1855" s="1057"/>
      <c r="C1855" s="1057"/>
      <c r="D1855" s="1057"/>
      <c r="E1855" s="1057"/>
      <c r="F1855" s="1057"/>
      <c r="G1855" s="1058"/>
      <c r="H1855" s="9"/>
      <c r="I1855" s="1059"/>
      <c r="J1855" s="1058"/>
      <c r="K1855" s="1069"/>
      <c r="L1855" s="1058"/>
      <c r="M1855" s="1059" t="str">
        <f>IF(A1855="","",I1855*K1855)</f>
        <v/>
      </c>
      <c r="N1855" s="1058"/>
    </row>
    <row r="1856" spans="1:14" ht="12.75" customHeight="1" x14ac:dyDescent="0.2">
      <c r="A1856" s="1061"/>
      <c r="B1856" s="1057"/>
      <c r="C1856" s="1057"/>
      <c r="D1856" s="1057"/>
      <c r="E1856" s="1057"/>
      <c r="F1856" s="1057"/>
      <c r="G1856" s="1058"/>
      <c r="H1856" s="9"/>
      <c r="I1856" s="1059"/>
      <c r="J1856" s="1058"/>
      <c r="K1856" s="1060"/>
      <c r="L1856" s="1058"/>
      <c r="M1856" s="1059" t="str">
        <f>IF(A1856="","",I1856*K1856)</f>
        <v/>
      </c>
      <c r="N1856" s="1058"/>
    </row>
    <row r="1857" spans="1:15" ht="12.75" customHeight="1" x14ac:dyDescent="0.2">
      <c r="A1857" s="1061"/>
      <c r="B1857" s="1057"/>
      <c r="C1857" s="1057"/>
      <c r="D1857" s="1057"/>
      <c r="E1857" s="1057"/>
      <c r="F1857" s="1057"/>
      <c r="G1857" s="1058"/>
      <c r="H1857" s="9"/>
      <c r="I1857" s="1059"/>
      <c r="J1857" s="1058"/>
      <c r="K1857" s="1060"/>
      <c r="L1857" s="1058"/>
      <c r="M1857" s="1059" t="str">
        <f>IF(A1857="","",I1857*K1857)</f>
        <v/>
      </c>
      <c r="N1857" s="1058"/>
    </row>
    <row r="1858" spans="1:15" ht="12.75" customHeight="1" x14ac:dyDescent="0.2">
      <c r="A1858" s="1061"/>
      <c r="B1858" s="1057"/>
      <c r="C1858" s="1057"/>
      <c r="D1858" s="1057"/>
      <c r="E1858" s="1057"/>
      <c r="F1858" s="1057"/>
      <c r="G1858" s="1058"/>
      <c r="H1858" s="9"/>
      <c r="I1858" s="1059"/>
      <c r="J1858" s="1058"/>
      <c r="K1858" s="1060"/>
      <c r="L1858" s="1058"/>
      <c r="M1858" s="1059" t="str">
        <f>IF(A1858="","",I1858*K1858)</f>
        <v/>
      </c>
      <c r="N1858" s="1058"/>
    </row>
    <row r="1859" spans="1:15" ht="12.75" customHeight="1" x14ac:dyDescent="0.25">
      <c r="A1859" s="3"/>
      <c r="B1859" s="3"/>
      <c r="C1859" s="3"/>
      <c r="D1859" s="3"/>
      <c r="E1859" s="3"/>
      <c r="F1859" s="3"/>
      <c r="G1859" s="3"/>
      <c r="H1859" s="3"/>
      <c r="I1859" s="3"/>
      <c r="J1859" s="3"/>
      <c r="K1859" s="1066" t="s">
        <v>201</v>
      </c>
      <c r="L1859" s="1058"/>
      <c r="M1859" s="1059">
        <f>SUM(M1854:N1858)</f>
        <v>0</v>
      </c>
      <c r="N1859" s="1058"/>
    </row>
    <row r="1860" spans="1:15" ht="12.75" customHeight="1" x14ac:dyDescent="0.25">
      <c r="A1860" s="3"/>
      <c r="B1860" s="3"/>
      <c r="C1860" s="3"/>
      <c r="D1860" s="3"/>
      <c r="E1860" s="3"/>
      <c r="F1860" s="3"/>
      <c r="G1860" s="3"/>
      <c r="H1860" s="3"/>
      <c r="I1860" s="3"/>
      <c r="J1860" s="3"/>
      <c r="K1860" s="3"/>
      <c r="L1860" s="3"/>
      <c r="M1860" s="3"/>
      <c r="N1860" s="3"/>
    </row>
    <row r="1861" spans="1:15" ht="12.75" customHeight="1" x14ac:dyDescent="0.2">
      <c r="A1861" s="1065" t="s">
        <v>394</v>
      </c>
      <c r="B1861" s="1057"/>
      <c r="C1861" s="1057"/>
      <c r="D1861" s="1057"/>
      <c r="E1861" s="1057"/>
      <c r="F1861" s="1057"/>
      <c r="G1861" s="1057"/>
      <c r="H1861" s="1057"/>
      <c r="I1861" s="1057"/>
      <c r="J1861" s="1057"/>
      <c r="K1861" s="1057"/>
      <c r="L1861" s="1057"/>
      <c r="M1861" s="1057"/>
      <c r="N1861" s="1058"/>
    </row>
    <row r="1862" spans="1:15" ht="12.75" customHeight="1" x14ac:dyDescent="0.2">
      <c r="A1862" s="1066" t="s">
        <v>38</v>
      </c>
      <c r="B1862" s="1057"/>
      <c r="C1862" s="1057"/>
      <c r="D1862" s="1057"/>
      <c r="E1862" s="1057"/>
      <c r="F1862" s="1057"/>
      <c r="G1862" s="1058"/>
      <c r="H1862" s="28" t="s">
        <v>39</v>
      </c>
      <c r="I1862" s="1062" t="s">
        <v>385</v>
      </c>
      <c r="J1862" s="1058"/>
      <c r="K1862" s="30" t="s">
        <v>193</v>
      </c>
      <c r="L1862" s="31" t="s">
        <v>395</v>
      </c>
      <c r="M1862" s="1062" t="s">
        <v>386</v>
      </c>
      <c r="N1862" s="1058"/>
    </row>
    <row r="1863" spans="1:15" ht="12.75" customHeight="1" x14ac:dyDescent="0.25">
      <c r="A1863" s="1063" t="s">
        <v>423</v>
      </c>
      <c r="B1863" s="1057"/>
      <c r="C1863" s="1057"/>
      <c r="D1863" s="1057"/>
      <c r="E1863" s="1057"/>
      <c r="F1863" s="1057"/>
      <c r="G1863" s="1058"/>
      <c r="H1863" s="9" t="str">
        <f>IF(A1863="","",VLOOKUP(A1863,AA_Cuadrillas,4,FALSE))</f>
        <v>Cuadrilla</v>
      </c>
      <c r="I1863" s="1059">
        <f>IF(A1863="","",VLOOKUP(A1863,AA_Cuadrillas,5,FALSE))</f>
        <v>134236</v>
      </c>
      <c r="J1863" s="1058"/>
      <c r="K1863" s="1">
        <f>IF(A1863="","",'06'!$J$3)</f>
        <v>1.7233500000000002</v>
      </c>
      <c r="L1863" s="32">
        <v>0.06</v>
      </c>
      <c r="M1863" s="1059">
        <f>IF(A1863="","",I1863*K1863*L1863)</f>
        <v>13880.136636000001</v>
      </c>
      <c r="N1863" s="1058"/>
    </row>
    <row r="1864" spans="1:15" ht="12.75" customHeight="1" x14ac:dyDescent="0.25">
      <c r="A1864" s="1063"/>
      <c r="B1864" s="1057"/>
      <c r="C1864" s="1057"/>
      <c r="D1864" s="1057"/>
      <c r="E1864" s="1057"/>
      <c r="F1864" s="1057"/>
      <c r="G1864" s="1058"/>
      <c r="H1864" s="9" t="str">
        <f>IF(A1864="","",VLOOKUP(A1864,AA_Cuadrillas,4,FALSE))</f>
        <v/>
      </c>
      <c r="I1864" s="1059" t="str">
        <f>IF(A1864="","",VLOOKUP(A1864,AA_Cuadrillas,5,FALSE))</f>
        <v/>
      </c>
      <c r="J1864" s="1058"/>
      <c r="K1864" s="1" t="str">
        <f>IF(A1864="","",'06'!$J$3)</f>
        <v/>
      </c>
      <c r="L1864" s="1"/>
      <c r="M1864" s="1059" t="str">
        <f>IF(A1864="","",I1864*K1864*L1864)</f>
        <v/>
      </c>
      <c r="N1864" s="1058"/>
    </row>
    <row r="1865" spans="1:15" ht="12.75" customHeight="1" x14ac:dyDescent="0.25">
      <c r="A1865" s="1063"/>
      <c r="B1865" s="1057"/>
      <c r="C1865" s="1057"/>
      <c r="D1865" s="1057"/>
      <c r="E1865" s="1057"/>
      <c r="F1865" s="1057"/>
      <c r="G1865" s="1058"/>
      <c r="H1865" s="9" t="str">
        <f>IF(A1865="","",VLOOKUP(A1865,AA_Cuadrillas,4,FALSE))</f>
        <v/>
      </c>
      <c r="I1865" s="1059" t="str">
        <f>IF(A1865="","",VLOOKUP(A1865,AA_Cuadrillas,5,FALSE))</f>
        <v/>
      </c>
      <c r="J1865" s="1058"/>
      <c r="K1865" s="1" t="str">
        <f>IF(A1865="","",'06'!$J$3)</f>
        <v/>
      </c>
      <c r="L1865" s="10"/>
      <c r="M1865" s="1059" t="str">
        <f>IF(A1865="","",I1865*K1865*L1865)</f>
        <v/>
      </c>
      <c r="N1865" s="1058"/>
    </row>
    <row r="1866" spans="1:15" ht="12.75" customHeight="1" x14ac:dyDescent="0.25">
      <c r="A1866" s="1063"/>
      <c r="B1866" s="1057"/>
      <c r="C1866" s="1057"/>
      <c r="D1866" s="1057"/>
      <c r="E1866" s="1057"/>
      <c r="F1866" s="1057"/>
      <c r="G1866" s="1058"/>
      <c r="H1866" s="9" t="str">
        <f>IF(A1866="","",VLOOKUP(A1866,AA_Cuadrillas,4,FALSE))</f>
        <v/>
      </c>
      <c r="I1866" s="1059" t="str">
        <f>IF(A1866="","",VLOOKUP(A1866,AA_Cuadrillas,5,FALSE))</f>
        <v/>
      </c>
      <c r="J1866" s="1058"/>
      <c r="K1866" s="1" t="str">
        <f>IF(A1866="","",'06'!$J$3)</f>
        <v/>
      </c>
      <c r="L1866" s="10"/>
      <c r="M1866" s="1059" t="str">
        <f>IF(A1866="","",I1866*K1866*L1866)</f>
        <v/>
      </c>
      <c r="N1866" s="1058"/>
    </row>
    <row r="1867" spans="1:15" ht="12.75" customHeight="1" x14ac:dyDescent="0.25">
      <c r="A1867" s="1063"/>
      <c r="B1867" s="1057"/>
      <c r="C1867" s="1057"/>
      <c r="D1867" s="1057"/>
      <c r="E1867" s="1057"/>
      <c r="F1867" s="1057"/>
      <c r="G1867" s="1058"/>
      <c r="H1867" s="9" t="str">
        <f>IF(A1867="","",VLOOKUP(A1867,AA_Cuadrillas,4,FALSE))</f>
        <v/>
      </c>
      <c r="I1867" s="1059" t="str">
        <f>IF(A1867="","",VLOOKUP(A1867,AA_Cuadrillas,5,FALSE))</f>
        <v/>
      </c>
      <c r="J1867" s="1058"/>
      <c r="K1867" s="1" t="str">
        <f>IF(A1867="","",'06'!$J$3)</f>
        <v/>
      </c>
      <c r="L1867" s="10"/>
      <c r="M1867" s="1059" t="str">
        <f>IF(A1867="","",I1867*K1867*L1867)</f>
        <v/>
      </c>
      <c r="N1867" s="1058"/>
    </row>
    <row r="1868" spans="1:15" ht="12.75" customHeight="1" x14ac:dyDescent="0.25">
      <c r="A1868" s="3"/>
      <c r="B1868" s="3"/>
      <c r="C1868" s="3"/>
      <c r="D1868" s="3"/>
      <c r="E1868" s="3"/>
      <c r="F1868" s="3"/>
      <c r="G1868" s="3"/>
      <c r="H1868" s="3"/>
      <c r="I1868" s="3"/>
      <c r="J1868" s="3"/>
      <c r="K1868" s="1066" t="s">
        <v>201</v>
      </c>
      <c r="L1868" s="1058"/>
      <c r="M1868" s="1059">
        <f>SUM(M1863:N1867)</f>
        <v>13880.136636000001</v>
      </c>
      <c r="N1868" s="1058"/>
    </row>
    <row r="1869" spans="1:15" ht="12.75" customHeight="1" x14ac:dyDescent="0.2"/>
    <row r="1870" spans="1:15" ht="12.75" customHeight="1" x14ac:dyDescent="0.2">
      <c r="A1870" s="1072" t="s">
        <v>1709</v>
      </c>
      <c r="B1870" s="1052"/>
      <c r="C1870" s="1052"/>
      <c r="D1870" s="1052"/>
      <c r="E1870" s="1052"/>
      <c r="F1870" s="1052"/>
      <c r="G1870" s="1052"/>
      <c r="H1870" s="1052"/>
      <c r="I1870" s="1052"/>
      <c r="J1870" s="1052"/>
      <c r="K1870" s="1052"/>
      <c r="L1870" s="1052"/>
      <c r="M1870" s="1052"/>
      <c r="N1870" s="1053"/>
      <c r="O1870" s="7"/>
    </row>
    <row r="1871" spans="1:15" ht="12.75" customHeight="1" x14ac:dyDescent="0.2">
      <c r="A1871" s="1031"/>
      <c r="B1871" s="1032"/>
      <c r="C1871" s="1032"/>
      <c r="D1871" s="1032"/>
      <c r="E1871" s="1032"/>
      <c r="F1871" s="1032"/>
      <c r="G1871" s="1032"/>
      <c r="H1871" s="1032"/>
      <c r="I1871" s="1032"/>
      <c r="J1871" s="1032"/>
      <c r="K1871" s="1032"/>
      <c r="L1871" s="1032"/>
      <c r="M1871" s="1032"/>
      <c r="N1871" s="1055"/>
      <c r="O1871" s="7"/>
    </row>
    <row r="1872" spans="1:15" ht="12.75" customHeight="1" x14ac:dyDescent="0.2">
      <c r="A1872" s="16"/>
      <c r="B1872" s="16"/>
      <c r="C1872" s="16"/>
      <c r="D1872" s="16"/>
      <c r="E1872" s="16"/>
      <c r="F1872" s="16"/>
      <c r="G1872" s="16"/>
      <c r="H1872" s="16"/>
      <c r="I1872" s="16"/>
      <c r="J1872" s="16"/>
      <c r="K1872" s="16"/>
      <c r="L1872" s="16"/>
      <c r="M1872" s="16"/>
      <c r="N1872" s="16"/>
    </row>
    <row r="1873" spans="1:14" ht="12.75" customHeight="1" x14ac:dyDescent="0.3">
      <c r="A1873" s="18" t="s">
        <v>334</v>
      </c>
      <c r="B1873" s="19" t="str">
        <f>A1870</f>
        <v>MEDIDOR 6" ULTRASONICO VS-500 DN150 F300MM PN16 R400</v>
      </c>
      <c r="C1873" s="20" t="s">
        <v>382</v>
      </c>
      <c r="D1873" s="21" t="s">
        <v>424</v>
      </c>
      <c r="E1873" s="22" t="s">
        <v>125</v>
      </c>
      <c r="F1873" s="26">
        <f>(H1873+J1873+L1873+N1873)*$O$2</f>
        <v>18416006.6456769</v>
      </c>
      <c r="G1873" s="22" t="s">
        <v>285</v>
      </c>
      <c r="H1873" s="26">
        <f>M1892</f>
        <v>73926.855153000011</v>
      </c>
      <c r="I1873" s="22" t="s">
        <v>383</v>
      </c>
      <c r="J1873" s="36">
        <f>M1883</f>
        <v>12613695</v>
      </c>
      <c r="K1873" s="22" t="s">
        <v>287</v>
      </c>
      <c r="L1873" s="26">
        <f>M1901</f>
        <v>0</v>
      </c>
      <c r="M1873" s="22" t="s">
        <v>288</v>
      </c>
      <c r="N1873" s="26">
        <f>M1910</f>
        <v>1478537.1030600001</v>
      </c>
    </row>
    <row r="1874" spans="1:14" ht="12.75" customHeight="1" x14ac:dyDescent="0.25">
      <c r="A1874" s="27"/>
      <c r="B1874" s="27"/>
      <c r="C1874" s="27"/>
      <c r="D1874" s="27"/>
      <c r="E1874" s="27"/>
      <c r="F1874" s="27"/>
      <c r="G1874" s="27"/>
      <c r="J1874" s="27"/>
      <c r="K1874" s="27"/>
      <c r="L1874" s="27"/>
      <c r="M1874" s="27"/>
      <c r="N1874" s="27"/>
    </row>
    <row r="1875" spans="1:14" ht="12.75" customHeight="1" x14ac:dyDescent="0.2">
      <c r="A1875" s="1065" t="s">
        <v>384</v>
      </c>
      <c r="B1875" s="1057"/>
      <c r="C1875" s="1057"/>
      <c r="D1875" s="1057"/>
      <c r="E1875" s="1057"/>
      <c r="F1875" s="1057"/>
      <c r="G1875" s="1057"/>
      <c r="H1875" s="1057"/>
      <c r="I1875" s="1057"/>
      <c r="J1875" s="1057"/>
      <c r="K1875" s="1057"/>
      <c r="L1875" s="1057"/>
      <c r="M1875" s="1057"/>
      <c r="N1875" s="1058"/>
    </row>
    <row r="1876" spans="1:14" ht="12.75" customHeight="1" x14ac:dyDescent="0.2">
      <c r="A1876" s="1066" t="s">
        <v>38</v>
      </c>
      <c r="B1876" s="1057"/>
      <c r="C1876" s="1057"/>
      <c r="D1876" s="1057"/>
      <c r="E1876" s="1057"/>
      <c r="F1876" s="1057"/>
      <c r="G1876" s="1058"/>
      <c r="H1876" s="28" t="s">
        <v>39</v>
      </c>
      <c r="I1876" s="1062" t="s">
        <v>385</v>
      </c>
      <c r="J1876" s="1058"/>
      <c r="K1876" s="1062" t="s">
        <v>132</v>
      </c>
      <c r="L1876" s="1058"/>
      <c r="M1876" s="1062" t="s">
        <v>386</v>
      </c>
      <c r="N1876" s="1058"/>
    </row>
    <row r="1877" spans="1:14" ht="12.75" customHeight="1" x14ac:dyDescent="0.2">
      <c r="A1877" s="1061" t="s">
        <v>1550</v>
      </c>
      <c r="B1877" s="1057"/>
      <c r="C1877" s="1057"/>
      <c r="D1877" s="1057"/>
      <c r="E1877" s="1057"/>
      <c r="F1877" s="1057"/>
      <c r="G1877" s="1058"/>
      <c r="H1877" s="9" t="str">
        <f t="shared" ref="H1877:H1882" si="125">IF(A1877="","",VLOOKUP(A1877,AA_Materiales,7,FALSE))</f>
        <v>Unidad</v>
      </c>
      <c r="I1877" s="1059">
        <f t="shared" ref="I1877:I1882" si="126">IF(A1877="","",VLOOKUP(A1877,AA_Materiales,8,FALSE))</f>
        <v>12613695</v>
      </c>
      <c r="J1877" s="1058"/>
      <c r="K1877" s="1060">
        <v>1</v>
      </c>
      <c r="L1877" s="1058"/>
      <c r="M1877" s="1059">
        <f t="shared" ref="M1877:M1882" si="127">IF(A1877="","",I1877*K1877)</f>
        <v>12613695</v>
      </c>
      <c r="N1877" s="1058"/>
    </row>
    <row r="1878" spans="1:14" ht="12.75" customHeight="1" x14ac:dyDescent="0.2">
      <c r="A1878" s="1061"/>
      <c r="B1878" s="1057"/>
      <c r="C1878" s="1057"/>
      <c r="D1878" s="1057"/>
      <c r="E1878" s="1057"/>
      <c r="F1878" s="1057"/>
      <c r="G1878" s="1058"/>
      <c r="H1878" s="9" t="str">
        <f t="shared" si="125"/>
        <v/>
      </c>
      <c r="I1878" s="1059" t="str">
        <f t="shared" si="126"/>
        <v/>
      </c>
      <c r="J1878" s="1058"/>
      <c r="K1878" s="1060"/>
      <c r="L1878" s="1058"/>
      <c r="M1878" s="1059" t="str">
        <f t="shared" si="127"/>
        <v/>
      </c>
      <c r="N1878" s="1058"/>
    </row>
    <row r="1879" spans="1:14" ht="12.75" customHeight="1" x14ac:dyDescent="0.2">
      <c r="A1879" s="1061"/>
      <c r="B1879" s="1057"/>
      <c r="C1879" s="1057"/>
      <c r="D1879" s="1057"/>
      <c r="E1879" s="1057"/>
      <c r="F1879" s="1057"/>
      <c r="G1879" s="1058"/>
      <c r="H1879" s="9" t="str">
        <f t="shared" si="125"/>
        <v/>
      </c>
      <c r="I1879" s="1059" t="str">
        <f t="shared" si="126"/>
        <v/>
      </c>
      <c r="J1879" s="1058"/>
      <c r="K1879" s="1060"/>
      <c r="L1879" s="1058"/>
      <c r="M1879" s="1059" t="str">
        <f t="shared" si="127"/>
        <v/>
      </c>
      <c r="N1879" s="1058"/>
    </row>
    <row r="1880" spans="1:14" ht="12.75" customHeight="1" x14ac:dyDescent="0.2">
      <c r="A1880" s="1061"/>
      <c r="B1880" s="1057"/>
      <c r="C1880" s="1057"/>
      <c r="D1880" s="1057"/>
      <c r="E1880" s="1057"/>
      <c r="F1880" s="1057"/>
      <c r="G1880" s="1058"/>
      <c r="H1880" s="9" t="str">
        <f t="shared" si="125"/>
        <v/>
      </c>
      <c r="I1880" s="1059" t="str">
        <f t="shared" si="126"/>
        <v/>
      </c>
      <c r="J1880" s="1058"/>
      <c r="K1880" s="1060"/>
      <c r="L1880" s="1058"/>
      <c r="M1880" s="1059" t="str">
        <f t="shared" si="127"/>
        <v/>
      </c>
      <c r="N1880" s="1058"/>
    </row>
    <row r="1881" spans="1:14" ht="12.75" customHeight="1" x14ac:dyDescent="0.2">
      <c r="A1881" s="1061"/>
      <c r="B1881" s="1057"/>
      <c r="C1881" s="1057"/>
      <c r="D1881" s="1057"/>
      <c r="E1881" s="1057"/>
      <c r="F1881" s="1057"/>
      <c r="G1881" s="1058"/>
      <c r="H1881" s="9" t="str">
        <f t="shared" si="125"/>
        <v/>
      </c>
      <c r="I1881" s="1059" t="str">
        <f t="shared" si="126"/>
        <v/>
      </c>
      <c r="J1881" s="1058"/>
      <c r="K1881" s="1060"/>
      <c r="L1881" s="1058"/>
      <c r="M1881" s="1059" t="str">
        <f t="shared" si="127"/>
        <v/>
      </c>
      <c r="N1881" s="1058"/>
    </row>
    <row r="1882" spans="1:14" ht="12.75" customHeight="1" x14ac:dyDescent="0.2">
      <c r="A1882" s="1061"/>
      <c r="B1882" s="1057"/>
      <c r="C1882" s="1057"/>
      <c r="D1882" s="1057"/>
      <c r="E1882" s="1057"/>
      <c r="F1882" s="1057"/>
      <c r="G1882" s="1058"/>
      <c r="H1882" s="9" t="str">
        <f t="shared" si="125"/>
        <v/>
      </c>
      <c r="I1882" s="1059" t="str">
        <f t="shared" si="126"/>
        <v/>
      </c>
      <c r="J1882" s="1058"/>
      <c r="K1882" s="1060"/>
      <c r="L1882" s="1058"/>
      <c r="M1882" s="1059" t="str">
        <f t="shared" si="127"/>
        <v/>
      </c>
      <c r="N1882" s="1058"/>
    </row>
    <row r="1883" spans="1:14" ht="12.75" customHeight="1" x14ac:dyDescent="0.25">
      <c r="A1883" s="3"/>
      <c r="B1883" s="3"/>
      <c r="C1883" s="3"/>
      <c r="D1883" s="3"/>
      <c r="E1883" s="3"/>
      <c r="F1883" s="3"/>
      <c r="G1883" s="3"/>
      <c r="H1883" s="3"/>
      <c r="I1883" s="3"/>
      <c r="J1883" s="3"/>
      <c r="K1883" s="1066" t="s">
        <v>201</v>
      </c>
      <c r="L1883" s="1058"/>
      <c r="M1883" s="1059">
        <f>SUM(M1877:N1882)</f>
        <v>12613695</v>
      </c>
      <c r="N1883" s="1058"/>
    </row>
    <row r="1884" spans="1:14" ht="12.75" customHeight="1" x14ac:dyDescent="0.25">
      <c r="A1884" s="3"/>
      <c r="B1884" s="3"/>
      <c r="C1884" s="3"/>
      <c r="D1884" s="3"/>
      <c r="E1884" s="3"/>
      <c r="F1884" s="3"/>
      <c r="G1884" s="3"/>
      <c r="H1884" s="3"/>
      <c r="I1884" s="3"/>
      <c r="J1884" s="3"/>
      <c r="K1884" s="3"/>
      <c r="L1884" s="3"/>
      <c r="M1884" s="3"/>
      <c r="N1884" s="3"/>
    </row>
    <row r="1885" spans="1:14" ht="12.75" customHeight="1" x14ac:dyDescent="0.2">
      <c r="A1885" s="1065" t="s">
        <v>390</v>
      </c>
      <c r="B1885" s="1057"/>
      <c r="C1885" s="1057"/>
      <c r="D1885" s="1057"/>
      <c r="E1885" s="1057"/>
      <c r="F1885" s="1057"/>
      <c r="G1885" s="1057"/>
      <c r="H1885" s="1057"/>
      <c r="I1885" s="1057"/>
      <c r="J1885" s="1057"/>
      <c r="K1885" s="1057"/>
      <c r="L1885" s="1057"/>
      <c r="M1885" s="1057"/>
      <c r="N1885" s="1058"/>
    </row>
    <row r="1886" spans="1:14" ht="12.75" customHeight="1" x14ac:dyDescent="0.2">
      <c r="A1886" s="1066" t="s">
        <v>38</v>
      </c>
      <c r="B1886" s="1057"/>
      <c r="C1886" s="1057"/>
      <c r="D1886" s="1057"/>
      <c r="E1886" s="1057"/>
      <c r="F1886" s="1057"/>
      <c r="G1886" s="1058"/>
      <c r="H1886" s="28" t="s">
        <v>39</v>
      </c>
      <c r="I1886" s="1062" t="s">
        <v>385</v>
      </c>
      <c r="J1886" s="1058"/>
      <c r="K1886" s="1062" t="s">
        <v>132</v>
      </c>
      <c r="L1886" s="1058"/>
      <c r="M1886" s="1062" t="s">
        <v>386</v>
      </c>
      <c r="N1886" s="1058"/>
    </row>
    <row r="1887" spans="1:14" ht="12.75" customHeight="1" x14ac:dyDescent="0.2">
      <c r="A1887" s="1061" t="s">
        <v>391</v>
      </c>
      <c r="B1887" s="1057"/>
      <c r="C1887" s="1057"/>
      <c r="D1887" s="1057"/>
      <c r="E1887" s="1057"/>
      <c r="F1887" s="1057"/>
      <c r="G1887" s="1058"/>
      <c r="H1887" s="9" t="str">
        <f>IF(A1887="","",VLOOKUP(A1887,AA_Equipos,7,FALSE))</f>
        <v>% M.O.</v>
      </c>
      <c r="I1887" s="1059">
        <f>M1910</f>
        <v>1478537.1030600001</v>
      </c>
      <c r="J1887" s="1058"/>
      <c r="K1887" s="1064">
        <v>0.05</v>
      </c>
      <c r="L1887" s="1058"/>
      <c r="M1887" s="1059">
        <f>IF(A1887="","",I1887*K1887)</f>
        <v>73926.855153000011</v>
      </c>
      <c r="N1887" s="1058"/>
    </row>
    <row r="1888" spans="1:14" ht="12.75" customHeight="1" x14ac:dyDescent="0.2">
      <c r="A1888" s="1056"/>
      <c r="B1888" s="1057"/>
      <c r="C1888" s="1057"/>
      <c r="D1888" s="1057"/>
      <c r="E1888" s="1057"/>
      <c r="F1888" s="1057"/>
      <c r="G1888" s="1058"/>
      <c r="H1888" s="9" t="str">
        <f>IF(A1888="","",VLOOKUP(A1888,AA_Equipos,7,FALSE))</f>
        <v/>
      </c>
      <c r="I1888" s="1059" t="str">
        <f>IF(A1888="","",VLOOKUP(A1888,AA_Equipos,8,FALSE))</f>
        <v/>
      </c>
      <c r="J1888" s="1058"/>
      <c r="K1888" s="1067"/>
      <c r="L1888" s="1058"/>
      <c r="M1888" s="1059" t="str">
        <f>IF(A1888="","",I1888*K1888)</f>
        <v/>
      </c>
      <c r="N1888" s="1058"/>
    </row>
    <row r="1889" spans="1:14" ht="12.75" customHeight="1" x14ac:dyDescent="0.2">
      <c r="A1889" s="1056"/>
      <c r="B1889" s="1057"/>
      <c r="C1889" s="1057"/>
      <c r="D1889" s="1057"/>
      <c r="E1889" s="1057"/>
      <c r="F1889" s="1057"/>
      <c r="G1889" s="1058"/>
      <c r="H1889" s="9" t="str">
        <f>IF(A1889="","",VLOOKUP(A1889,AA_Equipos,7,FALSE))</f>
        <v/>
      </c>
      <c r="I1889" s="1059" t="str">
        <f>IF(A1889="","",VLOOKUP(A1889,AA_Equipos,8,FALSE))</f>
        <v/>
      </c>
      <c r="J1889" s="1058"/>
      <c r="K1889" s="1060"/>
      <c r="L1889" s="1058"/>
      <c r="M1889" s="1059" t="str">
        <f>IF(A1889="","",I1889*K1889)</f>
        <v/>
      </c>
      <c r="N1889" s="1058"/>
    </row>
    <row r="1890" spans="1:14" ht="12.75" customHeight="1" x14ac:dyDescent="0.2">
      <c r="A1890" s="1061"/>
      <c r="B1890" s="1057"/>
      <c r="C1890" s="1057"/>
      <c r="D1890" s="1057"/>
      <c r="E1890" s="1057"/>
      <c r="F1890" s="1057"/>
      <c r="G1890" s="1058"/>
      <c r="H1890" s="9" t="str">
        <f>IF(A1890="","",VLOOKUP(A1890,AA_Equipos,7,FALSE))</f>
        <v/>
      </c>
      <c r="I1890" s="1059" t="str">
        <f>IF(A1890="","",VLOOKUP(A1890,AA_Equipos,8,FALSE))</f>
        <v/>
      </c>
      <c r="J1890" s="1058"/>
      <c r="K1890" s="1060"/>
      <c r="L1890" s="1058"/>
      <c r="M1890" s="1059" t="str">
        <f>IF(A1890="","",I1890*K1890)</f>
        <v/>
      </c>
      <c r="N1890" s="1058"/>
    </row>
    <row r="1891" spans="1:14" ht="12.75" customHeight="1" x14ac:dyDescent="0.2">
      <c r="A1891" s="1061"/>
      <c r="B1891" s="1057"/>
      <c r="C1891" s="1057"/>
      <c r="D1891" s="1057"/>
      <c r="E1891" s="1057"/>
      <c r="F1891" s="1057"/>
      <c r="G1891" s="1058"/>
      <c r="H1891" s="9" t="str">
        <f>IF(A1891="","",VLOOKUP(A1891,AA_Equipos,7,FALSE))</f>
        <v/>
      </c>
      <c r="I1891" s="1059" t="str">
        <f>IF(A1891="","",VLOOKUP(A1891,AA_Equipos,8,FALSE))</f>
        <v/>
      </c>
      <c r="J1891" s="1058"/>
      <c r="K1891" s="1060"/>
      <c r="L1891" s="1058"/>
      <c r="M1891" s="1059" t="str">
        <f>IF(A1891="","",I1891*K1891)</f>
        <v/>
      </c>
      <c r="N1891" s="1058"/>
    </row>
    <row r="1892" spans="1:14" ht="12.75" customHeight="1" x14ac:dyDescent="0.25">
      <c r="A1892" s="3"/>
      <c r="B1892" s="3"/>
      <c r="C1892" s="3"/>
      <c r="D1892" s="3"/>
      <c r="E1892" s="3"/>
      <c r="F1892" s="3"/>
      <c r="G1892" s="3"/>
      <c r="H1892" s="3"/>
      <c r="I1892" s="3"/>
      <c r="J1892" s="3"/>
      <c r="K1892" s="1066" t="s">
        <v>201</v>
      </c>
      <c r="L1892" s="1058"/>
      <c r="M1892" s="1059">
        <f>SUM(M1887:N1891)</f>
        <v>73926.855153000011</v>
      </c>
      <c r="N1892" s="1058"/>
    </row>
    <row r="1893" spans="1:14" ht="12.75" customHeight="1" x14ac:dyDescent="0.25">
      <c r="A1893" s="3"/>
      <c r="B1893" s="3"/>
      <c r="C1893" s="3"/>
      <c r="D1893" s="3"/>
      <c r="E1893" s="3"/>
      <c r="F1893" s="3"/>
      <c r="G1893" s="3"/>
      <c r="H1893" s="3"/>
      <c r="I1893" s="3"/>
      <c r="J1893" s="3"/>
      <c r="K1893" s="3"/>
      <c r="L1893" s="3"/>
      <c r="M1893" s="3"/>
      <c r="N1893" s="3"/>
    </row>
    <row r="1894" spans="1:14" ht="12.75" customHeight="1" x14ac:dyDescent="0.2">
      <c r="A1894" s="1065" t="s">
        <v>392</v>
      </c>
      <c r="B1894" s="1057"/>
      <c r="C1894" s="1057"/>
      <c r="D1894" s="1057"/>
      <c r="E1894" s="1057"/>
      <c r="F1894" s="1057"/>
      <c r="G1894" s="1057"/>
      <c r="H1894" s="1057"/>
      <c r="I1894" s="1057"/>
      <c r="J1894" s="1057"/>
      <c r="K1894" s="1057"/>
      <c r="L1894" s="1057"/>
      <c r="M1894" s="1057"/>
      <c r="N1894" s="1058"/>
    </row>
    <row r="1895" spans="1:14" ht="12.75" customHeight="1" x14ac:dyDescent="0.2">
      <c r="A1895" s="1066" t="s">
        <v>38</v>
      </c>
      <c r="B1895" s="1057"/>
      <c r="C1895" s="1057"/>
      <c r="D1895" s="1057"/>
      <c r="E1895" s="1057"/>
      <c r="F1895" s="1057"/>
      <c r="G1895" s="1058"/>
      <c r="H1895" s="28" t="s">
        <v>39</v>
      </c>
      <c r="I1895" s="1062" t="s">
        <v>385</v>
      </c>
      <c r="J1895" s="1058"/>
      <c r="K1895" s="1062" t="s">
        <v>132</v>
      </c>
      <c r="L1895" s="1058"/>
      <c r="M1895" s="1062" t="s">
        <v>386</v>
      </c>
      <c r="N1895" s="1058"/>
    </row>
    <row r="1896" spans="1:14" ht="12.75" customHeight="1" x14ac:dyDescent="0.2">
      <c r="A1896" s="1061"/>
      <c r="B1896" s="1057"/>
      <c r="C1896" s="1057"/>
      <c r="D1896" s="1057"/>
      <c r="E1896" s="1057"/>
      <c r="F1896" s="1057"/>
      <c r="G1896" s="1058"/>
      <c r="H1896" s="9"/>
      <c r="I1896" s="1059"/>
      <c r="J1896" s="1058"/>
      <c r="K1896" s="1064"/>
      <c r="L1896" s="1058"/>
      <c r="M1896" s="1059" t="str">
        <f>IF(A1896="","",I1896*K1896)</f>
        <v/>
      </c>
      <c r="N1896" s="1058"/>
    </row>
    <row r="1897" spans="1:14" ht="12.75" customHeight="1" x14ac:dyDescent="0.2">
      <c r="A1897" s="1056"/>
      <c r="B1897" s="1057"/>
      <c r="C1897" s="1057"/>
      <c r="D1897" s="1057"/>
      <c r="E1897" s="1057"/>
      <c r="F1897" s="1057"/>
      <c r="G1897" s="1058"/>
      <c r="H1897" s="9"/>
      <c r="I1897" s="1059"/>
      <c r="J1897" s="1058"/>
      <c r="K1897" s="1069"/>
      <c r="L1897" s="1058"/>
      <c r="M1897" s="1059" t="str">
        <f>IF(A1897="","",I1897*K1897)</f>
        <v/>
      </c>
      <c r="N1897" s="1058"/>
    </row>
    <row r="1898" spans="1:14" ht="12.75" customHeight="1" x14ac:dyDescent="0.2">
      <c r="A1898" s="1061"/>
      <c r="B1898" s="1057"/>
      <c r="C1898" s="1057"/>
      <c r="D1898" s="1057"/>
      <c r="E1898" s="1057"/>
      <c r="F1898" s="1057"/>
      <c r="G1898" s="1058"/>
      <c r="H1898" s="9"/>
      <c r="I1898" s="1059"/>
      <c r="J1898" s="1058"/>
      <c r="K1898" s="1060"/>
      <c r="L1898" s="1058"/>
      <c r="M1898" s="1059" t="str">
        <f>IF(A1898="","",I1898*K1898)</f>
        <v/>
      </c>
      <c r="N1898" s="1058"/>
    </row>
    <row r="1899" spans="1:14" ht="12.75" customHeight="1" x14ac:dyDescent="0.2">
      <c r="A1899" s="1061"/>
      <c r="B1899" s="1057"/>
      <c r="C1899" s="1057"/>
      <c r="D1899" s="1057"/>
      <c r="E1899" s="1057"/>
      <c r="F1899" s="1057"/>
      <c r="G1899" s="1058"/>
      <c r="H1899" s="9"/>
      <c r="I1899" s="1059"/>
      <c r="J1899" s="1058"/>
      <c r="K1899" s="1060"/>
      <c r="L1899" s="1058"/>
      <c r="M1899" s="1059" t="str">
        <f>IF(A1899="","",I1899*K1899)</f>
        <v/>
      </c>
      <c r="N1899" s="1058"/>
    </row>
    <row r="1900" spans="1:14" ht="12.75" customHeight="1" x14ac:dyDescent="0.2">
      <c r="A1900" s="1061"/>
      <c r="B1900" s="1057"/>
      <c r="C1900" s="1057"/>
      <c r="D1900" s="1057"/>
      <c r="E1900" s="1057"/>
      <c r="F1900" s="1057"/>
      <c r="G1900" s="1058"/>
      <c r="H1900" s="9"/>
      <c r="I1900" s="1059"/>
      <c r="J1900" s="1058"/>
      <c r="K1900" s="1060"/>
      <c r="L1900" s="1058"/>
      <c r="M1900" s="1059" t="str">
        <f>IF(A1900="","",I1900*K1900)</f>
        <v/>
      </c>
      <c r="N1900" s="1058"/>
    </row>
    <row r="1901" spans="1:14" ht="12.75" customHeight="1" x14ac:dyDescent="0.25">
      <c r="A1901" s="3"/>
      <c r="B1901" s="3"/>
      <c r="C1901" s="3"/>
      <c r="D1901" s="3"/>
      <c r="E1901" s="3"/>
      <c r="F1901" s="3"/>
      <c r="G1901" s="3"/>
      <c r="H1901" s="3"/>
      <c r="I1901" s="3"/>
      <c r="J1901" s="3"/>
      <c r="K1901" s="1066" t="s">
        <v>201</v>
      </c>
      <c r="L1901" s="1058"/>
      <c r="M1901" s="1059">
        <f>SUM(M1896:N1900)</f>
        <v>0</v>
      </c>
      <c r="N1901" s="1058"/>
    </row>
    <row r="1902" spans="1:14" ht="12.75" customHeight="1" x14ac:dyDescent="0.25">
      <c r="A1902" s="3"/>
      <c r="B1902" s="3"/>
      <c r="C1902" s="3"/>
      <c r="D1902" s="3"/>
      <c r="E1902" s="3"/>
      <c r="F1902" s="3"/>
      <c r="G1902" s="3"/>
      <c r="H1902" s="3"/>
      <c r="I1902" s="3"/>
      <c r="J1902" s="3"/>
      <c r="K1902" s="3"/>
      <c r="L1902" s="3"/>
      <c r="M1902" s="3"/>
      <c r="N1902" s="3"/>
    </row>
    <row r="1903" spans="1:14" ht="12.75" customHeight="1" x14ac:dyDescent="0.2">
      <c r="A1903" s="1065" t="s">
        <v>394</v>
      </c>
      <c r="B1903" s="1057"/>
      <c r="C1903" s="1057"/>
      <c r="D1903" s="1057"/>
      <c r="E1903" s="1057"/>
      <c r="F1903" s="1057"/>
      <c r="G1903" s="1057"/>
      <c r="H1903" s="1057"/>
      <c r="I1903" s="1057"/>
      <c r="J1903" s="1057"/>
      <c r="K1903" s="1057"/>
      <c r="L1903" s="1057"/>
      <c r="M1903" s="1057"/>
      <c r="N1903" s="1058"/>
    </row>
    <row r="1904" spans="1:14" ht="12.75" customHeight="1" x14ac:dyDescent="0.2">
      <c r="A1904" s="1066" t="s">
        <v>38</v>
      </c>
      <c r="B1904" s="1057"/>
      <c r="C1904" s="1057"/>
      <c r="D1904" s="1057"/>
      <c r="E1904" s="1057"/>
      <c r="F1904" s="1057"/>
      <c r="G1904" s="1058"/>
      <c r="H1904" s="28" t="s">
        <v>39</v>
      </c>
      <c r="I1904" s="1062" t="s">
        <v>385</v>
      </c>
      <c r="J1904" s="1058"/>
      <c r="K1904" s="30" t="s">
        <v>193</v>
      </c>
      <c r="L1904" s="31" t="s">
        <v>395</v>
      </c>
      <c r="M1904" s="1062" t="s">
        <v>386</v>
      </c>
      <c r="N1904" s="1058"/>
    </row>
    <row r="1905" spans="1:15" ht="12.75" customHeight="1" x14ac:dyDescent="0.25">
      <c r="A1905" s="1063" t="s">
        <v>536</v>
      </c>
      <c r="B1905" s="1057"/>
      <c r="C1905" s="1057"/>
      <c r="D1905" s="1057"/>
      <c r="E1905" s="1057"/>
      <c r="F1905" s="1057"/>
      <c r="G1905" s="1058"/>
      <c r="H1905" s="9" t="str">
        <f>IF(A1905="","",VLOOKUP(A1905,AA_Cuadrillas,4,FALSE))</f>
        <v>Cuadrilla</v>
      </c>
      <c r="I1905" s="1059">
        <f>IF(A1905="","",VLOOKUP(A1905,AA_Cuadrillas,5,FALSE))</f>
        <v>714953</v>
      </c>
      <c r="J1905" s="1058"/>
      <c r="K1905" s="1">
        <f>IF(A1905="","",'06'!$J$3)</f>
        <v>1.7233500000000002</v>
      </c>
      <c r="L1905" s="32">
        <v>1.2</v>
      </c>
      <c r="M1905" s="1059">
        <f>IF(A1905="","",I1905*K1905*L1905)</f>
        <v>1478537.1030600001</v>
      </c>
      <c r="N1905" s="1058"/>
    </row>
    <row r="1906" spans="1:15" ht="12.75" customHeight="1" x14ac:dyDescent="0.25">
      <c r="A1906" s="1063"/>
      <c r="B1906" s="1057"/>
      <c r="C1906" s="1057"/>
      <c r="D1906" s="1057"/>
      <c r="E1906" s="1057"/>
      <c r="F1906" s="1057"/>
      <c r="G1906" s="1058"/>
      <c r="H1906" s="9" t="str">
        <f>IF(A1906="","",VLOOKUP(A1906,AA_Cuadrillas,4,FALSE))</f>
        <v/>
      </c>
      <c r="I1906" s="1059" t="str">
        <f>IF(A1906="","",VLOOKUP(A1906,AA_Cuadrillas,5,FALSE))</f>
        <v/>
      </c>
      <c r="J1906" s="1058"/>
      <c r="K1906" s="1" t="str">
        <f>IF(A1906="","",'06'!$J$3)</f>
        <v/>
      </c>
      <c r="L1906" s="1"/>
      <c r="M1906" s="1059" t="str">
        <f>IF(A1906="","",I1906*K1906*L1906)</f>
        <v/>
      </c>
      <c r="N1906" s="1058"/>
    </row>
    <row r="1907" spans="1:15" ht="12.75" customHeight="1" x14ac:dyDescent="0.25">
      <c r="A1907" s="1063"/>
      <c r="B1907" s="1057"/>
      <c r="C1907" s="1057"/>
      <c r="D1907" s="1057"/>
      <c r="E1907" s="1057"/>
      <c r="F1907" s="1057"/>
      <c r="G1907" s="1058"/>
      <c r="H1907" s="9" t="str">
        <f>IF(A1907="","",VLOOKUP(A1907,AA_Cuadrillas,4,FALSE))</f>
        <v/>
      </c>
      <c r="I1907" s="1059" t="str">
        <f>IF(A1907="","",VLOOKUP(A1907,AA_Cuadrillas,5,FALSE))</f>
        <v/>
      </c>
      <c r="J1907" s="1058"/>
      <c r="K1907" s="1" t="str">
        <f>IF(A1907="","",'06'!$J$3)</f>
        <v/>
      </c>
      <c r="L1907" s="10"/>
      <c r="M1907" s="1059" t="str">
        <f>IF(A1907="","",I1907*K1907*L1907)</f>
        <v/>
      </c>
      <c r="N1907" s="1058"/>
    </row>
    <row r="1908" spans="1:15" ht="12.75" customHeight="1" x14ac:dyDescent="0.25">
      <c r="A1908" s="1063"/>
      <c r="B1908" s="1057"/>
      <c r="C1908" s="1057"/>
      <c r="D1908" s="1057"/>
      <c r="E1908" s="1057"/>
      <c r="F1908" s="1057"/>
      <c r="G1908" s="1058"/>
      <c r="H1908" s="9" t="str">
        <f>IF(A1908="","",VLOOKUP(A1908,AA_Cuadrillas,4,FALSE))</f>
        <v/>
      </c>
      <c r="I1908" s="1059" t="str">
        <f>IF(A1908="","",VLOOKUP(A1908,AA_Cuadrillas,5,FALSE))</f>
        <v/>
      </c>
      <c r="J1908" s="1058"/>
      <c r="K1908" s="1" t="str">
        <f>IF(A1908="","",'06'!$J$3)</f>
        <v/>
      </c>
      <c r="L1908" s="10"/>
      <c r="M1908" s="1059" t="str">
        <f>IF(A1908="","",I1908*K1908*L1908)</f>
        <v/>
      </c>
      <c r="N1908" s="1058"/>
    </row>
    <row r="1909" spans="1:15" ht="12.75" customHeight="1" x14ac:dyDescent="0.25">
      <c r="A1909" s="1063"/>
      <c r="B1909" s="1057"/>
      <c r="C1909" s="1057"/>
      <c r="D1909" s="1057"/>
      <c r="E1909" s="1057"/>
      <c r="F1909" s="1057"/>
      <c r="G1909" s="1058"/>
      <c r="H1909" s="9" t="str">
        <f>IF(A1909="","",VLOOKUP(A1909,AA_Cuadrillas,4,FALSE))</f>
        <v/>
      </c>
      <c r="I1909" s="1059" t="str">
        <f>IF(A1909="","",VLOOKUP(A1909,AA_Cuadrillas,5,FALSE))</f>
        <v/>
      </c>
      <c r="J1909" s="1058"/>
      <c r="K1909" s="1" t="str">
        <f>IF(A1909="","",'06'!$J$3)</f>
        <v/>
      </c>
      <c r="L1909" s="10"/>
      <c r="M1909" s="1059" t="str">
        <f>IF(A1909="","",I1909*K1909*L1909)</f>
        <v/>
      </c>
      <c r="N1909" s="1058"/>
    </row>
    <row r="1910" spans="1:15" ht="12.75" customHeight="1" x14ac:dyDescent="0.25">
      <c r="A1910" s="3"/>
      <c r="B1910" s="3"/>
      <c r="C1910" s="3"/>
      <c r="D1910" s="3"/>
      <c r="E1910" s="3"/>
      <c r="F1910" s="3"/>
      <c r="G1910" s="3"/>
      <c r="H1910" s="3"/>
      <c r="I1910" s="3"/>
      <c r="J1910" s="3"/>
      <c r="K1910" s="1066" t="s">
        <v>201</v>
      </c>
      <c r="L1910" s="1058"/>
      <c r="M1910" s="1059">
        <f>SUM(M1905:N1909)</f>
        <v>1478537.1030600001</v>
      </c>
      <c r="N1910" s="1058"/>
    </row>
    <row r="1911" spans="1:15" ht="12.75" customHeight="1" x14ac:dyDescent="0.2"/>
    <row r="1912" spans="1:15" ht="12.75" customHeight="1" x14ac:dyDescent="0.2">
      <c r="A1912" s="1072" t="s">
        <v>1710</v>
      </c>
      <c r="B1912" s="1052"/>
      <c r="C1912" s="1052"/>
      <c r="D1912" s="1052"/>
      <c r="E1912" s="1052"/>
      <c r="F1912" s="1052"/>
      <c r="G1912" s="1052"/>
      <c r="H1912" s="1052"/>
      <c r="I1912" s="1052"/>
      <c r="J1912" s="1052"/>
      <c r="K1912" s="1052"/>
      <c r="L1912" s="1052"/>
      <c r="M1912" s="1052"/>
      <c r="N1912" s="1053"/>
      <c r="O1912" s="7"/>
    </row>
    <row r="1913" spans="1:15" ht="12.75" customHeight="1" x14ac:dyDescent="0.2">
      <c r="A1913" s="1031"/>
      <c r="B1913" s="1032"/>
      <c r="C1913" s="1032"/>
      <c r="D1913" s="1032"/>
      <c r="E1913" s="1032"/>
      <c r="F1913" s="1032"/>
      <c r="G1913" s="1032"/>
      <c r="H1913" s="1032"/>
      <c r="I1913" s="1032"/>
      <c r="J1913" s="1032"/>
      <c r="K1913" s="1032"/>
      <c r="L1913" s="1032"/>
      <c r="M1913" s="1032"/>
      <c r="N1913" s="1055"/>
      <c r="O1913" s="7"/>
    </row>
    <row r="1914" spans="1:15" ht="12.75" customHeight="1" x14ac:dyDescent="0.2">
      <c r="A1914" s="16"/>
      <c r="B1914" s="16"/>
      <c r="C1914" s="16"/>
      <c r="D1914" s="16"/>
      <c r="E1914" s="16"/>
      <c r="F1914" s="16"/>
      <c r="G1914" s="16"/>
      <c r="H1914" s="16"/>
      <c r="I1914" s="16"/>
      <c r="J1914" s="16"/>
      <c r="K1914" s="16"/>
      <c r="L1914" s="16"/>
      <c r="M1914" s="16"/>
      <c r="N1914" s="16"/>
    </row>
    <row r="1915" spans="1:15" ht="12.75" customHeight="1" x14ac:dyDescent="0.3">
      <c r="A1915" s="18" t="s">
        <v>335</v>
      </c>
      <c r="B1915" s="19" t="str">
        <f>A1912</f>
        <v>TAPA VÁLVULA 37,5cm X 34cm X 5cm DE ALTO</v>
      </c>
      <c r="C1915" s="20" t="s">
        <v>382</v>
      </c>
      <c r="D1915" s="127" t="s">
        <v>424</v>
      </c>
      <c r="E1915" s="22" t="s">
        <v>125</v>
      </c>
      <c r="F1915" s="26">
        <f>(H1915+J1915+L1915+N1915)*$O$2</f>
        <v>557473.79773653753</v>
      </c>
      <c r="G1915" s="22" t="s">
        <v>285</v>
      </c>
      <c r="H1915" s="26">
        <f>M1933</f>
        <v>3080.2856313750003</v>
      </c>
      <c r="I1915" s="22" t="s">
        <v>383</v>
      </c>
      <c r="J1915" s="26">
        <f>M1924</f>
        <v>364140</v>
      </c>
      <c r="K1915" s="22" t="s">
        <v>287</v>
      </c>
      <c r="L1915" s="26">
        <f>M1942</f>
        <v>0</v>
      </c>
      <c r="M1915" s="22" t="s">
        <v>288</v>
      </c>
      <c r="N1915" s="26">
        <f>M1951</f>
        <v>61605.712627500005</v>
      </c>
    </row>
    <row r="1916" spans="1:15" ht="12.75" customHeight="1" x14ac:dyDescent="0.25">
      <c r="A1916" s="27"/>
      <c r="B1916" s="27"/>
      <c r="C1916" s="27"/>
      <c r="D1916" s="27"/>
      <c r="E1916" s="27"/>
      <c r="F1916" s="27"/>
      <c r="G1916" s="27"/>
      <c r="J1916" s="27"/>
      <c r="K1916" s="27"/>
      <c r="L1916" s="27"/>
      <c r="M1916" s="27"/>
      <c r="N1916" s="27"/>
    </row>
    <row r="1917" spans="1:15" ht="12.75" customHeight="1" x14ac:dyDescent="0.2">
      <c r="A1917" s="1065" t="s">
        <v>384</v>
      </c>
      <c r="B1917" s="1057"/>
      <c r="C1917" s="1057"/>
      <c r="D1917" s="1057"/>
      <c r="E1917" s="1057"/>
      <c r="F1917" s="1057"/>
      <c r="G1917" s="1057"/>
      <c r="H1917" s="1057"/>
      <c r="I1917" s="1057"/>
      <c r="J1917" s="1057"/>
      <c r="K1917" s="1057"/>
      <c r="L1917" s="1057"/>
      <c r="M1917" s="1057"/>
      <c r="N1917" s="1058"/>
    </row>
    <row r="1918" spans="1:15" ht="12.75" customHeight="1" x14ac:dyDescent="0.2">
      <c r="A1918" s="1066" t="s">
        <v>38</v>
      </c>
      <c r="B1918" s="1057"/>
      <c r="C1918" s="1057"/>
      <c r="D1918" s="1057"/>
      <c r="E1918" s="1057"/>
      <c r="F1918" s="1057"/>
      <c r="G1918" s="1058"/>
      <c r="H1918" s="28" t="s">
        <v>39</v>
      </c>
      <c r="I1918" s="1062" t="s">
        <v>385</v>
      </c>
      <c r="J1918" s="1058"/>
      <c r="K1918" s="1062" t="s">
        <v>132</v>
      </c>
      <c r="L1918" s="1058"/>
      <c r="M1918" s="1062" t="s">
        <v>386</v>
      </c>
      <c r="N1918" s="1058"/>
    </row>
    <row r="1919" spans="1:15" ht="12.75" customHeight="1" x14ac:dyDescent="0.2">
      <c r="A1919" s="1061" t="s">
        <v>1538</v>
      </c>
      <c r="B1919" s="1057"/>
      <c r="C1919" s="1057"/>
      <c r="D1919" s="1057"/>
      <c r="E1919" s="1057"/>
      <c r="F1919" s="1057"/>
      <c r="G1919" s="1058"/>
      <c r="H1919" s="9" t="str">
        <f>IF(A1919="","",VLOOKUP(A1919,AA_Materiales,7,FALSE))</f>
        <v>Unidad</v>
      </c>
      <c r="I1919" s="1059">
        <f>IF(A1919="","",VLOOKUP(A1919,AA_Materiales,8,FALSE))</f>
        <v>364140</v>
      </c>
      <c r="J1919" s="1058"/>
      <c r="K1919" s="1060">
        <v>1</v>
      </c>
      <c r="L1919" s="1058"/>
      <c r="M1919" s="1059">
        <f>IF(A1919="","",I1919*K1919)</f>
        <v>364140</v>
      </c>
      <c r="N1919" s="1058"/>
    </row>
    <row r="1920" spans="1:15" ht="12.75" customHeight="1" x14ac:dyDescent="0.2">
      <c r="A1920" s="1061"/>
      <c r="B1920" s="1057"/>
      <c r="C1920" s="1057"/>
      <c r="D1920" s="1057"/>
      <c r="E1920" s="1057"/>
      <c r="F1920" s="1057"/>
      <c r="G1920" s="1058"/>
      <c r="H1920" s="9" t="str">
        <f>IF(A1920="","",VLOOKUP(A1920,AA_Materiales,7,FALSE))</f>
        <v/>
      </c>
      <c r="I1920" s="1059" t="str">
        <f>IF(A1920="","",VLOOKUP(A1920,AA_Materiales,8,FALSE))</f>
        <v/>
      </c>
      <c r="J1920" s="1058"/>
      <c r="K1920" s="1060"/>
      <c r="L1920" s="1058"/>
      <c r="M1920" s="1059" t="str">
        <f>IF(A1920="","",I1920*K1920)</f>
        <v/>
      </c>
      <c r="N1920" s="1058"/>
    </row>
    <row r="1921" spans="1:14" ht="12.75" customHeight="1" x14ac:dyDescent="0.2">
      <c r="A1921" s="1061"/>
      <c r="B1921" s="1057"/>
      <c r="C1921" s="1057"/>
      <c r="D1921" s="1057"/>
      <c r="E1921" s="1057"/>
      <c r="F1921" s="1057"/>
      <c r="G1921" s="1058"/>
      <c r="H1921" s="9" t="str">
        <f>IF(A1921="","",VLOOKUP(A1921,AA_Materiales,7,FALSE))</f>
        <v/>
      </c>
      <c r="I1921" s="1059" t="str">
        <f>IF(A1921="","",VLOOKUP(A1921,AA_Materiales,8,FALSE))</f>
        <v/>
      </c>
      <c r="J1921" s="1058"/>
      <c r="K1921" s="1060"/>
      <c r="L1921" s="1058"/>
      <c r="M1921" s="1059" t="str">
        <f>IF(A1921="","",I1921*K1921)</f>
        <v/>
      </c>
      <c r="N1921" s="1058"/>
    </row>
    <row r="1922" spans="1:14" ht="12.75" customHeight="1" x14ac:dyDescent="0.2">
      <c r="A1922" s="1061"/>
      <c r="B1922" s="1057"/>
      <c r="C1922" s="1057"/>
      <c r="D1922" s="1057"/>
      <c r="E1922" s="1057"/>
      <c r="F1922" s="1057"/>
      <c r="G1922" s="1058"/>
      <c r="H1922" s="9" t="str">
        <f>IF(A1922="","",VLOOKUP(A1922,AA_Materiales,7,FALSE))</f>
        <v/>
      </c>
      <c r="I1922" s="1059" t="str">
        <f>IF(A1922="","",VLOOKUP(A1922,AA_Materiales,8,FALSE))</f>
        <v/>
      </c>
      <c r="J1922" s="1058"/>
      <c r="K1922" s="1060"/>
      <c r="L1922" s="1058"/>
      <c r="M1922" s="1059" t="str">
        <f>IF(A1922="","",I1922*K1922)</f>
        <v/>
      </c>
      <c r="N1922" s="1058"/>
    </row>
    <row r="1923" spans="1:14" ht="12.75" customHeight="1" x14ac:dyDescent="0.2">
      <c r="A1923" s="1061"/>
      <c r="B1923" s="1057"/>
      <c r="C1923" s="1057"/>
      <c r="D1923" s="1057"/>
      <c r="E1923" s="1057"/>
      <c r="F1923" s="1057"/>
      <c r="G1923" s="1058"/>
      <c r="H1923" s="9" t="str">
        <f>IF(A1923="","",VLOOKUP(A1923,AA_Materiales,7,FALSE))</f>
        <v/>
      </c>
      <c r="I1923" s="1059" t="str">
        <f>IF(A1923="","",VLOOKUP(A1923,AA_Materiales,8,FALSE))</f>
        <v/>
      </c>
      <c r="J1923" s="1058"/>
      <c r="K1923" s="1060"/>
      <c r="L1923" s="1058"/>
      <c r="M1923" s="1059" t="str">
        <f>IF(A1923="","",I1923*K1923)</f>
        <v/>
      </c>
      <c r="N1923" s="1058"/>
    </row>
    <row r="1924" spans="1:14" ht="12.75" customHeight="1" x14ac:dyDescent="0.25">
      <c r="A1924" s="3"/>
      <c r="B1924" s="3"/>
      <c r="C1924" s="3"/>
      <c r="D1924" s="3"/>
      <c r="E1924" s="3"/>
      <c r="F1924" s="3"/>
      <c r="G1924" s="3"/>
      <c r="H1924" s="3"/>
      <c r="I1924" s="3"/>
      <c r="J1924" s="3"/>
      <c r="K1924" s="1066" t="s">
        <v>201</v>
      </c>
      <c r="L1924" s="1058"/>
      <c r="M1924" s="1059">
        <f>SUM(M1919:N1923)</f>
        <v>364140</v>
      </c>
      <c r="N1924" s="1058"/>
    </row>
    <row r="1925" spans="1:14" ht="12.75" customHeight="1" x14ac:dyDescent="0.25">
      <c r="A1925" s="3"/>
      <c r="B1925" s="3"/>
      <c r="C1925" s="3"/>
      <c r="D1925" s="3"/>
      <c r="E1925" s="3"/>
      <c r="F1925" s="3"/>
      <c r="G1925" s="3"/>
      <c r="H1925" s="3"/>
      <c r="I1925" s="3"/>
      <c r="J1925" s="3"/>
      <c r="K1925" s="3"/>
      <c r="L1925" s="3"/>
      <c r="M1925" s="3"/>
      <c r="N1925" s="3"/>
    </row>
    <row r="1926" spans="1:14" ht="12.75" customHeight="1" x14ac:dyDescent="0.2">
      <c r="A1926" s="1065" t="s">
        <v>390</v>
      </c>
      <c r="B1926" s="1057"/>
      <c r="C1926" s="1057"/>
      <c r="D1926" s="1057"/>
      <c r="E1926" s="1057"/>
      <c r="F1926" s="1057"/>
      <c r="G1926" s="1057"/>
      <c r="H1926" s="1057"/>
      <c r="I1926" s="1057"/>
      <c r="J1926" s="1057"/>
      <c r="K1926" s="1057"/>
      <c r="L1926" s="1057"/>
      <c r="M1926" s="1057"/>
      <c r="N1926" s="1058"/>
    </row>
    <row r="1927" spans="1:14" ht="12.75" customHeight="1" x14ac:dyDescent="0.2">
      <c r="A1927" s="1066" t="s">
        <v>38</v>
      </c>
      <c r="B1927" s="1057"/>
      <c r="C1927" s="1057"/>
      <c r="D1927" s="1057"/>
      <c r="E1927" s="1057"/>
      <c r="F1927" s="1057"/>
      <c r="G1927" s="1058"/>
      <c r="H1927" s="28" t="s">
        <v>39</v>
      </c>
      <c r="I1927" s="1062" t="s">
        <v>385</v>
      </c>
      <c r="J1927" s="1058"/>
      <c r="K1927" s="1062" t="s">
        <v>132</v>
      </c>
      <c r="L1927" s="1058"/>
      <c r="M1927" s="1062" t="s">
        <v>386</v>
      </c>
      <c r="N1927" s="1058"/>
    </row>
    <row r="1928" spans="1:14" ht="12.75" customHeight="1" x14ac:dyDescent="0.2">
      <c r="A1928" s="1061" t="s">
        <v>391</v>
      </c>
      <c r="B1928" s="1057"/>
      <c r="C1928" s="1057"/>
      <c r="D1928" s="1057"/>
      <c r="E1928" s="1057"/>
      <c r="F1928" s="1057"/>
      <c r="G1928" s="1058"/>
      <c r="H1928" s="9" t="str">
        <f>IF(A1928="","",VLOOKUP(A1928,AA_Equipos,7,FALSE))</f>
        <v>% M.O.</v>
      </c>
      <c r="I1928" s="1059">
        <f>M1951</f>
        <v>61605.712627500005</v>
      </c>
      <c r="J1928" s="1058"/>
      <c r="K1928" s="1064">
        <v>0.05</v>
      </c>
      <c r="L1928" s="1058"/>
      <c r="M1928" s="1059">
        <f>IF(A1928="","",I1928*K1928)</f>
        <v>3080.2856313750003</v>
      </c>
      <c r="N1928" s="1058"/>
    </row>
    <row r="1929" spans="1:14" ht="12.75" customHeight="1" x14ac:dyDescent="0.2">
      <c r="A1929" s="1056"/>
      <c r="B1929" s="1057"/>
      <c r="C1929" s="1057"/>
      <c r="D1929" s="1057"/>
      <c r="E1929" s="1057"/>
      <c r="F1929" s="1057"/>
      <c r="G1929" s="1058"/>
      <c r="H1929" s="9" t="str">
        <f>IF(A1929="","",VLOOKUP(A1929,AA_Equipos,7,FALSE))</f>
        <v/>
      </c>
      <c r="I1929" s="1059" t="str">
        <f>IF(A1929="","",VLOOKUP(A1929,AA_Equipos,8,FALSE))</f>
        <v/>
      </c>
      <c r="J1929" s="1058"/>
      <c r="K1929" s="1067"/>
      <c r="L1929" s="1058"/>
      <c r="M1929" s="1059" t="str">
        <f>IF(A1929="","",I1929*K1929)</f>
        <v/>
      </c>
      <c r="N1929" s="1058"/>
    </row>
    <row r="1930" spans="1:14" ht="12.75" customHeight="1" x14ac:dyDescent="0.2">
      <c r="A1930" s="1061"/>
      <c r="B1930" s="1057"/>
      <c r="C1930" s="1057"/>
      <c r="D1930" s="1057"/>
      <c r="E1930" s="1057"/>
      <c r="F1930" s="1057"/>
      <c r="G1930" s="1058"/>
      <c r="H1930" s="9" t="str">
        <f>IF(A1930="","",VLOOKUP(A1930,AA_Equipos,7,FALSE))</f>
        <v/>
      </c>
      <c r="I1930" s="1059" t="str">
        <f>IF(A1930="","",VLOOKUP(A1930,AA_Equipos,8,FALSE))</f>
        <v/>
      </c>
      <c r="J1930" s="1058"/>
      <c r="K1930" s="1060"/>
      <c r="L1930" s="1058"/>
      <c r="M1930" s="1059" t="str">
        <f>IF(A1930="","",I1930*K1930)</f>
        <v/>
      </c>
      <c r="N1930" s="1058"/>
    </row>
    <row r="1931" spans="1:14" ht="12.75" customHeight="1" x14ac:dyDescent="0.2">
      <c r="A1931" s="1061"/>
      <c r="B1931" s="1057"/>
      <c r="C1931" s="1057"/>
      <c r="D1931" s="1057"/>
      <c r="E1931" s="1057"/>
      <c r="F1931" s="1057"/>
      <c r="G1931" s="1058"/>
      <c r="H1931" s="9" t="str">
        <f>IF(A1931="","",VLOOKUP(A1931,AA_Equipos,7,FALSE))</f>
        <v/>
      </c>
      <c r="I1931" s="1059" t="str">
        <f>IF(A1931="","",VLOOKUP(A1931,AA_Equipos,8,FALSE))</f>
        <v/>
      </c>
      <c r="J1931" s="1058"/>
      <c r="K1931" s="1060"/>
      <c r="L1931" s="1058"/>
      <c r="M1931" s="1059" t="str">
        <f>IF(A1931="","",I1931*K1931)</f>
        <v/>
      </c>
      <c r="N1931" s="1058"/>
    </row>
    <row r="1932" spans="1:14" ht="12.75" customHeight="1" x14ac:dyDescent="0.2">
      <c r="A1932" s="1061"/>
      <c r="B1932" s="1057"/>
      <c r="C1932" s="1057"/>
      <c r="D1932" s="1057"/>
      <c r="E1932" s="1057"/>
      <c r="F1932" s="1057"/>
      <c r="G1932" s="1058"/>
      <c r="H1932" s="9" t="str">
        <f>IF(A1932="","",VLOOKUP(A1932,AA_Equipos,7,FALSE))</f>
        <v/>
      </c>
      <c r="I1932" s="1059" t="str">
        <f>IF(A1932="","",VLOOKUP(A1932,AA_Equipos,8,FALSE))</f>
        <v/>
      </c>
      <c r="J1932" s="1058"/>
      <c r="K1932" s="1060"/>
      <c r="L1932" s="1058"/>
      <c r="M1932" s="1059" t="str">
        <f>IF(A1932="","",I1932*K1932)</f>
        <v/>
      </c>
      <c r="N1932" s="1058"/>
    </row>
    <row r="1933" spans="1:14" ht="12.75" customHeight="1" x14ac:dyDescent="0.25">
      <c r="A1933" s="3"/>
      <c r="B1933" s="3"/>
      <c r="C1933" s="3"/>
      <c r="D1933" s="3"/>
      <c r="E1933" s="3"/>
      <c r="F1933" s="3"/>
      <c r="G1933" s="3"/>
      <c r="H1933" s="3"/>
      <c r="I1933" s="3"/>
      <c r="J1933" s="3"/>
      <c r="K1933" s="1066" t="s">
        <v>201</v>
      </c>
      <c r="L1933" s="1058"/>
      <c r="M1933" s="1059">
        <f>SUM(M1928:N1932)</f>
        <v>3080.2856313750003</v>
      </c>
      <c r="N1933" s="1058"/>
    </row>
    <row r="1934" spans="1:14" ht="12.75" customHeight="1" x14ac:dyDescent="0.25">
      <c r="A1934" s="3"/>
      <c r="B1934" s="3"/>
      <c r="C1934" s="3"/>
      <c r="D1934" s="3"/>
      <c r="E1934" s="3"/>
      <c r="F1934" s="3"/>
      <c r="G1934" s="3"/>
      <c r="H1934" s="3"/>
      <c r="I1934" s="3"/>
      <c r="J1934" s="3"/>
      <c r="K1934" s="3"/>
      <c r="L1934" s="3"/>
      <c r="M1934" s="3"/>
      <c r="N1934" s="3"/>
    </row>
    <row r="1935" spans="1:14" ht="12.75" customHeight="1" x14ac:dyDescent="0.2">
      <c r="A1935" s="1065" t="s">
        <v>392</v>
      </c>
      <c r="B1935" s="1057"/>
      <c r="C1935" s="1057"/>
      <c r="D1935" s="1057"/>
      <c r="E1935" s="1057"/>
      <c r="F1935" s="1057"/>
      <c r="G1935" s="1057"/>
      <c r="H1935" s="1057"/>
      <c r="I1935" s="1057"/>
      <c r="J1935" s="1057"/>
      <c r="K1935" s="1057"/>
      <c r="L1935" s="1057"/>
      <c r="M1935" s="1057"/>
      <c r="N1935" s="1058"/>
    </row>
    <row r="1936" spans="1:14" ht="12.75" customHeight="1" x14ac:dyDescent="0.2">
      <c r="A1936" s="1066" t="s">
        <v>38</v>
      </c>
      <c r="B1936" s="1057"/>
      <c r="C1936" s="1057"/>
      <c r="D1936" s="1057"/>
      <c r="E1936" s="1057"/>
      <c r="F1936" s="1057"/>
      <c r="G1936" s="1058"/>
      <c r="H1936" s="28" t="s">
        <v>39</v>
      </c>
      <c r="I1936" s="1062" t="s">
        <v>385</v>
      </c>
      <c r="J1936" s="1058"/>
      <c r="K1936" s="1062" t="s">
        <v>132</v>
      </c>
      <c r="L1936" s="1058"/>
      <c r="M1936" s="1062" t="s">
        <v>386</v>
      </c>
      <c r="N1936" s="1058"/>
    </row>
    <row r="1937" spans="1:14" ht="12.75" customHeight="1" x14ac:dyDescent="0.2">
      <c r="A1937" s="1061"/>
      <c r="B1937" s="1057"/>
      <c r="C1937" s="1057"/>
      <c r="D1937" s="1057"/>
      <c r="E1937" s="1057"/>
      <c r="F1937" s="1057"/>
      <c r="G1937" s="1058"/>
      <c r="H1937" s="9"/>
      <c r="I1937" s="1059"/>
      <c r="J1937" s="1058"/>
      <c r="K1937" s="1064"/>
      <c r="L1937" s="1058"/>
      <c r="M1937" s="1059" t="str">
        <f>IF(A1937="","",I1937*K1937)</f>
        <v/>
      </c>
      <c r="N1937" s="1058"/>
    </row>
    <row r="1938" spans="1:14" ht="12.75" customHeight="1" x14ac:dyDescent="0.2">
      <c r="A1938" s="1056"/>
      <c r="B1938" s="1057"/>
      <c r="C1938" s="1057"/>
      <c r="D1938" s="1057"/>
      <c r="E1938" s="1057"/>
      <c r="F1938" s="1057"/>
      <c r="G1938" s="1058"/>
      <c r="H1938" s="9"/>
      <c r="I1938" s="1059"/>
      <c r="J1938" s="1058"/>
      <c r="K1938" s="1067"/>
      <c r="L1938" s="1058"/>
      <c r="M1938" s="1059"/>
      <c r="N1938" s="1058"/>
    </row>
    <row r="1939" spans="1:14" ht="12.75" customHeight="1" x14ac:dyDescent="0.2">
      <c r="A1939" s="1061"/>
      <c r="B1939" s="1057"/>
      <c r="C1939" s="1057"/>
      <c r="D1939" s="1057"/>
      <c r="E1939" s="1057"/>
      <c r="F1939" s="1057"/>
      <c r="G1939" s="1058"/>
      <c r="H1939" s="9"/>
      <c r="I1939" s="1059"/>
      <c r="J1939" s="1058"/>
      <c r="K1939" s="1060"/>
      <c r="L1939" s="1058"/>
      <c r="M1939" s="1059" t="str">
        <f>IF(A1939="","",I1939*K1939)</f>
        <v/>
      </c>
      <c r="N1939" s="1058"/>
    </row>
    <row r="1940" spans="1:14" ht="12.75" customHeight="1" x14ac:dyDescent="0.2">
      <c r="A1940" s="1061"/>
      <c r="B1940" s="1057"/>
      <c r="C1940" s="1057"/>
      <c r="D1940" s="1057"/>
      <c r="E1940" s="1057"/>
      <c r="F1940" s="1057"/>
      <c r="G1940" s="1058"/>
      <c r="H1940" s="9"/>
      <c r="I1940" s="1059"/>
      <c r="J1940" s="1058"/>
      <c r="K1940" s="1060"/>
      <c r="L1940" s="1058"/>
      <c r="M1940" s="1059" t="str">
        <f>IF(A1940="","",I1940*K1940)</f>
        <v/>
      </c>
      <c r="N1940" s="1058"/>
    </row>
    <row r="1941" spans="1:14" ht="12.75" customHeight="1" x14ac:dyDescent="0.2">
      <c r="A1941" s="1061"/>
      <c r="B1941" s="1057"/>
      <c r="C1941" s="1057"/>
      <c r="D1941" s="1057"/>
      <c r="E1941" s="1057"/>
      <c r="F1941" s="1057"/>
      <c r="G1941" s="1058"/>
      <c r="H1941" s="9"/>
      <c r="I1941" s="1059"/>
      <c r="J1941" s="1058"/>
      <c r="K1941" s="1060"/>
      <c r="L1941" s="1058"/>
      <c r="M1941" s="1059" t="str">
        <f>IF(A1941="","",I1941*K1941)</f>
        <v/>
      </c>
      <c r="N1941" s="1058"/>
    </row>
    <row r="1942" spans="1:14" ht="12.75" customHeight="1" x14ac:dyDescent="0.25">
      <c r="A1942" s="3"/>
      <c r="B1942" s="3"/>
      <c r="C1942" s="3"/>
      <c r="D1942" s="3"/>
      <c r="E1942" s="3"/>
      <c r="F1942" s="3"/>
      <c r="G1942" s="3"/>
      <c r="H1942" s="3"/>
      <c r="I1942" s="3"/>
      <c r="J1942" s="3"/>
      <c r="K1942" s="1066" t="s">
        <v>201</v>
      </c>
      <c r="L1942" s="1058"/>
      <c r="M1942" s="1059">
        <f>SUM(M1937:N1941)</f>
        <v>0</v>
      </c>
      <c r="N1942" s="1058"/>
    </row>
    <row r="1943" spans="1:14" ht="12.75" customHeight="1" x14ac:dyDescent="0.25">
      <c r="A1943" s="3"/>
      <c r="B1943" s="3"/>
      <c r="C1943" s="3"/>
      <c r="D1943" s="3"/>
      <c r="E1943" s="3"/>
      <c r="F1943" s="3"/>
      <c r="G1943" s="3"/>
      <c r="H1943" s="3"/>
      <c r="I1943" s="3"/>
      <c r="J1943" s="3"/>
      <c r="K1943" s="3"/>
      <c r="L1943" s="3"/>
      <c r="M1943" s="3"/>
      <c r="N1943" s="3"/>
    </row>
    <row r="1944" spans="1:14" ht="12.75" customHeight="1" x14ac:dyDescent="0.2">
      <c r="A1944" s="1065" t="s">
        <v>394</v>
      </c>
      <c r="B1944" s="1057"/>
      <c r="C1944" s="1057"/>
      <c r="D1944" s="1057"/>
      <c r="E1944" s="1057"/>
      <c r="F1944" s="1057"/>
      <c r="G1944" s="1057"/>
      <c r="H1944" s="1057"/>
      <c r="I1944" s="1057"/>
      <c r="J1944" s="1057"/>
      <c r="K1944" s="1057"/>
      <c r="L1944" s="1057"/>
      <c r="M1944" s="1057"/>
      <c r="N1944" s="1058"/>
    </row>
    <row r="1945" spans="1:14" ht="12.75" customHeight="1" x14ac:dyDescent="0.2">
      <c r="A1945" s="1066" t="s">
        <v>38</v>
      </c>
      <c r="B1945" s="1057"/>
      <c r="C1945" s="1057"/>
      <c r="D1945" s="1057"/>
      <c r="E1945" s="1057"/>
      <c r="F1945" s="1057"/>
      <c r="G1945" s="1058"/>
      <c r="H1945" s="28" t="s">
        <v>39</v>
      </c>
      <c r="I1945" s="1062" t="s">
        <v>385</v>
      </c>
      <c r="J1945" s="1058"/>
      <c r="K1945" s="30" t="s">
        <v>193</v>
      </c>
      <c r="L1945" s="31" t="s">
        <v>395</v>
      </c>
      <c r="M1945" s="1062" t="s">
        <v>386</v>
      </c>
      <c r="N1945" s="1058"/>
    </row>
    <row r="1946" spans="1:14" ht="12.75" customHeight="1" x14ac:dyDescent="0.25">
      <c r="A1946" s="1063" t="s">
        <v>536</v>
      </c>
      <c r="B1946" s="1057"/>
      <c r="C1946" s="1057"/>
      <c r="D1946" s="1057"/>
      <c r="E1946" s="1057"/>
      <c r="F1946" s="1057"/>
      <c r="G1946" s="1058"/>
      <c r="H1946" s="9" t="str">
        <f>IF(A1946="","",VLOOKUP(A1946,AA_Cuadrillas,4,FALSE))</f>
        <v>Cuadrilla</v>
      </c>
      <c r="I1946" s="1059">
        <f>IF(A1946="","",VLOOKUP(A1946,AA_Cuadrillas,5,FALSE))</f>
        <v>714953</v>
      </c>
      <c r="J1946" s="1058"/>
      <c r="K1946" s="1">
        <f>IF(A1946="","",'06'!$J$3)</f>
        <v>1.7233500000000002</v>
      </c>
      <c r="L1946" s="32">
        <v>0.05</v>
      </c>
      <c r="M1946" s="1059">
        <f>IF(A1946="","",I1946*K1946*L1946)</f>
        <v>61605.712627500005</v>
      </c>
      <c r="N1946" s="1058"/>
    </row>
    <row r="1947" spans="1:14" ht="12.75" customHeight="1" x14ac:dyDescent="0.25">
      <c r="A1947" s="1063"/>
      <c r="B1947" s="1057"/>
      <c r="C1947" s="1057"/>
      <c r="D1947" s="1057"/>
      <c r="E1947" s="1057"/>
      <c r="F1947" s="1057"/>
      <c r="G1947" s="1058"/>
      <c r="H1947" s="9" t="str">
        <f>IF(A1947="","",VLOOKUP(A1947,AA_Cuadrillas,4,FALSE))</f>
        <v/>
      </c>
      <c r="I1947" s="1059" t="str">
        <f>IF(A1947="","",VLOOKUP(A1947,AA_Cuadrillas,5,FALSE))</f>
        <v/>
      </c>
      <c r="J1947" s="1058"/>
      <c r="K1947" s="1" t="str">
        <f>IF(A1947="","",'06'!$J$3)</f>
        <v/>
      </c>
      <c r="L1947" s="1"/>
      <c r="M1947" s="1059" t="str">
        <f>IF(A1947="","",I1947*K1947*L1947)</f>
        <v/>
      </c>
      <c r="N1947" s="1058"/>
    </row>
    <row r="1948" spans="1:14" ht="12.75" customHeight="1" x14ac:dyDescent="0.25">
      <c r="A1948" s="1063"/>
      <c r="B1948" s="1057"/>
      <c r="C1948" s="1057"/>
      <c r="D1948" s="1057"/>
      <c r="E1948" s="1057"/>
      <c r="F1948" s="1057"/>
      <c r="G1948" s="1058"/>
      <c r="H1948" s="9" t="str">
        <f>IF(A1948="","",VLOOKUP(A1948,AA_Cuadrillas,4,FALSE))</f>
        <v/>
      </c>
      <c r="I1948" s="1059" t="str">
        <f>IF(A1948="","",VLOOKUP(A1948,AA_Cuadrillas,5,FALSE))</f>
        <v/>
      </c>
      <c r="J1948" s="1058"/>
      <c r="K1948" s="1" t="str">
        <f>IF(A1948="","",'06'!$J$3)</f>
        <v/>
      </c>
      <c r="L1948" s="10"/>
      <c r="M1948" s="1059" t="str">
        <f>IF(A1948="","",I1948*K1948*L1948)</f>
        <v/>
      </c>
      <c r="N1948" s="1058"/>
    </row>
    <row r="1949" spans="1:14" ht="12.75" customHeight="1" x14ac:dyDescent="0.25">
      <c r="A1949" s="1063"/>
      <c r="B1949" s="1057"/>
      <c r="C1949" s="1057"/>
      <c r="D1949" s="1057"/>
      <c r="E1949" s="1057"/>
      <c r="F1949" s="1057"/>
      <c r="G1949" s="1058"/>
      <c r="H1949" s="9" t="str">
        <f>IF(A1949="","",VLOOKUP(A1949,AA_Cuadrillas,4,FALSE))</f>
        <v/>
      </c>
      <c r="I1949" s="1059" t="str">
        <f>IF(A1949="","",VLOOKUP(A1949,AA_Cuadrillas,5,FALSE))</f>
        <v/>
      </c>
      <c r="J1949" s="1058"/>
      <c r="K1949" s="1" t="str">
        <f>IF(A1949="","",'06'!$J$3)</f>
        <v/>
      </c>
      <c r="L1949" s="10"/>
      <c r="M1949" s="1059" t="str">
        <f>IF(A1949="","",I1949*K1949*L1949)</f>
        <v/>
      </c>
      <c r="N1949" s="1058"/>
    </row>
    <row r="1950" spans="1:14" ht="12.75" customHeight="1" x14ac:dyDescent="0.25">
      <c r="A1950" s="1063"/>
      <c r="B1950" s="1057"/>
      <c r="C1950" s="1057"/>
      <c r="D1950" s="1057"/>
      <c r="E1950" s="1057"/>
      <c r="F1950" s="1057"/>
      <c r="G1950" s="1058"/>
      <c r="H1950" s="9" t="str">
        <f>IF(A1950="","",VLOOKUP(A1950,AA_Cuadrillas,4,FALSE))</f>
        <v/>
      </c>
      <c r="I1950" s="1059" t="str">
        <f>IF(A1950="","",VLOOKUP(A1950,AA_Cuadrillas,5,FALSE))</f>
        <v/>
      </c>
      <c r="J1950" s="1058"/>
      <c r="K1950" s="1" t="str">
        <f>IF(A1950="","",'06'!$J$3)</f>
        <v/>
      </c>
      <c r="L1950" s="10"/>
      <c r="M1950" s="1059" t="str">
        <f>IF(A1950="","",I1950*K1950*L1950)</f>
        <v/>
      </c>
      <c r="N1950" s="1058"/>
    </row>
    <row r="1951" spans="1:14" ht="12.75" customHeight="1" x14ac:dyDescent="0.25">
      <c r="A1951" s="3"/>
      <c r="B1951" s="3"/>
      <c r="C1951" s="3"/>
      <c r="D1951" s="3"/>
      <c r="E1951" s="3"/>
      <c r="F1951" s="3"/>
      <c r="G1951" s="3"/>
      <c r="H1951" s="3"/>
      <c r="I1951" s="3"/>
      <c r="J1951" s="3"/>
      <c r="K1951" s="1066" t="s">
        <v>201</v>
      </c>
      <c r="L1951" s="1058"/>
      <c r="M1951" s="1059">
        <f>SUM(M1946:N1950)</f>
        <v>61605.712627500005</v>
      </c>
      <c r="N1951" s="1058"/>
    </row>
    <row r="1952" spans="1:14" ht="12.75" customHeight="1" x14ac:dyDescent="0.2"/>
    <row r="1953" spans="1:15" ht="12.75" customHeight="1" x14ac:dyDescent="0.2">
      <c r="A1953" s="1072" t="s">
        <v>1711</v>
      </c>
      <c r="B1953" s="1052"/>
      <c r="C1953" s="1052"/>
      <c r="D1953" s="1052"/>
      <c r="E1953" s="1052"/>
      <c r="F1953" s="1052"/>
      <c r="G1953" s="1052"/>
      <c r="H1953" s="1052"/>
      <c r="I1953" s="1052"/>
      <c r="J1953" s="1052"/>
      <c r="K1953" s="1052"/>
      <c r="L1953" s="1052"/>
      <c r="M1953" s="1052"/>
      <c r="N1953" s="1053"/>
      <c r="O1953" s="7"/>
    </row>
    <row r="1954" spans="1:15" ht="12.75" customHeight="1" x14ac:dyDescent="0.2">
      <c r="A1954" s="1031"/>
      <c r="B1954" s="1032"/>
      <c r="C1954" s="1032"/>
      <c r="D1954" s="1032"/>
      <c r="E1954" s="1032"/>
      <c r="F1954" s="1032"/>
      <c r="G1954" s="1032"/>
      <c r="H1954" s="1032"/>
      <c r="I1954" s="1032"/>
      <c r="J1954" s="1032"/>
      <c r="K1954" s="1032"/>
      <c r="L1954" s="1032"/>
      <c r="M1954" s="1032"/>
      <c r="N1954" s="1055"/>
      <c r="O1954" s="7"/>
    </row>
    <row r="1955" spans="1:15" ht="12.75" customHeight="1" x14ac:dyDescent="0.2">
      <c r="A1955" s="16"/>
      <c r="B1955" s="16"/>
      <c r="C1955" s="16"/>
      <c r="D1955" s="16"/>
      <c r="E1955" s="16"/>
      <c r="F1955" s="16"/>
      <c r="G1955" s="16"/>
      <c r="H1955" s="16"/>
      <c r="I1955" s="16"/>
      <c r="J1955" s="16"/>
      <c r="K1955" s="16"/>
      <c r="L1955" s="16"/>
      <c r="M1955" s="16"/>
      <c r="N1955" s="16"/>
    </row>
    <row r="1956" spans="1:15" ht="12.75" customHeight="1" x14ac:dyDescent="0.3">
      <c r="A1956" s="18" t="s">
        <v>336</v>
      </c>
      <c r="B1956" s="19" t="str">
        <f>A1953</f>
        <v xml:space="preserve">VÁLVULA AQT COMPUERTA ELÁSTICA JUNTA RÁPIDA DE 6" </v>
      </c>
      <c r="C1956" s="20" t="s">
        <v>382</v>
      </c>
      <c r="D1956" s="127" t="s">
        <v>424</v>
      </c>
      <c r="E1956" s="22" t="s">
        <v>125</v>
      </c>
      <c r="F1956" s="26">
        <f>(H1956+J1956+L1956+N1956)*$O$2</f>
        <v>4317145.9849523893</v>
      </c>
      <c r="G1956" s="22" t="s">
        <v>285</v>
      </c>
      <c r="H1956" s="26">
        <f>M1975</f>
        <v>9364.2271850692141</v>
      </c>
      <c r="I1956" s="22" t="s">
        <v>383</v>
      </c>
      <c r="J1956" s="26">
        <f>M1966</f>
        <v>3124232.7560000001</v>
      </c>
      <c r="K1956" s="22" t="s">
        <v>287</v>
      </c>
      <c r="L1956" s="26">
        <f>M1984</f>
        <v>0</v>
      </c>
      <c r="M1956" s="22" t="s">
        <v>288</v>
      </c>
      <c r="N1956" s="26">
        <f>M1993</f>
        <v>187284.54370138427</v>
      </c>
    </row>
    <row r="1957" spans="1:15" ht="12.75" customHeight="1" x14ac:dyDescent="0.25">
      <c r="A1957" s="27"/>
      <c r="B1957" s="27"/>
      <c r="C1957" s="27"/>
      <c r="D1957" s="27"/>
      <c r="E1957" s="27"/>
      <c r="F1957" s="27"/>
      <c r="G1957" s="27"/>
      <c r="J1957" s="27"/>
      <c r="K1957" s="27"/>
      <c r="L1957" s="27"/>
      <c r="M1957" s="27"/>
      <c r="N1957" s="27"/>
    </row>
    <row r="1958" spans="1:15" ht="12.75" customHeight="1" x14ac:dyDescent="0.2">
      <c r="A1958" s="1065" t="s">
        <v>384</v>
      </c>
      <c r="B1958" s="1057"/>
      <c r="C1958" s="1057"/>
      <c r="D1958" s="1057"/>
      <c r="E1958" s="1057"/>
      <c r="F1958" s="1057"/>
      <c r="G1958" s="1057"/>
      <c r="H1958" s="1057"/>
      <c r="I1958" s="1057"/>
      <c r="J1958" s="1057"/>
      <c r="K1958" s="1057"/>
      <c r="L1958" s="1057"/>
      <c r="M1958" s="1057"/>
      <c r="N1958" s="1058"/>
    </row>
    <row r="1959" spans="1:15" ht="12.75" customHeight="1" x14ac:dyDescent="0.2">
      <c r="A1959" s="1066" t="s">
        <v>38</v>
      </c>
      <c r="B1959" s="1057"/>
      <c r="C1959" s="1057"/>
      <c r="D1959" s="1057"/>
      <c r="E1959" s="1057"/>
      <c r="F1959" s="1057"/>
      <c r="G1959" s="1058"/>
      <c r="H1959" s="28" t="s">
        <v>39</v>
      </c>
      <c r="I1959" s="1062" t="s">
        <v>385</v>
      </c>
      <c r="J1959" s="1058"/>
      <c r="K1959" s="1062" t="s">
        <v>132</v>
      </c>
      <c r="L1959" s="1058"/>
      <c r="M1959" s="1062" t="s">
        <v>386</v>
      </c>
      <c r="N1959" s="1058"/>
    </row>
    <row r="1960" spans="1:15" ht="12.75" customHeight="1" x14ac:dyDescent="0.2">
      <c r="A1960" s="1061" t="s">
        <v>1546</v>
      </c>
      <c r="B1960" s="1057"/>
      <c r="C1960" s="1057"/>
      <c r="D1960" s="1057"/>
      <c r="E1960" s="1057"/>
      <c r="F1960" s="1057"/>
      <c r="G1960" s="1058"/>
      <c r="H1960" s="9" t="str">
        <f t="shared" ref="H1960:H1965" si="128">IF(A1960="","",VLOOKUP(A1960,AA_Materiales,7,FALSE))</f>
        <v>Unidad</v>
      </c>
      <c r="I1960" s="1059">
        <f t="shared" ref="I1960:I1965" si="129">IF(A1960="","",VLOOKUP(A1960,AA_Materiales,8,FALSE))</f>
        <v>3124232.7560000001</v>
      </c>
      <c r="J1960" s="1058"/>
      <c r="K1960" s="1060">
        <v>1</v>
      </c>
      <c r="L1960" s="1058"/>
      <c r="M1960" s="1059">
        <f t="shared" ref="M1960:M1965" si="130">IF(A1960="","",I1960*K1960)</f>
        <v>3124232.7560000001</v>
      </c>
      <c r="N1960" s="1058"/>
    </row>
    <row r="1961" spans="1:15" ht="12.75" customHeight="1" x14ac:dyDescent="0.2">
      <c r="A1961" s="1061"/>
      <c r="B1961" s="1057"/>
      <c r="C1961" s="1057"/>
      <c r="D1961" s="1057"/>
      <c r="E1961" s="1057"/>
      <c r="F1961" s="1057"/>
      <c r="G1961" s="1058"/>
      <c r="H1961" s="9" t="str">
        <f t="shared" si="128"/>
        <v/>
      </c>
      <c r="I1961" s="1059" t="str">
        <f t="shared" si="129"/>
        <v/>
      </c>
      <c r="J1961" s="1058"/>
      <c r="K1961" s="1060"/>
      <c r="L1961" s="1058"/>
      <c r="M1961" s="1059" t="str">
        <f t="shared" si="130"/>
        <v/>
      </c>
      <c r="N1961" s="1058"/>
    </row>
    <row r="1962" spans="1:15" ht="12.75" customHeight="1" x14ac:dyDescent="0.2">
      <c r="A1962" s="1061"/>
      <c r="B1962" s="1057"/>
      <c r="C1962" s="1057"/>
      <c r="D1962" s="1057"/>
      <c r="E1962" s="1057"/>
      <c r="F1962" s="1057"/>
      <c r="G1962" s="1058"/>
      <c r="H1962" s="9" t="str">
        <f t="shared" si="128"/>
        <v/>
      </c>
      <c r="I1962" s="1059" t="str">
        <f t="shared" si="129"/>
        <v/>
      </c>
      <c r="J1962" s="1058"/>
      <c r="K1962" s="1060"/>
      <c r="L1962" s="1058"/>
      <c r="M1962" s="1059" t="str">
        <f t="shared" si="130"/>
        <v/>
      </c>
      <c r="N1962" s="1058"/>
    </row>
    <row r="1963" spans="1:15" ht="12.75" customHeight="1" x14ac:dyDescent="0.2">
      <c r="A1963" s="1061"/>
      <c r="B1963" s="1057"/>
      <c r="C1963" s="1057"/>
      <c r="D1963" s="1057"/>
      <c r="E1963" s="1057"/>
      <c r="F1963" s="1057"/>
      <c r="G1963" s="1058"/>
      <c r="H1963" s="9" t="str">
        <f t="shared" si="128"/>
        <v/>
      </c>
      <c r="I1963" s="1059" t="str">
        <f t="shared" si="129"/>
        <v/>
      </c>
      <c r="J1963" s="1058"/>
      <c r="K1963" s="1060"/>
      <c r="L1963" s="1058"/>
      <c r="M1963" s="1059" t="str">
        <f t="shared" si="130"/>
        <v/>
      </c>
      <c r="N1963" s="1058"/>
    </row>
    <row r="1964" spans="1:15" ht="12.75" customHeight="1" x14ac:dyDescent="0.2">
      <c r="A1964" s="1061"/>
      <c r="B1964" s="1057"/>
      <c r="C1964" s="1057"/>
      <c r="D1964" s="1057"/>
      <c r="E1964" s="1057"/>
      <c r="F1964" s="1057"/>
      <c r="G1964" s="1058"/>
      <c r="H1964" s="9" t="str">
        <f t="shared" si="128"/>
        <v/>
      </c>
      <c r="I1964" s="1059" t="str">
        <f t="shared" si="129"/>
        <v/>
      </c>
      <c r="J1964" s="1058"/>
      <c r="K1964" s="1060"/>
      <c r="L1964" s="1058"/>
      <c r="M1964" s="1059" t="str">
        <f t="shared" si="130"/>
        <v/>
      </c>
      <c r="N1964" s="1058"/>
    </row>
    <row r="1965" spans="1:15" ht="12.75" customHeight="1" x14ac:dyDescent="0.2">
      <c r="A1965" s="1061"/>
      <c r="B1965" s="1057"/>
      <c r="C1965" s="1057"/>
      <c r="D1965" s="1057"/>
      <c r="E1965" s="1057"/>
      <c r="F1965" s="1057"/>
      <c r="G1965" s="1058"/>
      <c r="H1965" s="9" t="str">
        <f t="shared" si="128"/>
        <v/>
      </c>
      <c r="I1965" s="1059" t="str">
        <f t="shared" si="129"/>
        <v/>
      </c>
      <c r="J1965" s="1058"/>
      <c r="K1965" s="1060"/>
      <c r="L1965" s="1058"/>
      <c r="M1965" s="1059" t="str">
        <f t="shared" si="130"/>
        <v/>
      </c>
      <c r="N1965" s="1058"/>
    </row>
    <row r="1966" spans="1:15" ht="12.75" customHeight="1" x14ac:dyDescent="0.25">
      <c r="A1966" s="3"/>
      <c r="B1966" s="3"/>
      <c r="C1966" s="3"/>
      <c r="D1966" s="3"/>
      <c r="E1966" s="3"/>
      <c r="F1966" s="3"/>
      <c r="G1966" s="3"/>
      <c r="H1966" s="3"/>
      <c r="I1966" s="3"/>
      <c r="J1966" s="3"/>
      <c r="K1966" s="1066" t="s">
        <v>201</v>
      </c>
      <c r="L1966" s="1058"/>
      <c r="M1966" s="1059">
        <f>SUM(M1960:N1965)</f>
        <v>3124232.7560000001</v>
      </c>
      <c r="N1966" s="1058"/>
    </row>
    <row r="1967" spans="1:15" ht="12.75" customHeight="1" x14ac:dyDescent="0.25">
      <c r="A1967" s="3"/>
      <c r="B1967" s="3"/>
      <c r="C1967" s="3"/>
      <c r="D1967" s="3"/>
      <c r="E1967" s="3"/>
      <c r="F1967" s="3"/>
      <c r="G1967" s="3"/>
      <c r="H1967" s="3"/>
      <c r="I1967" s="3"/>
      <c r="J1967" s="3"/>
      <c r="K1967" s="3"/>
      <c r="L1967" s="3"/>
      <c r="M1967" s="3"/>
      <c r="N1967" s="3"/>
    </row>
    <row r="1968" spans="1:15" ht="12.75" customHeight="1" x14ac:dyDescent="0.2">
      <c r="A1968" s="1065" t="s">
        <v>390</v>
      </c>
      <c r="B1968" s="1057"/>
      <c r="C1968" s="1057"/>
      <c r="D1968" s="1057"/>
      <c r="E1968" s="1057"/>
      <c r="F1968" s="1057"/>
      <c r="G1968" s="1057"/>
      <c r="H1968" s="1057"/>
      <c r="I1968" s="1057"/>
      <c r="J1968" s="1057"/>
      <c r="K1968" s="1057"/>
      <c r="L1968" s="1057"/>
      <c r="M1968" s="1057"/>
      <c r="N1968" s="1058"/>
    </row>
    <row r="1969" spans="1:14" ht="12.75" customHeight="1" x14ac:dyDescent="0.2">
      <c r="A1969" s="1066" t="s">
        <v>38</v>
      </c>
      <c r="B1969" s="1057"/>
      <c r="C1969" s="1057"/>
      <c r="D1969" s="1057"/>
      <c r="E1969" s="1057"/>
      <c r="F1969" s="1057"/>
      <c r="G1969" s="1058"/>
      <c r="H1969" s="28" t="s">
        <v>39</v>
      </c>
      <c r="I1969" s="1062" t="s">
        <v>385</v>
      </c>
      <c r="J1969" s="1058"/>
      <c r="K1969" s="1062" t="s">
        <v>132</v>
      </c>
      <c r="L1969" s="1058"/>
      <c r="M1969" s="1062" t="s">
        <v>386</v>
      </c>
      <c r="N1969" s="1058"/>
    </row>
    <row r="1970" spans="1:14" ht="12.75" customHeight="1" x14ac:dyDescent="0.2">
      <c r="A1970" s="1061" t="s">
        <v>391</v>
      </c>
      <c r="B1970" s="1057"/>
      <c r="C1970" s="1057"/>
      <c r="D1970" s="1057"/>
      <c r="E1970" s="1057"/>
      <c r="F1970" s="1057"/>
      <c r="G1970" s="1058"/>
      <c r="H1970" s="9" t="str">
        <f>IF(A1970="","",VLOOKUP(A1970,AA_Equipos,7,FALSE))</f>
        <v>% M.O.</v>
      </c>
      <c r="I1970" s="1059">
        <f>+M1993</f>
        <v>187284.54370138427</v>
      </c>
      <c r="J1970" s="1058"/>
      <c r="K1970" s="1064">
        <v>0.05</v>
      </c>
      <c r="L1970" s="1058"/>
      <c r="M1970" s="1059">
        <f>IF(A1970="","",I1970*K1970)</f>
        <v>9364.2271850692141</v>
      </c>
      <c r="N1970" s="1058"/>
    </row>
    <row r="1971" spans="1:14" ht="12.75" customHeight="1" x14ac:dyDescent="0.2">
      <c r="A1971" s="1056"/>
      <c r="B1971" s="1057"/>
      <c r="C1971" s="1057"/>
      <c r="D1971" s="1057"/>
      <c r="E1971" s="1057"/>
      <c r="F1971" s="1057"/>
      <c r="G1971" s="1058"/>
      <c r="H1971" s="9" t="str">
        <f>IF(A1971="","",VLOOKUP(A1971,AA_Equipos,7,FALSE))</f>
        <v/>
      </c>
      <c r="I1971" s="1059" t="str">
        <f>IF(A1971="","",VLOOKUP(A1971,AA_Equipos,8,FALSE))</f>
        <v/>
      </c>
      <c r="J1971" s="1058"/>
      <c r="K1971" s="1067"/>
      <c r="L1971" s="1058"/>
      <c r="M1971" s="1059" t="str">
        <f>IF(A1971="","",I1971*K1971)</f>
        <v/>
      </c>
      <c r="N1971" s="1058"/>
    </row>
    <row r="1972" spans="1:14" ht="12.75" customHeight="1" x14ac:dyDescent="0.2">
      <c r="A1972" s="1061"/>
      <c r="B1972" s="1057"/>
      <c r="C1972" s="1057"/>
      <c r="D1972" s="1057"/>
      <c r="E1972" s="1057"/>
      <c r="F1972" s="1057"/>
      <c r="G1972" s="1058"/>
      <c r="H1972" s="9" t="str">
        <f>IF(A1972="","",VLOOKUP(A1972,AA_Equipos,7,FALSE))</f>
        <v/>
      </c>
      <c r="I1972" s="1059" t="str">
        <f>IF(A1972="","",VLOOKUP(A1972,AA_Equipos,8,FALSE))</f>
        <v/>
      </c>
      <c r="J1972" s="1058"/>
      <c r="K1972" s="1070"/>
      <c r="L1972" s="1058"/>
      <c r="M1972" s="1059" t="str">
        <f>IF(A1972="","",I1972*K1972)</f>
        <v/>
      </c>
      <c r="N1972" s="1058"/>
    </row>
    <row r="1973" spans="1:14" ht="12.75" customHeight="1" x14ac:dyDescent="0.2">
      <c r="A1973" s="1061"/>
      <c r="B1973" s="1057"/>
      <c r="C1973" s="1057"/>
      <c r="D1973" s="1057"/>
      <c r="E1973" s="1057"/>
      <c r="F1973" s="1057"/>
      <c r="G1973" s="1058"/>
      <c r="H1973" s="9" t="str">
        <f>IF(A1973="","",VLOOKUP(A1973,AA_Equipos,7,FALSE))</f>
        <v/>
      </c>
      <c r="I1973" s="1059" t="str">
        <f>IF(A1973="","",VLOOKUP(A1973,AA_Equipos,8,FALSE))</f>
        <v/>
      </c>
      <c r="J1973" s="1058"/>
      <c r="K1973" s="1060"/>
      <c r="L1973" s="1058"/>
      <c r="M1973" s="1059" t="str">
        <f>IF(A1973="","",I1973*K1973)</f>
        <v/>
      </c>
      <c r="N1973" s="1058"/>
    </row>
    <row r="1974" spans="1:14" ht="12.75" customHeight="1" x14ac:dyDescent="0.2">
      <c r="A1974" s="1061"/>
      <c r="B1974" s="1057"/>
      <c r="C1974" s="1057"/>
      <c r="D1974" s="1057"/>
      <c r="E1974" s="1057"/>
      <c r="F1974" s="1057"/>
      <c r="G1974" s="1058"/>
      <c r="H1974" s="9" t="str">
        <f>IF(A1974="","",VLOOKUP(A1974,AA_Equipos,7,FALSE))</f>
        <v/>
      </c>
      <c r="I1974" s="1059" t="str">
        <f>IF(A1974="","",VLOOKUP(A1974,AA_Equipos,8,FALSE))</f>
        <v/>
      </c>
      <c r="J1974" s="1058"/>
      <c r="K1974" s="1060"/>
      <c r="L1974" s="1058"/>
      <c r="M1974" s="1059" t="str">
        <f>IF(A1974="","",I1974*K1974)</f>
        <v/>
      </c>
      <c r="N1974" s="1058"/>
    </row>
    <row r="1975" spans="1:14" ht="12.75" customHeight="1" x14ac:dyDescent="0.25">
      <c r="A1975" s="3"/>
      <c r="B1975" s="3"/>
      <c r="C1975" s="3"/>
      <c r="D1975" s="3"/>
      <c r="E1975" s="3"/>
      <c r="F1975" s="3"/>
      <c r="G1975" s="3"/>
      <c r="H1975" s="3"/>
      <c r="I1975" s="3"/>
      <c r="J1975" s="3"/>
      <c r="K1975" s="1066" t="s">
        <v>201</v>
      </c>
      <c r="L1975" s="1058"/>
      <c r="M1975" s="1059">
        <f>SUM(M1970:N1974)</f>
        <v>9364.2271850692141</v>
      </c>
      <c r="N1975" s="1058"/>
    </row>
    <row r="1976" spans="1:14" ht="12.75" customHeight="1" x14ac:dyDescent="0.25">
      <c r="A1976" s="3"/>
      <c r="B1976" s="3"/>
      <c r="C1976" s="3"/>
      <c r="D1976" s="3"/>
      <c r="E1976" s="3"/>
      <c r="F1976" s="3"/>
      <c r="G1976" s="3"/>
      <c r="H1976" s="3"/>
      <c r="I1976" s="3"/>
      <c r="J1976" s="3"/>
      <c r="K1976" s="3"/>
      <c r="L1976" s="3"/>
      <c r="M1976" s="3"/>
      <c r="N1976" s="3"/>
    </row>
    <row r="1977" spans="1:14" ht="12.75" customHeight="1" x14ac:dyDescent="0.2">
      <c r="A1977" s="1065" t="s">
        <v>392</v>
      </c>
      <c r="B1977" s="1057"/>
      <c r="C1977" s="1057"/>
      <c r="D1977" s="1057"/>
      <c r="E1977" s="1057"/>
      <c r="F1977" s="1057"/>
      <c r="G1977" s="1057"/>
      <c r="H1977" s="1057"/>
      <c r="I1977" s="1057"/>
      <c r="J1977" s="1057"/>
      <c r="K1977" s="1057"/>
      <c r="L1977" s="1057"/>
      <c r="M1977" s="1057"/>
      <c r="N1977" s="1058"/>
    </row>
    <row r="1978" spans="1:14" ht="12.75" customHeight="1" x14ac:dyDescent="0.2">
      <c r="A1978" s="1066" t="s">
        <v>38</v>
      </c>
      <c r="B1978" s="1057"/>
      <c r="C1978" s="1057"/>
      <c r="D1978" s="1057"/>
      <c r="E1978" s="1057"/>
      <c r="F1978" s="1057"/>
      <c r="G1978" s="1058"/>
      <c r="H1978" s="28" t="s">
        <v>39</v>
      </c>
      <c r="I1978" s="1062" t="s">
        <v>385</v>
      </c>
      <c r="J1978" s="1058"/>
      <c r="K1978" s="1062" t="s">
        <v>132</v>
      </c>
      <c r="L1978" s="1058"/>
      <c r="M1978" s="1062" t="s">
        <v>386</v>
      </c>
      <c r="N1978" s="1058"/>
    </row>
    <row r="1979" spans="1:14" ht="12.75" customHeight="1" x14ac:dyDescent="0.2">
      <c r="A1979" s="1061"/>
      <c r="B1979" s="1057"/>
      <c r="C1979" s="1057"/>
      <c r="D1979" s="1057"/>
      <c r="E1979" s="1057"/>
      <c r="F1979" s="1057"/>
      <c r="G1979" s="1058"/>
      <c r="H1979" s="9"/>
      <c r="I1979" s="1059"/>
      <c r="J1979" s="1058"/>
      <c r="K1979" s="1060"/>
      <c r="L1979" s="1058"/>
      <c r="M1979" s="1059" t="str">
        <f>IF(A1979="","",I1979*K1979)</f>
        <v/>
      </c>
      <c r="N1979" s="1058"/>
    </row>
    <row r="1980" spans="1:14" ht="12.75" customHeight="1" x14ac:dyDescent="0.2">
      <c r="A1980" s="1056"/>
      <c r="B1980" s="1057"/>
      <c r="C1980" s="1057"/>
      <c r="D1980" s="1057"/>
      <c r="E1980" s="1057"/>
      <c r="F1980" s="1057"/>
      <c r="G1980" s="1058"/>
      <c r="H1980" s="9"/>
      <c r="I1980" s="1059"/>
      <c r="J1980" s="1058"/>
      <c r="K1980" s="1064"/>
      <c r="L1980" s="1058"/>
      <c r="M1980" s="1059" t="str">
        <f>IF(A1980="","",I1980*K1980)</f>
        <v/>
      </c>
      <c r="N1980" s="1058"/>
    </row>
    <row r="1981" spans="1:14" ht="12.75" customHeight="1" x14ac:dyDescent="0.2">
      <c r="A1981" s="1061"/>
      <c r="B1981" s="1057"/>
      <c r="C1981" s="1057"/>
      <c r="D1981" s="1057"/>
      <c r="E1981" s="1057"/>
      <c r="F1981" s="1057"/>
      <c r="G1981" s="1058"/>
      <c r="H1981" s="9"/>
      <c r="I1981" s="1059"/>
      <c r="J1981" s="1058"/>
      <c r="K1981" s="1060"/>
      <c r="L1981" s="1058"/>
      <c r="M1981" s="1059" t="str">
        <f>IF(A1981="","",I1981*K1981)</f>
        <v/>
      </c>
      <c r="N1981" s="1058"/>
    </row>
    <row r="1982" spans="1:14" ht="12.75" customHeight="1" x14ac:dyDescent="0.2">
      <c r="A1982" s="1061"/>
      <c r="B1982" s="1057"/>
      <c r="C1982" s="1057"/>
      <c r="D1982" s="1057"/>
      <c r="E1982" s="1057"/>
      <c r="F1982" s="1057"/>
      <c r="G1982" s="1058"/>
      <c r="H1982" s="9"/>
      <c r="I1982" s="1059"/>
      <c r="J1982" s="1058"/>
      <c r="K1982" s="1060"/>
      <c r="L1982" s="1058"/>
      <c r="M1982" s="1059" t="str">
        <f>IF(A1982="","",I1982*K1982)</f>
        <v/>
      </c>
      <c r="N1982" s="1058"/>
    </row>
    <row r="1983" spans="1:14" ht="12.75" customHeight="1" x14ac:dyDescent="0.2">
      <c r="A1983" s="1061"/>
      <c r="B1983" s="1057"/>
      <c r="C1983" s="1057"/>
      <c r="D1983" s="1057"/>
      <c r="E1983" s="1057"/>
      <c r="F1983" s="1057"/>
      <c r="G1983" s="1058"/>
      <c r="H1983" s="9"/>
      <c r="I1983" s="1059"/>
      <c r="J1983" s="1058"/>
      <c r="K1983" s="1060"/>
      <c r="L1983" s="1058"/>
      <c r="M1983" s="1059" t="str">
        <f>IF(A1983="","",I1983*K1983)</f>
        <v/>
      </c>
      <c r="N1983" s="1058"/>
    </row>
    <row r="1984" spans="1:14" ht="12.75" customHeight="1" x14ac:dyDescent="0.25">
      <c r="A1984" s="3"/>
      <c r="B1984" s="3"/>
      <c r="C1984" s="3"/>
      <c r="D1984" s="3"/>
      <c r="E1984" s="3"/>
      <c r="F1984" s="3"/>
      <c r="G1984" s="3"/>
      <c r="H1984" s="3"/>
      <c r="I1984" s="3"/>
      <c r="J1984" s="3"/>
      <c r="K1984" s="1066" t="s">
        <v>201</v>
      </c>
      <c r="L1984" s="1058"/>
      <c r="M1984" s="1059">
        <f>SUM(M1979:N1983)</f>
        <v>0</v>
      </c>
      <c r="N1984" s="1058"/>
    </row>
    <row r="1985" spans="1:15" ht="12.75" customHeight="1" x14ac:dyDescent="0.25">
      <c r="A1985" s="3"/>
      <c r="B1985" s="3"/>
      <c r="C1985" s="3"/>
      <c r="D1985" s="3"/>
      <c r="E1985" s="3"/>
      <c r="F1985" s="3"/>
      <c r="G1985" s="3"/>
      <c r="H1985" s="3"/>
      <c r="I1985" s="3"/>
      <c r="J1985" s="3"/>
      <c r="K1985" s="3"/>
      <c r="L1985" s="3"/>
      <c r="M1985" s="3"/>
      <c r="N1985" s="3"/>
    </row>
    <row r="1986" spans="1:15" ht="12.75" customHeight="1" x14ac:dyDescent="0.2">
      <c r="A1986" s="1065" t="s">
        <v>394</v>
      </c>
      <c r="B1986" s="1057"/>
      <c r="C1986" s="1057"/>
      <c r="D1986" s="1057"/>
      <c r="E1986" s="1057"/>
      <c r="F1986" s="1057"/>
      <c r="G1986" s="1057"/>
      <c r="H1986" s="1057"/>
      <c r="I1986" s="1057"/>
      <c r="J1986" s="1057"/>
      <c r="K1986" s="1057"/>
      <c r="L1986" s="1057"/>
      <c r="M1986" s="1057"/>
      <c r="N1986" s="1058"/>
    </row>
    <row r="1987" spans="1:15" ht="12.75" customHeight="1" x14ac:dyDescent="0.2">
      <c r="A1987" s="1066" t="s">
        <v>38</v>
      </c>
      <c r="B1987" s="1057"/>
      <c r="C1987" s="1057"/>
      <c r="D1987" s="1057"/>
      <c r="E1987" s="1057"/>
      <c r="F1987" s="1057"/>
      <c r="G1987" s="1058"/>
      <c r="H1987" s="28" t="s">
        <v>39</v>
      </c>
      <c r="I1987" s="1062" t="s">
        <v>385</v>
      </c>
      <c r="J1987" s="1058"/>
      <c r="K1987" s="30" t="s">
        <v>193</v>
      </c>
      <c r="L1987" s="31" t="s">
        <v>395</v>
      </c>
      <c r="M1987" s="1062" t="s">
        <v>386</v>
      </c>
      <c r="N1987" s="1058"/>
    </row>
    <row r="1988" spans="1:15" ht="12.75" customHeight="1" x14ac:dyDescent="0.25">
      <c r="A1988" s="1063" t="s">
        <v>423</v>
      </c>
      <c r="B1988" s="1057"/>
      <c r="C1988" s="1057"/>
      <c r="D1988" s="1057"/>
      <c r="E1988" s="1057"/>
      <c r="F1988" s="1057"/>
      <c r="G1988" s="1058"/>
      <c r="H1988" s="9" t="str">
        <f>IF(A1988="","",VLOOKUP(A1988,AA_Cuadrillas,4,FALSE))</f>
        <v>Cuadrilla</v>
      </c>
      <c r="I1988" s="1059">
        <f>IF(A1988="","",VLOOKUP(A1988,AA_Cuadrillas,5,FALSE))</f>
        <v>134236</v>
      </c>
      <c r="J1988" s="1058"/>
      <c r="K1988" s="1">
        <f>IF(A1988="","",'06'!$J$3)</f>
        <v>1.7233500000000002</v>
      </c>
      <c r="L1988" s="32">
        <v>0.80957939512916588</v>
      </c>
      <c r="M1988" s="1059">
        <f>IF(A1988="","",I1988*K1988*L1988)</f>
        <v>187284.54370138427</v>
      </c>
      <c r="N1988" s="1058"/>
    </row>
    <row r="1989" spans="1:15" ht="12.75" customHeight="1" x14ac:dyDescent="0.25">
      <c r="A1989" s="1063"/>
      <c r="B1989" s="1057"/>
      <c r="C1989" s="1057"/>
      <c r="D1989" s="1057"/>
      <c r="E1989" s="1057"/>
      <c r="F1989" s="1057"/>
      <c r="G1989" s="1058"/>
      <c r="H1989" s="9" t="str">
        <f>IF(A1989="","",VLOOKUP(A1989,AA_Cuadrillas,4,FALSE))</f>
        <v/>
      </c>
      <c r="I1989" s="1059" t="str">
        <f>IF(A1989="","",VLOOKUP(A1989,AA_Cuadrillas,5,FALSE))</f>
        <v/>
      </c>
      <c r="J1989" s="1058"/>
      <c r="K1989" s="1" t="str">
        <f>IF(A1989="","",'06'!$J$3)</f>
        <v/>
      </c>
      <c r="L1989" s="1"/>
      <c r="M1989" s="1059" t="str">
        <f>IF(A1989="","",I1989*K1989*L1989)</f>
        <v/>
      </c>
      <c r="N1989" s="1058"/>
    </row>
    <row r="1990" spans="1:15" ht="12.75" customHeight="1" x14ac:dyDescent="0.25">
      <c r="A1990" s="1063"/>
      <c r="B1990" s="1057"/>
      <c r="C1990" s="1057"/>
      <c r="D1990" s="1057"/>
      <c r="E1990" s="1057"/>
      <c r="F1990" s="1057"/>
      <c r="G1990" s="1058"/>
      <c r="H1990" s="9" t="str">
        <f>IF(A1990="","",VLOOKUP(A1990,AA_Cuadrillas,4,FALSE))</f>
        <v/>
      </c>
      <c r="I1990" s="1059" t="str">
        <f>IF(A1990="","",VLOOKUP(A1990,AA_Cuadrillas,5,FALSE))</f>
        <v/>
      </c>
      <c r="J1990" s="1058"/>
      <c r="K1990" s="1" t="str">
        <f>IF(A1990="","",'06'!$J$3)</f>
        <v/>
      </c>
      <c r="L1990" s="10"/>
      <c r="M1990" s="1059" t="str">
        <f>IF(A1990="","",I1990*K1990*L1990)</f>
        <v/>
      </c>
      <c r="N1990" s="1058"/>
    </row>
    <row r="1991" spans="1:15" ht="12.75" customHeight="1" x14ac:dyDescent="0.25">
      <c r="A1991" s="1063"/>
      <c r="B1991" s="1057"/>
      <c r="C1991" s="1057"/>
      <c r="D1991" s="1057"/>
      <c r="E1991" s="1057"/>
      <c r="F1991" s="1057"/>
      <c r="G1991" s="1058"/>
      <c r="H1991" s="9" t="str">
        <f>IF(A1991="","",VLOOKUP(A1991,AA_Cuadrillas,4,FALSE))</f>
        <v/>
      </c>
      <c r="I1991" s="1059" t="str">
        <f>IF(A1991="","",VLOOKUP(A1991,AA_Cuadrillas,5,FALSE))</f>
        <v/>
      </c>
      <c r="J1991" s="1058"/>
      <c r="K1991" s="1" t="str">
        <f>IF(A1991="","",'06'!$J$3)</f>
        <v/>
      </c>
      <c r="L1991" s="10"/>
      <c r="M1991" s="1059" t="str">
        <f>IF(A1991="","",I1991*K1991*L1991)</f>
        <v/>
      </c>
      <c r="N1991" s="1058"/>
    </row>
    <row r="1992" spans="1:15" ht="12.75" customHeight="1" x14ac:dyDescent="0.25">
      <c r="A1992" s="1063"/>
      <c r="B1992" s="1057"/>
      <c r="C1992" s="1057"/>
      <c r="D1992" s="1057"/>
      <c r="E1992" s="1057"/>
      <c r="F1992" s="1057"/>
      <c r="G1992" s="1058"/>
      <c r="H1992" s="9" t="str">
        <f>IF(A1992="","",VLOOKUP(A1992,AA_Cuadrillas,4,FALSE))</f>
        <v/>
      </c>
      <c r="I1992" s="1059" t="str">
        <f>IF(A1992="","",VLOOKUP(A1992,AA_Cuadrillas,5,FALSE))</f>
        <v/>
      </c>
      <c r="J1992" s="1058"/>
      <c r="K1992" s="1" t="str">
        <f>IF(A1992="","",'06'!$J$3)</f>
        <v/>
      </c>
      <c r="L1992" s="10"/>
      <c r="M1992" s="1059" t="str">
        <f>IF(A1992="","",I1992*K1992*L1992)</f>
        <v/>
      </c>
      <c r="N1992" s="1058"/>
    </row>
    <row r="1993" spans="1:15" ht="12.75" customHeight="1" x14ac:dyDescent="0.25">
      <c r="A1993" s="3"/>
      <c r="B1993" s="3"/>
      <c r="C1993" s="3"/>
      <c r="D1993" s="3"/>
      <c r="E1993" s="3"/>
      <c r="F1993" s="3"/>
      <c r="G1993" s="3"/>
      <c r="H1993" s="3"/>
      <c r="I1993" s="3"/>
      <c r="J1993" s="3"/>
      <c r="K1993" s="1066" t="s">
        <v>201</v>
      </c>
      <c r="L1993" s="1058"/>
      <c r="M1993" s="1059">
        <f>SUM(M1988:N1992)</f>
        <v>187284.54370138427</v>
      </c>
      <c r="N1993" s="1058"/>
    </row>
    <row r="1994" spans="1:15" ht="12.75" customHeight="1" x14ac:dyDescent="0.2"/>
    <row r="1995" spans="1:15" ht="12.75" customHeight="1" x14ac:dyDescent="0.2">
      <c r="A1995" s="1072" t="s">
        <v>1712</v>
      </c>
      <c r="B1995" s="1052"/>
      <c r="C1995" s="1052"/>
      <c r="D1995" s="1052"/>
      <c r="E1995" s="1052"/>
      <c r="F1995" s="1052"/>
      <c r="G1995" s="1052"/>
      <c r="H1995" s="1052"/>
      <c r="I1995" s="1052"/>
      <c r="J1995" s="1052"/>
      <c r="K1995" s="1052"/>
      <c r="L1995" s="1052"/>
      <c r="M1995" s="1052"/>
      <c r="N1995" s="1053"/>
      <c r="O1995" s="7"/>
    </row>
    <row r="1996" spans="1:15" ht="12.75" customHeight="1" x14ac:dyDescent="0.2">
      <c r="A1996" s="1031"/>
      <c r="B1996" s="1032"/>
      <c r="C1996" s="1032"/>
      <c r="D1996" s="1032"/>
      <c r="E1996" s="1032"/>
      <c r="F1996" s="1032"/>
      <c r="G1996" s="1032"/>
      <c r="H1996" s="1032"/>
      <c r="I1996" s="1032"/>
      <c r="J1996" s="1032"/>
      <c r="K1996" s="1032"/>
      <c r="L1996" s="1032"/>
      <c r="M1996" s="1032"/>
      <c r="N1996" s="1055"/>
      <c r="O1996" s="7"/>
    </row>
    <row r="1997" spans="1:15" ht="12.75" customHeight="1" x14ac:dyDescent="0.2">
      <c r="A1997" s="16"/>
      <c r="B1997" s="16"/>
      <c r="C1997" s="16"/>
      <c r="D1997" s="16"/>
      <c r="E1997" s="16"/>
      <c r="F1997" s="16"/>
      <c r="G1997" s="16"/>
      <c r="H1997" s="16"/>
      <c r="I1997" s="16"/>
      <c r="J1997" s="16"/>
      <c r="K1997" s="16"/>
      <c r="L1997" s="16"/>
      <c r="M1997" s="16"/>
      <c r="N1997" s="16"/>
    </row>
    <row r="1998" spans="1:15" ht="12.75" customHeight="1" x14ac:dyDescent="0.3">
      <c r="A1998" s="18" t="s">
        <v>337</v>
      </c>
      <c r="B1998" s="19" t="str">
        <f>A1995</f>
        <v>VÁLVULA AQT COMPUERTA ELÁSTICA BRIDADA DE 10" (INCLUYE INSTALACIÓN Y SUMINISTRO)</v>
      </c>
      <c r="C1998" s="20" t="s">
        <v>382</v>
      </c>
      <c r="D1998" s="21" t="s">
        <v>424</v>
      </c>
      <c r="E1998" s="22" t="s">
        <v>125</v>
      </c>
      <c r="F1998" s="26">
        <f>(H1998+J1998+L1998+N1998)*$O$2</f>
        <v>9204797.1907125004</v>
      </c>
      <c r="G1998" s="22" t="s">
        <v>285</v>
      </c>
      <c r="H1998" s="26">
        <f>M2026</f>
        <v>0</v>
      </c>
      <c r="I1998" s="22" t="s">
        <v>383</v>
      </c>
      <c r="J1998" s="38">
        <f>M2008</f>
        <v>6522390</v>
      </c>
      <c r="K1998" s="22" t="s">
        <v>287</v>
      </c>
      <c r="L1998" s="26">
        <f>M2026</f>
        <v>0</v>
      </c>
      <c r="M1998" s="22" t="s">
        <v>288</v>
      </c>
      <c r="N1998" s="36">
        <f>M2035</f>
        <v>558223.2236250001</v>
      </c>
    </row>
    <row r="1999" spans="1:15" ht="12.75" customHeight="1" x14ac:dyDescent="0.25">
      <c r="A1999" s="27"/>
      <c r="B1999" s="27"/>
      <c r="C1999" s="27"/>
      <c r="D1999" s="27"/>
      <c r="E1999" s="27"/>
      <c r="F1999" s="27"/>
      <c r="G1999" s="27"/>
      <c r="J1999" s="27"/>
      <c r="K1999" s="27"/>
      <c r="L1999" s="27"/>
      <c r="M1999" s="27"/>
      <c r="N1999" s="27"/>
    </row>
    <row r="2000" spans="1:15" ht="12.75" customHeight="1" x14ac:dyDescent="0.2">
      <c r="A2000" s="1065" t="s">
        <v>384</v>
      </c>
      <c r="B2000" s="1057"/>
      <c r="C2000" s="1057"/>
      <c r="D2000" s="1057"/>
      <c r="E2000" s="1057"/>
      <c r="F2000" s="1057"/>
      <c r="G2000" s="1057"/>
      <c r="H2000" s="1057"/>
      <c r="I2000" s="1057"/>
      <c r="J2000" s="1057"/>
      <c r="K2000" s="1057"/>
      <c r="L2000" s="1057"/>
      <c r="M2000" s="1057"/>
      <c r="N2000" s="1058"/>
    </row>
    <row r="2001" spans="1:14" ht="12.75" customHeight="1" x14ac:dyDescent="0.2">
      <c r="A2001" s="1066" t="s">
        <v>38</v>
      </c>
      <c r="B2001" s="1057"/>
      <c r="C2001" s="1057"/>
      <c r="D2001" s="1057"/>
      <c r="E2001" s="1057"/>
      <c r="F2001" s="1057"/>
      <c r="G2001" s="1058"/>
      <c r="H2001" s="28" t="s">
        <v>39</v>
      </c>
      <c r="I2001" s="1062" t="s">
        <v>385</v>
      </c>
      <c r="J2001" s="1058"/>
      <c r="K2001" s="1062" t="s">
        <v>132</v>
      </c>
      <c r="L2001" s="1058"/>
      <c r="M2001" s="1062" t="s">
        <v>386</v>
      </c>
      <c r="N2001" s="1058"/>
    </row>
    <row r="2002" spans="1:14" ht="12.75" customHeight="1" x14ac:dyDescent="0.2">
      <c r="A2002" s="1061" t="s">
        <v>1551</v>
      </c>
      <c r="B2002" s="1057"/>
      <c r="C2002" s="1057"/>
      <c r="D2002" s="1057"/>
      <c r="E2002" s="1057"/>
      <c r="F2002" s="1057"/>
      <c r="G2002" s="1058"/>
      <c r="H2002" s="9" t="str">
        <f t="shared" ref="H2002:H2007" si="131">IF(A2002="","",VLOOKUP(A2002,AA_Materiales,7,FALSE))</f>
        <v>Unidad</v>
      </c>
      <c r="I2002" s="1059">
        <f t="shared" ref="I2002:I2007" si="132">IF(A2002="","",VLOOKUP(A2002,AA_Materiales,8,FALSE))</f>
        <v>6522390</v>
      </c>
      <c r="J2002" s="1058"/>
      <c r="K2002" s="1060">
        <v>1</v>
      </c>
      <c r="L2002" s="1058"/>
      <c r="M2002" s="1059">
        <f>IF(A2002="","",I2002*K2002)</f>
        <v>6522390</v>
      </c>
      <c r="N2002" s="1058"/>
    </row>
    <row r="2003" spans="1:14" ht="12.75" customHeight="1" x14ac:dyDescent="0.2">
      <c r="A2003" s="1061"/>
      <c r="B2003" s="1057"/>
      <c r="C2003" s="1057"/>
      <c r="D2003" s="1057"/>
      <c r="E2003" s="1057"/>
      <c r="F2003" s="1057"/>
      <c r="G2003" s="1058"/>
      <c r="H2003" s="9" t="str">
        <f t="shared" si="131"/>
        <v/>
      </c>
      <c r="I2003" s="1059" t="str">
        <f t="shared" si="132"/>
        <v/>
      </c>
      <c r="J2003" s="1058"/>
      <c r="K2003" s="1070"/>
      <c r="L2003" s="1058"/>
      <c r="M2003" s="1059" t="str">
        <f>IF(A2003="","",I2003*K2003)</f>
        <v/>
      </c>
      <c r="N2003" s="1058"/>
    </row>
    <row r="2004" spans="1:14" ht="13.5" x14ac:dyDescent="0.2">
      <c r="A2004" s="1061"/>
      <c r="B2004" s="1057"/>
      <c r="C2004" s="1057"/>
      <c r="D2004" s="1057"/>
      <c r="E2004" s="1057"/>
      <c r="F2004" s="1057"/>
      <c r="G2004" s="1058"/>
      <c r="H2004" s="9" t="str">
        <f t="shared" si="131"/>
        <v/>
      </c>
      <c r="I2004" s="1059" t="str">
        <f t="shared" si="132"/>
        <v/>
      </c>
      <c r="J2004" s="1058"/>
      <c r="K2004" s="1060"/>
      <c r="L2004" s="1058"/>
      <c r="M2004" s="1059" t="str">
        <f t="shared" ref="M2004:M2005" si="133">IF(A2004="","",I2004*K2004)</f>
        <v/>
      </c>
      <c r="N2004" s="1058"/>
    </row>
    <row r="2005" spans="1:14" ht="12.75" customHeight="1" x14ac:dyDescent="0.2">
      <c r="A2005" s="1061"/>
      <c r="B2005" s="1057"/>
      <c r="C2005" s="1057"/>
      <c r="D2005" s="1057"/>
      <c r="E2005" s="1057"/>
      <c r="F2005" s="1057"/>
      <c r="G2005" s="1058"/>
      <c r="H2005" s="9" t="str">
        <f t="shared" si="131"/>
        <v/>
      </c>
      <c r="I2005" s="1059" t="str">
        <f t="shared" si="132"/>
        <v/>
      </c>
      <c r="J2005" s="1058"/>
      <c r="K2005" s="1060"/>
      <c r="L2005" s="1058"/>
      <c r="M2005" s="1059" t="str">
        <f t="shared" si="133"/>
        <v/>
      </c>
      <c r="N2005" s="1058"/>
    </row>
    <row r="2006" spans="1:14" ht="12.75" customHeight="1" x14ac:dyDescent="0.2">
      <c r="A2006" s="1061"/>
      <c r="B2006" s="1057"/>
      <c r="C2006" s="1057"/>
      <c r="D2006" s="1057"/>
      <c r="E2006" s="1057"/>
      <c r="F2006" s="1057"/>
      <c r="G2006" s="1058"/>
      <c r="H2006" s="9" t="str">
        <f t="shared" si="131"/>
        <v/>
      </c>
      <c r="I2006" s="1059" t="str">
        <f t="shared" si="132"/>
        <v/>
      </c>
      <c r="J2006" s="1058"/>
      <c r="K2006" s="1060"/>
      <c r="L2006" s="1058"/>
      <c r="M2006" s="1059" t="str">
        <f t="shared" ref="M2006:M2007" si="134">IF(A2006="","",I2006*K2006)</f>
        <v/>
      </c>
      <c r="N2006" s="1058"/>
    </row>
    <row r="2007" spans="1:14" ht="12.75" customHeight="1" x14ac:dyDescent="0.2">
      <c r="A2007" s="1061"/>
      <c r="B2007" s="1057"/>
      <c r="C2007" s="1057"/>
      <c r="D2007" s="1057"/>
      <c r="E2007" s="1057"/>
      <c r="F2007" s="1057"/>
      <c r="G2007" s="1058"/>
      <c r="H2007" s="9" t="str">
        <f t="shared" si="131"/>
        <v/>
      </c>
      <c r="I2007" s="1059" t="str">
        <f t="shared" si="132"/>
        <v/>
      </c>
      <c r="J2007" s="1058"/>
      <c r="K2007" s="1060"/>
      <c r="L2007" s="1058"/>
      <c r="M2007" s="1059" t="str">
        <f t="shared" si="134"/>
        <v/>
      </c>
      <c r="N2007" s="1058"/>
    </row>
    <row r="2008" spans="1:14" ht="12.75" customHeight="1" x14ac:dyDescent="0.25">
      <c r="A2008" s="3"/>
      <c r="B2008" s="3"/>
      <c r="C2008" s="3"/>
      <c r="D2008" s="3"/>
      <c r="E2008" s="3"/>
      <c r="F2008" s="3"/>
      <c r="G2008" s="3"/>
      <c r="H2008" s="3"/>
      <c r="I2008" s="3"/>
      <c r="J2008" s="3"/>
      <c r="K2008" s="1066" t="s">
        <v>201</v>
      </c>
      <c r="L2008" s="1058"/>
      <c r="M2008" s="1059">
        <f>SUM(M2002:N2007)</f>
        <v>6522390</v>
      </c>
      <c r="N2008" s="1058"/>
    </row>
    <row r="2009" spans="1:14" ht="12.75" customHeight="1" x14ac:dyDescent="0.2">
      <c r="A2009" s="39"/>
    </row>
    <row r="2010" spans="1:14" ht="12.75" customHeight="1" x14ac:dyDescent="0.2">
      <c r="A2010" s="1065" t="s">
        <v>390</v>
      </c>
      <c r="B2010" s="1057"/>
      <c r="C2010" s="1057"/>
      <c r="D2010" s="1057"/>
      <c r="E2010" s="1057"/>
      <c r="F2010" s="1057"/>
      <c r="G2010" s="1057"/>
      <c r="H2010" s="1057"/>
      <c r="I2010" s="1057"/>
      <c r="J2010" s="1057"/>
      <c r="K2010" s="1057"/>
      <c r="L2010" s="1057"/>
      <c r="M2010" s="1057"/>
      <c r="N2010" s="1058"/>
    </row>
    <row r="2011" spans="1:14" ht="12.75" customHeight="1" x14ac:dyDescent="0.2">
      <c r="A2011" s="1066" t="s">
        <v>38</v>
      </c>
      <c r="B2011" s="1057"/>
      <c r="C2011" s="1057"/>
      <c r="D2011" s="1057"/>
      <c r="E2011" s="1057"/>
      <c r="F2011" s="1057"/>
      <c r="G2011" s="1058"/>
      <c r="H2011" s="28" t="s">
        <v>39</v>
      </c>
      <c r="I2011" s="1062" t="s">
        <v>385</v>
      </c>
      <c r="J2011" s="1058"/>
      <c r="K2011" s="1062" t="s">
        <v>132</v>
      </c>
      <c r="L2011" s="1058"/>
      <c r="M2011" s="1062" t="s">
        <v>386</v>
      </c>
      <c r="N2011" s="1058"/>
    </row>
    <row r="2012" spans="1:14" ht="12.75" customHeight="1" x14ac:dyDescent="0.2">
      <c r="A2012" s="1061" t="s">
        <v>391</v>
      </c>
      <c r="B2012" s="1057"/>
      <c r="C2012" s="1057"/>
      <c r="D2012" s="1057"/>
      <c r="E2012" s="1057"/>
      <c r="F2012" s="1057"/>
      <c r="G2012" s="1058"/>
      <c r="H2012" s="9" t="str">
        <f>IF(A2012="","",VLOOKUP(A2012,AA_Equipos,7,FALSE))</f>
        <v>% M.O.</v>
      </c>
      <c r="I2012" s="1059">
        <f>+M2035</f>
        <v>558223.2236250001</v>
      </c>
      <c r="J2012" s="1058"/>
      <c r="K2012" s="1064">
        <v>0.05</v>
      </c>
      <c r="L2012" s="1058"/>
      <c r="M2012" s="1059">
        <f>IF(A2012="","",I2012*K2012)</f>
        <v>27911.161181250005</v>
      </c>
      <c r="N2012" s="1058"/>
    </row>
    <row r="2013" spans="1:14" ht="12.75" customHeight="1" x14ac:dyDescent="0.2">
      <c r="A2013" s="1056"/>
      <c r="B2013" s="1057"/>
      <c r="C2013" s="1057"/>
      <c r="D2013" s="1057"/>
      <c r="E2013" s="1057"/>
      <c r="F2013" s="1057"/>
      <c r="G2013" s="1058"/>
      <c r="H2013" s="9" t="str">
        <f>IF(A2013="","",VLOOKUP(A2013,AA_Equipos,7,FALSE))</f>
        <v/>
      </c>
      <c r="I2013" s="1059" t="str">
        <f>IF(A2013="","",VLOOKUP(A2013,AA_Equipos,8,FALSE))</f>
        <v/>
      </c>
      <c r="J2013" s="1058"/>
      <c r="K2013" s="1067"/>
      <c r="L2013" s="1058"/>
      <c r="M2013" s="1059" t="str">
        <f>IF(A2013="","",I2013*K2013)</f>
        <v/>
      </c>
      <c r="N2013" s="1058"/>
    </row>
    <row r="2014" spans="1:14" ht="12.75" customHeight="1" x14ac:dyDescent="0.2">
      <c r="A2014" s="1061"/>
      <c r="B2014" s="1057"/>
      <c r="C2014" s="1057"/>
      <c r="D2014" s="1057"/>
      <c r="E2014" s="1057"/>
      <c r="F2014" s="1057"/>
      <c r="G2014" s="1058"/>
      <c r="H2014" s="9" t="str">
        <f>IF(A2014="","",VLOOKUP(A2014,AA_Equipos,7,FALSE))</f>
        <v/>
      </c>
      <c r="I2014" s="1059" t="str">
        <f>IF(A2014="","",VLOOKUP(A2014,AA_Equipos,8,FALSE))</f>
        <v/>
      </c>
      <c r="J2014" s="1058"/>
      <c r="K2014" s="1070"/>
      <c r="L2014" s="1058"/>
      <c r="M2014" s="1059" t="str">
        <f>IF(A2014="","",I2014*K2014)</f>
        <v/>
      </c>
      <c r="N2014" s="1058"/>
    </row>
    <row r="2015" spans="1:14" ht="12.75" customHeight="1" x14ac:dyDescent="0.2">
      <c r="A2015" s="1061"/>
      <c r="B2015" s="1057"/>
      <c r="C2015" s="1057"/>
      <c r="D2015" s="1057"/>
      <c r="E2015" s="1057"/>
      <c r="F2015" s="1057"/>
      <c r="G2015" s="1058"/>
      <c r="H2015" s="9" t="str">
        <f>IF(A2015="","",VLOOKUP(A2015,AA_Equipos,7,FALSE))</f>
        <v/>
      </c>
      <c r="I2015" s="1059" t="str">
        <f>IF(A2015="","",VLOOKUP(A2015,AA_Equipos,8,FALSE))</f>
        <v/>
      </c>
      <c r="J2015" s="1058"/>
      <c r="K2015" s="1060"/>
      <c r="L2015" s="1058"/>
      <c r="M2015" s="1059" t="str">
        <f>IF(A2015="","",I2015*K2015)</f>
        <v/>
      </c>
      <c r="N2015" s="1058"/>
    </row>
    <row r="2016" spans="1:14" ht="12.75" customHeight="1" x14ac:dyDescent="0.2">
      <c r="A2016" s="1061"/>
      <c r="B2016" s="1057"/>
      <c r="C2016" s="1057"/>
      <c r="D2016" s="1057"/>
      <c r="E2016" s="1057"/>
      <c r="F2016" s="1057"/>
      <c r="G2016" s="1058"/>
      <c r="H2016" s="9" t="str">
        <f>IF(A2016="","",VLOOKUP(A2016,AA_Equipos,7,FALSE))</f>
        <v/>
      </c>
      <c r="I2016" s="1059" t="str">
        <f>IF(A2016="","",VLOOKUP(A2016,AA_Equipos,8,FALSE))</f>
        <v/>
      </c>
      <c r="J2016" s="1058"/>
      <c r="K2016" s="1060"/>
      <c r="L2016" s="1058"/>
      <c r="M2016" s="1059" t="str">
        <f>IF(A2016="","",I2016*K2016)</f>
        <v/>
      </c>
      <c r="N2016" s="1058"/>
    </row>
    <row r="2017" spans="1:14" ht="12.75" customHeight="1" x14ac:dyDescent="0.25">
      <c r="A2017" s="3"/>
      <c r="B2017" s="3"/>
      <c r="C2017" s="3"/>
      <c r="D2017" s="3"/>
      <c r="E2017" s="3"/>
      <c r="F2017" s="3"/>
      <c r="G2017" s="3"/>
      <c r="H2017" s="3"/>
      <c r="I2017" s="3"/>
      <c r="J2017" s="3"/>
      <c r="K2017" s="1066" t="s">
        <v>201</v>
      </c>
      <c r="L2017" s="1058"/>
      <c r="M2017" s="1059">
        <f>SUM(M2012:N2016)</f>
        <v>27911.161181250005</v>
      </c>
      <c r="N2017" s="1058"/>
    </row>
    <row r="2018" spans="1:14" ht="12.75" customHeight="1" x14ac:dyDescent="0.25">
      <c r="A2018" s="3"/>
      <c r="B2018" s="3"/>
      <c r="C2018" s="3"/>
      <c r="D2018" s="3"/>
      <c r="E2018" s="3"/>
      <c r="F2018" s="3"/>
      <c r="G2018" s="3"/>
      <c r="H2018" s="3"/>
      <c r="I2018" s="3"/>
      <c r="J2018" s="3"/>
      <c r="K2018" s="3"/>
      <c r="L2018" s="3"/>
      <c r="M2018" s="3"/>
      <c r="N2018" s="3"/>
    </row>
    <row r="2019" spans="1:14" ht="12.75" customHeight="1" x14ac:dyDescent="0.2">
      <c r="A2019" s="1065" t="s">
        <v>392</v>
      </c>
      <c r="B2019" s="1057"/>
      <c r="C2019" s="1057"/>
      <c r="D2019" s="1057"/>
      <c r="E2019" s="1057"/>
      <c r="F2019" s="1057"/>
      <c r="G2019" s="1057"/>
      <c r="H2019" s="1057"/>
      <c r="I2019" s="1057"/>
      <c r="J2019" s="1057"/>
      <c r="K2019" s="1057"/>
      <c r="L2019" s="1057"/>
      <c r="M2019" s="1057"/>
      <c r="N2019" s="1058"/>
    </row>
    <row r="2020" spans="1:14" ht="12.75" customHeight="1" x14ac:dyDescent="0.2">
      <c r="A2020" s="1066" t="s">
        <v>38</v>
      </c>
      <c r="B2020" s="1057"/>
      <c r="C2020" s="1057"/>
      <c r="D2020" s="1057"/>
      <c r="E2020" s="1057"/>
      <c r="F2020" s="1057"/>
      <c r="G2020" s="1058"/>
      <c r="H2020" s="28" t="s">
        <v>39</v>
      </c>
      <c r="I2020" s="1062" t="s">
        <v>385</v>
      </c>
      <c r="J2020" s="1058"/>
      <c r="K2020" s="1062" t="s">
        <v>132</v>
      </c>
      <c r="L2020" s="1058"/>
      <c r="M2020" s="1062" t="s">
        <v>386</v>
      </c>
      <c r="N2020" s="1058"/>
    </row>
    <row r="2021" spans="1:14" ht="12.75" customHeight="1" x14ac:dyDescent="0.2">
      <c r="A2021" s="1061"/>
      <c r="B2021" s="1057"/>
      <c r="C2021" s="1057"/>
      <c r="D2021" s="1057"/>
      <c r="E2021" s="1057"/>
      <c r="F2021" s="1057"/>
      <c r="G2021" s="1058"/>
      <c r="H2021" s="9"/>
      <c r="I2021" s="1059"/>
      <c r="J2021" s="1058"/>
      <c r="K2021" s="1064"/>
      <c r="L2021" s="1058"/>
      <c r="M2021" s="1059" t="str">
        <f>IF(A2021="","",I2021*K2021)</f>
        <v/>
      </c>
      <c r="N2021" s="1058"/>
    </row>
    <row r="2022" spans="1:14" ht="12.75" customHeight="1" x14ac:dyDescent="0.2">
      <c r="A2022" s="1056"/>
      <c r="B2022" s="1057"/>
      <c r="C2022" s="1057"/>
      <c r="D2022" s="1057"/>
      <c r="E2022" s="1057"/>
      <c r="F2022" s="1057"/>
      <c r="G2022" s="1058"/>
      <c r="H2022" s="9"/>
      <c r="I2022" s="1059"/>
      <c r="J2022" s="1058"/>
      <c r="K2022" s="1081"/>
      <c r="L2022" s="1058"/>
      <c r="M2022" s="1059" t="str">
        <f>IF(A2022="","",I2022*K2022)</f>
        <v/>
      </c>
      <c r="N2022" s="1058"/>
    </row>
    <row r="2023" spans="1:14" ht="12.75" customHeight="1" x14ac:dyDescent="0.2">
      <c r="A2023" s="1061"/>
      <c r="B2023" s="1057"/>
      <c r="C2023" s="1057"/>
      <c r="D2023" s="1057"/>
      <c r="E2023" s="1057"/>
      <c r="F2023" s="1057"/>
      <c r="G2023" s="1058"/>
      <c r="H2023" s="9"/>
      <c r="I2023" s="1059"/>
      <c r="J2023" s="1058"/>
      <c r="K2023" s="1060"/>
      <c r="L2023" s="1058"/>
      <c r="M2023" s="1059" t="str">
        <f>IF(A2023="","",I2023*K2023)</f>
        <v/>
      </c>
      <c r="N2023" s="1058"/>
    </row>
    <row r="2024" spans="1:14" ht="12.75" customHeight="1" x14ac:dyDescent="0.2">
      <c r="A2024" s="1061"/>
      <c r="B2024" s="1057"/>
      <c r="C2024" s="1057"/>
      <c r="D2024" s="1057"/>
      <c r="E2024" s="1057"/>
      <c r="F2024" s="1057"/>
      <c r="G2024" s="1058"/>
      <c r="H2024" s="9"/>
      <c r="I2024" s="1059"/>
      <c r="J2024" s="1058"/>
      <c r="K2024" s="1060"/>
      <c r="L2024" s="1058"/>
      <c r="M2024" s="1059" t="str">
        <f>IF(A2024="","",I2024*K2024)</f>
        <v/>
      </c>
      <c r="N2024" s="1058"/>
    </row>
    <row r="2025" spans="1:14" ht="12.75" customHeight="1" x14ac:dyDescent="0.2">
      <c r="A2025" s="1061"/>
      <c r="B2025" s="1057"/>
      <c r="C2025" s="1057"/>
      <c r="D2025" s="1057"/>
      <c r="E2025" s="1057"/>
      <c r="F2025" s="1057"/>
      <c r="G2025" s="1058"/>
      <c r="H2025" s="9"/>
      <c r="I2025" s="1059"/>
      <c r="J2025" s="1058"/>
      <c r="K2025" s="1060"/>
      <c r="L2025" s="1058"/>
      <c r="M2025" s="1059" t="str">
        <f>IF(A2025="","",I2025*K2025)</f>
        <v/>
      </c>
      <c r="N2025" s="1058"/>
    </row>
    <row r="2026" spans="1:14" ht="12.75" customHeight="1" x14ac:dyDescent="0.25">
      <c r="A2026" s="3"/>
      <c r="B2026" s="3"/>
      <c r="C2026" s="3"/>
      <c r="D2026" s="3"/>
      <c r="E2026" s="3"/>
      <c r="F2026" s="3"/>
      <c r="G2026" s="3"/>
      <c r="H2026" s="3"/>
      <c r="I2026" s="3"/>
      <c r="J2026" s="3"/>
      <c r="K2026" s="1066" t="s">
        <v>201</v>
      </c>
      <c r="L2026" s="1058"/>
      <c r="M2026" s="1059">
        <f>SUM(M2021:N2025)</f>
        <v>0</v>
      </c>
      <c r="N2026" s="1058"/>
    </row>
    <row r="2027" spans="1:14" ht="12.75" customHeight="1" x14ac:dyDescent="0.25">
      <c r="A2027" s="3"/>
      <c r="B2027" s="3"/>
      <c r="C2027" s="3"/>
      <c r="D2027" s="3"/>
      <c r="E2027" s="3"/>
      <c r="F2027" s="3"/>
      <c r="G2027" s="3"/>
      <c r="H2027" s="3"/>
      <c r="I2027" s="3"/>
      <c r="J2027" s="3"/>
      <c r="K2027" s="33"/>
      <c r="L2027" s="34"/>
      <c r="M2027" s="29"/>
      <c r="N2027" s="35"/>
    </row>
    <row r="2028" spans="1:14" ht="12.75" customHeight="1" x14ac:dyDescent="0.2">
      <c r="A2028" s="1065" t="s">
        <v>394</v>
      </c>
      <c r="B2028" s="1057"/>
      <c r="C2028" s="1057"/>
      <c r="D2028" s="1057"/>
      <c r="E2028" s="1057"/>
      <c r="F2028" s="1057"/>
      <c r="G2028" s="1057"/>
      <c r="H2028" s="1057"/>
      <c r="I2028" s="1057"/>
      <c r="J2028" s="1057"/>
      <c r="K2028" s="1057"/>
      <c r="L2028" s="1057"/>
      <c r="M2028" s="1057"/>
      <c r="N2028" s="1058"/>
    </row>
    <row r="2029" spans="1:14" ht="12.75" customHeight="1" x14ac:dyDescent="0.2">
      <c r="A2029" s="1066" t="s">
        <v>38</v>
      </c>
      <c r="B2029" s="1057"/>
      <c r="C2029" s="1057"/>
      <c r="D2029" s="1057"/>
      <c r="E2029" s="1057"/>
      <c r="F2029" s="1057"/>
      <c r="G2029" s="1058"/>
      <c r="H2029" s="28" t="s">
        <v>39</v>
      </c>
      <c r="I2029" s="1062" t="s">
        <v>385</v>
      </c>
      <c r="J2029" s="1058"/>
      <c r="K2029" s="30" t="s">
        <v>193</v>
      </c>
      <c r="L2029" s="31" t="s">
        <v>395</v>
      </c>
      <c r="M2029" s="1062" t="s">
        <v>386</v>
      </c>
      <c r="N2029" s="1058"/>
    </row>
    <row r="2030" spans="1:14" ht="12.75" customHeight="1" x14ac:dyDescent="0.25">
      <c r="A2030" s="1063" t="s">
        <v>535</v>
      </c>
      <c r="B2030" s="1057"/>
      <c r="C2030" s="1057"/>
      <c r="D2030" s="1057"/>
      <c r="E2030" s="1057"/>
      <c r="F2030" s="1057"/>
      <c r="G2030" s="1058"/>
      <c r="H2030" s="9" t="str">
        <f>IF(A2030="","",VLOOKUP(A2030,AA_Cuadrillas,4,FALSE))</f>
        <v>Cuadrilla</v>
      </c>
      <c r="I2030" s="1059">
        <f>IF(A2030="","",VLOOKUP(A2030,AA_Cuadrillas,5,FALSE))</f>
        <v>647835</v>
      </c>
      <c r="J2030" s="1058"/>
      <c r="K2030" s="1">
        <f>IF(A2030="","",'06'!$J$3)</f>
        <v>1.7233500000000002</v>
      </c>
      <c r="L2030" s="32">
        <v>0.5</v>
      </c>
      <c r="M2030" s="1059">
        <f>IF(A2030="","",I2030*K2030*L2030)</f>
        <v>558223.2236250001</v>
      </c>
      <c r="N2030" s="1058"/>
    </row>
    <row r="2031" spans="1:14" ht="12.75" customHeight="1" x14ac:dyDescent="0.25">
      <c r="A2031" s="1063"/>
      <c r="B2031" s="1057"/>
      <c r="C2031" s="1057"/>
      <c r="D2031" s="1057"/>
      <c r="E2031" s="1057"/>
      <c r="F2031" s="1057"/>
      <c r="G2031" s="1058"/>
      <c r="H2031" s="9" t="str">
        <f>IF(A2031="","",VLOOKUP(A2031,AA_Cuadrillas,4,FALSE))</f>
        <v/>
      </c>
      <c r="I2031" s="1059" t="str">
        <f>IF(A2031="","",VLOOKUP(A2031,AA_Cuadrillas,5,FALSE))</f>
        <v/>
      </c>
      <c r="J2031" s="1058"/>
      <c r="K2031" s="1" t="str">
        <f>IF(A2031="","",'06'!$J$3)</f>
        <v/>
      </c>
      <c r="L2031" s="1"/>
      <c r="M2031" s="1059" t="str">
        <f>IF(A2031="","",I2031*K2031*L2031)</f>
        <v/>
      </c>
      <c r="N2031" s="1058"/>
    </row>
    <row r="2032" spans="1:14" ht="12.75" customHeight="1" x14ac:dyDescent="0.25">
      <c r="A2032" s="1063"/>
      <c r="B2032" s="1057"/>
      <c r="C2032" s="1057"/>
      <c r="D2032" s="1057"/>
      <c r="E2032" s="1057"/>
      <c r="F2032" s="1057"/>
      <c r="G2032" s="1058"/>
      <c r="H2032" s="9" t="str">
        <f>IF(A2032="","",VLOOKUP(A2032,AA_Cuadrillas,4,FALSE))</f>
        <v/>
      </c>
      <c r="I2032" s="1059" t="str">
        <f>IF(A2032="","",VLOOKUP(A2032,AA_Cuadrillas,5,FALSE))</f>
        <v/>
      </c>
      <c r="J2032" s="1058"/>
      <c r="K2032" s="1" t="str">
        <f>IF(A2032="","",'06'!$J$3)</f>
        <v/>
      </c>
      <c r="L2032" s="10"/>
      <c r="M2032" s="1059" t="str">
        <f>IF(A2032="","",I2032*K2032*L2032)</f>
        <v/>
      </c>
      <c r="N2032" s="1058"/>
    </row>
    <row r="2033" spans="1:15" ht="12.75" customHeight="1" x14ac:dyDescent="0.25">
      <c r="A2033" s="1063"/>
      <c r="B2033" s="1057"/>
      <c r="C2033" s="1057"/>
      <c r="D2033" s="1057"/>
      <c r="E2033" s="1057"/>
      <c r="F2033" s="1057"/>
      <c r="G2033" s="1058"/>
      <c r="H2033" s="9" t="str">
        <f>IF(A2033="","",VLOOKUP(A2033,AA_Cuadrillas,4,FALSE))</f>
        <v/>
      </c>
      <c r="I2033" s="1059" t="str">
        <f>IF(A2033="","",VLOOKUP(A2033,AA_Cuadrillas,5,FALSE))</f>
        <v/>
      </c>
      <c r="J2033" s="1058"/>
      <c r="K2033" s="1" t="str">
        <f>IF(A2033="","",'06'!$J$3)</f>
        <v/>
      </c>
      <c r="L2033" s="10"/>
      <c r="M2033" s="1059" t="str">
        <f>IF(A2033="","",I2033*K2033*L2033)</f>
        <v/>
      </c>
      <c r="N2033" s="1058"/>
    </row>
    <row r="2034" spans="1:15" ht="12.75" customHeight="1" x14ac:dyDescent="0.25">
      <c r="A2034" s="1063"/>
      <c r="B2034" s="1057"/>
      <c r="C2034" s="1057"/>
      <c r="D2034" s="1057"/>
      <c r="E2034" s="1057"/>
      <c r="F2034" s="1057"/>
      <c r="G2034" s="1058"/>
      <c r="H2034" s="9" t="str">
        <f>IF(A2034="","",VLOOKUP(A2034,AA_Cuadrillas,4,FALSE))</f>
        <v/>
      </c>
      <c r="I2034" s="1059" t="str">
        <f>IF(A2034="","",VLOOKUP(A2034,AA_Cuadrillas,5,FALSE))</f>
        <v/>
      </c>
      <c r="J2034" s="1058"/>
      <c r="K2034" s="1" t="str">
        <f>IF(A2034="","",'06'!$J$3)</f>
        <v/>
      </c>
      <c r="L2034" s="10"/>
      <c r="M2034" s="1059" t="str">
        <f>IF(A2034="","",I2034*K2034*L2034)</f>
        <v/>
      </c>
      <c r="N2034" s="1058"/>
    </row>
    <row r="2035" spans="1:15" ht="12.75" customHeight="1" x14ac:dyDescent="0.25">
      <c r="A2035" s="3"/>
      <c r="B2035" s="3"/>
      <c r="C2035" s="3"/>
      <c r="D2035" s="3"/>
      <c r="E2035" s="3"/>
      <c r="F2035" s="3"/>
      <c r="G2035" s="3"/>
      <c r="H2035" s="3"/>
      <c r="I2035" s="3"/>
      <c r="J2035" s="3"/>
      <c r="K2035" s="1066" t="s">
        <v>201</v>
      </c>
      <c r="L2035" s="1058"/>
      <c r="M2035" s="1059">
        <f>SUM(M2030:N2034)</f>
        <v>558223.2236250001</v>
      </c>
      <c r="N2035" s="1058"/>
    </row>
    <row r="2036" spans="1:15" ht="12.75" customHeight="1" x14ac:dyDescent="0.2"/>
    <row r="2037" spans="1:15" ht="12.75" customHeight="1" x14ac:dyDescent="0.2">
      <c r="A2037" s="1072" t="s">
        <v>1713</v>
      </c>
      <c r="B2037" s="1052"/>
      <c r="C2037" s="1052"/>
      <c r="D2037" s="1052"/>
      <c r="E2037" s="1052"/>
      <c r="F2037" s="1052"/>
      <c r="G2037" s="1052"/>
      <c r="H2037" s="1052"/>
      <c r="I2037" s="1052"/>
      <c r="J2037" s="1052"/>
      <c r="K2037" s="1052"/>
      <c r="L2037" s="1052"/>
      <c r="M2037" s="1052"/>
      <c r="N2037" s="1053"/>
      <c r="O2037" s="7"/>
    </row>
    <row r="2038" spans="1:15" ht="12.75" customHeight="1" x14ac:dyDescent="0.2">
      <c r="A2038" s="1031"/>
      <c r="B2038" s="1032"/>
      <c r="C2038" s="1032"/>
      <c r="D2038" s="1032"/>
      <c r="E2038" s="1032"/>
      <c r="F2038" s="1032"/>
      <c r="G2038" s="1032"/>
      <c r="H2038" s="1032"/>
      <c r="I2038" s="1032"/>
      <c r="J2038" s="1032"/>
      <c r="K2038" s="1032"/>
      <c r="L2038" s="1032"/>
      <c r="M2038" s="1032"/>
      <c r="N2038" s="1055"/>
      <c r="O2038" s="7"/>
    </row>
    <row r="2039" spans="1:15" ht="12.75" customHeight="1" x14ac:dyDescent="0.2">
      <c r="A2039" s="16">
        <v>1</v>
      </c>
      <c r="B2039" s="16">
        <v>2</v>
      </c>
      <c r="C2039" s="16">
        <v>3</v>
      </c>
      <c r="D2039" s="16">
        <v>4</v>
      </c>
      <c r="E2039" s="16">
        <v>5</v>
      </c>
      <c r="F2039" s="16">
        <v>6</v>
      </c>
      <c r="G2039" s="16">
        <v>7</v>
      </c>
      <c r="H2039" s="16">
        <v>8</v>
      </c>
      <c r="I2039" s="16">
        <v>9</v>
      </c>
      <c r="J2039" s="16">
        <v>10</v>
      </c>
      <c r="K2039" s="16">
        <v>11</v>
      </c>
      <c r="L2039" s="16">
        <v>12</v>
      </c>
      <c r="M2039" s="16">
        <v>13</v>
      </c>
      <c r="N2039" s="16">
        <v>14</v>
      </c>
    </row>
    <row r="2040" spans="1:15" ht="12.75" customHeight="1" x14ac:dyDescent="0.3">
      <c r="A2040" s="18" t="s">
        <v>338</v>
      </c>
      <c r="B2040" s="19" t="str">
        <f>A2037</f>
        <v>TEE PVC 10" (INCLUYE INSTALACIÓN Y SUMINISTRO)</v>
      </c>
      <c r="C2040" s="20" t="s">
        <v>382</v>
      </c>
      <c r="D2040" s="127" t="s">
        <v>424</v>
      </c>
      <c r="E2040" s="22" t="s">
        <v>125</v>
      </c>
      <c r="F2040" s="23">
        <f>(H2040+J2040+L2040+N2040)*$O$2</f>
        <v>2990384.0953723751</v>
      </c>
      <c r="G2040" s="22" t="s">
        <v>285</v>
      </c>
      <c r="H2040" s="24">
        <f>M2049</f>
        <v>2046831.8179599999</v>
      </c>
      <c r="I2040" s="22" t="s">
        <v>383</v>
      </c>
      <c r="J2040" s="24">
        <f>M2058</f>
        <v>12069.697143750001</v>
      </c>
      <c r="K2040" s="22" t="s">
        <v>287</v>
      </c>
      <c r="L2040" s="24">
        <f>M2067</f>
        <v>0</v>
      </c>
      <c r="M2040" s="22" t="s">
        <v>288</v>
      </c>
      <c r="N2040" s="26">
        <f>M2076</f>
        <v>241393.94287500001</v>
      </c>
    </row>
    <row r="2041" spans="1:15" ht="12.75" customHeight="1" x14ac:dyDescent="0.25">
      <c r="A2041" s="27"/>
      <c r="B2041" s="27"/>
      <c r="C2041" s="27"/>
      <c r="D2041" s="27"/>
      <c r="E2041" s="27"/>
      <c r="F2041" s="27"/>
      <c r="G2041" s="27"/>
      <c r="J2041" s="27"/>
      <c r="K2041" s="27"/>
      <c r="L2041" s="27"/>
      <c r="M2041" s="27"/>
      <c r="N2041" s="27"/>
    </row>
    <row r="2042" spans="1:15" ht="12.75" customHeight="1" x14ac:dyDescent="0.2">
      <c r="A2042" s="1065" t="s">
        <v>384</v>
      </c>
      <c r="B2042" s="1057"/>
      <c r="C2042" s="1057"/>
      <c r="D2042" s="1057"/>
      <c r="E2042" s="1057"/>
      <c r="F2042" s="1057"/>
      <c r="G2042" s="1057"/>
      <c r="H2042" s="1057"/>
      <c r="I2042" s="1057"/>
      <c r="J2042" s="1057"/>
      <c r="K2042" s="1057"/>
      <c r="L2042" s="1057"/>
      <c r="M2042" s="1057"/>
      <c r="N2042" s="1058"/>
    </row>
    <row r="2043" spans="1:15" ht="12.75" customHeight="1" x14ac:dyDescent="0.2">
      <c r="A2043" s="1066" t="s">
        <v>38</v>
      </c>
      <c r="B2043" s="1057"/>
      <c r="C2043" s="1057"/>
      <c r="D2043" s="1057"/>
      <c r="E2043" s="1057"/>
      <c r="F2043" s="1057"/>
      <c r="G2043" s="1058"/>
      <c r="H2043" s="28" t="s">
        <v>39</v>
      </c>
      <c r="I2043" s="1062" t="s">
        <v>385</v>
      </c>
      <c r="J2043" s="1058"/>
      <c r="K2043" s="1062" t="s">
        <v>132</v>
      </c>
      <c r="L2043" s="1058"/>
      <c r="M2043" s="1062" t="s">
        <v>386</v>
      </c>
      <c r="N2043" s="1058"/>
    </row>
    <row r="2044" spans="1:15" ht="12.75" customHeight="1" x14ac:dyDescent="0.2">
      <c r="A2044" s="1061" t="s">
        <v>1552</v>
      </c>
      <c r="B2044" s="1057"/>
      <c r="C2044" s="1057"/>
      <c r="D2044" s="1057"/>
      <c r="E2044" s="1057"/>
      <c r="F2044" s="1057"/>
      <c r="G2044" s="1058"/>
      <c r="H2044" s="9" t="str">
        <f>IF(A2044="","",VLOOKUP(A2044,AA_Materiales,7,FALSE))</f>
        <v>Unidad</v>
      </c>
      <c r="I2044" s="1059">
        <f>IF(A2044="","",VLOOKUP(A2044,AA_Materiales,8,FALSE))</f>
        <v>2046469.5179599999</v>
      </c>
      <c r="J2044" s="1058"/>
      <c r="K2044" s="1060">
        <v>1</v>
      </c>
      <c r="L2044" s="1058"/>
      <c r="M2044" s="1059">
        <f>IF(A2044="","",I2044*K2044)</f>
        <v>2046469.5179599999</v>
      </c>
      <c r="N2044" s="1058"/>
    </row>
    <row r="2045" spans="1:15" ht="12.75" customHeight="1" x14ac:dyDescent="0.2">
      <c r="A2045" s="1061" t="s">
        <v>1603</v>
      </c>
      <c r="B2045" s="1057"/>
      <c r="C2045" s="1057"/>
      <c r="D2045" s="1057"/>
      <c r="E2045" s="1057"/>
      <c r="F2045" s="1057"/>
      <c r="G2045" s="1058"/>
      <c r="H2045" s="9" t="str">
        <f>IF(A2045="","",VLOOKUP(A2045,AA_Materiales,7,FALSE))</f>
        <v>(1/128) Galón</v>
      </c>
      <c r="I2045" s="1059">
        <f>IF(A2045="","",VLOOKUP(A2045,AA_Materiales,8,FALSE))</f>
        <v>8539</v>
      </c>
      <c r="J2045" s="1058"/>
      <c r="K2045" s="1060">
        <v>0.02</v>
      </c>
      <c r="L2045" s="1058"/>
      <c r="M2045" s="1059">
        <f>IF(A2045="","",I2045*K2045)</f>
        <v>170.78</v>
      </c>
      <c r="N2045" s="1058"/>
    </row>
    <row r="2046" spans="1:15" ht="12.75" customHeight="1" x14ac:dyDescent="0.2">
      <c r="A2046" s="1061" t="s">
        <v>1604</v>
      </c>
      <c r="B2046" s="1057"/>
      <c r="C2046" s="1057"/>
      <c r="D2046" s="1057"/>
      <c r="E2046" s="1057"/>
      <c r="F2046" s="1057"/>
      <c r="G2046" s="1058"/>
      <c r="H2046" s="9" t="str">
        <f>IF(A2046="","",VLOOKUP(A2046,AA_Materiales,7,FALSE))</f>
        <v>28 gr (1/128)</v>
      </c>
      <c r="I2046" s="1059">
        <f>IF(A2046="","",VLOOKUP(A2046,AA_Materiales,8,FALSE))</f>
        <v>4788</v>
      </c>
      <c r="J2046" s="1058"/>
      <c r="K2046" s="1060">
        <v>0.04</v>
      </c>
      <c r="L2046" s="1058"/>
      <c r="M2046" s="1059">
        <f>IF(A2046="","",I2046*K2046)</f>
        <v>191.52</v>
      </c>
      <c r="N2046" s="1058"/>
    </row>
    <row r="2047" spans="1:15" ht="12.75" customHeight="1" x14ac:dyDescent="0.2">
      <c r="A2047" s="1061"/>
      <c r="B2047" s="1057"/>
      <c r="C2047" s="1057"/>
      <c r="D2047" s="1057"/>
      <c r="E2047" s="1057"/>
      <c r="F2047" s="1057"/>
      <c r="G2047" s="1058"/>
      <c r="H2047" s="9" t="str">
        <f>IF(A2047="","",VLOOKUP(A2047,AA_Materiales,7,FALSE))</f>
        <v/>
      </c>
      <c r="I2047" s="1059" t="str">
        <f>IF(A2047="","",VLOOKUP(A2047,AA_Materiales,8,FALSE))</f>
        <v/>
      </c>
      <c r="J2047" s="1058"/>
      <c r="K2047" s="1060"/>
      <c r="L2047" s="1058"/>
      <c r="M2047" s="1059" t="str">
        <f>IF(A2047="","",I2047*K2047)</f>
        <v/>
      </c>
      <c r="N2047" s="1058"/>
    </row>
    <row r="2048" spans="1:15" ht="12.75" customHeight="1" x14ac:dyDescent="0.2">
      <c r="A2048" s="1061"/>
      <c r="B2048" s="1057"/>
      <c r="C2048" s="1057"/>
      <c r="D2048" s="1057"/>
      <c r="E2048" s="1057"/>
      <c r="F2048" s="1057"/>
      <c r="G2048" s="1058"/>
      <c r="H2048" s="9" t="str">
        <f>IF(A2048="","",VLOOKUP(A2048,AA_Materiales,7,FALSE))</f>
        <v/>
      </c>
      <c r="I2048" s="1059" t="str">
        <f>IF(A2048="","",VLOOKUP(A2048,AA_Materiales,8,FALSE))</f>
        <v/>
      </c>
      <c r="J2048" s="1058"/>
      <c r="K2048" s="1060"/>
      <c r="L2048" s="1058"/>
      <c r="M2048" s="1059" t="str">
        <f>IF(A2048="","",I2048*K2048)</f>
        <v/>
      </c>
      <c r="N2048" s="1058"/>
    </row>
    <row r="2049" spans="1:14" ht="12.75" customHeight="1" x14ac:dyDescent="0.25">
      <c r="A2049" s="3"/>
      <c r="B2049" s="3"/>
      <c r="C2049" s="3"/>
      <c r="D2049" s="3"/>
      <c r="E2049" s="3"/>
      <c r="F2049" s="3"/>
      <c r="G2049" s="3"/>
      <c r="H2049" s="3"/>
      <c r="I2049" s="3"/>
      <c r="J2049" s="3"/>
      <c r="K2049" s="1066" t="s">
        <v>201</v>
      </c>
      <c r="L2049" s="1058"/>
      <c r="M2049" s="1059">
        <f>SUM(M2044:N2048)</f>
        <v>2046831.8179599999</v>
      </c>
      <c r="N2049" s="1058"/>
    </row>
    <row r="2050" spans="1:14" ht="12.75" customHeight="1" x14ac:dyDescent="0.25">
      <c r="A2050" s="3"/>
      <c r="B2050" s="3"/>
      <c r="C2050" s="3"/>
      <c r="D2050" s="3"/>
      <c r="E2050" s="3"/>
      <c r="F2050" s="3"/>
      <c r="G2050" s="3"/>
      <c r="H2050" s="3"/>
      <c r="I2050" s="3"/>
      <c r="J2050" s="3"/>
      <c r="K2050" s="3"/>
      <c r="L2050" s="3"/>
      <c r="M2050" s="3"/>
      <c r="N2050" s="3"/>
    </row>
    <row r="2051" spans="1:14" ht="12.75" customHeight="1" x14ac:dyDescent="0.2">
      <c r="A2051" s="1065" t="s">
        <v>390</v>
      </c>
      <c r="B2051" s="1057"/>
      <c r="C2051" s="1057"/>
      <c r="D2051" s="1057"/>
      <c r="E2051" s="1057"/>
      <c r="F2051" s="1057"/>
      <c r="G2051" s="1057"/>
      <c r="H2051" s="1057"/>
      <c r="I2051" s="1057"/>
      <c r="J2051" s="1057"/>
      <c r="K2051" s="1057"/>
      <c r="L2051" s="1057"/>
      <c r="M2051" s="1057"/>
      <c r="N2051" s="1058"/>
    </row>
    <row r="2052" spans="1:14" ht="12.75" customHeight="1" x14ac:dyDescent="0.2">
      <c r="A2052" s="1066" t="s">
        <v>38</v>
      </c>
      <c r="B2052" s="1057"/>
      <c r="C2052" s="1057"/>
      <c r="D2052" s="1057"/>
      <c r="E2052" s="1057"/>
      <c r="F2052" s="1057"/>
      <c r="G2052" s="1058"/>
      <c r="H2052" s="28" t="s">
        <v>39</v>
      </c>
      <c r="I2052" s="1062" t="s">
        <v>385</v>
      </c>
      <c r="J2052" s="1058"/>
      <c r="K2052" s="1062" t="s">
        <v>132</v>
      </c>
      <c r="L2052" s="1058"/>
      <c r="M2052" s="1062" t="s">
        <v>386</v>
      </c>
      <c r="N2052" s="1058"/>
    </row>
    <row r="2053" spans="1:14" ht="12.75" customHeight="1" x14ac:dyDescent="0.2">
      <c r="A2053" s="1061" t="s">
        <v>391</v>
      </c>
      <c r="B2053" s="1057"/>
      <c r="C2053" s="1057"/>
      <c r="D2053" s="1057"/>
      <c r="E2053" s="1057"/>
      <c r="F2053" s="1057"/>
      <c r="G2053" s="1058"/>
      <c r="H2053" s="9" t="str">
        <f>IF(A2053="","",VLOOKUP(A2053,AA_Equipos,7,FALSE))</f>
        <v>% M.O.</v>
      </c>
      <c r="I2053" s="1059">
        <f>M2076</f>
        <v>241393.94287500001</v>
      </c>
      <c r="J2053" s="1058"/>
      <c r="K2053" s="1060">
        <v>0.05</v>
      </c>
      <c r="L2053" s="1058"/>
      <c r="M2053" s="1059">
        <f>IF(A2053="","",I2053*K2053)</f>
        <v>12069.697143750001</v>
      </c>
      <c r="N2053" s="1058"/>
    </row>
    <row r="2054" spans="1:14" ht="12.75" customHeight="1" x14ac:dyDescent="0.2">
      <c r="A2054" s="1056"/>
      <c r="B2054" s="1057"/>
      <c r="C2054" s="1057"/>
      <c r="D2054" s="1057"/>
      <c r="E2054" s="1057"/>
      <c r="F2054" s="1057"/>
      <c r="G2054" s="1058"/>
      <c r="H2054" s="9" t="str">
        <f>IF(A2054="","",VLOOKUP(A2054,AA_Equipos,7,FALSE))</f>
        <v/>
      </c>
      <c r="I2054" s="1059" t="str">
        <f>IF(A2054="","",VLOOKUP(A2054,AA_Materiales,8,FALSE))</f>
        <v/>
      </c>
      <c r="J2054" s="1058"/>
      <c r="K2054" s="1067"/>
      <c r="L2054" s="1058"/>
      <c r="M2054" s="1059" t="str">
        <f>IF(A2054="","",I2054*K2054)</f>
        <v/>
      </c>
      <c r="N2054" s="1058"/>
    </row>
    <row r="2055" spans="1:14" ht="12.75" customHeight="1" x14ac:dyDescent="0.2">
      <c r="A2055" s="1061"/>
      <c r="B2055" s="1057"/>
      <c r="C2055" s="1057"/>
      <c r="D2055" s="1057"/>
      <c r="E2055" s="1057"/>
      <c r="F2055" s="1057"/>
      <c r="G2055" s="1058"/>
      <c r="H2055" s="9" t="str">
        <f>IF(A2055="","",VLOOKUP(A2055,AA_Equipos,7,FALSE))</f>
        <v/>
      </c>
      <c r="I2055" s="1059" t="str">
        <f>IF(A2055="","",VLOOKUP(A2055,AA_Materiales,8,FALSE))</f>
        <v/>
      </c>
      <c r="J2055" s="1058"/>
      <c r="K2055" s="1060"/>
      <c r="L2055" s="1058"/>
      <c r="M2055" s="1059" t="str">
        <f>IF(A2055="","",I2055*K2055)</f>
        <v/>
      </c>
      <c r="N2055" s="1058"/>
    </row>
    <row r="2056" spans="1:14" ht="12.75" customHeight="1" x14ac:dyDescent="0.2">
      <c r="A2056" s="1061"/>
      <c r="B2056" s="1057"/>
      <c r="C2056" s="1057"/>
      <c r="D2056" s="1057"/>
      <c r="E2056" s="1057"/>
      <c r="F2056" s="1057"/>
      <c r="G2056" s="1058"/>
      <c r="H2056" s="9" t="str">
        <f>IF(A2056="","",VLOOKUP(A2056,AA_Equipos,7,FALSE))</f>
        <v/>
      </c>
      <c r="I2056" s="1059" t="str">
        <f>IF(A2056="","",VLOOKUP(A2056,AA_Materiales,8,FALSE))</f>
        <v/>
      </c>
      <c r="J2056" s="1058"/>
      <c r="K2056" s="1060"/>
      <c r="L2056" s="1058"/>
      <c r="M2056" s="1059" t="str">
        <f>IF(A2056="","",I2056*K2056)</f>
        <v/>
      </c>
      <c r="N2056" s="1058"/>
    </row>
    <row r="2057" spans="1:14" ht="12.75" customHeight="1" x14ac:dyDescent="0.2">
      <c r="A2057" s="1061"/>
      <c r="B2057" s="1057"/>
      <c r="C2057" s="1057"/>
      <c r="D2057" s="1057"/>
      <c r="E2057" s="1057"/>
      <c r="F2057" s="1057"/>
      <c r="G2057" s="1058"/>
      <c r="H2057" s="9" t="str">
        <f>IF(A2057="","",VLOOKUP(A2057,AA_Equipos,7,FALSE))</f>
        <v/>
      </c>
      <c r="I2057" s="1059" t="str">
        <f>IF(A2057="","",VLOOKUP(A2057,AA_Materiales,8,FALSE))</f>
        <v/>
      </c>
      <c r="J2057" s="1058"/>
      <c r="K2057" s="1060"/>
      <c r="L2057" s="1058"/>
      <c r="M2057" s="1059" t="str">
        <f>IF(A2057="","",I2057*K2057)</f>
        <v/>
      </c>
      <c r="N2057" s="1058"/>
    </row>
    <row r="2058" spans="1:14" ht="12.75" customHeight="1" x14ac:dyDescent="0.25">
      <c r="A2058" s="3"/>
      <c r="B2058" s="3"/>
      <c r="C2058" s="3"/>
      <c r="D2058" s="3"/>
      <c r="E2058" s="3"/>
      <c r="F2058" s="3"/>
      <c r="G2058" s="3"/>
      <c r="H2058" s="3"/>
      <c r="I2058" s="3"/>
      <c r="J2058" s="3"/>
      <c r="K2058" s="1066" t="s">
        <v>201</v>
      </c>
      <c r="L2058" s="1058"/>
      <c r="M2058" s="1059">
        <f>SUM(M2053:N2057)</f>
        <v>12069.697143750001</v>
      </c>
      <c r="N2058" s="1058"/>
    </row>
    <row r="2059" spans="1:14" ht="12.75" customHeight="1" x14ac:dyDescent="0.25">
      <c r="A2059" s="3"/>
      <c r="B2059" s="3"/>
      <c r="C2059" s="3"/>
      <c r="D2059" s="3"/>
      <c r="E2059" s="3"/>
      <c r="F2059" s="3"/>
      <c r="G2059" s="3"/>
      <c r="H2059" s="3"/>
      <c r="I2059" s="3"/>
      <c r="J2059" s="3"/>
      <c r="K2059" s="3"/>
      <c r="L2059" s="3"/>
      <c r="M2059" s="3"/>
      <c r="N2059" s="3"/>
    </row>
    <row r="2060" spans="1:14" ht="12.75" customHeight="1" x14ac:dyDescent="0.2">
      <c r="A2060" s="1065" t="s">
        <v>392</v>
      </c>
      <c r="B2060" s="1057"/>
      <c r="C2060" s="1057"/>
      <c r="D2060" s="1057"/>
      <c r="E2060" s="1057"/>
      <c r="F2060" s="1057"/>
      <c r="G2060" s="1057"/>
      <c r="H2060" s="1057"/>
      <c r="I2060" s="1057"/>
      <c r="J2060" s="1057"/>
      <c r="K2060" s="1057"/>
      <c r="L2060" s="1057"/>
      <c r="M2060" s="1057"/>
      <c r="N2060" s="1058"/>
    </row>
    <row r="2061" spans="1:14" ht="12.75" customHeight="1" x14ac:dyDescent="0.2">
      <c r="A2061" s="1066" t="s">
        <v>38</v>
      </c>
      <c r="B2061" s="1057"/>
      <c r="C2061" s="1057"/>
      <c r="D2061" s="1057"/>
      <c r="E2061" s="1057"/>
      <c r="F2061" s="1057"/>
      <c r="G2061" s="1058"/>
      <c r="H2061" s="28" t="s">
        <v>39</v>
      </c>
      <c r="I2061" s="1062" t="s">
        <v>385</v>
      </c>
      <c r="J2061" s="1058"/>
      <c r="K2061" s="1062" t="s">
        <v>132</v>
      </c>
      <c r="L2061" s="1058"/>
      <c r="M2061" s="1062" t="s">
        <v>386</v>
      </c>
      <c r="N2061" s="1058"/>
    </row>
    <row r="2062" spans="1:14" ht="12.75" customHeight="1" x14ac:dyDescent="0.2">
      <c r="A2062" s="1061"/>
      <c r="B2062" s="1057"/>
      <c r="C2062" s="1057"/>
      <c r="D2062" s="1057"/>
      <c r="E2062" s="1057"/>
      <c r="F2062" s="1057"/>
      <c r="G2062" s="1058"/>
      <c r="H2062" s="9"/>
      <c r="I2062" s="1059"/>
      <c r="J2062" s="1058"/>
      <c r="K2062" s="1060"/>
      <c r="L2062" s="1058"/>
      <c r="M2062" s="1059" t="str">
        <f>IF(A2062="","",I2062*K2062)</f>
        <v/>
      </c>
      <c r="N2062" s="1058"/>
    </row>
    <row r="2063" spans="1:14" ht="12.75" customHeight="1" x14ac:dyDescent="0.2">
      <c r="A2063" s="1056"/>
      <c r="B2063" s="1057"/>
      <c r="C2063" s="1057"/>
      <c r="D2063" s="1057"/>
      <c r="E2063" s="1057"/>
      <c r="F2063" s="1057"/>
      <c r="G2063" s="1058"/>
      <c r="H2063" s="9"/>
      <c r="I2063" s="1059"/>
      <c r="J2063" s="1058"/>
      <c r="K2063" s="1067"/>
      <c r="L2063" s="1058"/>
      <c r="M2063" s="1059" t="str">
        <f>IF(A2063="","",I2063*K2063)</f>
        <v/>
      </c>
      <c r="N2063" s="1058"/>
    </row>
    <row r="2064" spans="1:14" ht="12.75" customHeight="1" x14ac:dyDescent="0.2">
      <c r="A2064" s="1061"/>
      <c r="B2064" s="1057"/>
      <c r="C2064" s="1057"/>
      <c r="D2064" s="1057"/>
      <c r="E2064" s="1057"/>
      <c r="F2064" s="1057"/>
      <c r="G2064" s="1058"/>
      <c r="H2064" s="9"/>
      <c r="I2064" s="1059"/>
      <c r="J2064" s="1058"/>
      <c r="K2064" s="1060"/>
      <c r="L2064" s="1058"/>
      <c r="M2064" s="1059" t="str">
        <f>IF(A2064="","",I2064*K2064)</f>
        <v/>
      </c>
      <c r="N2064" s="1058"/>
    </row>
    <row r="2065" spans="1:15" ht="12.75" customHeight="1" x14ac:dyDescent="0.2">
      <c r="A2065" s="1061"/>
      <c r="B2065" s="1057"/>
      <c r="C2065" s="1057"/>
      <c r="D2065" s="1057"/>
      <c r="E2065" s="1057"/>
      <c r="F2065" s="1057"/>
      <c r="G2065" s="1058"/>
      <c r="H2065" s="9"/>
      <c r="I2065" s="1059"/>
      <c r="J2065" s="1058"/>
      <c r="K2065" s="1060"/>
      <c r="L2065" s="1058"/>
      <c r="M2065" s="1059" t="str">
        <f>IF(A2065="","",I2065*K2065)</f>
        <v/>
      </c>
      <c r="N2065" s="1058"/>
    </row>
    <row r="2066" spans="1:15" ht="12.75" customHeight="1" x14ac:dyDescent="0.2">
      <c r="A2066" s="1061"/>
      <c r="B2066" s="1057"/>
      <c r="C2066" s="1057"/>
      <c r="D2066" s="1057"/>
      <c r="E2066" s="1057"/>
      <c r="F2066" s="1057"/>
      <c r="G2066" s="1058"/>
      <c r="H2066" s="9"/>
      <c r="I2066" s="1059"/>
      <c r="J2066" s="1058"/>
      <c r="K2066" s="1060"/>
      <c r="L2066" s="1058"/>
      <c r="M2066" s="1059" t="str">
        <f>IF(A2066="","",I2066*K2066)</f>
        <v/>
      </c>
      <c r="N2066" s="1058"/>
    </row>
    <row r="2067" spans="1:15" ht="12.75" customHeight="1" x14ac:dyDescent="0.25">
      <c r="A2067" s="3"/>
      <c r="B2067" s="3"/>
      <c r="C2067" s="3"/>
      <c r="D2067" s="3"/>
      <c r="E2067" s="3"/>
      <c r="F2067" s="3"/>
      <c r="G2067" s="3"/>
      <c r="H2067" s="3"/>
      <c r="I2067" s="3"/>
      <c r="J2067" s="3"/>
      <c r="K2067" s="1066" t="s">
        <v>201</v>
      </c>
      <c r="L2067" s="1058"/>
      <c r="M2067" s="1059">
        <f>SUM(M2062:N2066)</f>
        <v>0</v>
      </c>
      <c r="N2067" s="1058"/>
    </row>
    <row r="2068" spans="1:15" ht="12.75" customHeight="1" x14ac:dyDescent="0.25">
      <c r="A2068" s="3"/>
      <c r="B2068" s="3"/>
      <c r="C2068" s="3"/>
      <c r="D2068" s="3"/>
      <c r="E2068" s="3"/>
      <c r="F2068" s="3"/>
      <c r="G2068" s="3"/>
      <c r="H2068" s="3"/>
      <c r="I2068" s="3"/>
      <c r="J2068" s="3"/>
      <c r="K2068" s="3"/>
      <c r="L2068" s="3"/>
      <c r="M2068" s="3"/>
      <c r="N2068" s="3"/>
    </row>
    <row r="2069" spans="1:15" ht="12.75" customHeight="1" x14ac:dyDescent="0.2">
      <c r="A2069" s="1065" t="s">
        <v>394</v>
      </c>
      <c r="B2069" s="1057"/>
      <c r="C2069" s="1057"/>
      <c r="D2069" s="1057"/>
      <c r="E2069" s="1057"/>
      <c r="F2069" s="1057"/>
      <c r="G2069" s="1057"/>
      <c r="H2069" s="1057"/>
      <c r="I2069" s="1057"/>
      <c r="J2069" s="1057"/>
      <c r="K2069" s="1057"/>
      <c r="L2069" s="1057"/>
      <c r="M2069" s="1057"/>
      <c r="N2069" s="1058"/>
    </row>
    <row r="2070" spans="1:15" ht="12.75" customHeight="1" x14ac:dyDescent="0.2">
      <c r="A2070" s="1066" t="s">
        <v>38</v>
      </c>
      <c r="B2070" s="1057"/>
      <c r="C2070" s="1057"/>
      <c r="D2070" s="1057"/>
      <c r="E2070" s="1057"/>
      <c r="F2070" s="1057"/>
      <c r="G2070" s="1058"/>
      <c r="H2070" s="28" t="s">
        <v>39</v>
      </c>
      <c r="I2070" s="1062" t="s">
        <v>385</v>
      </c>
      <c r="J2070" s="1058"/>
      <c r="K2070" s="30" t="s">
        <v>193</v>
      </c>
      <c r="L2070" s="31" t="s">
        <v>395</v>
      </c>
      <c r="M2070" s="1062" t="s">
        <v>386</v>
      </c>
      <c r="N2070" s="1058"/>
    </row>
    <row r="2071" spans="1:15" ht="12.75" customHeight="1" x14ac:dyDescent="0.25">
      <c r="A2071" s="1063" t="s">
        <v>418</v>
      </c>
      <c r="B2071" s="1057"/>
      <c r="C2071" s="1057"/>
      <c r="D2071" s="1057"/>
      <c r="E2071" s="1057"/>
      <c r="F2071" s="1057"/>
      <c r="G2071" s="1058"/>
      <c r="H2071" s="9" t="str">
        <f>IF(A2071="","",VLOOKUP(A2071,AA_Cuadrillas,4,FALSE))</f>
        <v>Cuadrilla</v>
      </c>
      <c r="I2071" s="1059">
        <f>IF(A2071="","",VLOOKUP(A2071,AA_Cuadrillas,5,FALSE))</f>
        <v>280145</v>
      </c>
      <c r="J2071" s="1058"/>
      <c r="K2071" s="1">
        <f>IF(A2071="","",'06'!$J$3)</f>
        <v>1.7233500000000002</v>
      </c>
      <c r="L2071" s="32">
        <v>0.5</v>
      </c>
      <c r="M2071" s="1059">
        <f>IF(A2071="","",I2071*K2071*L2071)</f>
        <v>241393.94287500001</v>
      </c>
      <c r="N2071" s="1058"/>
    </row>
    <row r="2072" spans="1:15" ht="12.75" customHeight="1" x14ac:dyDescent="0.25">
      <c r="A2072" s="1063"/>
      <c r="B2072" s="1057"/>
      <c r="C2072" s="1057"/>
      <c r="D2072" s="1057"/>
      <c r="E2072" s="1057"/>
      <c r="F2072" s="1057"/>
      <c r="G2072" s="1058"/>
      <c r="H2072" s="9" t="str">
        <f>IF(A2072="","",VLOOKUP(A2072,AA_Cuadrillas,4,FALSE))</f>
        <v/>
      </c>
      <c r="I2072" s="1059" t="str">
        <f>IF(A2072="","",VLOOKUP(A2072,AA_Cuadrillas,5,FALSE))</f>
        <v/>
      </c>
      <c r="J2072" s="1058"/>
      <c r="K2072" s="1" t="str">
        <f>IF(A2072="","",'06'!$J$3)</f>
        <v/>
      </c>
      <c r="L2072" s="1"/>
      <c r="M2072" s="1059" t="str">
        <f>IF(A2072="","",I2072*K2072*L2072)</f>
        <v/>
      </c>
      <c r="N2072" s="1058"/>
    </row>
    <row r="2073" spans="1:15" ht="12.75" customHeight="1" x14ac:dyDescent="0.25">
      <c r="A2073" s="1063"/>
      <c r="B2073" s="1057"/>
      <c r="C2073" s="1057"/>
      <c r="D2073" s="1057"/>
      <c r="E2073" s="1057"/>
      <c r="F2073" s="1057"/>
      <c r="G2073" s="1058"/>
      <c r="H2073" s="9" t="str">
        <f>IF(A2073="","",VLOOKUP(A2073,AA_Cuadrillas,4,FALSE))</f>
        <v/>
      </c>
      <c r="I2073" s="1059" t="str">
        <f>IF(A2073="","",VLOOKUP(A2073,AA_Cuadrillas,5,FALSE))</f>
        <v/>
      </c>
      <c r="J2073" s="1058"/>
      <c r="K2073" s="1" t="str">
        <f>IF(A2073="","",'06'!$J$3)</f>
        <v/>
      </c>
      <c r="L2073" s="10"/>
      <c r="M2073" s="1059" t="str">
        <f>IF(A2073="","",I2073*K2073*L2073)</f>
        <v/>
      </c>
      <c r="N2073" s="1058"/>
    </row>
    <row r="2074" spans="1:15" ht="12.75" customHeight="1" x14ac:dyDescent="0.25">
      <c r="A2074" s="1063"/>
      <c r="B2074" s="1057"/>
      <c r="C2074" s="1057"/>
      <c r="D2074" s="1057"/>
      <c r="E2074" s="1057"/>
      <c r="F2074" s="1057"/>
      <c r="G2074" s="1058"/>
      <c r="H2074" s="9" t="str">
        <f>IF(A2074="","",VLOOKUP(A2074,AA_Cuadrillas,4,FALSE))</f>
        <v/>
      </c>
      <c r="I2074" s="1059" t="str">
        <f>IF(A2074="","",VLOOKUP(A2074,AA_Cuadrillas,5,FALSE))</f>
        <v/>
      </c>
      <c r="J2074" s="1058"/>
      <c r="K2074" s="1" t="str">
        <f>IF(A2074="","",'06'!$J$3)</f>
        <v/>
      </c>
      <c r="L2074" s="10"/>
      <c r="M2074" s="1059" t="str">
        <f>IF(A2074="","",I2074*K2074*L2074)</f>
        <v/>
      </c>
      <c r="N2074" s="1058"/>
    </row>
    <row r="2075" spans="1:15" ht="12.75" customHeight="1" x14ac:dyDescent="0.25">
      <c r="A2075" s="1063"/>
      <c r="B2075" s="1057"/>
      <c r="C2075" s="1057"/>
      <c r="D2075" s="1057"/>
      <c r="E2075" s="1057"/>
      <c r="F2075" s="1057"/>
      <c r="G2075" s="1058"/>
      <c r="H2075" s="9" t="str">
        <f>IF(A2075="","",VLOOKUP(A2075,AA_Cuadrillas,4,FALSE))</f>
        <v/>
      </c>
      <c r="I2075" s="1059" t="str">
        <f>IF(A2075="","",VLOOKUP(A2075,AA_Cuadrillas,5,FALSE))</f>
        <v/>
      </c>
      <c r="J2075" s="1058"/>
      <c r="K2075" s="1" t="str">
        <f>IF(A2075="","",'06'!$J$3)</f>
        <v/>
      </c>
      <c r="L2075" s="10"/>
      <c r="M2075" s="1059" t="str">
        <f>IF(A2075="","",I2075*K2075*L2075)</f>
        <v/>
      </c>
      <c r="N2075" s="1058"/>
    </row>
    <row r="2076" spans="1:15" ht="12.75" customHeight="1" x14ac:dyDescent="0.25">
      <c r="A2076" s="3"/>
      <c r="B2076" s="3"/>
      <c r="C2076" s="3"/>
      <c r="D2076" s="3"/>
      <c r="E2076" s="3"/>
      <c r="F2076" s="3"/>
      <c r="G2076" s="3"/>
      <c r="H2076" s="3"/>
      <c r="I2076" s="3"/>
      <c r="J2076" s="3"/>
      <c r="K2076" s="1066" t="s">
        <v>201</v>
      </c>
      <c r="L2076" s="1058"/>
      <c r="M2076" s="1059">
        <f>SUM(M2071:N2075)</f>
        <v>241393.94287500001</v>
      </c>
      <c r="N2076" s="1058"/>
    </row>
    <row r="2077" spans="1:15" ht="12.75" customHeight="1" x14ac:dyDescent="0.2"/>
    <row r="2078" spans="1:15" ht="12.75" customHeight="1" x14ac:dyDescent="0.2">
      <c r="A2078" s="1072" t="s">
        <v>1714</v>
      </c>
      <c r="B2078" s="1052"/>
      <c r="C2078" s="1052"/>
      <c r="D2078" s="1052"/>
      <c r="E2078" s="1052"/>
      <c r="F2078" s="1052"/>
      <c r="G2078" s="1052"/>
      <c r="H2078" s="1052"/>
      <c r="I2078" s="1052"/>
      <c r="J2078" s="1052"/>
      <c r="K2078" s="1052"/>
      <c r="L2078" s="1052"/>
      <c r="M2078" s="1052"/>
      <c r="N2078" s="1053"/>
      <c r="O2078" s="7"/>
    </row>
    <row r="2079" spans="1:15" ht="12.75" customHeight="1" x14ac:dyDescent="0.2">
      <c r="A2079" s="1031"/>
      <c r="B2079" s="1032"/>
      <c r="C2079" s="1032"/>
      <c r="D2079" s="1032"/>
      <c r="E2079" s="1032"/>
      <c r="F2079" s="1032"/>
      <c r="G2079" s="1032"/>
      <c r="H2079" s="1032"/>
      <c r="I2079" s="1032"/>
      <c r="J2079" s="1032"/>
      <c r="K2079" s="1032"/>
      <c r="L2079" s="1032"/>
      <c r="M2079" s="1032"/>
      <c r="N2079" s="1055"/>
      <c r="O2079" s="7"/>
    </row>
    <row r="2080" spans="1:15" ht="12.75" customHeight="1" x14ac:dyDescent="0.2">
      <c r="A2080" s="16"/>
      <c r="B2080" s="16"/>
      <c r="C2080" s="16"/>
      <c r="D2080" s="16"/>
      <c r="E2080" s="16"/>
      <c r="F2080" s="16"/>
      <c r="G2080" s="16"/>
      <c r="H2080" s="16"/>
      <c r="I2080" s="16"/>
      <c r="J2080" s="16"/>
      <c r="K2080" s="16"/>
      <c r="L2080" s="16"/>
      <c r="M2080" s="16"/>
      <c r="N2080" s="16"/>
    </row>
    <row r="2081" spans="1:14" ht="12.75" customHeight="1" x14ac:dyDescent="0.3">
      <c r="A2081" s="18" t="s">
        <v>339</v>
      </c>
      <c r="B2081" s="19" t="str">
        <f>A2078</f>
        <v>CODO 90° PVC 10" (INCLUYE INSTALACIÓN Y SUMINISTRO)</v>
      </c>
      <c r="C2081" s="20" t="s">
        <v>382</v>
      </c>
      <c r="D2081" s="21" t="s">
        <v>424</v>
      </c>
      <c r="E2081" s="22" t="s">
        <v>125</v>
      </c>
      <c r="F2081" s="26">
        <f>(H2081+J2081+L2081+N2081)*$O$2</f>
        <v>2250501.0393417501</v>
      </c>
      <c r="G2081" s="22" t="s">
        <v>285</v>
      </c>
      <c r="H2081" s="26">
        <f>M2100</f>
        <v>0</v>
      </c>
      <c r="I2081" s="22" t="s">
        <v>383</v>
      </c>
      <c r="J2081" s="38">
        <f>M2091</f>
        <v>1707015.2513600001</v>
      </c>
      <c r="K2081" s="22" t="s">
        <v>287</v>
      </c>
      <c r="L2081" s="26">
        <f>M2109</f>
        <v>0</v>
      </c>
      <c r="M2081" s="22" t="s">
        <v>288</v>
      </c>
      <c r="N2081" s="26">
        <f>M2118</f>
        <v>24139.394287500003</v>
      </c>
    </row>
    <row r="2082" spans="1:14" ht="12.75" customHeight="1" x14ac:dyDescent="0.25">
      <c r="A2082" s="27"/>
      <c r="B2082" s="27"/>
      <c r="C2082" s="27"/>
      <c r="D2082" s="27"/>
      <c r="E2082" s="27"/>
      <c r="F2082" s="27"/>
      <c r="G2082" s="27"/>
      <c r="J2082" s="27"/>
      <c r="K2082" s="27"/>
      <c r="L2082" s="27"/>
      <c r="M2082" s="27"/>
      <c r="N2082" s="27"/>
    </row>
    <row r="2083" spans="1:14" ht="12.75" customHeight="1" x14ac:dyDescent="0.2">
      <c r="A2083" s="1065" t="s">
        <v>384</v>
      </c>
      <c r="B2083" s="1057"/>
      <c r="C2083" s="1057"/>
      <c r="D2083" s="1057"/>
      <c r="E2083" s="1057"/>
      <c r="F2083" s="1057"/>
      <c r="G2083" s="1057"/>
      <c r="H2083" s="1057"/>
      <c r="I2083" s="1057"/>
      <c r="J2083" s="1057"/>
      <c r="K2083" s="1057"/>
      <c r="L2083" s="1057"/>
      <c r="M2083" s="1057"/>
      <c r="N2083" s="1058"/>
    </row>
    <row r="2084" spans="1:14" ht="12.75" customHeight="1" x14ac:dyDescent="0.2">
      <c r="A2084" s="1066" t="s">
        <v>38</v>
      </c>
      <c r="B2084" s="1057"/>
      <c r="C2084" s="1057"/>
      <c r="D2084" s="1057"/>
      <c r="E2084" s="1057"/>
      <c r="F2084" s="1057"/>
      <c r="G2084" s="1058"/>
      <c r="H2084" s="28" t="s">
        <v>39</v>
      </c>
      <c r="I2084" s="1062" t="s">
        <v>385</v>
      </c>
      <c r="J2084" s="1058"/>
      <c r="K2084" s="1062" t="s">
        <v>132</v>
      </c>
      <c r="L2084" s="1058"/>
      <c r="M2084" s="1062" t="s">
        <v>386</v>
      </c>
      <c r="N2084" s="1058"/>
    </row>
    <row r="2085" spans="1:14" ht="12.75" customHeight="1" x14ac:dyDescent="0.2">
      <c r="A2085" s="1061" t="s">
        <v>1553</v>
      </c>
      <c r="B2085" s="1057"/>
      <c r="C2085" s="1057"/>
      <c r="D2085" s="1057"/>
      <c r="E2085" s="1057"/>
      <c r="F2085" s="1057"/>
      <c r="G2085" s="1058"/>
      <c r="H2085" s="9" t="str">
        <f>IF(A2085="","",VLOOKUP(A2085,AA_Materiales,7,FALSE))</f>
        <v>Unidad</v>
      </c>
      <c r="I2085" s="1059">
        <f>IF(A2085="","",VLOOKUP(A2085,AA_Materiales,8,FALSE))</f>
        <v>1706652.9513600001</v>
      </c>
      <c r="J2085" s="1058"/>
      <c r="K2085" s="1060">
        <v>1</v>
      </c>
      <c r="L2085" s="1058"/>
      <c r="M2085" s="1059">
        <f>IF(A2085="","",I2085*K2085)</f>
        <v>1706652.9513600001</v>
      </c>
      <c r="N2085" s="1058"/>
    </row>
    <row r="2086" spans="1:14" ht="12.75" customHeight="1" x14ac:dyDescent="0.2">
      <c r="A2086" s="1061" t="s">
        <v>1603</v>
      </c>
      <c r="B2086" s="1057"/>
      <c r="C2086" s="1057"/>
      <c r="D2086" s="1057"/>
      <c r="E2086" s="1057"/>
      <c r="F2086" s="1057"/>
      <c r="G2086" s="1058"/>
      <c r="H2086" s="9" t="str">
        <f t="shared" ref="H2086:H2090" si="135">IF(A2086="","",VLOOKUP(A2086,AA_Materiales,7,FALSE))</f>
        <v>(1/128) Galón</v>
      </c>
      <c r="I2086" s="1059">
        <f t="shared" ref="I2086:I2090" si="136">IF(A2086="","",VLOOKUP(A2086,AA_Materiales,8,FALSE))</f>
        <v>8539</v>
      </c>
      <c r="J2086" s="1058"/>
      <c r="K2086" s="1070">
        <v>0.02</v>
      </c>
      <c r="L2086" s="1058"/>
      <c r="M2086" s="1059">
        <f t="shared" ref="M2086:M2090" si="137">IF(A2086="","",I2086*K2086)</f>
        <v>170.78</v>
      </c>
      <c r="N2086" s="1058"/>
    </row>
    <row r="2087" spans="1:14" ht="13.5" x14ac:dyDescent="0.2">
      <c r="A2087" s="1061" t="s">
        <v>1604</v>
      </c>
      <c r="B2087" s="1057"/>
      <c r="C2087" s="1057"/>
      <c r="D2087" s="1057"/>
      <c r="E2087" s="1057"/>
      <c r="F2087" s="1057"/>
      <c r="G2087" s="1058"/>
      <c r="H2087" s="9" t="str">
        <f t="shared" si="135"/>
        <v>28 gr (1/128)</v>
      </c>
      <c r="I2087" s="1059">
        <f t="shared" si="136"/>
        <v>4788</v>
      </c>
      <c r="J2087" s="1058"/>
      <c r="K2087" s="1070">
        <v>0.04</v>
      </c>
      <c r="L2087" s="1058"/>
      <c r="M2087" s="1059">
        <f t="shared" si="137"/>
        <v>191.52</v>
      </c>
      <c r="N2087" s="1058"/>
    </row>
    <row r="2088" spans="1:14" ht="13.5" x14ac:dyDescent="0.2">
      <c r="A2088" s="1056"/>
      <c r="B2088" s="1057"/>
      <c r="C2088" s="1057"/>
      <c r="D2088" s="1057"/>
      <c r="E2088" s="1057"/>
      <c r="F2088" s="1057"/>
      <c r="G2088" s="1058"/>
      <c r="H2088" s="9" t="str">
        <f t="shared" si="135"/>
        <v/>
      </c>
      <c r="I2088" s="1059" t="str">
        <f t="shared" si="136"/>
        <v/>
      </c>
      <c r="J2088" s="1058"/>
      <c r="K2088" s="1091"/>
      <c r="L2088" s="1058"/>
      <c r="M2088" s="1059" t="str">
        <f t="shared" si="137"/>
        <v/>
      </c>
      <c r="N2088" s="1058"/>
    </row>
    <row r="2089" spans="1:14" ht="12.75" customHeight="1" x14ac:dyDescent="0.2">
      <c r="A2089" s="1056"/>
      <c r="B2089" s="1057"/>
      <c r="C2089" s="1057"/>
      <c r="D2089" s="1057"/>
      <c r="E2089" s="1057"/>
      <c r="F2089" s="1057"/>
      <c r="G2089" s="1058"/>
      <c r="H2089" s="9" t="str">
        <f t="shared" si="135"/>
        <v/>
      </c>
      <c r="I2089" s="1059" t="str">
        <f t="shared" si="136"/>
        <v/>
      </c>
      <c r="J2089" s="1058"/>
      <c r="K2089" s="1070"/>
      <c r="L2089" s="1058"/>
      <c r="M2089" s="1059" t="str">
        <f t="shared" si="137"/>
        <v/>
      </c>
      <c r="N2089" s="1058"/>
    </row>
    <row r="2090" spans="1:14" ht="12.75" customHeight="1" x14ac:dyDescent="0.2">
      <c r="A2090" s="1061"/>
      <c r="B2090" s="1057"/>
      <c r="C2090" s="1057"/>
      <c r="D2090" s="1057"/>
      <c r="E2090" s="1057"/>
      <c r="F2090" s="1057"/>
      <c r="G2090" s="1058"/>
      <c r="H2090" s="9" t="str">
        <f t="shared" si="135"/>
        <v/>
      </c>
      <c r="I2090" s="1059" t="str">
        <f t="shared" si="136"/>
        <v/>
      </c>
      <c r="J2090" s="1058"/>
      <c r="K2090" s="1060"/>
      <c r="L2090" s="1058"/>
      <c r="M2090" s="1059" t="str">
        <f t="shared" si="137"/>
        <v/>
      </c>
      <c r="N2090" s="1058"/>
    </row>
    <row r="2091" spans="1:14" ht="12.75" customHeight="1" x14ac:dyDescent="0.25">
      <c r="A2091" s="3"/>
      <c r="B2091" s="3"/>
      <c r="C2091" s="3"/>
      <c r="D2091" s="3"/>
      <c r="E2091" s="3"/>
      <c r="F2091" s="3"/>
      <c r="G2091" s="3"/>
      <c r="H2091" s="3"/>
      <c r="I2091" s="3"/>
      <c r="J2091" s="3"/>
      <c r="K2091" s="1066" t="s">
        <v>201</v>
      </c>
      <c r="L2091" s="1058"/>
      <c r="M2091" s="1059">
        <f>SUM(M2085:N2090)</f>
        <v>1707015.2513600001</v>
      </c>
      <c r="N2091" s="1058"/>
    </row>
    <row r="2092" spans="1:14" ht="12.75" customHeight="1" x14ac:dyDescent="0.25">
      <c r="A2092" s="3"/>
      <c r="B2092" s="3"/>
      <c r="C2092" s="3"/>
      <c r="D2092" s="3"/>
      <c r="E2092" s="3"/>
      <c r="F2092" s="3"/>
      <c r="G2092" s="3"/>
      <c r="H2092" s="3"/>
      <c r="I2092" s="3"/>
      <c r="J2092" s="3"/>
      <c r="K2092" s="3"/>
      <c r="L2092" s="3"/>
      <c r="M2092" s="3"/>
      <c r="N2092" s="3"/>
    </row>
    <row r="2093" spans="1:14" ht="12.75" customHeight="1" x14ac:dyDescent="0.2">
      <c r="A2093" s="1065" t="s">
        <v>390</v>
      </c>
      <c r="B2093" s="1057"/>
      <c r="C2093" s="1057"/>
      <c r="D2093" s="1057"/>
      <c r="E2093" s="1057"/>
      <c r="F2093" s="1057"/>
      <c r="G2093" s="1057"/>
      <c r="H2093" s="1057"/>
      <c r="I2093" s="1057"/>
      <c r="J2093" s="1057"/>
      <c r="K2093" s="1057"/>
      <c r="L2093" s="1057"/>
      <c r="M2093" s="1057"/>
      <c r="N2093" s="1058"/>
    </row>
    <row r="2094" spans="1:14" ht="12.75" customHeight="1" x14ac:dyDescent="0.2">
      <c r="A2094" s="1066" t="s">
        <v>38</v>
      </c>
      <c r="B2094" s="1057"/>
      <c r="C2094" s="1057"/>
      <c r="D2094" s="1057"/>
      <c r="E2094" s="1057"/>
      <c r="F2094" s="1057"/>
      <c r="G2094" s="1058"/>
      <c r="H2094" s="28" t="s">
        <v>39</v>
      </c>
      <c r="I2094" s="1062" t="s">
        <v>385</v>
      </c>
      <c r="J2094" s="1058"/>
      <c r="K2094" s="1062" t="s">
        <v>132</v>
      </c>
      <c r="L2094" s="1058"/>
      <c r="M2094" s="1062" t="s">
        <v>386</v>
      </c>
      <c r="N2094" s="1058"/>
    </row>
    <row r="2095" spans="1:14" ht="12.75" customHeight="1" x14ac:dyDescent="0.2">
      <c r="A2095" s="1061"/>
      <c r="B2095" s="1057"/>
      <c r="C2095" s="1057"/>
      <c r="D2095" s="1057"/>
      <c r="E2095" s="1057"/>
      <c r="F2095" s="1057"/>
      <c r="G2095" s="1058"/>
      <c r="H2095" s="9" t="str">
        <f>IF(A2095="","",VLOOKUP(A2095,AA_Equipos,7,FALSE))</f>
        <v/>
      </c>
      <c r="I2095" s="1059"/>
      <c r="J2095" s="1058"/>
      <c r="K2095" s="1064"/>
      <c r="L2095" s="1058"/>
      <c r="M2095" s="1059" t="str">
        <f>IF(A2095="","",I2095*K2095)</f>
        <v/>
      </c>
      <c r="N2095" s="1058"/>
    </row>
    <row r="2096" spans="1:14" ht="12.75" customHeight="1" x14ac:dyDescent="0.2">
      <c r="A2096" s="1056"/>
      <c r="B2096" s="1057"/>
      <c r="C2096" s="1057"/>
      <c r="D2096" s="1057"/>
      <c r="E2096" s="1057"/>
      <c r="F2096" s="1057"/>
      <c r="G2096" s="1058"/>
      <c r="H2096" s="9" t="str">
        <f>IF(A2096="","",VLOOKUP(A2096,AA_Equipos,7,FALSE))</f>
        <v/>
      </c>
      <c r="I2096" s="1059" t="str">
        <f>IF(A2096="","",VLOOKUP(A2096,AA_Equipos,8,FALSE))</f>
        <v/>
      </c>
      <c r="J2096" s="1058"/>
      <c r="K2096" s="1067"/>
      <c r="L2096" s="1058"/>
      <c r="M2096" s="1059" t="str">
        <f>IF(A2096="","",I2096*K2096)</f>
        <v/>
      </c>
      <c r="N2096" s="1058"/>
    </row>
    <row r="2097" spans="1:14" ht="12.75" customHeight="1" x14ac:dyDescent="0.2">
      <c r="A2097" s="1061"/>
      <c r="B2097" s="1057"/>
      <c r="C2097" s="1057"/>
      <c r="D2097" s="1057"/>
      <c r="E2097" s="1057"/>
      <c r="F2097" s="1057"/>
      <c r="G2097" s="1058"/>
      <c r="H2097" s="9" t="str">
        <f>IF(A2097="","",VLOOKUP(A2097,AA_Equipos,7,FALSE))</f>
        <v/>
      </c>
      <c r="I2097" s="1059" t="str">
        <f>IF(A2097="","",VLOOKUP(A2097,AA_Equipos,8,FALSE))</f>
        <v/>
      </c>
      <c r="J2097" s="1058"/>
      <c r="K2097" s="1070"/>
      <c r="L2097" s="1058"/>
      <c r="M2097" s="1059" t="str">
        <f>IF(A2097="","",I2097*K2097)</f>
        <v/>
      </c>
      <c r="N2097" s="1058"/>
    </row>
    <row r="2098" spans="1:14" ht="12.75" customHeight="1" x14ac:dyDescent="0.2">
      <c r="A2098" s="1061"/>
      <c r="B2098" s="1057"/>
      <c r="C2098" s="1057"/>
      <c r="D2098" s="1057"/>
      <c r="E2098" s="1057"/>
      <c r="F2098" s="1057"/>
      <c r="G2098" s="1058"/>
      <c r="H2098" s="9" t="str">
        <f>IF(A2098="","",VLOOKUP(A2098,AA_Equipos,7,FALSE))</f>
        <v/>
      </c>
      <c r="I2098" s="1059" t="str">
        <f>IF(A2098="","",VLOOKUP(A2098,AA_Equipos,8,FALSE))</f>
        <v/>
      </c>
      <c r="J2098" s="1058"/>
      <c r="K2098" s="1060"/>
      <c r="L2098" s="1058"/>
      <c r="M2098" s="1059" t="str">
        <f>IF(A2098="","",I2098*K2098)</f>
        <v/>
      </c>
      <c r="N2098" s="1058"/>
    </row>
    <row r="2099" spans="1:14" ht="12.75" customHeight="1" x14ac:dyDescent="0.2">
      <c r="A2099" s="1061"/>
      <c r="B2099" s="1057"/>
      <c r="C2099" s="1057"/>
      <c r="D2099" s="1057"/>
      <c r="E2099" s="1057"/>
      <c r="F2099" s="1057"/>
      <c r="G2099" s="1058"/>
      <c r="H2099" s="9" t="str">
        <f>IF(A2099="","",VLOOKUP(A2099,AA_Equipos,7,FALSE))</f>
        <v/>
      </c>
      <c r="I2099" s="1059" t="str">
        <f>IF(A2099="","",VLOOKUP(A2099,AA_Equipos,8,FALSE))</f>
        <v/>
      </c>
      <c r="J2099" s="1058"/>
      <c r="K2099" s="1060"/>
      <c r="L2099" s="1058"/>
      <c r="M2099" s="1059" t="str">
        <f>IF(A2099="","",I2099*K2099)</f>
        <v/>
      </c>
      <c r="N2099" s="1058"/>
    </row>
    <row r="2100" spans="1:14" ht="12.75" customHeight="1" x14ac:dyDescent="0.25">
      <c r="A2100" s="3"/>
      <c r="B2100" s="3"/>
      <c r="C2100" s="3"/>
      <c r="D2100" s="3"/>
      <c r="E2100" s="3"/>
      <c r="F2100" s="3"/>
      <c r="G2100" s="3"/>
      <c r="H2100" s="3"/>
      <c r="I2100" s="3"/>
      <c r="J2100" s="3"/>
      <c r="K2100" s="1066" t="s">
        <v>201</v>
      </c>
      <c r="L2100" s="1058"/>
      <c r="M2100" s="1059">
        <f>SUM(M2095:N2099)</f>
        <v>0</v>
      </c>
      <c r="N2100" s="1058"/>
    </row>
    <row r="2101" spans="1:14" ht="12.75" customHeight="1" x14ac:dyDescent="0.25">
      <c r="A2101" s="3"/>
      <c r="B2101" s="3"/>
      <c r="C2101" s="3"/>
      <c r="D2101" s="3"/>
      <c r="E2101" s="3"/>
      <c r="F2101" s="3"/>
      <c r="G2101" s="3"/>
      <c r="H2101" s="3"/>
      <c r="I2101" s="3"/>
      <c r="J2101" s="3"/>
      <c r="K2101" s="3"/>
      <c r="L2101" s="3"/>
      <c r="M2101" s="3"/>
      <c r="N2101" s="3"/>
    </row>
    <row r="2102" spans="1:14" ht="12.75" customHeight="1" x14ac:dyDescent="0.2">
      <c r="A2102" s="1065" t="s">
        <v>392</v>
      </c>
      <c r="B2102" s="1057"/>
      <c r="C2102" s="1057"/>
      <c r="D2102" s="1057"/>
      <c r="E2102" s="1057"/>
      <c r="F2102" s="1057"/>
      <c r="G2102" s="1057"/>
      <c r="H2102" s="1057"/>
      <c r="I2102" s="1057"/>
      <c r="J2102" s="1057"/>
      <c r="K2102" s="1057"/>
      <c r="L2102" s="1057"/>
      <c r="M2102" s="1057"/>
      <c r="N2102" s="1058"/>
    </row>
    <row r="2103" spans="1:14" ht="12.75" customHeight="1" x14ac:dyDescent="0.2">
      <c r="A2103" s="1066" t="s">
        <v>38</v>
      </c>
      <c r="B2103" s="1057"/>
      <c r="C2103" s="1057"/>
      <c r="D2103" s="1057"/>
      <c r="E2103" s="1057"/>
      <c r="F2103" s="1057"/>
      <c r="G2103" s="1058"/>
      <c r="H2103" s="28" t="s">
        <v>39</v>
      </c>
      <c r="I2103" s="1062" t="s">
        <v>385</v>
      </c>
      <c r="J2103" s="1058"/>
      <c r="K2103" s="1062" t="s">
        <v>132</v>
      </c>
      <c r="L2103" s="1058"/>
      <c r="M2103" s="1062" t="s">
        <v>386</v>
      </c>
      <c r="N2103" s="1058"/>
    </row>
    <row r="2104" spans="1:14" ht="12.75" customHeight="1" x14ac:dyDescent="0.2">
      <c r="A2104" s="1061"/>
      <c r="B2104" s="1057"/>
      <c r="C2104" s="1057"/>
      <c r="D2104" s="1057"/>
      <c r="E2104" s="1057"/>
      <c r="F2104" s="1057"/>
      <c r="G2104" s="1058"/>
      <c r="H2104" s="9"/>
      <c r="I2104" s="1059"/>
      <c r="J2104" s="1058"/>
      <c r="K2104" s="1064"/>
      <c r="L2104" s="1058"/>
      <c r="M2104" s="1059" t="str">
        <f>IF(A2104="","",I2104*K2104)</f>
        <v/>
      </c>
      <c r="N2104" s="1058"/>
    </row>
    <row r="2105" spans="1:14" ht="12.75" customHeight="1" x14ac:dyDescent="0.2">
      <c r="A2105" s="1056"/>
      <c r="B2105" s="1057"/>
      <c r="C2105" s="1057"/>
      <c r="D2105" s="1057"/>
      <c r="E2105" s="1057"/>
      <c r="F2105" s="1057"/>
      <c r="G2105" s="1058"/>
      <c r="H2105" s="9"/>
      <c r="I2105" s="1059"/>
      <c r="J2105" s="1058"/>
      <c r="K2105" s="1081"/>
      <c r="L2105" s="1058"/>
      <c r="M2105" s="1059" t="str">
        <f>IF(A2105="","",I2105*K2105)</f>
        <v/>
      </c>
      <c r="N2105" s="1058"/>
    </row>
    <row r="2106" spans="1:14" ht="12.75" customHeight="1" x14ac:dyDescent="0.2">
      <c r="A2106" s="1061"/>
      <c r="B2106" s="1057"/>
      <c r="C2106" s="1057"/>
      <c r="D2106" s="1057"/>
      <c r="E2106" s="1057"/>
      <c r="F2106" s="1057"/>
      <c r="G2106" s="1058"/>
      <c r="H2106" s="9"/>
      <c r="I2106" s="1059"/>
      <c r="J2106" s="1058"/>
      <c r="K2106" s="1060"/>
      <c r="L2106" s="1058"/>
      <c r="M2106" s="1059" t="str">
        <f>IF(A2106="","",I2106*K2106)</f>
        <v/>
      </c>
      <c r="N2106" s="1058"/>
    </row>
    <row r="2107" spans="1:14" ht="12.75" customHeight="1" x14ac:dyDescent="0.2">
      <c r="A2107" s="1061"/>
      <c r="B2107" s="1057"/>
      <c r="C2107" s="1057"/>
      <c r="D2107" s="1057"/>
      <c r="E2107" s="1057"/>
      <c r="F2107" s="1057"/>
      <c r="G2107" s="1058"/>
      <c r="H2107" s="9"/>
      <c r="I2107" s="1059"/>
      <c r="J2107" s="1058"/>
      <c r="K2107" s="1060"/>
      <c r="L2107" s="1058"/>
      <c r="M2107" s="1059" t="str">
        <f>IF(A2107="","",I2107*K2107)</f>
        <v/>
      </c>
      <c r="N2107" s="1058"/>
    </row>
    <row r="2108" spans="1:14" ht="12.75" customHeight="1" x14ac:dyDescent="0.2">
      <c r="A2108" s="1061"/>
      <c r="B2108" s="1057"/>
      <c r="C2108" s="1057"/>
      <c r="D2108" s="1057"/>
      <c r="E2108" s="1057"/>
      <c r="F2108" s="1057"/>
      <c r="G2108" s="1058"/>
      <c r="H2108" s="9"/>
      <c r="I2108" s="1059"/>
      <c r="J2108" s="1058"/>
      <c r="K2108" s="1060"/>
      <c r="L2108" s="1058"/>
      <c r="M2108" s="1059" t="str">
        <f>IF(A2108="","",I2108*K2108)</f>
        <v/>
      </c>
      <c r="N2108" s="1058"/>
    </row>
    <row r="2109" spans="1:14" ht="12.75" customHeight="1" x14ac:dyDescent="0.25">
      <c r="A2109" s="3"/>
      <c r="B2109" s="3"/>
      <c r="C2109" s="3"/>
      <c r="D2109" s="3"/>
      <c r="E2109" s="3"/>
      <c r="F2109" s="3"/>
      <c r="G2109" s="3"/>
      <c r="H2109" s="3"/>
      <c r="I2109" s="3"/>
      <c r="J2109" s="3"/>
      <c r="K2109" s="1066" t="s">
        <v>201</v>
      </c>
      <c r="L2109" s="1058"/>
      <c r="M2109" s="1059">
        <f>SUM(M2104:N2108)</f>
        <v>0</v>
      </c>
      <c r="N2109" s="1058"/>
    </row>
    <row r="2110" spans="1:14" ht="12.75" customHeight="1" x14ac:dyDescent="0.25">
      <c r="A2110" s="3"/>
      <c r="B2110" s="3"/>
      <c r="C2110" s="3"/>
      <c r="D2110" s="3"/>
      <c r="E2110" s="3"/>
      <c r="F2110" s="3"/>
      <c r="G2110" s="3"/>
      <c r="H2110" s="3"/>
      <c r="I2110" s="3"/>
      <c r="J2110" s="3"/>
      <c r="K2110" s="33"/>
      <c r="L2110" s="34"/>
      <c r="M2110" s="29"/>
      <c r="N2110" s="35"/>
    </row>
    <row r="2111" spans="1:14" ht="12.75" customHeight="1" x14ac:dyDescent="0.2">
      <c r="A2111" s="1065" t="s">
        <v>394</v>
      </c>
      <c r="B2111" s="1057"/>
      <c r="C2111" s="1057"/>
      <c r="D2111" s="1057"/>
      <c r="E2111" s="1057"/>
      <c r="F2111" s="1057"/>
      <c r="G2111" s="1057"/>
      <c r="H2111" s="1057"/>
      <c r="I2111" s="1057"/>
      <c r="J2111" s="1057"/>
      <c r="K2111" s="1057"/>
      <c r="L2111" s="1057"/>
      <c r="M2111" s="1057"/>
      <c r="N2111" s="1058"/>
    </row>
    <row r="2112" spans="1:14" ht="12.75" customHeight="1" x14ac:dyDescent="0.2">
      <c r="A2112" s="1066" t="s">
        <v>38</v>
      </c>
      <c r="B2112" s="1057"/>
      <c r="C2112" s="1057"/>
      <c r="D2112" s="1057"/>
      <c r="E2112" s="1057"/>
      <c r="F2112" s="1057"/>
      <c r="G2112" s="1058"/>
      <c r="H2112" s="28" t="s">
        <v>39</v>
      </c>
      <c r="I2112" s="1062" t="s">
        <v>385</v>
      </c>
      <c r="J2112" s="1058"/>
      <c r="K2112" s="30" t="s">
        <v>193</v>
      </c>
      <c r="L2112" s="31" t="s">
        <v>395</v>
      </c>
      <c r="M2112" s="1062" t="s">
        <v>386</v>
      </c>
      <c r="N2112" s="1058"/>
    </row>
    <row r="2113" spans="1:15" ht="12.75" customHeight="1" x14ac:dyDescent="0.25">
      <c r="A2113" s="1063" t="s">
        <v>418</v>
      </c>
      <c r="B2113" s="1057"/>
      <c r="C2113" s="1057"/>
      <c r="D2113" s="1057"/>
      <c r="E2113" s="1057"/>
      <c r="F2113" s="1057"/>
      <c r="G2113" s="1058"/>
      <c r="H2113" s="9" t="str">
        <f>IF(A2113="","",VLOOKUP(A2113,AA_Cuadrillas,4,FALSE))</f>
        <v>Cuadrilla</v>
      </c>
      <c r="I2113" s="1059">
        <f>IF(A2113="","",VLOOKUP(A2113,AA_Cuadrillas,5,FALSE))</f>
        <v>280145</v>
      </c>
      <c r="J2113" s="1058"/>
      <c r="K2113" s="1">
        <f>IF(A2113="","",'06'!$J$3)</f>
        <v>1.7233500000000002</v>
      </c>
      <c r="L2113" s="32">
        <v>0.05</v>
      </c>
      <c r="M2113" s="1059">
        <f>IF(A2113="","",I2113*K2113*L2113)</f>
        <v>24139.394287500003</v>
      </c>
      <c r="N2113" s="1058"/>
    </row>
    <row r="2114" spans="1:15" ht="12.75" customHeight="1" x14ac:dyDescent="0.25">
      <c r="A2114" s="1063"/>
      <c r="B2114" s="1057"/>
      <c r="C2114" s="1057"/>
      <c r="D2114" s="1057"/>
      <c r="E2114" s="1057"/>
      <c r="F2114" s="1057"/>
      <c r="G2114" s="1058"/>
      <c r="H2114" s="9" t="str">
        <f>IF(A2114="","",VLOOKUP(A2114,AA_Cuadrillas,4,FALSE))</f>
        <v/>
      </c>
      <c r="I2114" s="1059" t="str">
        <f>IF(A2114="","",VLOOKUP(A2114,AA_Cuadrillas,5,FALSE))</f>
        <v/>
      </c>
      <c r="J2114" s="1058"/>
      <c r="K2114" s="1" t="str">
        <f>IF(A2114="","",'06'!$J$3)</f>
        <v/>
      </c>
      <c r="L2114" s="1"/>
      <c r="M2114" s="1059" t="str">
        <f>IF(A2114="","",I2114*K2114*L2114)</f>
        <v/>
      </c>
      <c r="N2114" s="1058"/>
    </row>
    <row r="2115" spans="1:15" ht="12.75" customHeight="1" x14ac:dyDescent="0.25">
      <c r="A2115" s="1063"/>
      <c r="B2115" s="1057"/>
      <c r="C2115" s="1057"/>
      <c r="D2115" s="1057"/>
      <c r="E2115" s="1057"/>
      <c r="F2115" s="1057"/>
      <c r="G2115" s="1058"/>
      <c r="H2115" s="9" t="str">
        <f>IF(A2115="","",VLOOKUP(A2115,AA_Cuadrillas,4,FALSE))</f>
        <v/>
      </c>
      <c r="I2115" s="1059" t="str">
        <f>IF(A2115="","",VLOOKUP(A2115,AA_Cuadrillas,5,FALSE))</f>
        <v/>
      </c>
      <c r="J2115" s="1058"/>
      <c r="K2115" s="1" t="str">
        <f>IF(A2115="","",'06'!$J$3)</f>
        <v/>
      </c>
      <c r="L2115" s="10"/>
      <c r="M2115" s="1059" t="str">
        <f>IF(A2115="","",I2115*K2115*L2115)</f>
        <v/>
      </c>
      <c r="N2115" s="1058"/>
    </row>
    <row r="2116" spans="1:15" ht="12.75" customHeight="1" x14ac:dyDescent="0.25">
      <c r="A2116" s="1063"/>
      <c r="B2116" s="1057"/>
      <c r="C2116" s="1057"/>
      <c r="D2116" s="1057"/>
      <c r="E2116" s="1057"/>
      <c r="F2116" s="1057"/>
      <c r="G2116" s="1058"/>
      <c r="H2116" s="9" t="str">
        <f>IF(A2116="","",VLOOKUP(A2116,AA_Cuadrillas,4,FALSE))</f>
        <v/>
      </c>
      <c r="I2116" s="1059" t="str">
        <f>IF(A2116="","",VLOOKUP(A2116,AA_Cuadrillas,5,FALSE))</f>
        <v/>
      </c>
      <c r="J2116" s="1058"/>
      <c r="K2116" s="1" t="str">
        <f>IF(A2116="","",'06'!$J$3)</f>
        <v/>
      </c>
      <c r="L2116" s="10"/>
      <c r="M2116" s="1059" t="str">
        <f>IF(A2116="","",I2116*K2116*L2116)</f>
        <v/>
      </c>
      <c r="N2116" s="1058"/>
    </row>
    <row r="2117" spans="1:15" ht="12.75" customHeight="1" x14ac:dyDescent="0.25">
      <c r="A2117" s="1063"/>
      <c r="B2117" s="1057"/>
      <c r="C2117" s="1057"/>
      <c r="D2117" s="1057"/>
      <c r="E2117" s="1057"/>
      <c r="F2117" s="1057"/>
      <c r="G2117" s="1058"/>
      <c r="H2117" s="9" t="str">
        <f>IF(A2117="","",VLOOKUP(A2117,AA_Cuadrillas,4,FALSE))</f>
        <v/>
      </c>
      <c r="I2117" s="1059" t="str">
        <f>IF(A2117="","",VLOOKUP(A2117,AA_Cuadrillas,5,FALSE))</f>
        <v/>
      </c>
      <c r="J2117" s="1058"/>
      <c r="K2117" s="1" t="str">
        <f>IF(A2117="","",'06'!$J$3)</f>
        <v/>
      </c>
      <c r="L2117" s="10"/>
      <c r="M2117" s="1059" t="str">
        <f>IF(A2117="","",I2117*K2117*L2117)</f>
        <v/>
      </c>
      <c r="N2117" s="1058"/>
    </row>
    <row r="2118" spans="1:15" ht="12.75" customHeight="1" x14ac:dyDescent="0.25">
      <c r="A2118" s="3"/>
      <c r="B2118" s="3"/>
      <c r="C2118" s="3"/>
      <c r="D2118" s="3"/>
      <c r="E2118" s="3"/>
      <c r="F2118" s="3"/>
      <c r="G2118" s="3"/>
      <c r="H2118" s="3"/>
      <c r="I2118" s="3"/>
      <c r="J2118" s="3"/>
      <c r="K2118" s="1066" t="s">
        <v>201</v>
      </c>
      <c r="L2118" s="1058"/>
      <c r="M2118" s="1059">
        <f>SUM(M2113:N2117)</f>
        <v>24139.394287500003</v>
      </c>
      <c r="N2118" s="1058"/>
    </row>
    <row r="2119" spans="1:15" ht="12.75" customHeight="1" x14ac:dyDescent="0.2"/>
    <row r="2120" spans="1:15" ht="12.75" customHeight="1" x14ac:dyDescent="0.2">
      <c r="A2120" s="1072" t="s">
        <v>1715</v>
      </c>
      <c r="B2120" s="1052"/>
      <c r="C2120" s="1052"/>
      <c r="D2120" s="1052"/>
      <c r="E2120" s="1052"/>
      <c r="F2120" s="1052"/>
      <c r="G2120" s="1052"/>
      <c r="H2120" s="1052"/>
      <c r="I2120" s="1052"/>
      <c r="J2120" s="1052"/>
      <c r="K2120" s="1052"/>
      <c r="L2120" s="1052"/>
      <c r="M2120" s="1052"/>
      <c r="N2120" s="1053"/>
      <c r="O2120" s="7"/>
    </row>
    <row r="2121" spans="1:15" ht="12.75" customHeight="1" x14ac:dyDescent="0.2">
      <c r="A2121" s="1031"/>
      <c r="B2121" s="1032"/>
      <c r="C2121" s="1032"/>
      <c r="D2121" s="1032"/>
      <c r="E2121" s="1032"/>
      <c r="F2121" s="1032"/>
      <c r="G2121" s="1032"/>
      <c r="H2121" s="1032"/>
      <c r="I2121" s="1032"/>
      <c r="J2121" s="1032"/>
      <c r="K2121" s="1032"/>
      <c r="L2121" s="1032"/>
      <c r="M2121" s="1032"/>
      <c r="N2121" s="1055"/>
      <c r="O2121" s="7"/>
    </row>
    <row r="2122" spans="1:15" ht="12.75" customHeight="1" x14ac:dyDescent="0.2">
      <c r="A2122" s="16"/>
      <c r="B2122" s="16"/>
      <c r="C2122" s="16"/>
      <c r="D2122" s="16"/>
      <c r="E2122" s="16"/>
      <c r="F2122" s="16"/>
      <c r="G2122" s="16"/>
      <c r="H2122" s="16"/>
      <c r="I2122" s="16"/>
      <c r="J2122" s="16"/>
      <c r="K2122" s="16"/>
      <c r="L2122" s="16"/>
      <c r="M2122" s="16"/>
      <c r="N2122" s="16"/>
    </row>
    <row r="2123" spans="1:15" ht="12.75" customHeight="1" x14ac:dyDescent="0.3">
      <c r="A2123" s="18" t="s">
        <v>340</v>
      </c>
      <c r="B2123" s="19" t="str">
        <f>A2120</f>
        <v>TUBERÍA PVC 10" RDE 21 (INCLUYE INSTALACIÓN Y SUMINISTRO)</v>
      </c>
      <c r="C2123" s="20" t="s">
        <v>382</v>
      </c>
      <c r="D2123" s="127" t="s">
        <v>419</v>
      </c>
      <c r="E2123" s="22" t="s">
        <v>125</v>
      </c>
      <c r="F2123" s="26">
        <f>(H2123+J2123+L2123+N2123)*$O$2</f>
        <v>428795.28986910416</v>
      </c>
      <c r="G2123" s="22" t="s">
        <v>285</v>
      </c>
      <c r="H2123" s="26">
        <f>M2143</f>
        <v>1206.9697143750002</v>
      </c>
      <c r="I2123" s="22" t="s">
        <v>383</v>
      </c>
      <c r="J2123" s="38">
        <f>M2134</f>
        <v>304496.16666666669</v>
      </c>
      <c r="K2123" s="22" t="s">
        <v>287</v>
      </c>
      <c r="L2123" s="38">
        <f>M2152</f>
        <v>0</v>
      </c>
      <c r="M2123" s="22" t="s">
        <v>288</v>
      </c>
      <c r="N2123" s="38">
        <f>M2161</f>
        <v>24139.394287500003</v>
      </c>
    </row>
    <row r="2124" spans="1:15" ht="12.75" customHeight="1" x14ac:dyDescent="0.25">
      <c r="A2124" s="27"/>
      <c r="B2124" s="27"/>
      <c r="C2124" s="27"/>
      <c r="D2124" s="27"/>
      <c r="E2124" s="27"/>
      <c r="F2124" s="27"/>
      <c r="G2124" s="27"/>
      <c r="J2124" s="27"/>
      <c r="K2124" s="27"/>
      <c r="L2124" s="27"/>
      <c r="M2124" s="27"/>
      <c r="N2124" s="27"/>
    </row>
    <row r="2125" spans="1:15" ht="12.75" customHeight="1" x14ac:dyDescent="0.2">
      <c r="A2125" s="1065" t="s">
        <v>384</v>
      </c>
      <c r="B2125" s="1057"/>
      <c r="C2125" s="1057"/>
      <c r="D2125" s="1057"/>
      <c r="E2125" s="1057"/>
      <c r="F2125" s="1057"/>
      <c r="G2125" s="1057"/>
      <c r="H2125" s="1057"/>
      <c r="I2125" s="1057"/>
      <c r="J2125" s="1057"/>
      <c r="K2125" s="1057"/>
      <c r="L2125" s="1057"/>
      <c r="M2125" s="1057"/>
      <c r="N2125" s="1058"/>
    </row>
    <row r="2126" spans="1:15" ht="12.75" customHeight="1" x14ac:dyDescent="0.2">
      <c r="A2126" s="1066" t="s">
        <v>38</v>
      </c>
      <c r="B2126" s="1057"/>
      <c r="C2126" s="1057"/>
      <c r="D2126" s="1057"/>
      <c r="E2126" s="1057"/>
      <c r="F2126" s="1057"/>
      <c r="G2126" s="1058"/>
      <c r="H2126" s="28" t="s">
        <v>39</v>
      </c>
      <c r="I2126" s="1062" t="s">
        <v>385</v>
      </c>
      <c r="J2126" s="1058"/>
      <c r="K2126" s="1062" t="s">
        <v>132</v>
      </c>
      <c r="L2126" s="1058"/>
      <c r="M2126" s="1062" t="s">
        <v>386</v>
      </c>
      <c r="N2126" s="1058"/>
    </row>
    <row r="2127" spans="1:15" ht="12.75" customHeight="1" x14ac:dyDescent="0.2">
      <c r="A2127" s="1061" t="s">
        <v>1554</v>
      </c>
      <c r="B2127" s="1057"/>
      <c r="C2127" s="1057"/>
      <c r="D2127" s="1057"/>
      <c r="E2127" s="1057"/>
      <c r="F2127" s="1057"/>
      <c r="G2127" s="1058"/>
      <c r="H2127" s="9" t="str">
        <f>IF(A2127="","",VLOOKUP(A2127,AA_Materiales,7,FALSE))</f>
        <v>m</v>
      </c>
      <c r="I2127" s="1059">
        <f>IF(A2127="","",VLOOKUP(A2127,AA_Materiales,8,FALSE))</f>
        <v>304133.86666666664</v>
      </c>
      <c r="J2127" s="1058"/>
      <c r="K2127" s="1060">
        <v>1</v>
      </c>
      <c r="L2127" s="1058"/>
      <c r="M2127" s="1059">
        <f t="shared" ref="M2127:M2132" si="138">IF(A2127="","",I2127*K2127)</f>
        <v>304133.86666666664</v>
      </c>
      <c r="N2127" s="1058"/>
    </row>
    <row r="2128" spans="1:15" ht="12.75" customHeight="1" x14ac:dyDescent="0.2">
      <c r="A2128" s="1056" t="s">
        <v>1603</v>
      </c>
      <c r="B2128" s="1057"/>
      <c r="C2128" s="1057"/>
      <c r="D2128" s="1057"/>
      <c r="E2128" s="1057"/>
      <c r="F2128" s="1057"/>
      <c r="G2128" s="1058"/>
      <c r="H2128" s="9" t="str">
        <f t="shared" ref="H2128:H2132" si="139">IF(A2128="","",VLOOKUP(A2128,AA_Materiales,7,FALSE))</f>
        <v>(1/128) Galón</v>
      </c>
      <c r="I2128" s="1059">
        <f t="shared" ref="I2128:I2132" si="140">IF(A2128="","",VLOOKUP(A2128,AA_Materiales,8,FALSE))</f>
        <v>8539</v>
      </c>
      <c r="J2128" s="1058"/>
      <c r="K2128" s="1078">
        <v>0.02</v>
      </c>
      <c r="L2128" s="1058"/>
      <c r="M2128" s="1059">
        <f t="shared" si="138"/>
        <v>170.78</v>
      </c>
      <c r="N2128" s="1058"/>
    </row>
    <row r="2129" spans="1:15" ht="12.75" customHeight="1" x14ac:dyDescent="0.2">
      <c r="A2129" s="1073" t="s">
        <v>1604</v>
      </c>
      <c r="B2129" s="1074"/>
      <c r="C2129" s="1074"/>
      <c r="D2129" s="1074"/>
      <c r="E2129" s="1074"/>
      <c r="F2129" s="1074"/>
      <c r="G2129" s="1075"/>
      <c r="H2129" s="110" t="str">
        <f t="shared" si="139"/>
        <v>28 gr (1/128)</v>
      </c>
      <c r="I2129" s="1079">
        <f t="shared" si="140"/>
        <v>4788</v>
      </c>
      <c r="J2129" s="1080"/>
      <c r="K2129" s="1078">
        <v>0.04</v>
      </c>
      <c r="L2129" s="1080"/>
      <c r="M2129" s="1079">
        <f t="shared" si="138"/>
        <v>191.52</v>
      </c>
      <c r="N2129" s="1080"/>
    </row>
    <row r="2130" spans="1:15" ht="12.75" customHeight="1" x14ac:dyDescent="0.2">
      <c r="A2130" s="1073"/>
      <c r="B2130" s="1076"/>
      <c r="C2130" s="1076"/>
      <c r="D2130" s="1076"/>
      <c r="E2130" s="1076"/>
      <c r="F2130" s="1076"/>
      <c r="G2130" s="1077"/>
      <c r="H2130" s="9" t="str">
        <f t="shared" si="139"/>
        <v/>
      </c>
      <c r="I2130" s="1059" t="str">
        <f t="shared" si="140"/>
        <v/>
      </c>
      <c r="J2130" s="1058"/>
      <c r="K2130" s="1078"/>
      <c r="L2130" s="1058"/>
      <c r="M2130" s="1059" t="str">
        <f t="shared" si="138"/>
        <v/>
      </c>
      <c r="N2130" s="1058"/>
    </row>
    <row r="2131" spans="1:15" ht="12.75" customHeight="1" x14ac:dyDescent="0.2">
      <c r="A2131" s="1073"/>
      <c r="B2131" s="1076"/>
      <c r="C2131" s="1076"/>
      <c r="D2131" s="1076"/>
      <c r="E2131" s="1076"/>
      <c r="F2131" s="1076"/>
      <c r="G2131" s="1077"/>
      <c r="H2131" s="9" t="str">
        <f t="shared" si="139"/>
        <v/>
      </c>
      <c r="I2131" s="1059" t="str">
        <f t="shared" si="140"/>
        <v/>
      </c>
      <c r="J2131" s="1058"/>
      <c r="K2131" s="1078"/>
      <c r="L2131" s="1058"/>
      <c r="M2131" s="1059" t="str">
        <f t="shared" si="138"/>
        <v/>
      </c>
      <c r="N2131" s="1058"/>
    </row>
    <row r="2132" spans="1:15" ht="12.75" customHeight="1" x14ac:dyDescent="0.2">
      <c r="A2132" s="1056"/>
      <c r="B2132" s="1057"/>
      <c r="C2132" s="1057"/>
      <c r="D2132" s="1057"/>
      <c r="E2132" s="1057"/>
      <c r="F2132" s="1057"/>
      <c r="G2132" s="1058"/>
      <c r="H2132" s="9" t="str">
        <f t="shared" si="139"/>
        <v/>
      </c>
      <c r="I2132" s="1059" t="str">
        <f t="shared" si="140"/>
        <v/>
      </c>
      <c r="J2132" s="1058"/>
      <c r="K2132" s="1078"/>
      <c r="L2132" s="1058"/>
      <c r="M2132" s="1059" t="str">
        <f t="shared" si="138"/>
        <v/>
      </c>
      <c r="N2132" s="1058"/>
    </row>
    <row r="2133" spans="1:15" ht="12.75" customHeight="1" x14ac:dyDescent="0.2">
      <c r="A2133" s="1056"/>
      <c r="B2133" s="1057"/>
      <c r="C2133" s="1057"/>
      <c r="D2133" s="1057"/>
      <c r="E2133" s="1057"/>
      <c r="F2133" s="1057"/>
      <c r="G2133" s="1058"/>
      <c r="H2133" s="9"/>
      <c r="I2133" s="1059"/>
      <c r="J2133" s="1058"/>
      <c r="K2133" s="1060"/>
      <c r="L2133" s="1058"/>
      <c r="M2133" s="1059"/>
      <c r="N2133" s="1058"/>
    </row>
    <row r="2134" spans="1:15" ht="12.75" customHeight="1" x14ac:dyDescent="0.25">
      <c r="A2134" s="3"/>
      <c r="B2134" s="3"/>
      <c r="C2134" s="3"/>
      <c r="D2134" s="3"/>
      <c r="E2134" s="3"/>
      <c r="F2134" s="3"/>
      <c r="G2134" s="3"/>
      <c r="H2134" s="3"/>
      <c r="I2134" s="3"/>
      <c r="J2134" s="3"/>
      <c r="K2134" s="1066" t="s">
        <v>201</v>
      </c>
      <c r="L2134" s="1058"/>
      <c r="M2134" s="1059">
        <f>SUM(M2127:N2133)</f>
        <v>304496.16666666669</v>
      </c>
      <c r="N2134" s="1058"/>
    </row>
    <row r="2135" spans="1:15" ht="12.75" customHeight="1" x14ac:dyDescent="0.25">
      <c r="A2135" s="3"/>
      <c r="B2135" s="3"/>
      <c r="C2135" s="3"/>
      <c r="D2135" s="3"/>
      <c r="E2135" s="3"/>
      <c r="F2135" s="3"/>
      <c r="G2135" s="3"/>
      <c r="H2135" s="3"/>
      <c r="I2135" s="3"/>
      <c r="J2135" s="3"/>
      <c r="K2135" s="3"/>
      <c r="L2135" s="3"/>
      <c r="M2135" s="3"/>
      <c r="N2135" s="3"/>
    </row>
    <row r="2136" spans="1:15" ht="12.75" customHeight="1" x14ac:dyDescent="0.2">
      <c r="A2136" s="1065" t="s">
        <v>390</v>
      </c>
      <c r="B2136" s="1057"/>
      <c r="C2136" s="1057"/>
      <c r="D2136" s="1057"/>
      <c r="E2136" s="1057"/>
      <c r="F2136" s="1057"/>
      <c r="G2136" s="1057"/>
      <c r="H2136" s="1057"/>
      <c r="I2136" s="1057"/>
      <c r="J2136" s="1057"/>
      <c r="K2136" s="1057"/>
      <c r="L2136" s="1057"/>
      <c r="M2136" s="1057"/>
      <c r="N2136" s="1058"/>
    </row>
    <row r="2137" spans="1:15" ht="12.75" customHeight="1" x14ac:dyDescent="0.2">
      <c r="A2137" s="1066" t="s">
        <v>38</v>
      </c>
      <c r="B2137" s="1057"/>
      <c r="C2137" s="1057"/>
      <c r="D2137" s="1057"/>
      <c r="E2137" s="1057"/>
      <c r="F2137" s="1057"/>
      <c r="G2137" s="1058"/>
      <c r="H2137" s="28" t="s">
        <v>39</v>
      </c>
      <c r="I2137" s="1062" t="s">
        <v>385</v>
      </c>
      <c r="J2137" s="1058"/>
      <c r="K2137" s="1062" t="s">
        <v>132</v>
      </c>
      <c r="L2137" s="1058"/>
      <c r="M2137" s="1062" t="s">
        <v>386</v>
      </c>
      <c r="N2137" s="1058"/>
    </row>
    <row r="2138" spans="1:15" ht="12.75" customHeight="1" x14ac:dyDescent="0.2">
      <c r="A2138" s="1061" t="s">
        <v>391</v>
      </c>
      <c r="B2138" s="1057"/>
      <c r="C2138" s="1057"/>
      <c r="D2138" s="1057"/>
      <c r="E2138" s="1057"/>
      <c r="F2138" s="1057"/>
      <c r="G2138" s="1058"/>
      <c r="H2138" s="9" t="str">
        <f>IF(A2138="","",VLOOKUP(A2138,AA_Equipos,7,FALSE))</f>
        <v>% M.O.</v>
      </c>
      <c r="I2138" s="1059">
        <f>+M2161</f>
        <v>24139.394287500003</v>
      </c>
      <c r="J2138" s="1058"/>
      <c r="K2138" s="1064">
        <v>0.05</v>
      </c>
      <c r="L2138" s="1058"/>
      <c r="M2138" s="1059">
        <f>IF(A2138="","",I2138*K2138)</f>
        <v>1206.9697143750002</v>
      </c>
      <c r="N2138" s="1058"/>
    </row>
    <row r="2139" spans="1:15" ht="12.75" customHeight="1" x14ac:dyDescent="0.2">
      <c r="A2139" s="1056"/>
      <c r="B2139" s="1057"/>
      <c r="C2139" s="1057"/>
      <c r="D2139" s="1057"/>
      <c r="E2139" s="1057"/>
      <c r="F2139" s="1057"/>
      <c r="G2139" s="1058"/>
      <c r="H2139" s="9" t="str">
        <f>IF(A2139="","",VLOOKUP(A2139,AA_Equipos,7,FALSE))</f>
        <v/>
      </c>
      <c r="I2139" s="1059" t="str">
        <f>IF(A2139="","",VLOOKUP(A2139,AA_Equipos,8,FALSE))</f>
        <v/>
      </c>
      <c r="J2139" s="1058"/>
      <c r="K2139" s="1067"/>
      <c r="L2139" s="1058"/>
      <c r="M2139" s="1059" t="str">
        <f>IF(A2139="","",I2139*K2139)</f>
        <v/>
      </c>
      <c r="N2139" s="1058"/>
    </row>
    <row r="2140" spans="1:15" ht="12.75" customHeight="1" x14ac:dyDescent="0.2">
      <c r="A2140" s="1061"/>
      <c r="B2140" s="1057"/>
      <c r="C2140" s="1057"/>
      <c r="D2140" s="1057"/>
      <c r="E2140" s="1057"/>
      <c r="F2140" s="1057"/>
      <c r="G2140" s="1058"/>
      <c r="H2140" s="9" t="str">
        <f>IF(A2140="","",VLOOKUP(A2140,AA_Equipos,7,FALSE))</f>
        <v/>
      </c>
      <c r="I2140" s="1059" t="str">
        <f>IF(A2140="","",VLOOKUP(A2140,AA_Equipos,8,FALSE))</f>
        <v/>
      </c>
      <c r="J2140" s="1058"/>
      <c r="K2140" s="1070"/>
      <c r="L2140" s="1058"/>
      <c r="M2140" s="1059" t="str">
        <f>IF(A2140="","",I2140*K2140)</f>
        <v/>
      </c>
      <c r="N2140" s="1058"/>
    </row>
    <row r="2141" spans="1:15" ht="12.75" customHeight="1" x14ac:dyDescent="0.2">
      <c r="A2141" s="1061"/>
      <c r="B2141" s="1057"/>
      <c r="C2141" s="1057"/>
      <c r="D2141" s="1057"/>
      <c r="E2141" s="1057"/>
      <c r="F2141" s="1057"/>
      <c r="G2141" s="1058"/>
      <c r="H2141" s="9" t="str">
        <f>IF(A2141="","",VLOOKUP(A2141,AA_Equipos,7,FALSE))</f>
        <v/>
      </c>
      <c r="I2141" s="1059" t="str">
        <f>IF(A2141="","",VLOOKUP(A2141,AA_Equipos,8,FALSE))</f>
        <v/>
      </c>
      <c r="J2141" s="1058"/>
      <c r="K2141" s="1060"/>
      <c r="L2141" s="1058"/>
      <c r="M2141" s="1059" t="str">
        <f>IF(A2141="","",I2141*K2141)</f>
        <v/>
      </c>
      <c r="N2141" s="1058"/>
    </row>
    <row r="2142" spans="1:15" ht="12.75" customHeight="1" x14ac:dyDescent="0.2">
      <c r="A2142" s="1061"/>
      <c r="B2142" s="1057"/>
      <c r="C2142" s="1057"/>
      <c r="D2142" s="1057"/>
      <c r="E2142" s="1057"/>
      <c r="F2142" s="1057"/>
      <c r="G2142" s="1058"/>
      <c r="H2142" s="9" t="str">
        <f>IF(A2142="","",VLOOKUP(A2142,AA_Equipos,7,FALSE))</f>
        <v/>
      </c>
      <c r="I2142" s="1059" t="str">
        <f>IF(A2142="","",VLOOKUP(A2142,AA_Equipos,8,FALSE))</f>
        <v/>
      </c>
      <c r="J2142" s="1058"/>
      <c r="K2142" s="1060"/>
      <c r="L2142" s="1058"/>
      <c r="M2142" s="1059" t="str">
        <f>IF(A2142="","",I2142*K2142)</f>
        <v/>
      </c>
      <c r="N2142" s="1058"/>
      <c r="O2142" s="7"/>
    </row>
    <row r="2143" spans="1:15" ht="12.75" customHeight="1" x14ac:dyDescent="0.25">
      <c r="A2143" s="3"/>
      <c r="B2143" s="3"/>
      <c r="C2143" s="3"/>
      <c r="D2143" s="3"/>
      <c r="E2143" s="3"/>
      <c r="F2143" s="3"/>
      <c r="G2143" s="3"/>
      <c r="H2143" s="3"/>
      <c r="I2143" s="3"/>
      <c r="J2143" s="3"/>
      <c r="K2143" s="1066" t="s">
        <v>201</v>
      </c>
      <c r="L2143" s="1058"/>
      <c r="M2143" s="1059">
        <f>SUM(M2138:N2142)</f>
        <v>1206.9697143750002</v>
      </c>
      <c r="N2143" s="1058"/>
      <c r="O2143" s="7"/>
    </row>
    <row r="2144" spans="1:15" ht="12.75" customHeight="1" x14ac:dyDescent="0.25">
      <c r="A2144" s="3"/>
      <c r="B2144" s="3"/>
      <c r="C2144" s="3"/>
      <c r="D2144" s="3"/>
      <c r="E2144" s="3"/>
      <c r="F2144" s="3"/>
      <c r="G2144" s="3"/>
      <c r="H2144" s="3"/>
      <c r="I2144" s="3"/>
      <c r="J2144" s="3"/>
      <c r="K2144" s="3"/>
      <c r="L2144" s="3"/>
      <c r="M2144" s="3"/>
      <c r="N2144" s="3"/>
    </row>
    <row r="2145" spans="1:14" ht="12.75" customHeight="1" x14ac:dyDescent="0.2">
      <c r="A2145" s="1065" t="s">
        <v>392</v>
      </c>
      <c r="B2145" s="1057"/>
      <c r="C2145" s="1057"/>
      <c r="D2145" s="1057"/>
      <c r="E2145" s="1057"/>
      <c r="F2145" s="1057"/>
      <c r="G2145" s="1057"/>
      <c r="H2145" s="1057"/>
      <c r="I2145" s="1057"/>
      <c r="J2145" s="1057"/>
      <c r="K2145" s="1057"/>
      <c r="L2145" s="1057"/>
      <c r="M2145" s="1057"/>
      <c r="N2145" s="1058"/>
    </row>
    <row r="2146" spans="1:14" ht="12.75" customHeight="1" x14ac:dyDescent="0.2">
      <c r="A2146" s="1066" t="s">
        <v>38</v>
      </c>
      <c r="B2146" s="1057"/>
      <c r="C2146" s="1057"/>
      <c r="D2146" s="1057"/>
      <c r="E2146" s="1057"/>
      <c r="F2146" s="1057"/>
      <c r="G2146" s="1058"/>
      <c r="H2146" s="28" t="s">
        <v>39</v>
      </c>
      <c r="I2146" s="1062" t="s">
        <v>385</v>
      </c>
      <c r="J2146" s="1058"/>
      <c r="K2146" s="1062" t="s">
        <v>132</v>
      </c>
      <c r="L2146" s="1058"/>
      <c r="M2146" s="1062" t="s">
        <v>386</v>
      </c>
      <c r="N2146" s="1058"/>
    </row>
    <row r="2147" spans="1:14" ht="12.75" customHeight="1" x14ac:dyDescent="0.2">
      <c r="A2147" s="1061"/>
      <c r="B2147" s="1057"/>
      <c r="C2147" s="1057"/>
      <c r="D2147" s="1057"/>
      <c r="E2147" s="1057"/>
      <c r="F2147" s="1057"/>
      <c r="G2147" s="1058"/>
      <c r="H2147" s="9"/>
      <c r="I2147" s="1059"/>
      <c r="J2147" s="1058"/>
      <c r="K2147" s="1064"/>
      <c r="L2147" s="1058"/>
      <c r="M2147" s="1059" t="str">
        <f>IF(A2147="","",I2147*K2147)</f>
        <v/>
      </c>
      <c r="N2147" s="1058"/>
    </row>
    <row r="2148" spans="1:14" ht="12.75" customHeight="1" x14ac:dyDescent="0.2">
      <c r="A2148" s="1056"/>
      <c r="B2148" s="1057"/>
      <c r="C2148" s="1057"/>
      <c r="D2148" s="1057"/>
      <c r="E2148" s="1057"/>
      <c r="F2148" s="1057"/>
      <c r="G2148" s="1058"/>
      <c r="H2148" s="9"/>
      <c r="I2148" s="1059"/>
      <c r="J2148" s="1058"/>
      <c r="K2148" s="1064"/>
      <c r="L2148" s="1058"/>
      <c r="M2148" s="1059" t="str">
        <f>IF(A2148="","",I2148*K2148)</f>
        <v/>
      </c>
      <c r="N2148" s="1058"/>
    </row>
    <row r="2149" spans="1:14" ht="12.75" customHeight="1" x14ac:dyDescent="0.2">
      <c r="A2149" s="1061"/>
      <c r="B2149" s="1057"/>
      <c r="C2149" s="1057"/>
      <c r="D2149" s="1057"/>
      <c r="E2149" s="1057"/>
      <c r="F2149" s="1057"/>
      <c r="G2149" s="1058"/>
      <c r="H2149" s="9"/>
      <c r="I2149" s="1059"/>
      <c r="J2149" s="1058"/>
      <c r="K2149" s="1060"/>
      <c r="L2149" s="1058"/>
      <c r="M2149" s="1059" t="str">
        <f>IF(A2149="","",I2149*K2149)</f>
        <v/>
      </c>
      <c r="N2149" s="1058"/>
    </row>
    <row r="2150" spans="1:14" ht="12.75" customHeight="1" x14ac:dyDescent="0.2">
      <c r="A2150" s="1061"/>
      <c r="B2150" s="1057"/>
      <c r="C2150" s="1057"/>
      <c r="D2150" s="1057"/>
      <c r="E2150" s="1057"/>
      <c r="F2150" s="1057"/>
      <c r="G2150" s="1058"/>
      <c r="H2150" s="9"/>
      <c r="I2150" s="1059"/>
      <c r="J2150" s="1058"/>
      <c r="K2150" s="1060"/>
      <c r="L2150" s="1058"/>
      <c r="M2150" s="1059" t="str">
        <f>IF(A2150="","",I2150*K2150)</f>
        <v/>
      </c>
      <c r="N2150" s="1058"/>
    </row>
    <row r="2151" spans="1:14" ht="12.75" customHeight="1" x14ac:dyDescent="0.2">
      <c r="A2151" s="1061"/>
      <c r="B2151" s="1057"/>
      <c r="C2151" s="1057"/>
      <c r="D2151" s="1057"/>
      <c r="E2151" s="1057"/>
      <c r="F2151" s="1057"/>
      <c r="G2151" s="1058"/>
      <c r="H2151" s="9"/>
      <c r="I2151" s="1059"/>
      <c r="J2151" s="1058"/>
      <c r="K2151" s="1060"/>
      <c r="L2151" s="1058"/>
      <c r="M2151" s="1059" t="str">
        <f>IF(A2151="","",I2151*K2151)</f>
        <v/>
      </c>
      <c r="N2151" s="1058"/>
    </row>
    <row r="2152" spans="1:14" ht="12.75" customHeight="1" x14ac:dyDescent="0.25">
      <c r="A2152" s="3"/>
      <c r="B2152" s="3"/>
      <c r="C2152" s="3"/>
      <c r="D2152" s="3"/>
      <c r="E2152" s="3"/>
      <c r="F2152" s="3"/>
      <c r="G2152" s="3"/>
      <c r="H2152" s="3"/>
      <c r="I2152" s="3"/>
      <c r="J2152" s="3"/>
      <c r="K2152" s="1066" t="s">
        <v>201</v>
      </c>
      <c r="L2152" s="1058"/>
      <c r="M2152" s="1059">
        <f>SUM(M2147:N2151)</f>
        <v>0</v>
      </c>
      <c r="N2152" s="1058"/>
    </row>
    <row r="2153" spans="1:14" ht="12.75" customHeight="1" x14ac:dyDescent="0.25">
      <c r="A2153" s="3"/>
      <c r="B2153" s="3"/>
      <c r="C2153" s="3"/>
      <c r="D2153" s="3"/>
      <c r="E2153" s="3"/>
      <c r="F2153" s="3"/>
      <c r="G2153" s="3"/>
      <c r="H2153" s="3"/>
      <c r="I2153" s="3"/>
      <c r="J2153" s="3"/>
      <c r="K2153" s="3"/>
      <c r="L2153" s="3"/>
      <c r="M2153" s="3"/>
      <c r="N2153" s="3"/>
    </row>
    <row r="2154" spans="1:14" ht="12.75" customHeight="1" x14ac:dyDescent="0.2">
      <c r="A2154" s="1065" t="s">
        <v>394</v>
      </c>
      <c r="B2154" s="1057"/>
      <c r="C2154" s="1057"/>
      <c r="D2154" s="1057"/>
      <c r="E2154" s="1057"/>
      <c r="F2154" s="1057"/>
      <c r="G2154" s="1057"/>
      <c r="H2154" s="1057"/>
      <c r="I2154" s="1057"/>
      <c r="J2154" s="1057"/>
      <c r="K2154" s="1057"/>
      <c r="L2154" s="1057"/>
      <c r="M2154" s="1057"/>
      <c r="N2154" s="1058"/>
    </row>
    <row r="2155" spans="1:14" ht="12.75" customHeight="1" x14ac:dyDescent="0.2">
      <c r="A2155" s="1066" t="s">
        <v>38</v>
      </c>
      <c r="B2155" s="1057"/>
      <c r="C2155" s="1057"/>
      <c r="D2155" s="1057"/>
      <c r="E2155" s="1057"/>
      <c r="F2155" s="1057"/>
      <c r="G2155" s="1058"/>
      <c r="H2155" s="28" t="s">
        <v>39</v>
      </c>
      <c r="I2155" s="1062" t="s">
        <v>385</v>
      </c>
      <c r="J2155" s="1058"/>
      <c r="K2155" s="30" t="s">
        <v>193</v>
      </c>
      <c r="L2155" s="31" t="s">
        <v>395</v>
      </c>
      <c r="M2155" s="1062" t="s">
        <v>386</v>
      </c>
      <c r="N2155" s="1058"/>
    </row>
    <row r="2156" spans="1:14" ht="12.75" customHeight="1" x14ac:dyDescent="0.25">
      <c r="A2156" s="1063" t="s">
        <v>418</v>
      </c>
      <c r="B2156" s="1057"/>
      <c r="C2156" s="1057"/>
      <c r="D2156" s="1057"/>
      <c r="E2156" s="1057"/>
      <c r="F2156" s="1057"/>
      <c r="G2156" s="1058"/>
      <c r="H2156" s="9" t="str">
        <f>IF(A2156="","",VLOOKUP(A2156,AA_Cuadrillas,4,FALSE))</f>
        <v>Cuadrilla</v>
      </c>
      <c r="I2156" s="1059">
        <f>IF(A2156="","",VLOOKUP(A2156,AA_Cuadrillas,5,FALSE))</f>
        <v>280145</v>
      </c>
      <c r="J2156" s="1058"/>
      <c r="K2156" s="1">
        <f>IF(A2156="","",'06'!$J$3)</f>
        <v>1.7233500000000002</v>
      </c>
      <c r="L2156" s="37">
        <v>0.05</v>
      </c>
      <c r="M2156" s="1059">
        <f>IF(A2156="","",I2156*K2156*L2156)</f>
        <v>24139.394287500003</v>
      </c>
      <c r="N2156" s="1058"/>
    </row>
    <row r="2157" spans="1:14" ht="12.75" customHeight="1" x14ac:dyDescent="0.25">
      <c r="A2157" s="1063"/>
      <c r="B2157" s="1057"/>
      <c r="C2157" s="1057"/>
      <c r="D2157" s="1057"/>
      <c r="E2157" s="1057"/>
      <c r="F2157" s="1057"/>
      <c r="G2157" s="1058"/>
      <c r="H2157" s="9" t="str">
        <f>IF(A2157="","",VLOOKUP(A2157,AA_Cuadrillas,4,FALSE))</f>
        <v/>
      </c>
      <c r="I2157" s="1059" t="str">
        <f>IF(A2157="","",VLOOKUP(A2157,AA_Cuadrillas,5,FALSE))</f>
        <v/>
      </c>
      <c r="J2157" s="1058"/>
      <c r="K2157" s="1" t="str">
        <f>IF(A2157="","",'06'!$J$3)</f>
        <v/>
      </c>
      <c r="L2157" s="1"/>
      <c r="M2157" s="1059" t="str">
        <f>IF(A2157="","",I2157*K2157*L2157)</f>
        <v/>
      </c>
      <c r="N2157" s="1058"/>
    </row>
    <row r="2158" spans="1:14" ht="12.75" customHeight="1" x14ac:dyDescent="0.25">
      <c r="A2158" s="1063"/>
      <c r="B2158" s="1057"/>
      <c r="C2158" s="1057"/>
      <c r="D2158" s="1057"/>
      <c r="E2158" s="1057"/>
      <c r="F2158" s="1057"/>
      <c r="G2158" s="1058"/>
      <c r="H2158" s="9" t="str">
        <f>IF(A2158="","",VLOOKUP(A2158,AA_Cuadrillas,4,FALSE))</f>
        <v/>
      </c>
      <c r="I2158" s="1059" t="str">
        <f>IF(A2158="","",VLOOKUP(A2158,AA_Cuadrillas,5,FALSE))</f>
        <v/>
      </c>
      <c r="J2158" s="1058"/>
      <c r="K2158" s="1" t="str">
        <f>IF(A2158="","",'06'!$J$3)</f>
        <v/>
      </c>
      <c r="L2158" s="1"/>
      <c r="M2158" s="1059" t="str">
        <f>IF(A2158="","",I2158*K2158*L2158)</f>
        <v/>
      </c>
      <c r="N2158" s="1058"/>
    </row>
    <row r="2159" spans="1:14" ht="12.75" customHeight="1" x14ac:dyDescent="0.25">
      <c r="A2159" s="1063"/>
      <c r="B2159" s="1057"/>
      <c r="C2159" s="1057"/>
      <c r="D2159" s="1057"/>
      <c r="E2159" s="1057"/>
      <c r="F2159" s="1057"/>
      <c r="G2159" s="1058"/>
      <c r="H2159" s="9" t="str">
        <f>IF(A2159="","",VLOOKUP(A2159,AA_Cuadrillas,4,FALSE))</f>
        <v/>
      </c>
      <c r="I2159" s="1059" t="str">
        <f>IF(A2159="","",VLOOKUP(A2159,AA_Cuadrillas,5,FALSE))</f>
        <v/>
      </c>
      <c r="J2159" s="1058"/>
      <c r="K2159" s="1" t="str">
        <f>IF(A2159="","",'06'!$J$3)</f>
        <v/>
      </c>
      <c r="L2159" s="10"/>
      <c r="M2159" s="1059" t="str">
        <f>IF(A2159="","",I2159*K2159*L2159)</f>
        <v/>
      </c>
      <c r="N2159" s="1058"/>
    </row>
    <row r="2160" spans="1:14" ht="12.75" customHeight="1" x14ac:dyDescent="0.25">
      <c r="A2160" s="1063"/>
      <c r="B2160" s="1057"/>
      <c r="C2160" s="1057"/>
      <c r="D2160" s="1057"/>
      <c r="E2160" s="1057"/>
      <c r="F2160" s="1057"/>
      <c r="G2160" s="1058"/>
      <c r="H2160" s="9" t="str">
        <f>IF(A2160="","",VLOOKUP(A2160,AA_Cuadrillas,4,FALSE))</f>
        <v/>
      </c>
      <c r="I2160" s="1059" t="str">
        <f>IF(A2160="","",VLOOKUP(A2160,AA_Cuadrillas,5,FALSE))</f>
        <v/>
      </c>
      <c r="J2160" s="1058"/>
      <c r="K2160" s="1" t="str">
        <f>IF(A2160="","",'06'!$J$3)</f>
        <v/>
      </c>
      <c r="L2160" s="10"/>
      <c r="M2160" s="1059" t="str">
        <f>IF(A2160="","",I2160*K2160*L2160)</f>
        <v/>
      </c>
      <c r="N2160" s="1058"/>
    </row>
    <row r="2161" spans="1:14" ht="12.75" customHeight="1" x14ac:dyDescent="0.25">
      <c r="A2161" s="3"/>
      <c r="B2161" s="3"/>
      <c r="C2161" s="3"/>
      <c r="D2161" s="3"/>
      <c r="E2161" s="3"/>
      <c r="F2161" s="3"/>
      <c r="G2161" s="3"/>
      <c r="H2161" s="3"/>
      <c r="I2161" s="3"/>
      <c r="J2161" s="3"/>
      <c r="K2161" s="1066" t="s">
        <v>201</v>
      </c>
      <c r="L2161" s="1058"/>
      <c r="M2161" s="1059">
        <f>SUM(M2156:N2160)</f>
        <v>24139.394287500003</v>
      </c>
      <c r="N2161" s="1058"/>
    </row>
    <row r="2162" spans="1:14" ht="12.75" customHeight="1" x14ac:dyDescent="0.2"/>
    <row r="2163" spans="1:14" ht="12.75" customHeight="1" x14ac:dyDescent="0.2">
      <c r="A2163" s="1072" t="s">
        <v>1716</v>
      </c>
      <c r="B2163" s="1052"/>
      <c r="C2163" s="1052"/>
      <c r="D2163" s="1052"/>
      <c r="E2163" s="1052"/>
      <c r="F2163" s="1052"/>
      <c r="G2163" s="1052"/>
      <c r="H2163" s="1052"/>
      <c r="I2163" s="1052"/>
      <c r="J2163" s="1052"/>
      <c r="K2163" s="1052"/>
      <c r="L2163" s="1052"/>
      <c r="M2163" s="1052"/>
      <c r="N2163" s="1053"/>
    </row>
    <row r="2164" spans="1:14" ht="12.75" customHeight="1" x14ac:dyDescent="0.2">
      <c r="A2164" s="1031"/>
      <c r="B2164" s="1032"/>
      <c r="C2164" s="1032"/>
      <c r="D2164" s="1032"/>
      <c r="E2164" s="1032"/>
      <c r="F2164" s="1032"/>
      <c r="G2164" s="1032"/>
      <c r="H2164" s="1032"/>
      <c r="I2164" s="1032"/>
      <c r="J2164" s="1032"/>
      <c r="K2164" s="1032"/>
      <c r="L2164" s="1032"/>
      <c r="M2164" s="1032"/>
      <c r="N2164" s="1055"/>
    </row>
    <row r="2165" spans="1:14" ht="12.75" customHeight="1" x14ac:dyDescent="0.2">
      <c r="A2165" s="16"/>
      <c r="B2165" s="16"/>
      <c r="C2165" s="16"/>
      <c r="D2165" s="16"/>
      <c r="E2165" s="16"/>
      <c r="F2165" s="16"/>
      <c r="G2165" s="16"/>
      <c r="H2165" s="16"/>
      <c r="I2165" s="16"/>
      <c r="J2165" s="16"/>
      <c r="K2165" s="16"/>
      <c r="L2165" s="16"/>
      <c r="M2165" s="16"/>
      <c r="N2165" s="16"/>
    </row>
    <row r="2166" spans="1:14" ht="12.75" customHeight="1" x14ac:dyDescent="0.3">
      <c r="A2166" s="18" t="s">
        <v>341</v>
      </c>
      <c r="B2166" s="19" t="str">
        <f>A2163</f>
        <v>PASAMUROS PVC 10" E.L L=0.30m (INCLUYE INSTALACIÓN Y SUMINISTRO)</v>
      </c>
      <c r="C2166" s="20" t="s">
        <v>382</v>
      </c>
      <c r="D2166" s="127" t="s">
        <v>424</v>
      </c>
      <c r="E2166" s="22" t="s">
        <v>125</v>
      </c>
      <c r="F2166" s="26">
        <f>(H2166+J2166+L2166+N2166)*$O$2</f>
        <v>1334080.3590944374</v>
      </c>
      <c r="G2166" s="22" t="s">
        <v>285</v>
      </c>
      <c r="H2166" s="26">
        <f>M2176</f>
        <v>1000869.29684</v>
      </c>
      <c r="I2166" s="22" t="s">
        <v>383</v>
      </c>
      <c r="J2166" s="26">
        <f>M2185</f>
        <v>1206.9697143750002</v>
      </c>
      <c r="K2166" s="22" t="s">
        <v>287</v>
      </c>
      <c r="L2166" s="26">
        <f>M2193</f>
        <v>0</v>
      </c>
      <c r="M2166" s="22" t="s">
        <v>288</v>
      </c>
      <c r="N2166" s="26">
        <f>M2202</f>
        <v>24139.394287500003</v>
      </c>
    </row>
    <row r="2167" spans="1:14" ht="12.75" customHeight="1" x14ac:dyDescent="0.25">
      <c r="A2167" s="27"/>
      <c r="B2167" s="27"/>
      <c r="C2167" s="27"/>
      <c r="D2167" s="27"/>
      <c r="E2167" s="27"/>
      <c r="F2167" s="27"/>
      <c r="G2167" s="27"/>
      <c r="J2167" s="27"/>
      <c r="K2167" s="27"/>
      <c r="L2167" s="27"/>
      <c r="M2167" s="27"/>
      <c r="N2167" s="27"/>
    </row>
    <row r="2168" spans="1:14" ht="12.75" customHeight="1" x14ac:dyDescent="0.2">
      <c r="A2168" s="1065" t="s">
        <v>384</v>
      </c>
      <c r="B2168" s="1057"/>
      <c r="C2168" s="1057"/>
      <c r="D2168" s="1057"/>
      <c r="E2168" s="1057"/>
      <c r="F2168" s="1057"/>
      <c r="G2168" s="1057"/>
      <c r="H2168" s="1057"/>
      <c r="I2168" s="1057"/>
      <c r="J2168" s="1057"/>
      <c r="K2168" s="1057"/>
      <c r="L2168" s="1057"/>
      <c r="M2168" s="1057"/>
      <c r="N2168" s="1058"/>
    </row>
    <row r="2169" spans="1:14" ht="12.75" customHeight="1" x14ac:dyDescent="0.2">
      <c r="A2169" s="1066" t="s">
        <v>38</v>
      </c>
      <c r="B2169" s="1057"/>
      <c r="C2169" s="1057"/>
      <c r="D2169" s="1057"/>
      <c r="E2169" s="1057"/>
      <c r="F2169" s="1057"/>
      <c r="G2169" s="1058"/>
      <c r="H2169" s="28" t="s">
        <v>39</v>
      </c>
      <c r="I2169" s="1062" t="s">
        <v>385</v>
      </c>
      <c r="J2169" s="1058"/>
      <c r="K2169" s="1062" t="s">
        <v>132</v>
      </c>
      <c r="L2169" s="1058"/>
      <c r="M2169" s="1062" t="s">
        <v>386</v>
      </c>
      <c r="N2169" s="1058"/>
    </row>
    <row r="2170" spans="1:14" ht="12.75" customHeight="1" x14ac:dyDescent="0.2">
      <c r="A2170" s="1061" t="s">
        <v>1555</v>
      </c>
      <c r="B2170" s="1057"/>
      <c r="C2170" s="1057"/>
      <c r="D2170" s="1057"/>
      <c r="E2170" s="1057"/>
      <c r="F2170" s="1057"/>
      <c r="G2170" s="1058"/>
      <c r="H2170" s="9" t="str">
        <f t="shared" ref="H2170:H2175" si="141">IF(A2170="","",VLOOKUP(A2170,AA_Materiales,7,FALSE))</f>
        <v>Unidad</v>
      </c>
      <c r="I2170" s="1059">
        <f t="shared" ref="I2170:I2175" si="142">IF(A2170="","",VLOOKUP(A2170,AA_Materiales,8,FALSE))</f>
        <v>1000869.29684</v>
      </c>
      <c r="J2170" s="1058"/>
      <c r="K2170" s="1060">
        <v>1</v>
      </c>
      <c r="L2170" s="1058"/>
      <c r="M2170" s="1059">
        <f>+I2170*K2170</f>
        <v>1000869.29684</v>
      </c>
      <c r="N2170" s="1058"/>
    </row>
    <row r="2171" spans="1:14" ht="12.75" customHeight="1" x14ac:dyDescent="0.2">
      <c r="A2171" s="1061"/>
      <c r="B2171" s="1057"/>
      <c r="C2171" s="1057"/>
      <c r="D2171" s="1057"/>
      <c r="E2171" s="1057"/>
      <c r="F2171" s="1057"/>
      <c r="G2171" s="1058"/>
      <c r="H2171" s="9" t="str">
        <f t="shared" si="141"/>
        <v/>
      </c>
      <c r="I2171" s="1059" t="str">
        <f t="shared" si="142"/>
        <v/>
      </c>
      <c r="J2171" s="1058"/>
      <c r="K2171" s="1060"/>
      <c r="L2171" s="1058"/>
      <c r="M2171" s="1059"/>
      <c r="N2171" s="1058"/>
    </row>
    <row r="2172" spans="1:14" ht="12.75" customHeight="1" x14ac:dyDescent="0.2">
      <c r="A2172" s="1061"/>
      <c r="B2172" s="1057"/>
      <c r="C2172" s="1057"/>
      <c r="D2172" s="1057"/>
      <c r="E2172" s="1057"/>
      <c r="F2172" s="1057"/>
      <c r="G2172" s="1058"/>
      <c r="H2172" s="9" t="str">
        <f t="shared" si="141"/>
        <v/>
      </c>
      <c r="I2172" s="1059" t="str">
        <f t="shared" si="142"/>
        <v/>
      </c>
      <c r="J2172" s="1058"/>
      <c r="K2172" s="1060"/>
      <c r="L2172" s="1058"/>
      <c r="M2172" s="1059"/>
      <c r="N2172" s="1058"/>
    </row>
    <row r="2173" spans="1:14" ht="12.75" customHeight="1" x14ac:dyDescent="0.2">
      <c r="A2173" s="1061"/>
      <c r="B2173" s="1057"/>
      <c r="C2173" s="1057"/>
      <c r="D2173" s="1057"/>
      <c r="E2173" s="1057"/>
      <c r="F2173" s="1057"/>
      <c r="G2173" s="1058"/>
      <c r="H2173" s="9" t="str">
        <f t="shared" si="141"/>
        <v/>
      </c>
      <c r="I2173" s="1059" t="str">
        <f t="shared" si="142"/>
        <v/>
      </c>
      <c r="J2173" s="1058"/>
      <c r="K2173" s="1060"/>
      <c r="L2173" s="1058"/>
      <c r="M2173" s="1059" t="str">
        <f>IF(A2173="","",I2173*K2173)</f>
        <v/>
      </c>
      <c r="N2173" s="1058"/>
    </row>
    <row r="2174" spans="1:14" ht="12.75" customHeight="1" x14ac:dyDescent="0.2">
      <c r="A2174" s="1061"/>
      <c r="B2174" s="1057"/>
      <c r="C2174" s="1057"/>
      <c r="D2174" s="1057"/>
      <c r="E2174" s="1057"/>
      <c r="F2174" s="1057"/>
      <c r="G2174" s="1058"/>
      <c r="H2174" s="9" t="str">
        <f t="shared" si="141"/>
        <v/>
      </c>
      <c r="I2174" s="1059" t="str">
        <f t="shared" si="142"/>
        <v/>
      </c>
      <c r="J2174" s="1058"/>
      <c r="K2174" s="1060"/>
      <c r="L2174" s="1058"/>
      <c r="M2174" s="1059" t="str">
        <f>IF(A2174="","",I2174*K2174)</f>
        <v/>
      </c>
      <c r="N2174" s="1058"/>
    </row>
    <row r="2175" spans="1:14" ht="12.75" customHeight="1" x14ac:dyDescent="0.2">
      <c r="A2175" s="1061"/>
      <c r="B2175" s="1057"/>
      <c r="C2175" s="1057"/>
      <c r="D2175" s="1057"/>
      <c r="E2175" s="1057"/>
      <c r="F2175" s="1057"/>
      <c r="G2175" s="1058"/>
      <c r="H2175" s="9" t="str">
        <f t="shared" si="141"/>
        <v/>
      </c>
      <c r="I2175" s="1059" t="str">
        <f t="shared" si="142"/>
        <v/>
      </c>
      <c r="J2175" s="1058"/>
      <c r="K2175" s="1060"/>
      <c r="L2175" s="1058"/>
      <c r="M2175" s="1059" t="str">
        <f>IF(A2175="","",I2175*K2175)</f>
        <v/>
      </c>
      <c r="N2175" s="1058"/>
    </row>
    <row r="2176" spans="1:14" ht="12.75" customHeight="1" x14ac:dyDescent="0.25">
      <c r="A2176" s="3"/>
      <c r="B2176" s="3"/>
      <c r="C2176" s="3"/>
      <c r="D2176" s="3"/>
      <c r="E2176" s="3"/>
      <c r="F2176" s="3"/>
      <c r="G2176" s="3"/>
      <c r="H2176" s="3"/>
      <c r="I2176" s="3"/>
      <c r="J2176" s="3"/>
      <c r="K2176" s="1066" t="s">
        <v>201</v>
      </c>
      <c r="L2176" s="1058"/>
      <c r="M2176" s="1059">
        <f>SUM(M2170:N2175)</f>
        <v>1000869.29684</v>
      </c>
      <c r="N2176" s="1058"/>
    </row>
    <row r="2177" spans="1:14" ht="12.75" customHeight="1" x14ac:dyDescent="0.25">
      <c r="A2177" s="3"/>
      <c r="B2177" s="3"/>
      <c r="C2177" s="3"/>
      <c r="D2177" s="3"/>
      <c r="E2177" s="3"/>
      <c r="F2177" s="3"/>
      <c r="G2177" s="3"/>
      <c r="H2177" s="3"/>
      <c r="I2177" s="3"/>
      <c r="J2177" s="3"/>
      <c r="K2177" s="3"/>
      <c r="L2177" s="3"/>
      <c r="M2177" s="3"/>
      <c r="N2177" s="3"/>
    </row>
    <row r="2178" spans="1:14" ht="12.75" customHeight="1" x14ac:dyDescent="0.2">
      <c r="A2178" s="1065" t="s">
        <v>390</v>
      </c>
      <c r="B2178" s="1057"/>
      <c r="C2178" s="1057"/>
      <c r="D2178" s="1057"/>
      <c r="E2178" s="1057"/>
      <c r="F2178" s="1057"/>
      <c r="G2178" s="1057"/>
      <c r="H2178" s="1057"/>
      <c r="I2178" s="1057"/>
      <c r="J2178" s="1057"/>
      <c r="K2178" s="1057"/>
      <c r="L2178" s="1057"/>
      <c r="M2178" s="1057"/>
      <c r="N2178" s="1058"/>
    </row>
    <row r="2179" spans="1:14" ht="12.75" customHeight="1" x14ac:dyDescent="0.2">
      <c r="A2179" s="1066" t="s">
        <v>38</v>
      </c>
      <c r="B2179" s="1057"/>
      <c r="C2179" s="1057"/>
      <c r="D2179" s="1057"/>
      <c r="E2179" s="1057"/>
      <c r="F2179" s="1057"/>
      <c r="G2179" s="1058"/>
      <c r="H2179" s="28" t="s">
        <v>39</v>
      </c>
      <c r="I2179" s="1062" t="s">
        <v>385</v>
      </c>
      <c r="J2179" s="1058"/>
      <c r="K2179" s="1062" t="s">
        <v>132</v>
      </c>
      <c r="L2179" s="1058"/>
      <c r="M2179" s="1062" t="s">
        <v>386</v>
      </c>
      <c r="N2179" s="1058"/>
    </row>
    <row r="2180" spans="1:14" ht="12.75" customHeight="1" x14ac:dyDescent="0.2">
      <c r="A2180" s="1061" t="s">
        <v>391</v>
      </c>
      <c r="B2180" s="1057"/>
      <c r="C2180" s="1057"/>
      <c r="D2180" s="1057"/>
      <c r="E2180" s="1057"/>
      <c r="F2180" s="1057"/>
      <c r="G2180" s="1058"/>
      <c r="H2180" s="9" t="str">
        <f>IF(A2180="","",VLOOKUP(A2180,AA_Equipos,7,FALSE))</f>
        <v>% M.O.</v>
      </c>
      <c r="I2180" s="1059">
        <f>+M2202</f>
        <v>24139.394287500003</v>
      </c>
      <c r="J2180" s="1058"/>
      <c r="K2180" s="1064">
        <v>0.05</v>
      </c>
      <c r="L2180" s="1058"/>
      <c r="M2180" s="1059">
        <f>IF(A2180="","",I2180*K2180)</f>
        <v>1206.9697143750002</v>
      </c>
      <c r="N2180" s="1058"/>
    </row>
    <row r="2181" spans="1:14" ht="12.75" customHeight="1" x14ac:dyDescent="0.2">
      <c r="A2181" s="1061"/>
      <c r="B2181" s="1057"/>
      <c r="C2181" s="1057"/>
      <c r="D2181" s="1057"/>
      <c r="E2181" s="1057"/>
      <c r="F2181" s="1057"/>
      <c r="G2181" s="1058"/>
      <c r="H2181" s="9"/>
      <c r="I2181" s="1059"/>
      <c r="J2181" s="1058"/>
      <c r="K2181" s="1060"/>
      <c r="L2181" s="1058"/>
      <c r="M2181" s="1059"/>
      <c r="N2181" s="1058"/>
    </row>
    <row r="2182" spans="1:14" ht="12.75" customHeight="1" x14ac:dyDescent="0.2">
      <c r="A2182" s="1061"/>
      <c r="B2182" s="1057"/>
      <c r="C2182" s="1057"/>
      <c r="D2182" s="1057"/>
      <c r="E2182" s="1057"/>
      <c r="F2182" s="1057"/>
      <c r="G2182" s="1058"/>
      <c r="H2182" s="9"/>
      <c r="I2182" s="1059"/>
      <c r="J2182" s="1058"/>
      <c r="K2182" s="1060"/>
      <c r="L2182" s="1058"/>
      <c r="M2182" s="1059"/>
      <c r="N2182" s="1058"/>
    </row>
    <row r="2183" spans="1:14" ht="12.75" customHeight="1" x14ac:dyDescent="0.2">
      <c r="A2183" s="1061"/>
      <c r="B2183" s="1057"/>
      <c r="C2183" s="1057"/>
      <c r="D2183" s="1057"/>
      <c r="E2183" s="1057"/>
      <c r="F2183" s="1057"/>
      <c r="G2183" s="1058"/>
      <c r="H2183" s="9"/>
      <c r="I2183" s="1059"/>
      <c r="J2183" s="1058"/>
      <c r="K2183" s="1060"/>
      <c r="L2183" s="1058"/>
      <c r="M2183" s="1059"/>
      <c r="N2183" s="1058"/>
    </row>
    <row r="2184" spans="1:14" ht="12.75" customHeight="1" x14ac:dyDescent="0.2">
      <c r="A2184" s="1061"/>
      <c r="B2184" s="1057"/>
      <c r="C2184" s="1057"/>
      <c r="D2184" s="1057"/>
      <c r="E2184" s="1057"/>
      <c r="F2184" s="1057"/>
      <c r="G2184" s="1058"/>
      <c r="H2184" s="9"/>
      <c r="I2184" s="1059"/>
      <c r="J2184" s="1058"/>
      <c r="K2184" s="1060"/>
      <c r="L2184" s="1058"/>
      <c r="M2184" s="1059"/>
      <c r="N2184" s="1058"/>
    </row>
    <row r="2185" spans="1:14" ht="12.75" customHeight="1" x14ac:dyDescent="0.25">
      <c r="A2185" s="3"/>
      <c r="B2185" s="3"/>
      <c r="C2185" s="3"/>
      <c r="D2185" s="3"/>
      <c r="E2185" s="3"/>
      <c r="F2185" s="3"/>
      <c r="G2185" s="3"/>
      <c r="H2185" s="3"/>
      <c r="I2185" s="3"/>
      <c r="J2185" s="3"/>
      <c r="K2185" s="1066" t="s">
        <v>201</v>
      </c>
      <c r="L2185" s="1058"/>
      <c r="M2185" s="1059">
        <f>SUM(M2180:N2184)</f>
        <v>1206.9697143750002</v>
      </c>
      <c r="N2185" s="1058"/>
    </row>
    <row r="2186" spans="1:14" ht="12.75" customHeight="1" x14ac:dyDescent="0.25">
      <c r="A2186" s="3"/>
      <c r="B2186" s="3"/>
      <c r="C2186" s="3"/>
      <c r="D2186" s="3"/>
      <c r="E2186" s="3"/>
      <c r="F2186" s="3"/>
      <c r="G2186" s="3"/>
      <c r="H2186" s="3"/>
      <c r="I2186" s="3"/>
      <c r="J2186" s="3"/>
      <c r="K2186" s="3"/>
      <c r="L2186" s="3"/>
      <c r="M2186" s="3"/>
      <c r="N2186" s="3"/>
    </row>
    <row r="2187" spans="1:14" ht="12.75" customHeight="1" x14ac:dyDescent="0.2">
      <c r="A2187" s="1065" t="s">
        <v>392</v>
      </c>
      <c r="B2187" s="1057"/>
      <c r="C2187" s="1057"/>
      <c r="D2187" s="1057"/>
      <c r="E2187" s="1057"/>
      <c r="F2187" s="1057"/>
      <c r="G2187" s="1057"/>
      <c r="H2187" s="1057"/>
      <c r="I2187" s="1057"/>
      <c r="J2187" s="1057"/>
      <c r="K2187" s="1057"/>
      <c r="L2187" s="1057"/>
      <c r="M2187" s="1057"/>
      <c r="N2187" s="1058"/>
    </row>
    <row r="2188" spans="1:14" ht="12.75" customHeight="1" x14ac:dyDescent="0.2">
      <c r="A2188" s="1066" t="s">
        <v>38</v>
      </c>
      <c r="B2188" s="1057"/>
      <c r="C2188" s="1057"/>
      <c r="D2188" s="1057"/>
      <c r="E2188" s="1057"/>
      <c r="F2188" s="1057"/>
      <c r="G2188" s="1058"/>
      <c r="H2188" s="28" t="s">
        <v>39</v>
      </c>
      <c r="I2188" s="1062" t="s">
        <v>385</v>
      </c>
      <c r="J2188" s="1058"/>
      <c r="K2188" s="1062" t="s">
        <v>132</v>
      </c>
      <c r="L2188" s="1058"/>
      <c r="M2188" s="1062" t="s">
        <v>386</v>
      </c>
      <c r="N2188" s="1058"/>
    </row>
    <row r="2189" spans="1:14" ht="12.75" customHeight="1" x14ac:dyDescent="0.2">
      <c r="A2189" s="1056"/>
      <c r="B2189" s="1057"/>
      <c r="C2189" s="1057"/>
      <c r="D2189" s="1057"/>
      <c r="E2189" s="1057"/>
      <c r="F2189" s="1057"/>
      <c r="G2189" s="1058"/>
      <c r="H2189" s="9"/>
      <c r="I2189" s="1059"/>
      <c r="J2189" s="1058"/>
      <c r="K2189" s="1064"/>
      <c r="L2189" s="1058"/>
      <c r="M2189" s="1059"/>
      <c r="N2189" s="1058"/>
    </row>
    <row r="2190" spans="1:14" ht="12.75" customHeight="1" x14ac:dyDescent="0.2">
      <c r="A2190" s="1061"/>
      <c r="B2190" s="1057"/>
      <c r="C2190" s="1057"/>
      <c r="D2190" s="1057"/>
      <c r="E2190" s="1057"/>
      <c r="F2190" s="1057"/>
      <c r="G2190" s="1058"/>
      <c r="H2190" s="9"/>
      <c r="I2190" s="1059"/>
      <c r="J2190" s="1058"/>
      <c r="K2190" s="1060"/>
      <c r="L2190" s="1058"/>
      <c r="M2190" s="1059" t="str">
        <f>IF(A2190="","",I2190*K2190)</f>
        <v/>
      </c>
      <c r="N2190" s="1058"/>
    </row>
    <row r="2191" spans="1:14" ht="12.75" customHeight="1" x14ac:dyDescent="0.2">
      <c r="A2191" s="1061"/>
      <c r="B2191" s="1057"/>
      <c r="C2191" s="1057"/>
      <c r="D2191" s="1057"/>
      <c r="E2191" s="1057"/>
      <c r="F2191" s="1057"/>
      <c r="G2191" s="1058"/>
      <c r="H2191" s="9"/>
      <c r="I2191" s="1059"/>
      <c r="J2191" s="1058"/>
      <c r="K2191" s="1060"/>
      <c r="L2191" s="1058"/>
      <c r="M2191" s="1059" t="str">
        <f>IF(A2191="","",I2191*K2191)</f>
        <v/>
      </c>
      <c r="N2191" s="1058"/>
    </row>
    <row r="2192" spans="1:14" ht="12.75" customHeight="1" x14ac:dyDescent="0.2">
      <c r="A2192" s="1061"/>
      <c r="B2192" s="1057"/>
      <c r="C2192" s="1057"/>
      <c r="D2192" s="1057"/>
      <c r="E2192" s="1057"/>
      <c r="F2192" s="1057"/>
      <c r="G2192" s="1058"/>
      <c r="H2192" s="9"/>
      <c r="I2192" s="1059"/>
      <c r="J2192" s="1058"/>
      <c r="K2192" s="1060"/>
      <c r="L2192" s="1058"/>
      <c r="M2192" s="1059" t="str">
        <f>IF(A2192="","",I2192*K2192)</f>
        <v/>
      </c>
      <c r="N2192" s="1058"/>
    </row>
    <row r="2193" spans="1:14" ht="12.75" customHeight="1" x14ac:dyDescent="0.25">
      <c r="A2193" s="3"/>
      <c r="B2193" s="3"/>
      <c r="C2193" s="3"/>
      <c r="D2193" s="3"/>
      <c r="E2193" s="3"/>
      <c r="F2193" s="3"/>
      <c r="G2193" s="3"/>
      <c r="H2193" s="3"/>
      <c r="I2193" s="3"/>
      <c r="J2193" s="3"/>
      <c r="K2193" s="1066" t="s">
        <v>201</v>
      </c>
      <c r="L2193" s="1058"/>
      <c r="M2193" s="1059">
        <f>SUM(M2189:N2192)</f>
        <v>0</v>
      </c>
      <c r="N2193" s="1058"/>
    </row>
    <row r="2194" spans="1:14" ht="12.75" customHeight="1" x14ac:dyDescent="0.25">
      <c r="A2194" s="3"/>
      <c r="B2194" s="3"/>
      <c r="C2194" s="3"/>
      <c r="D2194" s="3"/>
      <c r="E2194" s="3"/>
      <c r="F2194" s="3"/>
      <c r="G2194" s="3"/>
      <c r="H2194" s="3"/>
      <c r="I2194" s="3"/>
      <c r="J2194" s="3"/>
      <c r="K2194" s="3"/>
      <c r="L2194" s="3"/>
      <c r="M2194" s="3"/>
      <c r="N2194" s="3"/>
    </row>
    <row r="2195" spans="1:14" ht="12.75" customHeight="1" x14ac:dyDescent="0.2">
      <c r="A2195" s="1065" t="s">
        <v>394</v>
      </c>
      <c r="B2195" s="1057"/>
      <c r="C2195" s="1057"/>
      <c r="D2195" s="1057"/>
      <c r="E2195" s="1057"/>
      <c r="F2195" s="1057"/>
      <c r="G2195" s="1057"/>
      <c r="H2195" s="1057"/>
      <c r="I2195" s="1057"/>
      <c r="J2195" s="1057"/>
      <c r="K2195" s="1057"/>
      <c r="L2195" s="1057"/>
      <c r="M2195" s="1057"/>
      <c r="N2195" s="1058"/>
    </row>
    <row r="2196" spans="1:14" ht="12.75" customHeight="1" x14ac:dyDescent="0.2">
      <c r="A2196" s="1066" t="s">
        <v>38</v>
      </c>
      <c r="B2196" s="1057"/>
      <c r="C2196" s="1057"/>
      <c r="D2196" s="1057"/>
      <c r="E2196" s="1057"/>
      <c r="F2196" s="1057"/>
      <c r="G2196" s="1058"/>
      <c r="H2196" s="28" t="s">
        <v>39</v>
      </c>
      <c r="I2196" s="1062" t="s">
        <v>385</v>
      </c>
      <c r="J2196" s="1058"/>
      <c r="K2196" s="30" t="s">
        <v>193</v>
      </c>
      <c r="L2196" s="31" t="s">
        <v>395</v>
      </c>
      <c r="M2196" s="1062" t="s">
        <v>386</v>
      </c>
      <c r="N2196" s="1058"/>
    </row>
    <row r="2197" spans="1:14" ht="12.75" customHeight="1" x14ac:dyDescent="0.25">
      <c r="A2197" s="1063" t="s">
        <v>418</v>
      </c>
      <c r="B2197" s="1057"/>
      <c r="C2197" s="1057"/>
      <c r="D2197" s="1057"/>
      <c r="E2197" s="1057"/>
      <c r="F2197" s="1057"/>
      <c r="G2197" s="1058"/>
      <c r="H2197" s="9" t="str">
        <f>IF(A2197="","",VLOOKUP(A2197,AA_Cuadrillas,4,FALSE))</f>
        <v>Cuadrilla</v>
      </c>
      <c r="I2197" s="1059">
        <f>IF(A2197="","",VLOOKUP(A2197,AA_Cuadrillas,5,FALSE))</f>
        <v>280145</v>
      </c>
      <c r="J2197" s="1058"/>
      <c r="K2197" s="1">
        <f>IF(A2197="","",'06'!$J$3)</f>
        <v>1.7233500000000002</v>
      </c>
      <c r="L2197" s="37">
        <v>0.05</v>
      </c>
      <c r="M2197" s="1059">
        <f>IF(A2197="","",I2197*K2197*L2197)</f>
        <v>24139.394287500003</v>
      </c>
      <c r="N2197" s="1058"/>
    </row>
    <row r="2198" spans="1:14" ht="12.75" customHeight="1" x14ac:dyDescent="0.25">
      <c r="A2198" s="1063"/>
      <c r="B2198" s="1057"/>
      <c r="C2198" s="1057"/>
      <c r="D2198" s="1057"/>
      <c r="E2198" s="1057"/>
      <c r="F2198" s="1057"/>
      <c r="G2198" s="1058"/>
      <c r="H2198" s="9" t="str">
        <f>IF(A2198="","",VLOOKUP(A2198,AA_Cuadrillas,4,FALSE))</f>
        <v/>
      </c>
      <c r="I2198" s="1059" t="str">
        <f>IF(A2198="","",VLOOKUP(A2198,AA_Cuadrillas,5,FALSE))</f>
        <v/>
      </c>
      <c r="J2198" s="1058"/>
      <c r="K2198" s="1" t="s">
        <v>477</v>
      </c>
      <c r="L2198" s="1"/>
      <c r="M2198" s="1059" t="str">
        <f>IF(A2198="","",I2198*K2198*L2198)</f>
        <v/>
      </c>
      <c r="N2198" s="1058"/>
    </row>
    <row r="2199" spans="1:14" ht="12.75" customHeight="1" x14ac:dyDescent="0.25">
      <c r="A2199" s="1063"/>
      <c r="B2199" s="1057"/>
      <c r="C2199" s="1057"/>
      <c r="D2199" s="1057"/>
      <c r="E2199" s="1057"/>
      <c r="F2199" s="1057"/>
      <c r="G2199" s="1058"/>
      <c r="H2199" s="9" t="str">
        <f>IF(A2199="","",VLOOKUP(A2199,AA_Cuadrillas,4,FALSE))</f>
        <v/>
      </c>
      <c r="I2199" s="1059" t="str">
        <f>IF(A2199="","",VLOOKUP(A2199,AA_Cuadrillas,5,FALSE))</f>
        <v/>
      </c>
      <c r="J2199" s="1058"/>
      <c r="K2199" s="1" t="s">
        <v>477</v>
      </c>
      <c r="L2199" s="10"/>
      <c r="M2199" s="1059" t="str">
        <f>IF(A2199="","",I2199*K2199*L2199)</f>
        <v/>
      </c>
      <c r="N2199" s="1058"/>
    </row>
    <row r="2200" spans="1:14" ht="12.75" customHeight="1" x14ac:dyDescent="0.25">
      <c r="A2200" s="1063"/>
      <c r="B2200" s="1057"/>
      <c r="C2200" s="1057"/>
      <c r="D2200" s="1057"/>
      <c r="E2200" s="1057"/>
      <c r="F2200" s="1057"/>
      <c r="G2200" s="1058"/>
      <c r="H2200" s="9" t="str">
        <f>IF(A2200="","",VLOOKUP(A2200,AA_Cuadrillas,4,FALSE))</f>
        <v/>
      </c>
      <c r="I2200" s="1059" t="str">
        <f>IF(A2200="","",VLOOKUP(A2200,AA_Cuadrillas,5,FALSE))</f>
        <v/>
      </c>
      <c r="J2200" s="1058"/>
      <c r="K2200" s="1" t="s">
        <v>477</v>
      </c>
      <c r="L2200" s="10"/>
      <c r="M2200" s="1059" t="str">
        <f>IF(A2200="","",I2200*K2200*L2200)</f>
        <v/>
      </c>
      <c r="N2200" s="1058"/>
    </row>
    <row r="2201" spans="1:14" ht="12.75" customHeight="1" x14ac:dyDescent="0.25">
      <c r="A2201" s="1063"/>
      <c r="B2201" s="1057"/>
      <c r="C2201" s="1057"/>
      <c r="D2201" s="1057"/>
      <c r="E2201" s="1057"/>
      <c r="F2201" s="1057"/>
      <c r="G2201" s="1058"/>
      <c r="H2201" s="9" t="str">
        <f>IF(A2201="","",VLOOKUP(A2201,AA_Cuadrillas,4,FALSE))</f>
        <v/>
      </c>
      <c r="I2201" s="1059" t="str">
        <f>IF(A2201="","",VLOOKUP(A2201,AA_Cuadrillas,5,FALSE))</f>
        <v/>
      </c>
      <c r="J2201" s="1058"/>
      <c r="K2201" s="1" t="s">
        <v>477</v>
      </c>
      <c r="L2201" s="10"/>
      <c r="M2201" s="1059" t="str">
        <f>IF(A2201="","",I2201*K2201*L2201)</f>
        <v/>
      </c>
      <c r="N2201" s="1058"/>
    </row>
    <row r="2202" spans="1:14" ht="12.75" customHeight="1" x14ac:dyDescent="0.25">
      <c r="A2202" s="3"/>
      <c r="B2202" s="3"/>
      <c r="C2202" s="3"/>
      <c r="D2202" s="3"/>
      <c r="E2202" s="3"/>
      <c r="F2202" s="3"/>
      <c r="G2202" s="3"/>
      <c r="H2202" s="3"/>
      <c r="I2202" s="3"/>
      <c r="J2202" s="3"/>
      <c r="K2202" s="1066" t="s">
        <v>201</v>
      </c>
      <c r="L2202" s="1058"/>
      <c r="M2202" s="1059">
        <f>SUM(M2197:N2201)</f>
        <v>24139.394287500003</v>
      </c>
      <c r="N2202" s="1058"/>
    </row>
    <row r="2203" spans="1:14" ht="12.75" customHeight="1" x14ac:dyDescent="0.2"/>
    <row r="2204" spans="1:14" ht="12.75" customHeight="1" x14ac:dyDescent="0.2">
      <c r="A2204" s="1072" t="s">
        <v>1717</v>
      </c>
      <c r="B2204" s="1052"/>
      <c r="C2204" s="1052"/>
      <c r="D2204" s="1052"/>
      <c r="E2204" s="1052"/>
      <c r="F2204" s="1052"/>
      <c r="G2204" s="1052"/>
      <c r="H2204" s="1052"/>
      <c r="I2204" s="1052"/>
      <c r="J2204" s="1052"/>
      <c r="K2204" s="1052"/>
      <c r="L2204" s="1052"/>
      <c r="M2204" s="1052"/>
      <c r="N2204" s="1053"/>
    </row>
    <row r="2205" spans="1:14" ht="12.75" customHeight="1" x14ac:dyDescent="0.2">
      <c r="A2205" s="1031"/>
      <c r="B2205" s="1032"/>
      <c r="C2205" s="1032"/>
      <c r="D2205" s="1032"/>
      <c r="E2205" s="1032"/>
      <c r="F2205" s="1032"/>
      <c r="G2205" s="1032"/>
      <c r="H2205" s="1032"/>
      <c r="I2205" s="1032"/>
      <c r="J2205" s="1032"/>
      <c r="K2205" s="1032"/>
      <c r="L2205" s="1032"/>
      <c r="M2205" s="1032"/>
      <c r="N2205" s="1055"/>
    </row>
    <row r="2206" spans="1:14" ht="12.75" customHeight="1" x14ac:dyDescent="0.2">
      <c r="A2206" s="16"/>
      <c r="B2206" s="16"/>
      <c r="C2206" s="16"/>
      <c r="D2206" s="16"/>
      <c r="E2206" s="16"/>
      <c r="F2206" s="16"/>
      <c r="G2206" s="16"/>
      <c r="H2206" s="16"/>
      <c r="I2206" s="16"/>
      <c r="J2206" s="16"/>
      <c r="K2206" s="16"/>
      <c r="L2206" s="16"/>
      <c r="M2206" s="16"/>
      <c r="N2206" s="16"/>
    </row>
    <row r="2207" spans="1:14" ht="12.75" customHeight="1" x14ac:dyDescent="0.3">
      <c r="A2207" s="18" t="s">
        <v>342</v>
      </c>
      <c r="B2207" s="19" t="str">
        <f>A2204</f>
        <v>UNIÓN PVC 10" (INCLUYE INSTALACIÓN Y SUMINISTRO)</v>
      </c>
      <c r="C2207" s="20" t="s">
        <v>382</v>
      </c>
      <c r="D2207" s="127" t="s">
        <v>424</v>
      </c>
      <c r="E2207" s="22" t="s">
        <v>125</v>
      </c>
      <c r="F2207" s="26">
        <f>(H2207+J2207+L2207+N2207)*$O$2</f>
        <v>1341141.403734925</v>
      </c>
      <c r="G2207" s="22" t="s">
        <v>285</v>
      </c>
      <c r="H2207" s="26">
        <f>M2226</f>
        <v>1448.36365725</v>
      </c>
      <c r="I2207" s="22" t="s">
        <v>383</v>
      </c>
      <c r="J2207" s="26">
        <f>M2217</f>
        <v>1001231.59684</v>
      </c>
      <c r="K2207" s="22" t="s">
        <v>287</v>
      </c>
      <c r="L2207" s="26">
        <f>M2235</f>
        <v>0</v>
      </c>
      <c r="M2207" s="22" t="s">
        <v>288</v>
      </c>
      <c r="N2207" s="26">
        <f>M2244</f>
        <v>28967.273144999999</v>
      </c>
    </row>
    <row r="2208" spans="1:14" ht="12.75" customHeight="1" x14ac:dyDescent="0.25">
      <c r="A2208" s="27"/>
      <c r="B2208" s="27"/>
      <c r="C2208" s="27"/>
      <c r="D2208" s="27"/>
      <c r="E2208" s="27"/>
      <c r="F2208" s="27"/>
      <c r="G2208" s="27"/>
      <c r="J2208" s="27"/>
      <c r="K2208" s="27"/>
      <c r="L2208" s="27"/>
      <c r="M2208" s="27"/>
      <c r="N2208" s="27"/>
    </row>
    <row r="2209" spans="1:14" ht="12.75" customHeight="1" x14ac:dyDescent="0.2">
      <c r="A2209" s="1065" t="s">
        <v>384</v>
      </c>
      <c r="B2209" s="1057"/>
      <c r="C2209" s="1057"/>
      <c r="D2209" s="1057"/>
      <c r="E2209" s="1057"/>
      <c r="F2209" s="1057"/>
      <c r="G2209" s="1057"/>
      <c r="H2209" s="1057"/>
      <c r="I2209" s="1057"/>
      <c r="J2209" s="1057"/>
      <c r="K2209" s="1057"/>
      <c r="L2209" s="1057"/>
      <c r="M2209" s="1057"/>
      <c r="N2209" s="1058"/>
    </row>
    <row r="2210" spans="1:14" ht="12.75" customHeight="1" x14ac:dyDescent="0.2">
      <c r="A2210" s="1066" t="s">
        <v>38</v>
      </c>
      <c r="B2210" s="1057"/>
      <c r="C2210" s="1057"/>
      <c r="D2210" s="1057"/>
      <c r="E2210" s="1057"/>
      <c r="F2210" s="1057"/>
      <c r="G2210" s="1058"/>
      <c r="H2210" s="28" t="s">
        <v>39</v>
      </c>
      <c r="I2210" s="1062" t="s">
        <v>385</v>
      </c>
      <c r="J2210" s="1058"/>
      <c r="K2210" s="1062" t="s">
        <v>132</v>
      </c>
      <c r="L2210" s="1058"/>
      <c r="M2210" s="1062" t="s">
        <v>386</v>
      </c>
      <c r="N2210" s="1058"/>
    </row>
    <row r="2211" spans="1:14" ht="12.75" customHeight="1" x14ac:dyDescent="0.2">
      <c r="A2211" s="1061" t="s">
        <v>1556</v>
      </c>
      <c r="B2211" s="1057"/>
      <c r="C2211" s="1057"/>
      <c r="D2211" s="1057"/>
      <c r="E2211" s="1057"/>
      <c r="F2211" s="1057"/>
      <c r="G2211" s="1058"/>
      <c r="H2211" s="9" t="str">
        <f t="shared" ref="H2211:H2216" si="143">IF(A2211="","",VLOOKUP(A2211,AA_Materiales,7,FALSE))</f>
        <v>Unidad</v>
      </c>
      <c r="I2211" s="1059">
        <f t="shared" ref="I2211:I2216" si="144">IF(A2211="","",VLOOKUP(A2211,AA_Materiales,8,FALSE))</f>
        <v>1000869.29684</v>
      </c>
      <c r="J2211" s="1058"/>
      <c r="K2211" s="1060">
        <v>1</v>
      </c>
      <c r="L2211" s="1058"/>
      <c r="M2211" s="1059">
        <f t="shared" ref="M2211:M2216" si="145">IF(A2211="","",I2211*K2211)</f>
        <v>1000869.29684</v>
      </c>
      <c r="N2211" s="1058"/>
    </row>
    <row r="2212" spans="1:14" ht="12.75" customHeight="1" x14ac:dyDescent="0.2">
      <c r="A2212" s="1056" t="s">
        <v>1603</v>
      </c>
      <c r="B2212" s="1057"/>
      <c r="C2212" s="1057"/>
      <c r="D2212" s="1057"/>
      <c r="E2212" s="1057"/>
      <c r="F2212" s="1057"/>
      <c r="G2212" s="1058"/>
      <c r="H2212" s="9" t="str">
        <f t="shared" si="143"/>
        <v>(1/128) Galón</v>
      </c>
      <c r="I2212" s="1059">
        <f t="shared" si="144"/>
        <v>8539</v>
      </c>
      <c r="J2212" s="1058"/>
      <c r="K2212" s="1060">
        <v>0.02</v>
      </c>
      <c r="L2212" s="1058"/>
      <c r="M2212" s="1059">
        <f t="shared" si="145"/>
        <v>170.78</v>
      </c>
      <c r="N2212" s="1058"/>
    </row>
    <row r="2213" spans="1:14" ht="12.75" customHeight="1" x14ac:dyDescent="0.2">
      <c r="A2213" s="1073" t="s">
        <v>1604</v>
      </c>
      <c r="B2213" s="1074"/>
      <c r="C2213" s="1074"/>
      <c r="D2213" s="1074"/>
      <c r="E2213" s="1074"/>
      <c r="F2213" s="1074"/>
      <c r="G2213" s="1075"/>
      <c r="H2213" s="9" t="str">
        <f t="shared" si="143"/>
        <v>28 gr (1/128)</v>
      </c>
      <c r="I2213" s="1059">
        <f t="shared" si="144"/>
        <v>4788</v>
      </c>
      <c r="J2213" s="1058"/>
      <c r="K2213" s="1060">
        <v>0.04</v>
      </c>
      <c r="L2213" s="1058"/>
      <c r="M2213" s="1059">
        <f t="shared" si="145"/>
        <v>191.52</v>
      </c>
      <c r="N2213" s="1058"/>
    </row>
    <row r="2214" spans="1:14" ht="12.75" customHeight="1" x14ac:dyDescent="0.2">
      <c r="A2214" s="1061"/>
      <c r="B2214" s="1057"/>
      <c r="C2214" s="1057"/>
      <c r="D2214" s="1057"/>
      <c r="E2214" s="1057"/>
      <c r="F2214" s="1057"/>
      <c r="G2214" s="1058"/>
      <c r="H2214" s="9" t="str">
        <f t="shared" si="143"/>
        <v/>
      </c>
      <c r="I2214" s="1059" t="str">
        <f t="shared" si="144"/>
        <v/>
      </c>
      <c r="J2214" s="1058"/>
      <c r="K2214" s="1060"/>
      <c r="L2214" s="1058"/>
      <c r="M2214" s="1059" t="str">
        <f t="shared" si="145"/>
        <v/>
      </c>
      <c r="N2214" s="1058"/>
    </row>
    <row r="2215" spans="1:14" ht="12.75" customHeight="1" x14ac:dyDescent="0.2">
      <c r="A2215" s="1061"/>
      <c r="B2215" s="1057"/>
      <c r="C2215" s="1057"/>
      <c r="D2215" s="1057"/>
      <c r="E2215" s="1057"/>
      <c r="F2215" s="1057"/>
      <c r="G2215" s="1058"/>
      <c r="H2215" s="9" t="str">
        <f t="shared" si="143"/>
        <v/>
      </c>
      <c r="I2215" s="1059" t="str">
        <f t="shared" si="144"/>
        <v/>
      </c>
      <c r="J2215" s="1058"/>
      <c r="K2215" s="1060"/>
      <c r="L2215" s="1058"/>
      <c r="M2215" s="1059" t="str">
        <f t="shared" si="145"/>
        <v/>
      </c>
      <c r="N2215" s="1058"/>
    </row>
    <row r="2216" spans="1:14" ht="12.75" customHeight="1" x14ac:dyDescent="0.2">
      <c r="A2216" s="1061"/>
      <c r="B2216" s="1057"/>
      <c r="C2216" s="1057"/>
      <c r="D2216" s="1057"/>
      <c r="E2216" s="1057"/>
      <c r="F2216" s="1057"/>
      <c r="G2216" s="1058"/>
      <c r="H2216" s="9" t="str">
        <f t="shared" si="143"/>
        <v/>
      </c>
      <c r="I2216" s="1059" t="str">
        <f t="shared" si="144"/>
        <v/>
      </c>
      <c r="J2216" s="1058"/>
      <c r="K2216" s="1060"/>
      <c r="L2216" s="1058"/>
      <c r="M2216" s="1059" t="str">
        <f t="shared" si="145"/>
        <v/>
      </c>
      <c r="N2216" s="1058"/>
    </row>
    <row r="2217" spans="1:14" ht="12.75" customHeight="1" x14ac:dyDescent="0.25">
      <c r="A2217" s="3"/>
      <c r="B2217" s="3"/>
      <c r="C2217" s="3"/>
      <c r="D2217" s="3"/>
      <c r="E2217" s="3"/>
      <c r="F2217" s="3"/>
      <c r="G2217" s="3"/>
      <c r="H2217" s="3"/>
      <c r="I2217" s="3"/>
      <c r="J2217" s="3"/>
      <c r="K2217" s="1066" t="s">
        <v>201</v>
      </c>
      <c r="L2217" s="1058"/>
      <c r="M2217" s="1059">
        <f>SUM(M2211:N2216)</f>
        <v>1001231.59684</v>
      </c>
      <c r="N2217" s="1058"/>
    </row>
    <row r="2218" spans="1:14" ht="12.75" customHeight="1" x14ac:dyDescent="0.25">
      <c r="A2218" s="3"/>
      <c r="B2218" s="3"/>
      <c r="C2218" s="3"/>
      <c r="D2218" s="3"/>
      <c r="E2218" s="3"/>
      <c r="F2218" s="3"/>
      <c r="G2218" s="3"/>
      <c r="H2218" s="3"/>
      <c r="I2218" s="3"/>
      <c r="J2218" s="3"/>
      <c r="K2218" s="3"/>
      <c r="L2218" s="3"/>
      <c r="M2218" s="3"/>
      <c r="N2218" s="3"/>
    </row>
    <row r="2219" spans="1:14" ht="12.75" customHeight="1" x14ac:dyDescent="0.2">
      <c r="A2219" s="1065" t="s">
        <v>390</v>
      </c>
      <c r="B2219" s="1057"/>
      <c r="C2219" s="1057"/>
      <c r="D2219" s="1057"/>
      <c r="E2219" s="1057"/>
      <c r="F2219" s="1057"/>
      <c r="G2219" s="1057"/>
      <c r="H2219" s="1057"/>
      <c r="I2219" s="1057"/>
      <c r="J2219" s="1057"/>
      <c r="K2219" s="1057"/>
      <c r="L2219" s="1057"/>
      <c r="M2219" s="1057"/>
      <c r="N2219" s="1058"/>
    </row>
    <row r="2220" spans="1:14" ht="12.75" customHeight="1" x14ac:dyDescent="0.2">
      <c r="A2220" s="1066" t="s">
        <v>38</v>
      </c>
      <c r="B2220" s="1057"/>
      <c r="C2220" s="1057"/>
      <c r="D2220" s="1057"/>
      <c r="E2220" s="1057"/>
      <c r="F2220" s="1057"/>
      <c r="G2220" s="1058"/>
      <c r="H2220" s="28" t="s">
        <v>39</v>
      </c>
      <c r="I2220" s="1062" t="s">
        <v>385</v>
      </c>
      <c r="J2220" s="1058"/>
      <c r="K2220" s="1062" t="s">
        <v>132</v>
      </c>
      <c r="L2220" s="1058"/>
      <c r="M2220" s="1062" t="s">
        <v>386</v>
      </c>
      <c r="N2220" s="1058"/>
    </row>
    <row r="2221" spans="1:14" ht="12.75" customHeight="1" x14ac:dyDescent="0.2">
      <c r="A2221" s="1061" t="s">
        <v>391</v>
      </c>
      <c r="B2221" s="1057"/>
      <c r="C2221" s="1057"/>
      <c r="D2221" s="1057"/>
      <c r="E2221" s="1057"/>
      <c r="F2221" s="1057"/>
      <c r="G2221" s="1058"/>
      <c r="H2221" s="9" t="str">
        <f>IF(A2221="","",VLOOKUP(A2221,AA_Equipos,7,FALSE))</f>
        <v>% M.O.</v>
      </c>
      <c r="I2221" s="1059">
        <f>+M2244</f>
        <v>28967.273144999999</v>
      </c>
      <c r="J2221" s="1058"/>
      <c r="K2221" s="1064">
        <v>0.05</v>
      </c>
      <c r="L2221" s="1058"/>
      <c r="M2221" s="1059">
        <f>IF(A2221="","",I2221*K2221)</f>
        <v>1448.36365725</v>
      </c>
      <c r="N2221" s="1058"/>
    </row>
    <row r="2222" spans="1:14" ht="12.75" customHeight="1" x14ac:dyDescent="0.2">
      <c r="A2222" s="1056"/>
      <c r="B2222" s="1057"/>
      <c r="C2222" s="1057"/>
      <c r="D2222" s="1057"/>
      <c r="E2222" s="1057"/>
      <c r="F2222" s="1057"/>
      <c r="G2222" s="1058"/>
      <c r="H2222" s="9" t="str">
        <f>IF(A2222="","",VLOOKUP(A2222,AA_Equipos,7,FALSE))</f>
        <v/>
      </c>
      <c r="I2222" s="1059" t="str">
        <f>IF(A2222="","",VLOOKUP(A2222,AA_Equipos,8,FALSE))</f>
        <v/>
      </c>
      <c r="J2222" s="1058"/>
      <c r="K2222" s="1067"/>
      <c r="L2222" s="1058"/>
      <c r="M2222" s="1059" t="str">
        <f>IF(A2222="","",I2222*K2222)</f>
        <v/>
      </c>
      <c r="N2222" s="1058"/>
    </row>
    <row r="2223" spans="1:14" ht="12.75" customHeight="1" x14ac:dyDescent="0.2">
      <c r="A2223" s="1061"/>
      <c r="B2223" s="1057"/>
      <c r="C2223" s="1057"/>
      <c r="D2223" s="1057"/>
      <c r="E2223" s="1057"/>
      <c r="F2223" s="1057"/>
      <c r="G2223" s="1058"/>
      <c r="H2223" s="9" t="str">
        <f>IF(A2223="","",VLOOKUP(A2223,AA_Equipos,7,FALSE))</f>
        <v/>
      </c>
      <c r="I2223" s="1059" t="str">
        <f>IF(A2223="","",VLOOKUP(A2223,AA_Equipos,8,FALSE))</f>
        <v/>
      </c>
      <c r="J2223" s="1058"/>
      <c r="K2223" s="1070"/>
      <c r="L2223" s="1058"/>
      <c r="M2223" s="1059" t="str">
        <f>IF(A2223="","",I2223*K2223)</f>
        <v/>
      </c>
      <c r="N2223" s="1058"/>
    </row>
    <row r="2224" spans="1:14" ht="12.75" customHeight="1" x14ac:dyDescent="0.2">
      <c r="A2224" s="1061"/>
      <c r="B2224" s="1057"/>
      <c r="C2224" s="1057"/>
      <c r="D2224" s="1057"/>
      <c r="E2224" s="1057"/>
      <c r="F2224" s="1057"/>
      <c r="G2224" s="1058"/>
      <c r="H2224" s="9" t="str">
        <f>IF(A2224="","",VLOOKUP(A2224,AA_Equipos,7,FALSE))</f>
        <v/>
      </c>
      <c r="I2224" s="1059" t="str">
        <f>IF(A2224="","",VLOOKUP(A2224,AA_Equipos,8,FALSE))</f>
        <v/>
      </c>
      <c r="J2224" s="1058"/>
      <c r="K2224" s="1060"/>
      <c r="L2224" s="1058"/>
      <c r="M2224" s="1059" t="str">
        <f>IF(A2224="","",I2224*K2224)</f>
        <v/>
      </c>
      <c r="N2224" s="1058"/>
    </row>
    <row r="2225" spans="1:15" ht="12.75" customHeight="1" x14ac:dyDescent="0.2">
      <c r="A2225" s="1061"/>
      <c r="B2225" s="1057"/>
      <c r="C2225" s="1057"/>
      <c r="D2225" s="1057"/>
      <c r="E2225" s="1057"/>
      <c r="F2225" s="1057"/>
      <c r="G2225" s="1058"/>
      <c r="H2225" s="9" t="str">
        <f>IF(A2225="","",VLOOKUP(A2225,AA_Equipos,7,FALSE))</f>
        <v/>
      </c>
      <c r="I2225" s="1059" t="str">
        <f>IF(A2225="","",VLOOKUP(A2225,AA_Equipos,8,FALSE))</f>
        <v/>
      </c>
      <c r="J2225" s="1058"/>
      <c r="K2225" s="1060"/>
      <c r="L2225" s="1058"/>
      <c r="M2225" s="1059" t="str">
        <f>IF(A2225="","",I2225*K2225)</f>
        <v/>
      </c>
      <c r="N2225" s="1058"/>
      <c r="O2225" s="7"/>
    </row>
    <row r="2226" spans="1:15" ht="12.75" customHeight="1" x14ac:dyDescent="0.25">
      <c r="A2226" s="3"/>
      <c r="B2226" s="3"/>
      <c r="C2226" s="3"/>
      <c r="D2226" s="3"/>
      <c r="E2226" s="3"/>
      <c r="F2226" s="3"/>
      <c r="G2226" s="3"/>
      <c r="H2226" s="3"/>
      <c r="I2226" s="3"/>
      <c r="J2226" s="3"/>
      <c r="K2226" s="1066" t="s">
        <v>201</v>
      </c>
      <c r="L2226" s="1058"/>
      <c r="M2226" s="1059">
        <f>SUM(M2221:N2225)</f>
        <v>1448.36365725</v>
      </c>
      <c r="N2226" s="1058"/>
      <c r="O2226" s="7"/>
    </row>
    <row r="2227" spans="1:15" ht="12.75" customHeight="1" x14ac:dyDescent="0.25">
      <c r="A2227" s="3"/>
      <c r="B2227" s="3"/>
      <c r="C2227" s="3"/>
      <c r="D2227" s="3"/>
      <c r="E2227" s="3"/>
      <c r="F2227" s="3"/>
      <c r="G2227" s="3"/>
      <c r="H2227" s="3"/>
      <c r="I2227" s="3"/>
      <c r="J2227" s="3"/>
      <c r="K2227" s="3"/>
      <c r="L2227" s="3"/>
      <c r="M2227" s="3"/>
      <c r="N2227" s="3"/>
    </row>
    <row r="2228" spans="1:15" ht="12.75" customHeight="1" x14ac:dyDescent="0.2">
      <c r="A2228" s="1065" t="s">
        <v>392</v>
      </c>
      <c r="B2228" s="1057"/>
      <c r="C2228" s="1057"/>
      <c r="D2228" s="1057"/>
      <c r="E2228" s="1057"/>
      <c r="F2228" s="1057"/>
      <c r="G2228" s="1057"/>
      <c r="H2228" s="1057"/>
      <c r="I2228" s="1057"/>
      <c r="J2228" s="1057"/>
      <c r="K2228" s="1057"/>
      <c r="L2228" s="1057"/>
      <c r="M2228" s="1057"/>
      <c r="N2228" s="1058"/>
    </row>
    <row r="2229" spans="1:15" ht="12.75" customHeight="1" x14ac:dyDescent="0.2">
      <c r="A2229" s="1066" t="s">
        <v>38</v>
      </c>
      <c r="B2229" s="1057"/>
      <c r="C2229" s="1057"/>
      <c r="D2229" s="1057"/>
      <c r="E2229" s="1057"/>
      <c r="F2229" s="1057"/>
      <c r="G2229" s="1058"/>
      <c r="H2229" s="28" t="s">
        <v>39</v>
      </c>
      <c r="I2229" s="1062" t="s">
        <v>385</v>
      </c>
      <c r="J2229" s="1058"/>
      <c r="K2229" s="1062" t="s">
        <v>132</v>
      </c>
      <c r="L2229" s="1058"/>
      <c r="M2229" s="1062" t="s">
        <v>386</v>
      </c>
      <c r="N2229" s="1058"/>
    </row>
    <row r="2230" spans="1:15" ht="12.75" customHeight="1" x14ac:dyDescent="0.2">
      <c r="A2230" s="1061"/>
      <c r="B2230" s="1057"/>
      <c r="C2230" s="1057"/>
      <c r="D2230" s="1057"/>
      <c r="E2230" s="1057"/>
      <c r="F2230" s="1057"/>
      <c r="G2230" s="1058"/>
      <c r="H2230" s="9"/>
      <c r="I2230" s="1059"/>
      <c r="J2230" s="1058"/>
      <c r="K2230" s="1064"/>
      <c r="L2230" s="1058"/>
      <c r="M2230" s="1059" t="str">
        <f>IF(A2230="","",I2230*K2230)</f>
        <v/>
      </c>
      <c r="N2230" s="1058"/>
    </row>
    <row r="2231" spans="1:15" ht="12.75" customHeight="1" x14ac:dyDescent="0.2">
      <c r="A2231" s="1056"/>
      <c r="B2231" s="1057"/>
      <c r="C2231" s="1057"/>
      <c r="D2231" s="1057"/>
      <c r="E2231" s="1057"/>
      <c r="F2231" s="1057"/>
      <c r="G2231" s="1058"/>
      <c r="H2231" s="9"/>
      <c r="I2231" s="1059"/>
      <c r="J2231" s="1058"/>
      <c r="K2231" s="1064"/>
      <c r="L2231" s="1058"/>
      <c r="M2231" s="1059" t="str">
        <f>IF(A2231="","",I2231*K2231)</f>
        <v/>
      </c>
      <c r="N2231" s="1058"/>
    </row>
    <row r="2232" spans="1:15" ht="12.75" customHeight="1" x14ac:dyDescent="0.2">
      <c r="A2232" s="1061"/>
      <c r="B2232" s="1057"/>
      <c r="C2232" s="1057"/>
      <c r="D2232" s="1057"/>
      <c r="E2232" s="1057"/>
      <c r="F2232" s="1057"/>
      <c r="G2232" s="1058"/>
      <c r="H2232" s="9"/>
      <c r="I2232" s="1059"/>
      <c r="J2232" s="1058"/>
      <c r="K2232" s="1060"/>
      <c r="L2232" s="1058"/>
      <c r="M2232" s="1059" t="str">
        <f>IF(A2232="","",I2232*K2232)</f>
        <v/>
      </c>
      <c r="N2232" s="1058"/>
    </row>
    <row r="2233" spans="1:15" ht="12.75" customHeight="1" x14ac:dyDescent="0.2">
      <c r="A2233" s="1061"/>
      <c r="B2233" s="1057"/>
      <c r="C2233" s="1057"/>
      <c r="D2233" s="1057"/>
      <c r="E2233" s="1057"/>
      <c r="F2233" s="1057"/>
      <c r="G2233" s="1058"/>
      <c r="H2233" s="9"/>
      <c r="I2233" s="1059"/>
      <c r="J2233" s="1058"/>
      <c r="K2233" s="1060"/>
      <c r="L2233" s="1058"/>
      <c r="M2233" s="1059" t="str">
        <f>IF(A2233="","",I2233*K2233)</f>
        <v/>
      </c>
      <c r="N2233" s="1058"/>
    </row>
    <row r="2234" spans="1:15" ht="12.75" customHeight="1" x14ac:dyDescent="0.2">
      <c r="A2234" s="1061"/>
      <c r="B2234" s="1057"/>
      <c r="C2234" s="1057"/>
      <c r="D2234" s="1057"/>
      <c r="E2234" s="1057"/>
      <c r="F2234" s="1057"/>
      <c r="G2234" s="1058"/>
      <c r="H2234" s="9"/>
      <c r="I2234" s="1059"/>
      <c r="J2234" s="1058"/>
      <c r="K2234" s="1060"/>
      <c r="L2234" s="1058"/>
      <c r="M2234" s="1059" t="str">
        <f>IF(A2234="","",I2234*K2234)</f>
        <v/>
      </c>
      <c r="N2234" s="1058"/>
    </row>
    <row r="2235" spans="1:15" ht="12.75" customHeight="1" x14ac:dyDescent="0.25">
      <c r="A2235" s="3"/>
      <c r="B2235" s="3"/>
      <c r="C2235" s="3"/>
      <c r="D2235" s="3"/>
      <c r="E2235" s="3"/>
      <c r="F2235" s="3"/>
      <c r="G2235" s="3"/>
      <c r="H2235" s="3"/>
      <c r="I2235" s="3"/>
      <c r="J2235" s="3"/>
      <c r="K2235" s="1066" t="s">
        <v>201</v>
      </c>
      <c r="L2235" s="1058"/>
      <c r="M2235" s="1059">
        <f>SUM(M2230:N2234)</f>
        <v>0</v>
      </c>
      <c r="N2235" s="1058"/>
    </row>
    <row r="2236" spans="1:15" ht="12.75" customHeight="1" x14ac:dyDescent="0.25">
      <c r="A2236" s="3"/>
      <c r="B2236" s="3"/>
      <c r="C2236" s="3"/>
      <c r="D2236" s="3"/>
      <c r="E2236" s="3"/>
      <c r="F2236" s="3"/>
      <c r="G2236" s="3"/>
      <c r="H2236" s="3"/>
      <c r="I2236" s="3"/>
      <c r="J2236" s="3"/>
      <c r="K2236" s="3"/>
      <c r="L2236" s="3"/>
      <c r="M2236" s="3"/>
      <c r="N2236" s="3"/>
    </row>
    <row r="2237" spans="1:15" ht="12.75" customHeight="1" x14ac:dyDescent="0.2">
      <c r="A2237" s="1065" t="s">
        <v>394</v>
      </c>
      <c r="B2237" s="1057"/>
      <c r="C2237" s="1057"/>
      <c r="D2237" s="1057"/>
      <c r="E2237" s="1057"/>
      <c r="F2237" s="1057"/>
      <c r="G2237" s="1057"/>
      <c r="H2237" s="1057"/>
      <c r="I2237" s="1057"/>
      <c r="J2237" s="1057"/>
      <c r="K2237" s="1057"/>
      <c r="L2237" s="1057"/>
      <c r="M2237" s="1057"/>
      <c r="N2237" s="1058"/>
    </row>
    <row r="2238" spans="1:15" ht="12.75" customHeight="1" x14ac:dyDescent="0.2">
      <c r="A2238" s="1066" t="s">
        <v>38</v>
      </c>
      <c r="B2238" s="1057"/>
      <c r="C2238" s="1057"/>
      <c r="D2238" s="1057"/>
      <c r="E2238" s="1057"/>
      <c r="F2238" s="1057"/>
      <c r="G2238" s="1058"/>
      <c r="H2238" s="28" t="s">
        <v>39</v>
      </c>
      <c r="I2238" s="1062" t="s">
        <v>385</v>
      </c>
      <c r="J2238" s="1058"/>
      <c r="K2238" s="30" t="s">
        <v>193</v>
      </c>
      <c r="L2238" s="31" t="s">
        <v>395</v>
      </c>
      <c r="M2238" s="1062" t="s">
        <v>386</v>
      </c>
      <c r="N2238" s="1058"/>
    </row>
    <row r="2239" spans="1:15" ht="12.75" customHeight="1" x14ac:dyDescent="0.25">
      <c r="A2239" s="1063" t="s">
        <v>418</v>
      </c>
      <c r="B2239" s="1057"/>
      <c r="C2239" s="1057"/>
      <c r="D2239" s="1057"/>
      <c r="E2239" s="1057"/>
      <c r="F2239" s="1057"/>
      <c r="G2239" s="1058"/>
      <c r="H2239" s="9" t="str">
        <f>IF(A2239="","",VLOOKUP(A2239,AA_Cuadrillas,4,FALSE))</f>
        <v>Cuadrilla</v>
      </c>
      <c r="I2239" s="1059">
        <f>IF(A2239="","",VLOOKUP(A2239,AA_Cuadrillas,5,FALSE))</f>
        <v>280145</v>
      </c>
      <c r="J2239" s="1058"/>
      <c r="K2239" s="1">
        <f>IF(A2239="","",'06'!$J$3)</f>
        <v>1.7233500000000002</v>
      </c>
      <c r="L2239" s="37">
        <v>0.06</v>
      </c>
      <c r="M2239" s="1059">
        <f>IF(A2239="","",I2239*K2239*L2239)</f>
        <v>28967.273144999999</v>
      </c>
      <c r="N2239" s="1058"/>
    </row>
    <row r="2240" spans="1:15" ht="12.75" customHeight="1" x14ac:dyDescent="0.25">
      <c r="A2240" s="1063"/>
      <c r="B2240" s="1057"/>
      <c r="C2240" s="1057"/>
      <c r="D2240" s="1057"/>
      <c r="E2240" s="1057"/>
      <c r="F2240" s="1057"/>
      <c r="G2240" s="1058"/>
      <c r="H2240" s="9" t="str">
        <f>IF(A2240="","",VLOOKUP(A2240,AA_Cuadrillas,4,FALSE))</f>
        <v/>
      </c>
      <c r="I2240" s="1059" t="str">
        <f>IF(A2240="","",VLOOKUP(A2240,AA_Cuadrillas,5,FALSE))</f>
        <v/>
      </c>
      <c r="J2240" s="1058"/>
      <c r="K2240" s="1" t="str">
        <f>IF(A2240="","",'06'!$J$3)</f>
        <v/>
      </c>
      <c r="L2240" s="1"/>
      <c r="M2240" s="1059" t="str">
        <f>IF(A2240="","",I2240*K2240*L2240)</f>
        <v/>
      </c>
      <c r="N2240" s="1058"/>
    </row>
    <row r="2241" spans="1:14" ht="12.75" customHeight="1" x14ac:dyDescent="0.25">
      <c r="A2241" s="1063"/>
      <c r="B2241" s="1057"/>
      <c r="C2241" s="1057"/>
      <c r="D2241" s="1057"/>
      <c r="E2241" s="1057"/>
      <c r="F2241" s="1057"/>
      <c r="G2241" s="1058"/>
      <c r="H2241" s="9" t="str">
        <f>IF(A2241="","",VLOOKUP(A2241,AA_Cuadrillas,4,FALSE))</f>
        <v/>
      </c>
      <c r="I2241" s="1059" t="str">
        <f>IF(A2241="","",VLOOKUP(A2241,AA_Cuadrillas,5,FALSE))</f>
        <v/>
      </c>
      <c r="J2241" s="1058"/>
      <c r="K2241" s="1" t="str">
        <f>IF(A2241="","",'06'!$J$3)</f>
        <v/>
      </c>
      <c r="L2241" s="10"/>
      <c r="M2241" s="1059" t="str">
        <f>IF(A2241="","",I2241*K2241*L2241)</f>
        <v/>
      </c>
      <c r="N2241" s="1058"/>
    </row>
    <row r="2242" spans="1:14" ht="12.75" customHeight="1" x14ac:dyDescent="0.25">
      <c r="A2242" s="1063"/>
      <c r="B2242" s="1057"/>
      <c r="C2242" s="1057"/>
      <c r="D2242" s="1057"/>
      <c r="E2242" s="1057"/>
      <c r="F2242" s="1057"/>
      <c r="G2242" s="1058"/>
      <c r="H2242" s="9" t="str">
        <f>IF(A2242="","",VLOOKUP(A2242,AA_Cuadrillas,4,FALSE))</f>
        <v/>
      </c>
      <c r="I2242" s="1059" t="str">
        <f>IF(A2242="","",VLOOKUP(A2242,AA_Cuadrillas,5,FALSE))</f>
        <v/>
      </c>
      <c r="J2242" s="1058"/>
      <c r="K2242" s="1" t="str">
        <f>IF(A2242="","",'06'!$J$3)</f>
        <v/>
      </c>
      <c r="L2242" s="10"/>
      <c r="M2242" s="1059" t="str">
        <f>IF(A2242="","",I2242*K2242*L2242)</f>
        <v/>
      </c>
      <c r="N2242" s="1058"/>
    </row>
    <row r="2243" spans="1:14" ht="12.75" customHeight="1" x14ac:dyDescent="0.25">
      <c r="A2243" s="1063"/>
      <c r="B2243" s="1057"/>
      <c r="C2243" s="1057"/>
      <c r="D2243" s="1057"/>
      <c r="E2243" s="1057"/>
      <c r="F2243" s="1057"/>
      <c r="G2243" s="1058"/>
      <c r="H2243" s="9" t="str">
        <f>IF(A2243="","",VLOOKUP(A2243,AA_Cuadrillas,4,FALSE))</f>
        <v/>
      </c>
      <c r="I2243" s="1059" t="str">
        <f>IF(A2243="","",VLOOKUP(A2243,AA_Cuadrillas,5,FALSE))</f>
        <v/>
      </c>
      <c r="J2243" s="1058"/>
      <c r="K2243" s="1" t="str">
        <f>IF(A2243="","",'06'!$J$3)</f>
        <v/>
      </c>
      <c r="L2243" s="10"/>
      <c r="M2243" s="1059" t="str">
        <f>IF(A2243="","",I2243*K2243*L2243)</f>
        <v/>
      </c>
      <c r="N2243" s="1058"/>
    </row>
    <row r="2244" spans="1:14" ht="12.75" customHeight="1" x14ac:dyDescent="0.25">
      <c r="A2244" s="3"/>
      <c r="B2244" s="3"/>
      <c r="C2244" s="3"/>
      <c r="D2244" s="3"/>
      <c r="E2244" s="3"/>
      <c r="F2244" s="3"/>
      <c r="G2244" s="3"/>
      <c r="H2244" s="3"/>
      <c r="I2244" s="3"/>
      <c r="J2244" s="3"/>
      <c r="K2244" s="1066" t="s">
        <v>201</v>
      </c>
      <c r="L2244" s="1058"/>
      <c r="M2244" s="1059">
        <f>SUM(M2239:N2243)</f>
        <v>28967.273144999999</v>
      </c>
      <c r="N2244" s="1058"/>
    </row>
    <row r="2245" spans="1:14" ht="12.75" customHeight="1" x14ac:dyDescent="0.2"/>
    <row r="2246" spans="1:14" ht="12.75" customHeight="1" x14ac:dyDescent="0.2">
      <c r="A2246" s="1072" t="s">
        <v>1718</v>
      </c>
      <c r="B2246" s="1052"/>
      <c r="C2246" s="1052"/>
      <c r="D2246" s="1052"/>
      <c r="E2246" s="1052"/>
      <c r="F2246" s="1052"/>
      <c r="G2246" s="1052"/>
      <c r="H2246" s="1052"/>
      <c r="I2246" s="1052"/>
      <c r="J2246" s="1052"/>
      <c r="K2246" s="1052"/>
      <c r="L2246" s="1052"/>
      <c r="M2246" s="1052"/>
      <c r="N2246" s="1053"/>
    </row>
    <row r="2247" spans="1:14" ht="12.75" customHeight="1" x14ac:dyDescent="0.2">
      <c r="A2247" s="1031"/>
      <c r="B2247" s="1032"/>
      <c r="C2247" s="1032"/>
      <c r="D2247" s="1032"/>
      <c r="E2247" s="1032"/>
      <c r="F2247" s="1032"/>
      <c r="G2247" s="1032"/>
      <c r="H2247" s="1032"/>
      <c r="I2247" s="1032"/>
      <c r="J2247" s="1032"/>
      <c r="K2247" s="1032"/>
      <c r="L2247" s="1032"/>
      <c r="M2247" s="1032"/>
      <c r="N2247" s="1055"/>
    </row>
    <row r="2248" spans="1:14" ht="12.75" customHeight="1" x14ac:dyDescent="0.2">
      <c r="A2248" s="16"/>
      <c r="B2248" s="16"/>
      <c r="C2248" s="16"/>
      <c r="D2248" s="16"/>
      <c r="E2248" s="16"/>
      <c r="F2248" s="16"/>
      <c r="G2248" s="16"/>
      <c r="H2248" s="16"/>
      <c r="I2248" s="16"/>
      <c r="J2248" s="16"/>
      <c r="K2248" s="16"/>
      <c r="L2248" s="16"/>
      <c r="M2248" s="16"/>
      <c r="N2248" s="16"/>
    </row>
    <row r="2249" spans="1:14" ht="12.75" customHeight="1" x14ac:dyDescent="0.3">
      <c r="A2249" s="18" t="s">
        <v>343</v>
      </c>
      <c r="B2249" s="19" t="str">
        <f>A2246</f>
        <v>VÁLVULA AQT COMPUERTA ELÁSTICA BRIDADA DE 8" (INCLUYE INSTALACIÓN Y SUMINISTRO)</v>
      </c>
      <c r="C2249" s="20" t="s">
        <v>382</v>
      </c>
      <c r="D2249" s="21" t="s">
        <v>424</v>
      </c>
      <c r="E2249" s="22" t="s">
        <v>125</v>
      </c>
      <c r="F2249" s="26">
        <f>(H2249+J2249+L2249+N2249)*$O$2</f>
        <v>2372664.0371239004</v>
      </c>
      <c r="G2249" s="22" t="s">
        <v>285</v>
      </c>
      <c r="H2249" s="26">
        <f>M2270</f>
        <v>1931.1515429999999</v>
      </c>
      <c r="I2249" s="22" t="s">
        <v>383</v>
      </c>
      <c r="J2249" s="26">
        <f>M2261</f>
        <v>1784572</v>
      </c>
      <c r="K2249" s="22" t="s">
        <v>287</v>
      </c>
      <c r="L2249" s="26">
        <f>M2279</f>
        <v>0</v>
      </c>
      <c r="M2249" s="22" t="s">
        <v>288</v>
      </c>
      <c r="N2249" s="26">
        <f>M2288</f>
        <v>38623.030859999999</v>
      </c>
    </row>
    <row r="2250" spans="1:14" ht="12.75" customHeight="1" x14ac:dyDescent="0.25">
      <c r="A2250" s="27"/>
      <c r="B2250" s="27"/>
      <c r="C2250" s="27"/>
      <c r="D2250" s="27"/>
      <c r="E2250" s="27"/>
      <c r="F2250" s="27"/>
      <c r="G2250" s="27"/>
      <c r="J2250" s="27"/>
      <c r="K2250" s="27"/>
      <c r="L2250" s="27"/>
      <c r="M2250" s="27"/>
      <c r="N2250" s="27"/>
    </row>
    <row r="2251" spans="1:14" ht="12.75" customHeight="1" x14ac:dyDescent="0.2">
      <c r="A2251" s="1065" t="s">
        <v>384</v>
      </c>
      <c r="B2251" s="1057"/>
      <c r="C2251" s="1057"/>
      <c r="D2251" s="1057"/>
      <c r="E2251" s="1057"/>
      <c r="F2251" s="1057"/>
      <c r="G2251" s="1057"/>
      <c r="H2251" s="1057"/>
      <c r="I2251" s="1057"/>
      <c r="J2251" s="1057"/>
      <c r="K2251" s="1057"/>
      <c r="L2251" s="1057"/>
      <c r="M2251" s="1057"/>
      <c r="N2251" s="1058"/>
    </row>
    <row r="2252" spans="1:14" ht="12.75" customHeight="1" x14ac:dyDescent="0.2">
      <c r="A2252" s="1066" t="s">
        <v>38</v>
      </c>
      <c r="B2252" s="1057"/>
      <c r="C2252" s="1057"/>
      <c r="D2252" s="1057"/>
      <c r="E2252" s="1057"/>
      <c r="F2252" s="1057"/>
      <c r="G2252" s="1058"/>
      <c r="H2252" s="28" t="s">
        <v>39</v>
      </c>
      <c r="I2252" s="1062" t="s">
        <v>385</v>
      </c>
      <c r="J2252" s="1058"/>
      <c r="K2252" s="1062" t="s">
        <v>132</v>
      </c>
      <c r="L2252" s="1058"/>
      <c r="M2252" s="1062" t="s">
        <v>386</v>
      </c>
      <c r="N2252" s="1058"/>
    </row>
    <row r="2253" spans="1:14" ht="12.75" customHeight="1" x14ac:dyDescent="0.2">
      <c r="A2253" s="1061" t="s">
        <v>1557</v>
      </c>
      <c r="B2253" s="1057"/>
      <c r="C2253" s="1057"/>
      <c r="D2253" s="1057"/>
      <c r="E2253" s="1057"/>
      <c r="F2253" s="1057"/>
      <c r="G2253" s="1058"/>
      <c r="H2253" s="9" t="str">
        <f t="shared" ref="H2253" si="146">IF(A2253="","",VLOOKUP(A2253,AA_Materiales,7,FALSE))</f>
        <v>Unidad</v>
      </c>
      <c r="I2253" s="1059">
        <f t="shared" ref="I2253" si="147">IF(A2253="","",VLOOKUP(A2253,AA_Materiales,8,FALSE))</f>
        <v>1784572</v>
      </c>
      <c r="J2253" s="1058"/>
      <c r="K2253" s="1060">
        <v>1</v>
      </c>
      <c r="L2253" s="1058"/>
      <c r="M2253" s="1059">
        <f t="shared" ref="M2253" si="148">IF(A2253="","",I2253*K2253)</f>
        <v>1784572</v>
      </c>
      <c r="N2253" s="1058"/>
    </row>
    <row r="2254" spans="1:14" ht="12.75" customHeight="1" x14ac:dyDescent="0.2">
      <c r="A2254" s="1056"/>
      <c r="B2254" s="1057"/>
      <c r="C2254" s="1057"/>
      <c r="D2254" s="1057"/>
      <c r="E2254" s="1057"/>
      <c r="F2254" s="1057"/>
      <c r="G2254" s="1058"/>
      <c r="H2254" s="9" t="str">
        <f t="shared" ref="H2254:H2260" si="149">IF(A2254="","",VLOOKUP(A2254,AA_Materiales,7,FALSE))</f>
        <v/>
      </c>
      <c r="I2254" s="1059" t="str">
        <f t="shared" ref="I2254:I2260" si="150">IF(A2254="","",VLOOKUP(A2254,AA_Materiales,8,FALSE))</f>
        <v/>
      </c>
      <c r="J2254" s="1058"/>
      <c r="K2254" s="1060"/>
      <c r="L2254" s="1058"/>
      <c r="M2254" s="1059" t="str">
        <f t="shared" ref="M2254:M2260" si="151">IF(A2254="","",I2254*K2254)</f>
        <v/>
      </c>
      <c r="N2254" s="1058"/>
    </row>
    <row r="2255" spans="1:14" ht="12.75" customHeight="1" x14ac:dyDescent="0.2">
      <c r="A2255" s="1056"/>
      <c r="B2255" s="1057"/>
      <c r="C2255" s="1057"/>
      <c r="D2255" s="1057"/>
      <c r="E2255" s="1057"/>
      <c r="F2255" s="1057"/>
      <c r="G2255" s="1058"/>
      <c r="H2255" s="9" t="str">
        <f t="shared" si="149"/>
        <v/>
      </c>
      <c r="I2255" s="1059" t="str">
        <f t="shared" si="150"/>
        <v/>
      </c>
      <c r="J2255" s="1058"/>
      <c r="K2255" s="1060"/>
      <c r="L2255" s="1058"/>
      <c r="M2255" s="1059" t="str">
        <f t="shared" si="151"/>
        <v/>
      </c>
      <c r="N2255" s="1058"/>
    </row>
    <row r="2256" spans="1:14" ht="12.75" customHeight="1" x14ac:dyDescent="0.2">
      <c r="A2256" s="1056"/>
      <c r="B2256" s="1057"/>
      <c r="C2256" s="1057"/>
      <c r="D2256" s="1057"/>
      <c r="E2256" s="1057"/>
      <c r="F2256" s="1057"/>
      <c r="G2256" s="1058"/>
      <c r="H2256" s="9" t="str">
        <f t="shared" si="149"/>
        <v/>
      </c>
      <c r="I2256" s="1059" t="str">
        <f t="shared" si="150"/>
        <v/>
      </c>
      <c r="J2256" s="1058"/>
      <c r="K2256" s="1060"/>
      <c r="L2256" s="1058"/>
      <c r="M2256" s="1059" t="str">
        <f t="shared" si="151"/>
        <v/>
      </c>
      <c r="N2256" s="1058"/>
    </row>
    <row r="2257" spans="1:15" ht="12.75" customHeight="1" x14ac:dyDescent="0.2">
      <c r="A2257" s="1056"/>
      <c r="B2257" s="1057"/>
      <c r="C2257" s="1057"/>
      <c r="D2257" s="1057"/>
      <c r="E2257" s="1057"/>
      <c r="F2257" s="1057"/>
      <c r="G2257" s="1058"/>
      <c r="H2257" s="9" t="str">
        <f t="shared" si="149"/>
        <v/>
      </c>
      <c r="I2257" s="1059" t="str">
        <f t="shared" si="150"/>
        <v/>
      </c>
      <c r="J2257" s="1058"/>
      <c r="K2257" s="1060"/>
      <c r="L2257" s="1058"/>
      <c r="M2257" s="1059" t="str">
        <f t="shared" si="151"/>
        <v/>
      </c>
      <c r="N2257" s="1058"/>
    </row>
    <row r="2258" spans="1:15" ht="12.75" customHeight="1" x14ac:dyDescent="0.2">
      <c r="A2258" s="1056"/>
      <c r="B2258" s="1057"/>
      <c r="C2258" s="1057"/>
      <c r="D2258" s="1057"/>
      <c r="E2258" s="1057"/>
      <c r="F2258" s="1057"/>
      <c r="G2258" s="1058"/>
      <c r="H2258" s="9" t="str">
        <f t="shared" si="149"/>
        <v/>
      </c>
      <c r="I2258" s="1059" t="str">
        <f t="shared" si="150"/>
        <v/>
      </c>
      <c r="J2258" s="1058"/>
      <c r="K2258" s="1060"/>
      <c r="L2258" s="1058"/>
      <c r="M2258" s="1059" t="str">
        <f t="shared" si="151"/>
        <v/>
      </c>
      <c r="N2258" s="1058"/>
    </row>
    <row r="2259" spans="1:15" ht="12.75" customHeight="1" x14ac:dyDescent="0.2">
      <c r="A2259" s="1056"/>
      <c r="B2259" s="1057"/>
      <c r="C2259" s="1057"/>
      <c r="D2259" s="1057"/>
      <c r="E2259" s="1057"/>
      <c r="F2259" s="1057"/>
      <c r="G2259" s="1058"/>
      <c r="H2259" s="9" t="str">
        <f t="shared" si="149"/>
        <v/>
      </c>
      <c r="I2259" s="1059" t="str">
        <f t="shared" si="150"/>
        <v/>
      </c>
      <c r="J2259" s="1058"/>
      <c r="K2259" s="1060"/>
      <c r="L2259" s="1058"/>
      <c r="M2259" s="1059" t="str">
        <f t="shared" si="151"/>
        <v/>
      </c>
      <c r="N2259" s="1058"/>
    </row>
    <row r="2260" spans="1:15" ht="12.75" customHeight="1" x14ac:dyDescent="0.2">
      <c r="A2260" s="1056"/>
      <c r="B2260" s="1057"/>
      <c r="C2260" s="1057"/>
      <c r="D2260" s="1057"/>
      <c r="E2260" s="1057"/>
      <c r="F2260" s="1057"/>
      <c r="G2260" s="1058"/>
      <c r="H2260" s="9" t="str">
        <f t="shared" si="149"/>
        <v/>
      </c>
      <c r="I2260" s="1059" t="str">
        <f t="shared" si="150"/>
        <v/>
      </c>
      <c r="J2260" s="1058"/>
      <c r="K2260" s="1060"/>
      <c r="L2260" s="1058"/>
      <c r="M2260" s="1059" t="str">
        <f t="shared" si="151"/>
        <v/>
      </c>
      <c r="N2260" s="1058"/>
    </row>
    <row r="2261" spans="1:15" ht="12.75" customHeight="1" x14ac:dyDescent="0.25">
      <c r="A2261" s="3"/>
      <c r="B2261" s="3"/>
      <c r="C2261" s="3"/>
      <c r="D2261" s="3"/>
      <c r="E2261" s="3"/>
      <c r="F2261" s="3"/>
      <c r="G2261" s="3"/>
      <c r="H2261" s="3"/>
      <c r="I2261" s="3"/>
      <c r="J2261" s="3"/>
      <c r="K2261" s="1066" t="s">
        <v>201</v>
      </c>
      <c r="L2261" s="1058"/>
      <c r="M2261" s="1059">
        <f>SUM(M2253:N2260)</f>
        <v>1784572</v>
      </c>
      <c r="N2261" s="1058"/>
    </row>
    <row r="2262" spans="1:15" ht="12.75" customHeight="1" x14ac:dyDescent="0.25">
      <c r="A2262" s="3"/>
      <c r="B2262" s="3"/>
      <c r="C2262" s="3"/>
      <c r="D2262" s="3"/>
      <c r="E2262" s="3"/>
      <c r="F2262" s="3"/>
      <c r="G2262" s="3"/>
      <c r="H2262" s="3"/>
      <c r="I2262" s="3"/>
      <c r="J2262" s="3"/>
      <c r="K2262" s="3"/>
      <c r="L2262" s="3"/>
      <c r="M2262" s="3"/>
      <c r="N2262" s="3"/>
    </row>
    <row r="2263" spans="1:15" ht="12.75" customHeight="1" x14ac:dyDescent="0.2">
      <c r="A2263" s="1065" t="s">
        <v>390</v>
      </c>
      <c r="B2263" s="1057"/>
      <c r="C2263" s="1057"/>
      <c r="D2263" s="1057"/>
      <c r="E2263" s="1057"/>
      <c r="F2263" s="1057"/>
      <c r="G2263" s="1057"/>
      <c r="H2263" s="1057"/>
      <c r="I2263" s="1057"/>
      <c r="J2263" s="1057"/>
      <c r="K2263" s="1057"/>
      <c r="L2263" s="1057"/>
      <c r="M2263" s="1057"/>
      <c r="N2263" s="1058"/>
    </row>
    <row r="2264" spans="1:15" ht="12.75" customHeight="1" x14ac:dyDescent="0.2">
      <c r="A2264" s="1066" t="s">
        <v>38</v>
      </c>
      <c r="B2264" s="1057"/>
      <c r="C2264" s="1057"/>
      <c r="D2264" s="1057"/>
      <c r="E2264" s="1057"/>
      <c r="F2264" s="1057"/>
      <c r="G2264" s="1058"/>
      <c r="H2264" s="28" t="s">
        <v>39</v>
      </c>
      <c r="I2264" s="1062" t="s">
        <v>385</v>
      </c>
      <c r="J2264" s="1058"/>
      <c r="K2264" s="1062" t="s">
        <v>132</v>
      </c>
      <c r="L2264" s="1058"/>
      <c r="M2264" s="1062" t="s">
        <v>386</v>
      </c>
      <c r="N2264" s="1058"/>
    </row>
    <row r="2265" spans="1:15" ht="12.75" customHeight="1" x14ac:dyDescent="0.2">
      <c r="A2265" s="1061" t="s">
        <v>391</v>
      </c>
      <c r="B2265" s="1057"/>
      <c r="C2265" s="1057"/>
      <c r="D2265" s="1057"/>
      <c r="E2265" s="1057"/>
      <c r="F2265" s="1057"/>
      <c r="G2265" s="1058"/>
      <c r="H2265" s="9" t="str">
        <f>IF(A2265="","",VLOOKUP(A2265,AA_Equipos,7,FALSE))</f>
        <v>% M.O.</v>
      </c>
      <c r="I2265" s="1059">
        <f>+M2288</f>
        <v>38623.030859999999</v>
      </c>
      <c r="J2265" s="1058"/>
      <c r="K2265" s="1064">
        <v>0.05</v>
      </c>
      <c r="L2265" s="1058"/>
      <c r="M2265" s="1059">
        <f>IF(A2265="","",I2265*K2265)</f>
        <v>1931.1515429999999</v>
      </c>
      <c r="N2265" s="1058"/>
    </row>
    <row r="2266" spans="1:15" ht="12.75" customHeight="1" x14ac:dyDescent="0.2">
      <c r="A2266" s="1056"/>
      <c r="B2266" s="1057"/>
      <c r="C2266" s="1057"/>
      <c r="D2266" s="1057"/>
      <c r="E2266" s="1057"/>
      <c r="F2266" s="1057"/>
      <c r="G2266" s="1058"/>
      <c r="H2266" s="9" t="str">
        <f>IF(A2266="","",VLOOKUP(A2266,AA_Equipos,7,FALSE))</f>
        <v/>
      </c>
      <c r="I2266" s="1059" t="str">
        <f>IF(A2266="","",VLOOKUP(A2266,AA_Equipos,8,FALSE))</f>
        <v/>
      </c>
      <c r="J2266" s="1058"/>
      <c r="K2266" s="1067"/>
      <c r="L2266" s="1058"/>
      <c r="M2266" s="1059" t="str">
        <f>IF(A2266="","",I2266*K2266)</f>
        <v/>
      </c>
      <c r="N2266" s="1058"/>
    </row>
    <row r="2267" spans="1:15" ht="12.75" customHeight="1" x14ac:dyDescent="0.2">
      <c r="A2267" s="1061"/>
      <c r="B2267" s="1057"/>
      <c r="C2267" s="1057"/>
      <c r="D2267" s="1057"/>
      <c r="E2267" s="1057"/>
      <c r="F2267" s="1057"/>
      <c r="G2267" s="1058"/>
      <c r="H2267" s="9" t="str">
        <f>IF(A2267="","",VLOOKUP(A2267,AA_Equipos,7,FALSE))</f>
        <v/>
      </c>
      <c r="I2267" s="1059" t="str">
        <f>IF(A2267="","",VLOOKUP(A2267,AA_Equipos,8,FALSE))</f>
        <v/>
      </c>
      <c r="J2267" s="1058"/>
      <c r="K2267" s="1070"/>
      <c r="L2267" s="1058"/>
      <c r="M2267" s="1059" t="str">
        <f>IF(A2267="","",I2267*K2267)</f>
        <v/>
      </c>
      <c r="N2267" s="1058"/>
    </row>
    <row r="2268" spans="1:15" ht="12.75" customHeight="1" x14ac:dyDescent="0.2">
      <c r="A2268" s="1061"/>
      <c r="B2268" s="1057"/>
      <c r="C2268" s="1057"/>
      <c r="D2268" s="1057"/>
      <c r="E2268" s="1057"/>
      <c r="F2268" s="1057"/>
      <c r="G2268" s="1058"/>
      <c r="H2268" s="9" t="str">
        <f>IF(A2268="","",VLOOKUP(A2268,AA_Equipos,7,FALSE))</f>
        <v/>
      </c>
      <c r="I2268" s="1059" t="str">
        <f>IF(A2268="","",VLOOKUP(A2268,AA_Equipos,8,FALSE))</f>
        <v/>
      </c>
      <c r="J2268" s="1058"/>
      <c r="K2268" s="1060"/>
      <c r="L2268" s="1058"/>
      <c r="M2268" s="1059" t="str">
        <f>IF(A2268="","",I2268*K2268)</f>
        <v/>
      </c>
      <c r="N2268" s="1058"/>
    </row>
    <row r="2269" spans="1:15" ht="12.75" customHeight="1" x14ac:dyDescent="0.2">
      <c r="A2269" s="1061"/>
      <c r="B2269" s="1057"/>
      <c r="C2269" s="1057"/>
      <c r="D2269" s="1057"/>
      <c r="E2269" s="1057"/>
      <c r="F2269" s="1057"/>
      <c r="G2269" s="1058"/>
      <c r="H2269" s="9" t="str">
        <f>IF(A2269="","",VLOOKUP(A2269,AA_Equipos,7,FALSE))</f>
        <v/>
      </c>
      <c r="I2269" s="1059" t="str">
        <f>IF(A2269="","",VLOOKUP(A2269,AA_Equipos,8,FALSE))</f>
        <v/>
      </c>
      <c r="J2269" s="1058"/>
      <c r="K2269" s="1060"/>
      <c r="L2269" s="1058"/>
      <c r="M2269" s="1059" t="str">
        <f>IF(A2269="","",I2269*K2269)</f>
        <v/>
      </c>
      <c r="N2269" s="1058"/>
      <c r="O2269" s="7"/>
    </row>
    <row r="2270" spans="1:15" ht="12.75" customHeight="1" x14ac:dyDescent="0.25">
      <c r="A2270" s="3"/>
      <c r="B2270" s="3"/>
      <c r="C2270" s="3"/>
      <c r="D2270" s="3"/>
      <c r="E2270" s="3"/>
      <c r="F2270" s="3"/>
      <c r="G2270" s="3"/>
      <c r="H2270" s="3"/>
      <c r="I2270" s="3"/>
      <c r="J2270" s="3"/>
      <c r="K2270" s="1066" t="s">
        <v>201</v>
      </c>
      <c r="L2270" s="1058"/>
      <c r="M2270" s="1059">
        <f>SUM(M2265:N2269)</f>
        <v>1931.1515429999999</v>
      </c>
      <c r="N2270" s="1058"/>
      <c r="O2270" s="7"/>
    </row>
    <row r="2271" spans="1:15" ht="12.75" customHeight="1" x14ac:dyDescent="0.25">
      <c r="A2271" s="3"/>
      <c r="B2271" s="3"/>
      <c r="C2271" s="3"/>
      <c r="D2271" s="3"/>
      <c r="E2271" s="3"/>
      <c r="F2271" s="3"/>
      <c r="G2271" s="3"/>
      <c r="H2271" s="3"/>
      <c r="I2271" s="3"/>
      <c r="J2271" s="3"/>
      <c r="K2271" s="3"/>
      <c r="L2271" s="3"/>
      <c r="M2271" s="3"/>
      <c r="N2271" s="3"/>
    </row>
    <row r="2272" spans="1:15" ht="12.75" customHeight="1" x14ac:dyDescent="0.2">
      <c r="A2272" s="1065" t="s">
        <v>392</v>
      </c>
      <c r="B2272" s="1057"/>
      <c r="C2272" s="1057"/>
      <c r="D2272" s="1057"/>
      <c r="E2272" s="1057"/>
      <c r="F2272" s="1057"/>
      <c r="G2272" s="1057"/>
      <c r="H2272" s="1057"/>
      <c r="I2272" s="1057"/>
      <c r="J2272" s="1057"/>
      <c r="K2272" s="1057"/>
      <c r="L2272" s="1057"/>
      <c r="M2272" s="1057"/>
      <c r="N2272" s="1058"/>
    </row>
    <row r="2273" spans="1:14" ht="12.75" customHeight="1" x14ac:dyDescent="0.2">
      <c r="A2273" s="1066" t="s">
        <v>38</v>
      </c>
      <c r="B2273" s="1057"/>
      <c r="C2273" s="1057"/>
      <c r="D2273" s="1057"/>
      <c r="E2273" s="1057"/>
      <c r="F2273" s="1057"/>
      <c r="G2273" s="1058"/>
      <c r="H2273" s="28" t="s">
        <v>39</v>
      </c>
      <c r="I2273" s="1062" t="s">
        <v>385</v>
      </c>
      <c r="J2273" s="1058"/>
      <c r="K2273" s="1062" t="s">
        <v>132</v>
      </c>
      <c r="L2273" s="1058"/>
      <c r="M2273" s="1062" t="s">
        <v>386</v>
      </c>
      <c r="N2273" s="1058"/>
    </row>
    <row r="2274" spans="1:14" ht="12.75" customHeight="1" x14ac:dyDescent="0.2">
      <c r="A2274" s="1061"/>
      <c r="B2274" s="1057"/>
      <c r="C2274" s="1057"/>
      <c r="D2274" s="1057"/>
      <c r="E2274" s="1057"/>
      <c r="F2274" s="1057"/>
      <c r="G2274" s="1058"/>
      <c r="H2274" s="9"/>
      <c r="I2274" s="1059"/>
      <c r="J2274" s="1058"/>
      <c r="K2274" s="1064"/>
      <c r="L2274" s="1058"/>
      <c r="M2274" s="1059" t="str">
        <f>IF(A2274="","",I2274*K2274)</f>
        <v/>
      </c>
      <c r="N2274" s="1058"/>
    </row>
    <row r="2275" spans="1:14" ht="12.75" customHeight="1" x14ac:dyDescent="0.2">
      <c r="A2275" s="1056"/>
      <c r="B2275" s="1057"/>
      <c r="C2275" s="1057"/>
      <c r="D2275" s="1057"/>
      <c r="E2275" s="1057"/>
      <c r="F2275" s="1057"/>
      <c r="G2275" s="1058"/>
      <c r="H2275" s="9"/>
      <c r="I2275" s="1059"/>
      <c r="J2275" s="1058"/>
      <c r="K2275" s="1064"/>
      <c r="L2275" s="1058"/>
      <c r="M2275" s="1059" t="str">
        <f>IF(A2275="","",I2275*K2275)</f>
        <v/>
      </c>
      <c r="N2275" s="1058"/>
    </row>
    <row r="2276" spans="1:14" ht="12.75" customHeight="1" x14ac:dyDescent="0.2">
      <c r="A2276" s="1061"/>
      <c r="B2276" s="1057"/>
      <c r="C2276" s="1057"/>
      <c r="D2276" s="1057"/>
      <c r="E2276" s="1057"/>
      <c r="F2276" s="1057"/>
      <c r="G2276" s="1058"/>
      <c r="H2276" s="9"/>
      <c r="I2276" s="1059"/>
      <c r="J2276" s="1058"/>
      <c r="K2276" s="1060"/>
      <c r="L2276" s="1058"/>
      <c r="M2276" s="1059" t="str">
        <f>IF(A2276="","",I2276*K2276)</f>
        <v/>
      </c>
      <c r="N2276" s="1058"/>
    </row>
    <row r="2277" spans="1:14" ht="12.75" customHeight="1" x14ac:dyDescent="0.2">
      <c r="A2277" s="1061"/>
      <c r="B2277" s="1057"/>
      <c r="C2277" s="1057"/>
      <c r="D2277" s="1057"/>
      <c r="E2277" s="1057"/>
      <c r="F2277" s="1057"/>
      <c r="G2277" s="1058"/>
      <c r="H2277" s="9"/>
      <c r="I2277" s="1059"/>
      <c r="J2277" s="1058"/>
      <c r="K2277" s="1060"/>
      <c r="L2277" s="1058"/>
      <c r="M2277" s="1059" t="str">
        <f>IF(A2277="","",I2277*K2277)</f>
        <v/>
      </c>
      <c r="N2277" s="1058"/>
    </row>
    <row r="2278" spans="1:14" ht="12.75" customHeight="1" x14ac:dyDescent="0.2">
      <c r="A2278" s="1061"/>
      <c r="B2278" s="1057"/>
      <c r="C2278" s="1057"/>
      <c r="D2278" s="1057"/>
      <c r="E2278" s="1057"/>
      <c r="F2278" s="1057"/>
      <c r="G2278" s="1058"/>
      <c r="H2278" s="9"/>
      <c r="I2278" s="1059"/>
      <c r="J2278" s="1058"/>
      <c r="K2278" s="1060"/>
      <c r="L2278" s="1058"/>
      <c r="M2278" s="1059" t="str">
        <f>IF(A2278="","",I2278*K2278)</f>
        <v/>
      </c>
      <c r="N2278" s="1058"/>
    </row>
    <row r="2279" spans="1:14" ht="12.75" customHeight="1" x14ac:dyDescent="0.25">
      <c r="A2279" s="3"/>
      <c r="B2279" s="3"/>
      <c r="C2279" s="3"/>
      <c r="D2279" s="3"/>
      <c r="E2279" s="3"/>
      <c r="F2279" s="3"/>
      <c r="G2279" s="3"/>
      <c r="H2279" s="3"/>
      <c r="I2279" s="3"/>
      <c r="J2279" s="3"/>
      <c r="K2279" s="1066" t="s">
        <v>201</v>
      </c>
      <c r="L2279" s="1058"/>
      <c r="M2279" s="1059">
        <f>SUM(M2274:N2278)</f>
        <v>0</v>
      </c>
      <c r="N2279" s="1058"/>
    </row>
    <row r="2280" spans="1:14" ht="12.75" customHeight="1" x14ac:dyDescent="0.25">
      <c r="A2280" s="3"/>
      <c r="B2280" s="3"/>
      <c r="C2280" s="3"/>
      <c r="D2280" s="3"/>
      <c r="E2280" s="3"/>
      <c r="F2280" s="3"/>
      <c r="G2280" s="3"/>
      <c r="H2280" s="3"/>
      <c r="I2280" s="3"/>
      <c r="J2280" s="3"/>
      <c r="K2280" s="3"/>
      <c r="L2280" s="3"/>
      <c r="M2280" s="3"/>
      <c r="N2280" s="3"/>
    </row>
    <row r="2281" spans="1:14" ht="12.75" customHeight="1" x14ac:dyDescent="0.2">
      <c r="A2281" s="1065" t="s">
        <v>394</v>
      </c>
      <c r="B2281" s="1057"/>
      <c r="C2281" s="1057"/>
      <c r="D2281" s="1057"/>
      <c r="E2281" s="1057"/>
      <c r="F2281" s="1057"/>
      <c r="G2281" s="1057"/>
      <c r="H2281" s="1057"/>
      <c r="I2281" s="1057"/>
      <c r="J2281" s="1057"/>
      <c r="K2281" s="1057"/>
      <c r="L2281" s="1057"/>
      <c r="M2281" s="1057"/>
      <c r="N2281" s="1058"/>
    </row>
    <row r="2282" spans="1:14" ht="12.75" customHeight="1" x14ac:dyDescent="0.2">
      <c r="A2282" s="1066" t="s">
        <v>38</v>
      </c>
      <c r="B2282" s="1057"/>
      <c r="C2282" s="1057"/>
      <c r="D2282" s="1057"/>
      <c r="E2282" s="1057"/>
      <c r="F2282" s="1057"/>
      <c r="G2282" s="1058"/>
      <c r="H2282" s="28" t="s">
        <v>39</v>
      </c>
      <c r="I2282" s="1062" t="s">
        <v>385</v>
      </c>
      <c r="J2282" s="1058"/>
      <c r="K2282" s="30" t="s">
        <v>193</v>
      </c>
      <c r="L2282" s="31" t="s">
        <v>395</v>
      </c>
      <c r="M2282" s="1062" t="s">
        <v>386</v>
      </c>
      <c r="N2282" s="1058"/>
    </row>
    <row r="2283" spans="1:14" ht="12.75" customHeight="1" x14ac:dyDescent="0.25">
      <c r="A2283" s="1063" t="s">
        <v>418</v>
      </c>
      <c r="B2283" s="1057"/>
      <c r="C2283" s="1057"/>
      <c r="D2283" s="1057"/>
      <c r="E2283" s="1057"/>
      <c r="F2283" s="1057"/>
      <c r="G2283" s="1058"/>
      <c r="H2283" s="9" t="str">
        <f>IF(A2283="","",VLOOKUP(A2283,AA_Cuadrillas,4,FALSE))</f>
        <v>Cuadrilla</v>
      </c>
      <c r="I2283" s="1059">
        <f>IF(A2283="","",VLOOKUP(A2283,AA_Cuadrillas,5,FALSE))</f>
        <v>280145</v>
      </c>
      <c r="J2283" s="1058"/>
      <c r="K2283" s="1">
        <f>IF(A2283="","",'06'!$J$3)</f>
        <v>1.7233500000000002</v>
      </c>
      <c r="L2283" s="37">
        <v>0.08</v>
      </c>
      <c r="M2283" s="1059">
        <f>IF(A2283="","",I2283*K2283*L2283)</f>
        <v>38623.030859999999</v>
      </c>
      <c r="N2283" s="1058"/>
    </row>
    <row r="2284" spans="1:14" ht="12.75" customHeight="1" x14ac:dyDescent="0.25">
      <c r="A2284" s="1063"/>
      <c r="B2284" s="1057"/>
      <c r="C2284" s="1057"/>
      <c r="D2284" s="1057"/>
      <c r="E2284" s="1057"/>
      <c r="F2284" s="1057"/>
      <c r="G2284" s="1058"/>
      <c r="H2284" s="9" t="str">
        <f>IF(A2284="","",VLOOKUP(A2284,AA_Cuadrillas,4,FALSE))</f>
        <v/>
      </c>
      <c r="I2284" s="1059" t="str">
        <f>IF(A2284="","",VLOOKUP(A2284,AA_Cuadrillas,5,FALSE))</f>
        <v/>
      </c>
      <c r="J2284" s="1058"/>
      <c r="K2284" s="1" t="str">
        <f>IF(A2284="","",'06'!$J$3)</f>
        <v/>
      </c>
      <c r="L2284" s="1"/>
      <c r="M2284" s="1059" t="str">
        <f>IF(A2284="","",I2284*K2284*L2284)</f>
        <v/>
      </c>
      <c r="N2284" s="1058"/>
    </row>
    <row r="2285" spans="1:14" ht="12.75" customHeight="1" x14ac:dyDescent="0.25">
      <c r="A2285" s="1063"/>
      <c r="B2285" s="1057"/>
      <c r="C2285" s="1057"/>
      <c r="D2285" s="1057"/>
      <c r="E2285" s="1057"/>
      <c r="F2285" s="1057"/>
      <c r="G2285" s="1058"/>
      <c r="H2285" s="9" t="str">
        <f>IF(A2285="","",VLOOKUP(A2285,AA_Cuadrillas,4,FALSE))</f>
        <v/>
      </c>
      <c r="I2285" s="1059" t="str">
        <f>IF(A2285="","",VLOOKUP(A2285,AA_Cuadrillas,5,FALSE))</f>
        <v/>
      </c>
      <c r="J2285" s="1058"/>
      <c r="K2285" s="1" t="str">
        <f>IF(A2285="","",'06'!$J$3)</f>
        <v/>
      </c>
      <c r="L2285" s="10"/>
      <c r="M2285" s="1059" t="str">
        <f>IF(A2285="","",I2285*K2285*L2285)</f>
        <v/>
      </c>
      <c r="N2285" s="1058"/>
    </row>
    <row r="2286" spans="1:14" ht="12.75" customHeight="1" x14ac:dyDescent="0.25">
      <c r="A2286" s="1063"/>
      <c r="B2286" s="1057"/>
      <c r="C2286" s="1057"/>
      <c r="D2286" s="1057"/>
      <c r="E2286" s="1057"/>
      <c r="F2286" s="1057"/>
      <c r="G2286" s="1058"/>
      <c r="H2286" s="9" t="str">
        <f>IF(A2286="","",VLOOKUP(A2286,AA_Cuadrillas,4,FALSE))</f>
        <v/>
      </c>
      <c r="I2286" s="1059" t="str">
        <f>IF(A2286="","",VLOOKUP(A2286,AA_Cuadrillas,5,FALSE))</f>
        <v/>
      </c>
      <c r="J2286" s="1058"/>
      <c r="K2286" s="1" t="str">
        <f>IF(A2286="","",'06'!$J$3)</f>
        <v/>
      </c>
      <c r="L2286" s="10"/>
      <c r="M2286" s="1059" t="str">
        <f>IF(A2286="","",I2286*K2286*L2286)</f>
        <v/>
      </c>
      <c r="N2286" s="1058"/>
    </row>
    <row r="2287" spans="1:14" ht="12.75" customHeight="1" x14ac:dyDescent="0.25">
      <c r="A2287" s="1063"/>
      <c r="B2287" s="1057"/>
      <c r="C2287" s="1057"/>
      <c r="D2287" s="1057"/>
      <c r="E2287" s="1057"/>
      <c r="F2287" s="1057"/>
      <c r="G2287" s="1058"/>
      <c r="H2287" s="9" t="str">
        <f>IF(A2287="","",VLOOKUP(A2287,AA_Cuadrillas,4,FALSE))</f>
        <v/>
      </c>
      <c r="I2287" s="1059" t="str">
        <f>IF(A2287="","",VLOOKUP(A2287,AA_Cuadrillas,5,FALSE))</f>
        <v/>
      </c>
      <c r="J2287" s="1058"/>
      <c r="K2287" s="1" t="str">
        <f>IF(A2287="","",'06'!$J$3)</f>
        <v/>
      </c>
      <c r="L2287" s="10"/>
      <c r="M2287" s="1059" t="str">
        <f>IF(A2287="","",I2287*K2287*L2287)</f>
        <v/>
      </c>
      <c r="N2287" s="1058"/>
    </row>
    <row r="2288" spans="1:14" ht="12.75" customHeight="1" x14ac:dyDescent="0.25">
      <c r="A2288" s="3"/>
      <c r="B2288" s="3"/>
      <c r="C2288" s="3"/>
      <c r="D2288" s="3"/>
      <c r="E2288" s="3"/>
      <c r="F2288" s="3"/>
      <c r="G2288" s="3"/>
      <c r="H2288" s="3"/>
      <c r="I2288" s="3"/>
      <c r="J2288" s="3"/>
      <c r="K2288" s="1066" t="s">
        <v>201</v>
      </c>
      <c r="L2288" s="1058"/>
      <c r="M2288" s="1059">
        <f>SUM(M2283:N2287)</f>
        <v>38623.030859999999</v>
      </c>
      <c r="N2288" s="1058"/>
    </row>
    <row r="2289" spans="1:14" ht="12.75" customHeight="1" x14ac:dyDescent="0.2"/>
    <row r="2290" spans="1:14" ht="12.75" customHeight="1" x14ac:dyDescent="0.2">
      <c r="A2290" s="1072" t="s">
        <v>1719</v>
      </c>
      <c r="B2290" s="1052"/>
      <c r="C2290" s="1052"/>
      <c r="D2290" s="1052"/>
      <c r="E2290" s="1052"/>
      <c r="F2290" s="1052"/>
      <c r="G2290" s="1052"/>
      <c r="H2290" s="1052"/>
      <c r="I2290" s="1052"/>
      <c r="J2290" s="1052"/>
      <c r="K2290" s="1052"/>
      <c r="L2290" s="1052"/>
      <c r="M2290" s="1052"/>
      <c r="N2290" s="1053"/>
    </row>
    <row r="2291" spans="1:14" ht="12.75" customHeight="1" x14ac:dyDescent="0.2">
      <c r="A2291" s="1031"/>
      <c r="B2291" s="1032"/>
      <c r="C2291" s="1032"/>
      <c r="D2291" s="1032"/>
      <c r="E2291" s="1032"/>
      <c r="F2291" s="1032"/>
      <c r="G2291" s="1032"/>
      <c r="H2291" s="1032"/>
      <c r="I2291" s="1032"/>
      <c r="J2291" s="1032"/>
      <c r="K2291" s="1032"/>
      <c r="L2291" s="1032"/>
      <c r="M2291" s="1032"/>
      <c r="N2291" s="1055"/>
    </row>
    <row r="2292" spans="1:14" ht="12.75" customHeight="1" x14ac:dyDescent="0.2">
      <c r="A2292" s="16"/>
      <c r="B2292" s="16"/>
      <c r="C2292" s="16"/>
      <c r="D2292" s="16"/>
      <c r="E2292" s="16"/>
      <c r="F2292" s="16"/>
      <c r="G2292" s="16"/>
      <c r="H2292" s="16"/>
      <c r="I2292" s="16"/>
      <c r="J2292" s="16"/>
      <c r="K2292" s="16"/>
      <c r="L2292" s="16"/>
      <c r="M2292" s="16"/>
      <c r="N2292" s="16"/>
    </row>
    <row r="2293" spans="1:14" ht="12.75" customHeight="1" x14ac:dyDescent="0.3">
      <c r="A2293" s="18" t="s">
        <v>344</v>
      </c>
      <c r="B2293" s="19" t="str">
        <f>A2290</f>
        <v>TEE PVC 8" (INCLUYE INSTALACIÓN Y SUMINISTRO)</v>
      </c>
      <c r="C2293" s="20" t="s">
        <v>382</v>
      </c>
      <c r="D2293" s="21" t="s">
        <v>424</v>
      </c>
      <c r="E2293" s="22" t="s">
        <v>125</v>
      </c>
      <c r="F2293" s="26">
        <f>(H2293+J2293+L2293+N2293)*$O$2</f>
        <v>1406913.8051191983</v>
      </c>
      <c r="G2293" s="22" t="s">
        <v>285</v>
      </c>
      <c r="H2293" s="26">
        <f>M2314</f>
        <v>1120.6417692013897</v>
      </c>
      <c r="I2293" s="22" t="s">
        <v>383</v>
      </c>
      <c r="J2293" s="36">
        <f>M2305</f>
        <v>1058707.9114000001</v>
      </c>
      <c r="K2293" s="22" t="s">
        <v>287</v>
      </c>
      <c r="L2293" s="26">
        <f>M2323</f>
        <v>0</v>
      </c>
      <c r="M2293" s="22" t="s">
        <v>288</v>
      </c>
      <c r="N2293" s="26">
        <f>M2332</f>
        <v>22412.835384027792</v>
      </c>
    </row>
    <row r="2294" spans="1:14" ht="12.75" customHeight="1" x14ac:dyDescent="0.25">
      <c r="A2294" s="27"/>
      <c r="B2294" s="27"/>
      <c r="C2294" s="27"/>
      <c r="D2294" s="27"/>
      <c r="E2294" s="27"/>
      <c r="F2294" s="27"/>
      <c r="G2294" s="27"/>
      <c r="J2294" s="40"/>
      <c r="K2294" s="27"/>
      <c r="L2294" s="27"/>
      <c r="M2294" s="27"/>
      <c r="N2294" s="27"/>
    </row>
    <row r="2295" spans="1:14" ht="12.75" customHeight="1" x14ac:dyDescent="0.2">
      <c r="A2295" s="1065" t="s">
        <v>384</v>
      </c>
      <c r="B2295" s="1057"/>
      <c r="C2295" s="1057"/>
      <c r="D2295" s="1057"/>
      <c r="E2295" s="1057"/>
      <c r="F2295" s="1057"/>
      <c r="G2295" s="1057"/>
      <c r="H2295" s="1057"/>
      <c r="I2295" s="1057"/>
      <c r="J2295" s="1057"/>
      <c r="K2295" s="1057"/>
      <c r="L2295" s="1057"/>
      <c r="M2295" s="1057"/>
      <c r="N2295" s="1058"/>
    </row>
    <row r="2296" spans="1:14" ht="12.75" customHeight="1" x14ac:dyDescent="0.2">
      <c r="A2296" s="1066" t="s">
        <v>38</v>
      </c>
      <c r="B2296" s="1057"/>
      <c r="C2296" s="1057"/>
      <c r="D2296" s="1057"/>
      <c r="E2296" s="1057"/>
      <c r="F2296" s="1057"/>
      <c r="G2296" s="1058"/>
      <c r="H2296" s="28" t="s">
        <v>39</v>
      </c>
      <c r="I2296" s="1062" t="s">
        <v>385</v>
      </c>
      <c r="J2296" s="1058"/>
      <c r="K2296" s="1062" t="s">
        <v>132</v>
      </c>
      <c r="L2296" s="1058"/>
      <c r="M2296" s="1062" t="s">
        <v>386</v>
      </c>
      <c r="N2296" s="1058"/>
    </row>
    <row r="2297" spans="1:14" ht="12.75" customHeight="1" x14ac:dyDescent="0.2">
      <c r="A2297" s="1061" t="s">
        <v>1558</v>
      </c>
      <c r="B2297" s="1057"/>
      <c r="C2297" s="1057"/>
      <c r="D2297" s="1057"/>
      <c r="E2297" s="1057"/>
      <c r="F2297" s="1057"/>
      <c r="G2297" s="1058"/>
      <c r="H2297" s="9" t="str">
        <f t="shared" ref="H2297:H2299" si="152">IF(A2297="","",VLOOKUP(A2297,AA_Materiales,7,FALSE))</f>
        <v>Unidad</v>
      </c>
      <c r="I2297" s="1059">
        <f t="shared" ref="I2297:I2299" si="153">IF(A2297="","",VLOOKUP(A2297,AA_Materiales,8,FALSE))</f>
        <v>1058345.6114000001</v>
      </c>
      <c r="J2297" s="1058"/>
      <c r="K2297" s="1060">
        <v>1</v>
      </c>
      <c r="L2297" s="1058"/>
      <c r="M2297" s="1059">
        <f t="shared" ref="M2297:M2299" si="154">IF(A2297="","",I2297*K2297)</f>
        <v>1058345.6114000001</v>
      </c>
      <c r="N2297" s="1058"/>
    </row>
    <row r="2298" spans="1:14" ht="12.75" customHeight="1" x14ac:dyDescent="0.2">
      <c r="A2298" s="1061" t="s">
        <v>1603</v>
      </c>
      <c r="B2298" s="1057"/>
      <c r="C2298" s="1057"/>
      <c r="D2298" s="1057"/>
      <c r="E2298" s="1057"/>
      <c r="F2298" s="1057"/>
      <c r="G2298" s="1058"/>
      <c r="H2298" s="9" t="str">
        <f t="shared" si="152"/>
        <v>(1/128) Galón</v>
      </c>
      <c r="I2298" s="1059">
        <f t="shared" si="153"/>
        <v>8539</v>
      </c>
      <c r="J2298" s="1058"/>
      <c r="K2298" s="1060">
        <v>0.02</v>
      </c>
      <c r="L2298" s="1058"/>
      <c r="M2298" s="1059">
        <f t="shared" si="154"/>
        <v>170.78</v>
      </c>
      <c r="N2298" s="1058"/>
    </row>
    <row r="2299" spans="1:14" ht="12.75" customHeight="1" x14ac:dyDescent="0.2">
      <c r="A2299" s="1061" t="s">
        <v>1604</v>
      </c>
      <c r="B2299" s="1057"/>
      <c r="C2299" s="1057"/>
      <c r="D2299" s="1057"/>
      <c r="E2299" s="1057"/>
      <c r="F2299" s="1057"/>
      <c r="G2299" s="1058"/>
      <c r="H2299" s="9" t="str">
        <f t="shared" si="152"/>
        <v>28 gr (1/128)</v>
      </c>
      <c r="I2299" s="1059">
        <f t="shared" si="153"/>
        <v>4788</v>
      </c>
      <c r="J2299" s="1058"/>
      <c r="K2299" s="1060">
        <v>0.04</v>
      </c>
      <c r="L2299" s="1058"/>
      <c r="M2299" s="1059">
        <f t="shared" si="154"/>
        <v>191.52</v>
      </c>
      <c r="N2299" s="1058"/>
    </row>
    <row r="2300" spans="1:14" ht="12.75" customHeight="1" x14ac:dyDescent="0.2">
      <c r="A2300" s="1056"/>
      <c r="B2300" s="1057"/>
      <c r="C2300" s="1057"/>
      <c r="D2300" s="1057"/>
      <c r="E2300" s="1057"/>
      <c r="F2300" s="1057"/>
      <c r="G2300" s="1058"/>
      <c r="H2300" s="9" t="str">
        <f t="shared" ref="H2300:H2304" si="155">IF(A2300="","",VLOOKUP(A2300,AA_Materiales,7,FALSE))</f>
        <v/>
      </c>
      <c r="I2300" s="1059" t="str">
        <f t="shared" ref="I2300:I2304" si="156">IF(A2300="","",VLOOKUP(A2300,AA_Materiales,8,FALSE))</f>
        <v/>
      </c>
      <c r="J2300" s="1058"/>
      <c r="K2300" s="1060"/>
      <c r="L2300" s="1058"/>
      <c r="M2300" s="1059" t="str">
        <f t="shared" ref="M2300:M2304" si="157">IF(A2300="","",I2300*K2300)</f>
        <v/>
      </c>
      <c r="N2300" s="1058"/>
    </row>
    <row r="2301" spans="1:14" ht="12.75" customHeight="1" x14ac:dyDescent="0.2">
      <c r="A2301" s="1056"/>
      <c r="B2301" s="1057"/>
      <c r="C2301" s="1057"/>
      <c r="D2301" s="1057"/>
      <c r="E2301" s="1057"/>
      <c r="F2301" s="1057"/>
      <c r="G2301" s="1058"/>
      <c r="H2301" s="9" t="str">
        <f t="shared" si="155"/>
        <v/>
      </c>
      <c r="I2301" s="1059" t="str">
        <f t="shared" si="156"/>
        <v/>
      </c>
      <c r="J2301" s="1058"/>
      <c r="K2301" s="1060"/>
      <c r="L2301" s="1058"/>
      <c r="M2301" s="1059" t="str">
        <f t="shared" si="157"/>
        <v/>
      </c>
      <c r="N2301" s="1058"/>
    </row>
    <row r="2302" spans="1:14" ht="12.75" customHeight="1" x14ac:dyDescent="0.2">
      <c r="A2302" s="1056"/>
      <c r="B2302" s="1057"/>
      <c r="C2302" s="1057"/>
      <c r="D2302" s="1057"/>
      <c r="E2302" s="1057"/>
      <c r="F2302" s="1057"/>
      <c r="G2302" s="1058"/>
      <c r="H2302" s="9" t="str">
        <f t="shared" si="155"/>
        <v/>
      </c>
      <c r="I2302" s="1059" t="str">
        <f t="shared" si="156"/>
        <v/>
      </c>
      <c r="J2302" s="1058"/>
      <c r="K2302" s="1060"/>
      <c r="L2302" s="1058"/>
      <c r="M2302" s="1059" t="str">
        <f t="shared" si="157"/>
        <v/>
      </c>
      <c r="N2302" s="1058"/>
    </row>
    <row r="2303" spans="1:14" ht="12.75" customHeight="1" x14ac:dyDescent="0.2">
      <c r="A2303" s="1056"/>
      <c r="B2303" s="1057"/>
      <c r="C2303" s="1057"/>
      <c r="D2303" s="1057"/>
      <c r="E2303" s="1057"/>
      <c r="F2303" s="1057"/>
      <c r="G2303" s="1058"/>
      <c r="H2303" s="9" t="str">
        <f t="shared" si="155"/>
        <v/>
      </c>
      <c r="I2303" s="1059" t="str">
        <f t="shared" si="156"/>
        <v/>
      </c>
      <c r="J2303" s="1058"/>
      <c r="K2303" s="1060"/>
      <c r="L2303" s="1058"/>
      <c r="M2303" s="1059" t="str">
        <f t="shared" si="157"/>
        <v/>
      </c>
      <c r="N2303" s="1058"/>
    </row>
    <row r="2304" spans="1:14" ht="12.75" customHeight="1" x14ac:dyDescent="0.2">
      <c r="A2304" s="1056"/>
      <c r="B2304" s="1057"/>
      <c r="C2304" s="1057"/>
      <c r="D2304" s="1057"/>
      <c r="E2304" s="1057"/>
      <c r="F2304" s="1057"/>
      <c r="G2304" s="1058"/>
      <c r="H2304" s="9" t="str">
        <f t="shared" si="155"/>
        <v/>
      </c>
      <c r="I2304" s="1059" t="str">
        <f t="shared" si="156"/>
        <v/>
      </c>
      <c r="J2304" s="1058"/>
      <c r="K2304" s="1060"/>
      <c r="L2304" s="1058"/>
      <c r="M2304" s="1059" t="str">
        <f t="shared" si="157"/>
        <v/>
      </c>
      <c r="N2304" s="1058"/>
    </row>
    <row r="2305" spans="1:15" ht="12.75" customHeight="1" x14ac:dyDescent="0.25">
      <c r="A2305" s="3"/>
      <c r="B2305" s="3"/>
      <c r="C2305" s="3"/>
      <c r="D2305" s="3"/>
      <c r="E2305" s="3"/>
      <c r="F2305" s="3"/>
      <c r="G2305" s="3"/>
      <c r="H2305" s="3"/>
      <c r="I2305" s="3"/>
      <c r="J2305" s="3"/>
      <c r="K2305" s="1066" t="s">
        <v>201</v>
      </c>
      <c r="L2305" s="1058"/>
      <c r="M2305" s="1059">
        <f>SUM(M2297:N2304)</f>
        <v>1058707.9114000001</v>
      </c>
      <c r="N2305" s="1058"/>
    </row>
    <row r="2306" spans="1:15" ht="12.75" customHeight="1" x14ac:dyDescent="0.25">
      <c r="A2306" s="3"/>
      <c r="B2306" s="3"/>
      <c r="C2306" s="3"/>
      <c r="D2306" s="3"/>
      <c r="E2306" s="3"/>
      <c r="F2306" s="3"/>
      <c r="G2306" s="3"/>
      <c r="H2306" s="3"/>
      <c r="I2306" s="3"/>
      <c r="J2306" s="3"/>
      <c r="K2306" s="3"/>
      <c r="L2306" s="3"/>
      <c r="M2306" s="3"/>
      <c r="N2306" s="3"/>
    </row>
    <row r="2307" spans="1:15" ht="12.75" customHeight="1" x14ac:dyDescent="0.2">
      <c r="A2307" s="1065" t="s">
        <v>390</v>
      </c>
      <c r="B2307" s="1057"/>
      <c r="C2307" s="1057"/>
      <c r="D2307" s="1057"/>
      <c r="E2307" s="1057"/>
      <c r="F2307" s="1057"/>
      <c r="G2307" s="1057"/>
      <c r="H2307" s="1057"/>
      <c r="I2307" s="1057"/>
      <c r="J2307" s="1057"/>
      <c r="K2307" s="1057"/>
      <c r="L2307" s="1057"/>
      <c r="M2307" s="1057"/>
      <c r="N2307" s="1058"/>
    </row>
    <row r="2308" spans="1:15" ht="12.75" customHeight="1" x14ac:dyDescent="0.2">
      <c r="A2308" s="1066" t="s">
        <v>38</v>
      </c>
      <c r="B2308" s="1057"/>
      <c r="C2308" s="1057"/>
      <c r="D2308" s="1057"/>
      <c r="E2308" s="1057"/>
      <c r="F2308" s="1057"/>
      <c r="G2308" s="1058"/>
      <c r="H2308" s="28" t="s">
        <v>39</v>
      </c>
      <c r="I2308" s="1062" t="s">
        <v>385</v>
      </c>
      <c r="J2308" s="1058"/>
      <c r="K2308" s="1062" t="s">
        <v>132</v>
      </c>
      <c r="L2308" s="1058"/>
      <c r="M2308" s="1062" t="s">
        <v>386</v>
      </c>
      <c r="N2308" s="1058"/>
    </row>
    <row r="2309" spans="1:15" ht="12.75" customHeight="1" x14ac:dyDescent="0.2">
      <c r="A2309" s="1061" t="s">
        <v>391</v>
      </c>
      <c r="B2309" s="1057"/>
      <c r="C2309" s="1057"/>
      <c r="D2309" s="1057"/>
      <c r="E2309" s="1057"/>
      <c r="F2309" s="1057"/>
      <c r="G2309" s="1058"/>
      <c r="H2309" s="9" t="str">
        <f>IF(A2309="","",VLOOKUP(A2309,AA_Equipos,7,FALSE))</f>
        <v>% M.O.</v>
      </c>
      <c r="I2309" s="1059">
        <f>+M2332</f>
        <v>22412.835384027792</v>
      </c>
      <c r="J2309" s="1058"/>
      <c r="K2309" s="1064">
        <v>0.05</v>
      </c>
      <c r="L2309" s="1058"/>
      <c r="M2309" s="1059">
        <f>IF(A2309="","",I2309*K2309)</f>
        <v>1120.6417692013897</v>
      </c>
      <c r="N2309" s="1058"/>
    </row>
    <row r="2310" spans="1:15" ht="12.75" customHeight="1" x14ac:dyDescent="0.2">
      <c r="A2310" s="1056"/>
      <c r="B2310" s="1057"/>
      <c r="C2310" s="1057"/>
      <c r="D2310" s="1057"/>
      <c r="E2310" s="1057"/>
      <c r="F2310" s="1057"/>
      <c r="G2310" s="1058"/>
      <c r="H2310" s="9" t="str">
        <f>IF(A2310="","",VLOOKUP(A2310,AA_Equipos,7,FALSE))</f>
        <v/>
      </c>
      <c r="I2310" s="1059" t="str">
        <f>IF(A2310="","",VLOOKUP(A2310,AA_Equipos,8,FALSE))</f>
        <v/>
      </c>
      <c r="J2310" s="1058"/>
      <c r="K2310" s="1067"/>
      <c r="L2310" s="1058"/>
      <c r="M2310" s="1059" t="str">
        <f>IF(A2310="","",I2310*K2310)</f>
        <v/>
      </c>
      <c r="N2310" s="1058"/>
    </row>
    <row r="2311" spans="1:15" ht="12.75" customHeight="1" x14ac:dyDescent="0.2">
      <c r="A2311" s="1061"/>
      <c r="B2311" s="1057"/>
      <c r="C2311" s="1057"/>
      <c r="D2311" s="1057"/>
      <c r="E2311" s="1057"/>
      <c r="F2311" s="1057"/>
      <c r="G2311" s="1058"/>
      <c r="H2311" s="9" t="str">
        <f>IF(A2311="","",VLOOKUP(A2311,AA_Equipos,7,FALSE))</f>
        <v/>
      </c>
      <c r="I2311" s="1059" t="str">
        <f>IF(A2311="","",VLOOKUP(A2311,AA_Equipos,8,FALSE))</f>
        <v/>
      </c>
      <c r="J2311" s="1058"/>
      <c r="K2311" s="1070"/>
      <c r="L2311" s="1058"/>
      <c r="M2311" s="1059" t="str">
        <f>IF(A2311="","",I2311*K2311)</f>
        <v/>
      </c>
      <c r="N2311" s="1058"/>
    </row>
    <row r="2312" spans="1:15" ht="12.75" customHeight="1" x14ac:dyDescent="0.2">
      <c r="A2312" s="1061"/>
      <c r="B2312" s="1057"/>
      <c r="C2312" s="1057"/>
      <c r="D2312" s="1057"/>
      <c r="E2312" s="1057"/>
      <c r="F2312" s="1057"/>
      <c r="G2312" s="1058"/>
      <c r="H2312" s="9" t="str">
        <f>IF(A2312="","",VLOOKUP(A2312,AA_Equipos,7,FALSE))</f>
        <v/>
      </c>
      <c r="I2312" s="1059" t="str">
        <f>IF(A2312="","",VLOOKUP(A2312,AA_Equipos,8,FALSE))</f>
        <v/>
      </c>
      <c r="J2312" s="1058"/>
      <c r="K2312" s="1060"/>
      <c r="L2312" s="1058"/>
      <c r="M2312" s="1059" t="str">
        <f>IF(A2312="","",I2312*K2312)</f>
        <v/>
      </c>
      <c r="N2312" s="1058"/>
    </row>
    <row r="2313" spans="1:15" ht="12.75" customHeight="1" x14ac:dyDescent="0.2">
      <c r="A2313" s="1061"/>
      <c r="B2313" s="1057"/>
      <c r="C2313" s="1057"/>
      <c r="D2313" s="1057"/>
      <c r="E2313" s="1057"/>
      <c r="F2313" s="1057"/>
      <c r="G2313" s="1058"/>
      <c r="H2313" s="9" t="str">
        <f>IF(A2313="","",VLOOKUP(A2313,AA_Equipos,7,FALSE))</f>
        <v/>
      </c>
      <c r="I2313" s="1059" t="str">
        <f>IF(A2313="","",VLOOKUP(A2313,AA_Equipos,8,FALSE))</f>
        <v/>
      </c>
      <c r="J2313" s="1058"/>
      <c r="K2313" s="1060"/>
      <c r="L2313" s="1058"/>
      <c r="M2313" s="1059" t="str">
        <f>IF(A2313="","",I2313*K2313)</f>
        <v/>
      </c>
      <c r="N2313" s="1058"/>
      <c r="O2313" s="7"/>
    </row>
    <row r="2314" spans="1:15" ht="12.75" customHeight="1" x14ac:dyDescent="0.25">
      <c r="A2314" s="3"/>
      <c r="B2314" s="3"/>
      <c r="C2314" s="3"/>
      <c r="D2314" s="3"/>
      <c r="E2314" s="3"/>
      <c r="F2314" s="3"/>
      <c r="G2314" s="3"/>
      <c r="H2314" s="3"/>
      <c r="I2314" s="3"/>
      <c r="J2314" s="3"/>
      <c r="K2314" s="1066" t="s">
        <v>201</v>
      </c>
      <c r="L2314" s="1058"/>
      <c r="M2314" s="1059">
        <f>SUM(M2309:N2313)</f>
        <v>1120.6417692013897</v>
      </c>
      <c r="N2314" s="1058"/>
      <c r="O2314" s="7"/>
    </row>
    <row r="2315" spans="1:15" ht="12.75" customHeight="1" x14ac:dyDescent="0.25">
      <c r="A2315" s="3"/>
      <c r="B2315" s="3"/>
      <c r="C2315" s="3"/>
      <c r="D2315" s="3"/>
      <c r="E2315" s="3"/>
      <c r="F2315" s="3"/>
      <c r="G2315" s="3"/>
      <c r="H2315" s="3"/>
      <c r="I2315" s="3"/>
      <c r="J2315" s="3"/>
      <c r="K2315" s="3"/>
      <c r="L2315" s="3"/>
      <c r="M2315" s="3"/>
      <c r="N2315" s="3"/>
    </row>
    <row r="2316" spans="1:15" ht="12.75" customHeight="1" x14ac:dyDescent="0.2">
      <c r="A2316" s="1065" t="s">
        <v>392</v>
      </c>
      <c r="B2316" s="1057"/>
      <c r="C2316" s="1057"/>
      <c r="D2316" s="1057"/>
      <c r="E2316" s="1057"/>
      <c r="F2316" s="1057"/>
      <c r="G2316" s="1057"/>
      <c r="H2316" s="1057"/>
      <c r="I2316" s="1057"/>
      <c r="J2316" s="1057"/>
      <c r="K2316" s="1057"/>
      <c r="L2316" s="1057"/>
      <c r="M2316" s="1057"/>
      <c r="N2316" s="1058"/>
    </row>
    <row r="2317" spans="1:15" ht="12.75" customHeight="1" x14ac:dyDescent="0.2">
      <c r="A2317" s="1066" t="s">
        <v>38</v>
      </c>
      <c r="B2317" s="1057"/>
      <c r="C2317" s="1057"/>
      <c r="D2317" s="1057"/>
      <c r="E2317" s="1057"/>
      <c r="F2317" s="1057"/>
      <c r="G2317" s="1058"/>
      <c r="H2317" s="28" t="s">
        <v>39</v>
      </c>
      <c r="I2317" s="1062" t="s">
        <v>385</v>
      </c>
      <c r="J2317" s="1058"/>
      <c r="K2317" s="1062" t="s">
        <v>132</v>
      </c>
      <c r="L2317" s="1058"/>
      <c r="M2317" s="1062" t="s">
        <v>386</v>
      </c>
      <c r="N2317" s="1058"/>
    </row>
    <row r="2318" spans="1:15" ht="12.75" customHeight="1" x14ac:dyDescent="0.2">
      <c r="A2318" s="1061"/>
      <c r="B2318" s="1057"/>
      <c r="C2318" s="1057"/>
      <c r="D2318" s="1057"/>
      <c r="E2318" s="1057"/>
      <c r="F2318" s="1057"/>
      <c r="G2318" s="1058"/>
      <c r="H2318" s="9"/>
      <c r="I2318" s="1059"/>
      <c r="J2318" s="1058"/>
      <c r="K2318" s="1064"/>
      <c r="L2318" s="1058"/>
      <c r="M2318" s="1059" t="str">
        <f>IF(A2318="","",I2318*K2318)</f>
        <v/>
      </c>
      <c r="N2318" s="1058"/>
    </row>
    <row r="2319" spans="1:15" ht="12.75" customHeight="1" x14ac:dyDescent="0.2">
      <c r="A2319" s="1056"/>
      <c r="B2319" s="1057"/>
      <c r="C2319" s="1057"/>
      <c r="D2319" s="1057"/>
      <c r="E2319" s="1057"/>
      <c r="F2319" s="1057"/>
      <c r="G2319" s="1058"/>
      <c r="H2319" s="9"/>
      <c r="I2319" s="1059"/>
      <c r="J2319" s="1058"/>
      <c r="K2319" s="1064"/>
      <c r="L2319" s="1058"/>
      <c r="M2319" s="1059" t="str">
        <f>IF(A2319="","",I2319*K2319)</f>
        <v/>
      </c>
      <c r="N2319" s="1058"/>
    </row>
    <row r="2320" spans="1:15" ht="12.75" customHeight="1" x14ac:dyDescent="0.2">
      <c r="A2320" s="1061"/>
      <c r="B2320" s="1057"/>
      <c r="C2320" s="1057"/>
      <c r="D2320" s="1057"/>
      <c r="E2320" s="1057"/>
      <c r="F2320" s="1057"/>
      <c r="G2320" s="1058"/>
      <c r="H2320" s="9"/>
      <c r="I2320" s="1059"/>
      <c r="J2320" s="1058"/>
      <c r="K2320" s="1060"/>
      <c r="L2320" s="1058"/>
      <c r="M2320" s="1059" t="str">
        <f>IF(A2320="","",I2320*K2320)</f>
        <v/>
      </c>
      <c r="N2320" s="1058"/>
    </row>
    <row r="2321" spans="1:14" ht="12.75" customHeight="1" x14ac:dyDescent="0.2">
      <c r="A2321" s="1061"/>
      <c r="B2321" s="1057"/>
      <c r="C2321" s="1057"/>
      <c r="D2321" s="1057"/>
      <c r="E2321" s="1057"/>
      <c r="F2321" s="1057"/>
      <c r="G2321" s="1058"/>
      <c r="H2321" s="9"/>
      <c r="I2321" s="1059"/>
      <c r="J2321" s="1058"/>
      <c r="K2321" s="1060"/>
      <c r="L2321" s="1058"/>
      <c r="M2321" s="1059" t="str">
        <f>IF(A2321="","",I2321*K2321)</f>
        <v/>
      </c>
      <c r="N2321" s="1058"/>
    </row>
    <row r="2322" spans="1:14" ht="12.75" customHeight="1" x14ac:dyDescent="0.2">
      <c r="A2322" s="1061"/>
      <c r="B2322" s="1057"/>
      <c r="C2322" s="1057"/>
      <c r="D2322" s="1057"/>
      <c r="E2322" s="1057"/>
      <c r="F2322" s="1057"/>
      <c r="G2322" s="1058"/>
      <c r="H2322" s="9"/>
      <c r="I2322" s="1059"/>
      <c r="J2322" s="1058"/>
      <c r="K2322" s="1060"/>
      <c r="L2322" s="1058"/>
      <c r="M2322" s="1059" t="str">
        <f>IF(A2322="","",I2322*K2322)</f>
        <v/>
      </c>
      <c r="N2322" s="1058"/>
    </row>
    <row r="2323" spans="1:14" ht="12.75" customHeight="1" x14ac:dyDescent="0.25">
      <c r="A2323" s="3"/>
      <c r="B2323" s="3"/>
      <c r="C2323" s="3"/>
      <c r="D2323" s="3"/>
      <c r="E2323" s="3"/>
      <c r="F2323" s="3"/>
      <c r="G2323" s="3"/>
      <c r="H2323" s="3"/>
      <c r="I2323" s="3"/>
      <c r="J2323" s="3"/>
      <c r="K2323" s="1066" t="s">
        <v>201</v>
      </c>
      <c r="L2323" s="1058"/>
      <c r="M2323" s="1059">
        <f>SUM(M2318:N2322)</f>
        <v>0</v>
      </c>
      <c r="N2323" s="1058"/>
    </row>
    <row r="2324" spans="1:14" ht="12.75" customHeight="1" x14ac:dyDescent="0.25">
      <c r="A2324" s="3"/>
      <c r="B2324" s="3"/>
      <c r="C2324" s="3"/>
      <c r="D2324" s="3"/>
      <c r="E2324" s="3"/>
      <c r="F2324" s="3"/>
      <c r="G2324" s="3"/>
      <c r="H2324" s="3"/>
      <c r="I2324" s="3"/>
      <c r="J2324" s="3"/>
      <c r="K2324" s="3"/>
      <c r="L2324" s="3"/>
      <c r="M2324" s="3"/>
      <c r="N2324" s="3"/>
    </row>
    <row r="2325" spans="1:14" ht="12.75" customHeight="1" x14ac:dyDescent="0.2">
      <c r="A2325" s="1065" t="s">
        <v>394</v>
      </c>
      <c r="B2325" s="1057"/>
      <c r="C2325" s="1057"/>
      <c r="D2325" s="1057"/>
      <c r="E2325" s="1057"/>
      <c r="F2325" s="1057"/>
      <c r="G2325" s="1057"/>
      <c r="H2325" s="1057"/>
      <c r="I2325" s="1057"/>
      <c r="J2325" s="1057"/>
      <c r="K2325" s="1057"/>
      <c r="L2325" s="1057"/>
      <c r="M2325" s="1057"/>
      <c r="N2325" s="1058"/>
    </row>
    <row r="2326" spans="1:14" ht="12.75" customHeight="1" x14ac:dyDescent="0.2">
      <c r="A2326" s="1066" t="s">
        <v>38</v>
      </c>
      <c r="B2326" s="1057"/>
      <c r="C2326" s="1057"/>
      <c r="D2326" s="1057"/>
      <c r="E2326" s="1057"/>
      <c r="F2326" s="1057"/>
      <c r="G2326" s="1058"/>
      <c r="H2326" s="28" t="s">
        <v>39</v>
      </c>
      <c r="I2326" s="1062" t="s">
        <v>385</v>
      </c>
      <c r="J2326" s="1058"/>
      <c r="K2326" s="30" t="s">
        <v>193</v>
      </c>
      <c r="L2326" s="31" t="s">
        <v>395</v>
      </c>
      <c r="M2326" s="1062" t="s">
        <v>386</v>
      </c>
      <c r="N2326" s="1058"/>
    </row>
    <row r="2327" spans="1:14" ht="12.75" customHeight="1" x14ac:dyDescent="0.25">
      <c r="A2327" s="1063" t="s">
        <v>418</v>
      </c>
      <c r="B2327" s="1057"/>
      <c r="C2327" s="1057"/>
      <c r="D2327" s="1057"/>
      <c r="E2327" s="1057"/>
      <c r="F2327" s="1057"/>
      <c r="G2327" s="1058"/>
      <c r="H2327" s="9" t="str">
        <f>IF(A2327="","",VLOOKUP(A2327,AA_Cuadrillas,4,FALSE))</f>
        <v>Cuadrilla</v>
      </c>
      <c r="I2327" s="1059">
        <f>IF(A2327="","",VLOOKUP(A2327,AA_Cuadrillas,5,FALSE))</f>
        <v>280145</v>
      </c>
      <c r="J2327" s="1058"/>
      <c r="K2327" s="1">
        <f>IF(A2327="","",'06'!$J$3)</f>
        <v>1.7233500000000002</v>
      </c>
      <c r="L2327" s="37">
        <v>4.6423773349677074E-2</v>
      </c>
      <c r="M2327" s="1059">
        <f>IF(A2327="","",I2327*K2327*L2327)</f>
        <v>22412.835384027792</v>
      </c>
      <c r="N2327" s="1058"/>
    </row>
    <row r="2328" spans="1:14" ht="12.75" customHeight="1" x14ac:dyDescent="0.25">
      <c r="A2328" s="1063"/>
      <c r="B2328" s="1057"/>
      <c r="C2328" s="1057"/>
      <c r="D2328" s="1057"/>
      <c r="E2328" s="1057"/>
      <c r="F2328" s="1057"/>
      <c r="G2328" s="1058"/>
      <c r="H2328" s="9" t="str">
        <f>IF(A2328="","",VLOOKUP(A2328,AA_Cuadrillas,4,FALSE))</f>
        <v/>
      </c>
      <c r="I2328" s="1059" t="str">
        <f>IF(A2328="","",VLOOKUP(A2328,AA_Cuadrillas,5,FALSE))</f>
        <v/>
      </c>
      <c r="J2328" s="1058"/>
      <c r="K2328" s="1" t="str">
        <f>IF(A2328="","",'06'!$J$3)</f>
        <v/>
      </c>
      <c r="L2328" s="1"/>
      <c r="M2328" s="1059" t="str">
        <f>IF(A2328="","",I2328*K2328*L2328)</f>
        <v/>
      </c>
      <c r="N2328" s="1058"/>
    </row>
    <row r="2329" spans="1:14" ht="12.75" customHeight="1" x14ac:dyDescent="0.25">
      <c r="A2329" s="1063"/>
      <c r="B2329" s="1057"/>
      <c r="C2329" s="1057"/>
      <c r="D2329" s="1057"/>
      <c r="E2329" s="1057"/>
      <c r="F2329" s="1057"/>
      <c r="G2329" s="1058"/>
      <c r="H2329" s="9" t="str">
        <f>IF(A2329="","",VLOOKUP(A2329,AA_Cuadrillas,4,FALSE))</f>
        <v/>
      </c>
      <c r="I2329" s="1059" t="str">
        <f>IF(A2329="","",VLOOKUP(A2329,AA_Cuadrillas,5,FALSE))</f>
        <v/>
      </c>
      <c r="J2329" s="1058"/>
      <c r="K2329" s="1" t="str">
        <f>IF(A2329="","",'06'!$J$3)</f>
        <v/>
      </c>
      <c r="L2329" s="10"/>
      <c r="M2329" s="1059" t="str">
        <f>IF(A2329="","",I2329*K2329*L2329)</f>
        <v/>
      </c>
      <c r="N2329" s="1058"/>
    </row>
    <row r="2330" spans="1:14" ht="12.75" customHeight="1" x14ac:dyDescent="0.25">
      <c r="A2330" s="1063"/>
      <c r="B2330" s="1057"/>
      <c r="C2330" s="1057"/>
      <c r="D2330" s="1057"/>
      <c r="E2330" s="1057"/>
      <c r="F2330" s="1057"/>
      <c r="G2330" s="1058"/>
      <c r="H2330" s="9" t="str">
        <f>IF(A2330="","",VLOOKUP(A2330,AA_Cuadrillas,4,FALSE))</f>
        <v/>
      </c>
      <c r="I2330" s="1059" t="str">
        <f>IF(A2330="","",VLOOKUP(A2330,AA_Cuadrillas,5,FALSE))</f>
        <v/>
      </c>
      <c r="J2330" s="1058"/>
      <c r="K2330" s="1" t="str">
        <f>IF(A2330="","",'06'!$J$3)</f>
        <v/>
      </c>
      <c r="L2330" s="10"/>
      <c r="M2330" s="1059" t="str">
        <f>IF(A2330="","",I2330*K2330*L2330)</f>
        <v/>
      </c>
      <c r="N2330" s="1058"/>
    </row>
    <row r="2331" spans="1:14" ht="12.75" customHeight="1" x14ac:dyDescent="0.25">
      <c r="A2331" s="1063"/>
      <c r="B2331" s="1057"/>
      <c r="C2331" s="1057"/>
      <c r="D2331" s="1057"/>
      <c r="E2331" s="1057"/>
      <c r="F2331" s="1057"/>
      <c r="G2331" s="1058"/>
      <c r="H2331" s="9" t="str">
        <f>IF(A2331="","",VLOOKUP(A2331,AA_Cuadrillas,4,FALSE))</f>
        <v/>
      </c>
      <c r="I2331" s="1059" t="str">
        <f>IF(A2331="","",VLOOKUP(A2331,AA_Cuadrillas,5,FALSE))</f>
        <v/>
      </c>
      <c r="J2331" s="1058"/>
      <c r="K2331" s="1" t="str">
        <f>IF(A2331="","",'06'!$J$3)</f>
        <v/>
      </c>
      <c r="L2331" s="10"/>
      <c r="M2331" s="1059" t="str">
        <f>IF(A2331="","",I2331*K2331*L2331)</f>
        <v/>
      </c>
      <c r="N2331" s="1058"/>
    </row>
    <row r="2332" spans="1:14" ht="12.75" customHeight="1" x14ac:dyDescent="0.25">
      <c r="A2332" s="3"/>
      <c r="B2332" s="3"/>
      <c r="C2332" s="3"/>
      <c r="D2332" s="3"/>
      <c r="E2332" s="3"/>
      <c r="F2332" s="3"/>
      <c r="G2332" s="3"/>
      <c r="H2332" s="3"/>
      <c r="I2332" s="3"/>
      <c r="J2332" s="3"/>
      <c r="K2332" s="1066" t="s">
        <v>201</v>
      </c>
      <c r="L2332" s="1058"/>
      <c r="M2332" s="1059">
        <f>SUM(M2327:N2331)</f>
        <v>22412.835384027792</v>
      </c>
      <c r="N2332" s="1058"/>
    </row>
    <row r="2333" spans="1:14" ht="12.75" customHeight="1" x14ac:dyDescent="0.2"/>
    <row r="2334" spans="1:14" ht="12.75" customHeight="1" x14ac:dyDescent="0.2">
      <c r="A2334" s="1072" t="s">
        <v>1720</v>
      </c>
      <c r="B2334" s="1052"/>
      <c r="C2334" s="1052"/>
      <c r="D2334" s="1052"/>
      <c r="E2334" s="1052"/>
      <c r="F2334" s="1052"/>
      <c r="G2334" s="1052"/>
      <c r="H2334" s="1052"/>
      <c r="I2334" s="1052"/>
      <c r="J2334" s="1052"/>
      <c r="K2334" s="1052"/>
      <c r="L2334" s="1052"/>
      <c r="M2334" s="1052"/>
      <c r="N2334" s="1053"/>
    </row>
    <row r="2335" spans="1:14" ht="12.75" customHeight="1" x14ac:dyDescent="0.2">
      <c r="A2335" s="1031"/>
      <c r="B2335" s="1032"/>
      <c r="C2335" s="1032"/>
      <c r="D2335" s="1032"/>
      <c r="E2335" s="1032"/>
      <c r="F2335" s="1032"/>
      <c r="G2335" s="1032"/>
      <c r="H2335" s="1032"/>
      <c r="I2335" s="1032"/>
      <c r="J2335" s="1032"/>
      <c r="K2335" s="1032"/>
      <c r="L2335" s="1032"/>
      <c r="M2335" s="1032"/>
      <c r="N2335" s="1055"/>
    </row>
    <row r="2336" spans="1:14" ht="12.75" customHeight="1" x14ac:dyDescent="0.2">
      <c r="A2336" s="16"/>
      <c r="B2336" s="16"/>
      <c r="C2336" s="16"/>
      <c r="D2336" s="16"/>
      <c r="E2336" s="16"/>
      <c r="F2336" s="16"/>
      <c r="G2336" s="16"/>
      <c r="H2336" s="16"/>
      <c r="I2336" s="16"/>
      <c r="J2336" s="16"/>
      <c r="K2336" s="16"/>
      <c r="L2336" s="16"/>
      <c r="M2336" s="16"/>
      <c r="N2336" s="16"/>
    </row>
    <row r="2337" spans="1:15" ht="12.75" customHeight="1" x14ac:dyDescent="0.3">
      <c r="A2337" s="18" t="s">
        <v>345</v>
      </c>
      <c r="B2337" s="19" t="str">
        <f>A2334</f>
        <v>CODO 90° PVC 8" (INCLUYE INSTALACIÓN Y SUMINISTRO)</v>
      </c>
      <c r="C2337" s="20" t="s">
        <v>382</v>
      </c>
      <c r="D2337" s="21" t="s">
        <v>424</v>
      </c>
      <c r="E2337" s="22" t="s">
        <v>125</v>
      </c>
      <c r="F2337" s="26">
        <f>(H2337+J2337+L2337+N2337)*$O$2</f>
        <v>1225670.9970469249</v>
      </c>
      <c r="G2337" s="22" t="s">
        <v>285</v>
      </c>
      <c r="H2337" s="26">
        <f>M2358</f>
        <v>1448.36365725</v>
      </c>
      <c r="I2337" s="22" t="s">
        <v>383</v>
      </c>
      <c r="J2337" s="36">
        <f>M2349</f>
        <v>912408.20707999996</v>
      </c>
      <c r="K2337" s="22" t="s">
        <v>287</v>
      </c>
      <c r="L2337" s="26">
        <f>M2367</f>
        <v>0</v>
      </c>
      <c r="M2337" s="22" t="s">
        <v>288</v>
      </c>
      <c r="N2337" s="26">
        <f>M2376</f>
        <v>28967.273144999999</v>
      </c>
    </row>
    <row r="2338" spans="1:15" ht="12.75" customHeight="1" x14ac:dyDescent="0.25">
      <c r="A2338" s="27"/>
      <c r="B2338" s="27"/>
      <c r="C2338" s="27"/>
      <c r="D2338" s="27"/>
      <c r="E2338" s="27"/>
      <c r="F2338" s="27"/>
      <c r="G2338" s="27"/>
      <c r="J2338" s="27"/>
      <c r="K2338" s="27"/>
      <c r="L2338" s="27"/>
      <c r="M2338" s="27"/>
      <c r="N2338" s="27"/>
      <c r="O2338" s="7"/>
    </row>
    <row r="2339" spans="1:15" ht="12.75" customHeight="1" x14ac:dyDescent="0.2">
      <c r="A2339" s="1065" t="s">
        <v>384</v>
      </c>
      <c r="B2339" s="1057"/>
      <c r="C2339" s="1057"/>
      <c r="D2339" s="1057"/>
      <c r="E2339" s="1057"/>
      <c r="F2339" s="1057"/>
      <c r="G2339" s="1057"/>
      <c r="H2339" s="1057"/>
      <c r="I2339" s="1057"/>
      <c r="J2339" s="1057"/>
      <c r="K2339" s="1057"/>
      <c r="L2339" s="1057"/>
      <c r="M2339" s="1057"/>
      <c r="N2339" s="1058"/>
    </row>
    <row r="2340" spans="1:15" ht="12.75" customHeight="1" x14ac:dyDescent="0.2">
      <c r="A2340" s="1066" t="s">
        <v>38</v>
      </c>
      <c r="B2340" s="1057"/>
      <c r="C2340" s="1057"/>
      <c r="D2340" s="1057"/>
      <c r="E2340" s="1057"/>
      <c r="F2340" s="1057"/>
      <c r="G2340" s="1058"/>
      <c r="H2340" s="28" t="s">
        <v>39</v>
      </c>
      <c r="I2340" s="1062" t="s">
        <v>385</v>
      </c>
      <c r="J2340" s="1058"/>
      <c r="K2340" s="1062" t="s">
        <v>132</v>
      </c>
      <c r="L2340" s="1058"/>
      <c r="M2340" s="1062" t="s">
        <v>386</v>
      </c>
      <c r="N2340" s="1058"/>
    </row>
    <row r="2341" spans="1:15" ht="12.75" customHeight="1" x14ac:dyDescent="0.2">
      <c r="A2341" s="1061" t="s">
        <v>1559</v>
      </c>
      <c r="B2341" s="1057"/>
      <c r="C2341" s="1057"/>
      <c r="D2341" s="1057"/>
      <c r="E2341" s="1057"/>
      <c r="F2341" s="1057"/>
      <c r="G2341" s="1058"/>
      <c r="H2341" s="9" t="str">
        <f t="shared" ref="H2341:H2343" si="158">IF(A2341="","",VLOOKUP(A2341,AA_Materiales,7,FALSE))</f>
        <v>Unidad</v>
      </c>
      <c r="I2341" s="1059">
        <f t="shared" ref="I2341:I2343" si="159">IF(A2341="","",VLOOKUP(A2341,AA_Materiales,8,FALSE))</f>
        <v>912045.90707999992</v>
      </c>
      <c r="J2341" s="1058"/>
      <c r="K2341" s="1060">
        <v>1</v>
      </c>
      <c r="L2341" s="1058"/>
      <c r="M2341" s="1059">
        <f t="shared" ref="M2341:M2343" si="160">IF(A2341="","",I2341*K2341)</f>
        <v>912045.90707999992</v>
      </c>
      <c r="N2341" s="1058"/>
    </row>
    <row r="2342" spans="1:15" ht="12.75" customHeight="1" x14ac:dyDescent="0.2">
      <c r="A2342" s="1061" t="s">
        <v>1603</v>
      </c>
      <c r="B2342" s="1057"/>
      <c r="C2342" s="1057"/>
      <c r="D2342" s="1057"/>
      <c r="E2342" s="1057"/>
      <c r="F2342" s="1057"/>
      <c r="G2342" s="1058"/>
      <c r="H2342" s="9" t="str">
        <f t="shared" si="158"/>
        <v>(1/128) Galón</v>
      </c>
      <c r="I2342" s="1059">
        <f t="shared" si="159"/>
        <v>8539</v>
      </c>
      <c r="J2342" s="1058"/>
      <c r="K2342" s="1060">
        <v>0.02</v>
      </c>
      <c r="L2342" s="1058"/>
      <c r="M2342" s="1059">
        <f t="shared" si="160"/>
        <v>170.78</v>
      </c>
      <c r="N2342" s="1058"/>
    </row>
    <row r="2343" spans="1:15" ht="12.75" customHeight="1" x14ac:dyDescent="0.2">
      <c r="A2343" s="1061" t="s">
        <v>1604</v>
      </c>
      <c r="B2343" s="1057"/>
      <c r="C2343" s="1057"/>
      <c r="D2343" s="1057"/>
      <c r="E2343" s="1057"/>
      <c r="F2343" s="1057"/>
      <c r="G2343" s="1058"/>
      <c r="H2343" s="9" t="str">
        <f t="shared" si="158"/>
        <v>28 gr (1/128)</v>
      </c>
      <c r="I2343" s="1059">
        <f t="shared" si="159"/>
        <v>4788</v>
      </c>
      <c r="J2343" s="1058"/>
      <c r="K2343" s="1060">
        <v>0.04</v>
      </c>
      <c r="L2343" s="1058"/>
      <c r="M2343" s="1059">
        <f t="shared" si="160"/>
        <v>191.52</v>
      </c>
      <c r="N2343" s="1058"/>
    </row>
    <row r="2344" spans="1:15" ht="12.75" customHeight="1" x14ac:dyDescent="0.2">
      <c r="A2344" s="1056"/>
      <c r="B2344" s="1057"/>
      <c r="C2344" s="1057"/>
      <c r="D2344" s="1057"/>
      <c r="E2344" s="1057"/>
      <c r="F2344" s="1057"/>
      <c r="G2344" s="1058"/>
      <c r="H2344" s="9" t="str">
        <f t="shared" ref="H2344:H2348" si="161">IF(A2344="","",VLOOKUP(A2344,AA_Materiales,7,FALSE))</f>
        <v/>
      </c>
      <c r="I2344" s="1059" t="str">
        <f t="shared" ref="I2344:I2348" si="162">IF(A2344="","",VLOOKUP(A2344,AA_Materiales,8,FALSE))</f>
        <v/>
      </c>
      <c r="J2344" s="1058"/>
      <c r="K2344" s="1060"/>
      <c r="L2344" s="1058"/>
      <c r="M2344" s="1059" t="str">
        <f t="shared" ref="M2344:M2348" si="163">IF(A2344="","",I2344*K2344)</f>
        <v/>
      </c>
      <c r="N2344" s="1058"/>
    </row>
    <row r="2345" spans="1:15" ht="12.75" customHeight="1" x14ac:dyDescent="0.2">
      <c r="A2345" s="1056"/>
      <c r="B2345" s="1057"/>
      <c r="C2345" s="1057"/>
      <c r="D2345" s="1057"/>
      <c r="E2345" s="1057"/>
      <c r="F2345" s="1057"/>
      <c r="G2345" s="1058"/>
      <c r="H2345" s="9" t="str">
        <f t="shared" si="161"/>
        <v/>
      </c>
      <c r="I2345" s="1059" t="str">
        <f t="shared" si="162"/>
        <v/>
      </c>
      <c r="J2345" s="1058"/>
      <c r="K2345" s="1060"/>
      <c r="L2345" s="1058"/>
      <c r="M2345" s="1059" t="str">
        <f t="shared" si="163"/>
        <v/>
      </c>
      <c r="N2345" s="1058"/>
    </row>
    <row r="2346" spans="1:15" ht="12.75" customHeight="1" x14ac:dyDescent="0.2">
      <c r="A2346" s="1056"/>
      <c r="B2346" s="1057"/>
      <c r="C2346" s="1057"/>
      <c r="D2346" s="1057"/>
      <c r="E2346" s="1057"/>
      <c r="F2346" s="1057"/>
      <c r="G2346" s="1058"/>
      <c r="H2346" s="9" t="str">
        <f t="shared" si="161"/>
        <v/>
      </c>
      <c r="I2346" s="1059" t="str">
        <f t="shared" si="162"/>
        <v/>
      </c>
      <c r="J2346" s="1058"/>
      <c r="K2346" s="1060"/>
      <c r="L2346" s="1058"/>
      <c r="M2346" s="1059" t="str">
        <f t="shared" si="163"/>
        <v/>
      </c>
      <c r="N2346" s="1058"/>
    </row>
    <row r="2347" spans="1:15" ht="12.75" customHeight="1" x14ac:dyDescent="0.2">
      <c r="A2347" s="1056"/>
      <c r="B2347" s="1057"/>
      <c r="C2347" s="1057"/>
      <c r="D2347" s="1057"/>
      <c r="E2347" s="1057"/>
      <c r="F2347" s="1057"/>
      <c r="G2347" s="1058"/>
      <c r="H2347" s="9" t="str">
        <f t="shared" si="161"/>
        <v/>
      </c>
      <c r="I2347" s="1059" t="str">
        <f t="shared" si="162"/>
        <v/>
      </c>
      <c r="J2347" s="1058"/>
      <c r="K2347" s="1060"/>
      <c r="L2347" s="1058"/>
      <c r="M2347" s="1059" t="str">
        <f t="shared" si="163"/>
        <v/>
      </c>
      <c r="N2347" s="1058"/>
    </row>
    <row r="2348" spans="1:15" ht="12.75" customHeight="1" x14ac:dyDescent="0.2">
      <c r="A2348" s="1056"/>
      <c r="B2348" s="1057"/>
      <c r="C2348" s="1057"/>
      <c r="D2348" s="1057"/>
      <c r="E2348" s="1057"/>
      <c r="F2348" s="1057"/>
      <c r="G2348" s="1058"/>
      <c r="H2348" s="9" t="str">
        <f t="shared" si="161"/>
        <v/>
      </c>
      <c r="I2348" s="1059" t="str">
        <f t="shared" si="162"/>
        <v/>
      </c>
      <c r="J2348" s="1058"/>
      <c r="K2348" s="1060"/>
      <c r="L2348" s="1058"/>
      <c r="M2348" s="1059" t="str">
        <f t="shared" si="163"/>
        <v/>
      </c>
      <c r="N2348" s="1058"/>
    </row>
    <row r="2349" spans="1:15" ht="12.75" customHeight="1" x14ac:dyDescent="0.25">
      <c r="A2349" s="3"/>
      <c r="B2349" s="3"/>
      <c r="C2349" s="3"/>
      <c r="D2349" s="3"/>
      <c r="E2349" s="3"/>
      <c r="F2349" s="3"/>
      <c r="G2349" s="3"/>
      <c r="H2349" s="3"/>
      <c r="I2349" s="3"/>
      <c r="J2349" s="3"/>
      <c r="K2349" s="1066" t="s">
        <v>201</v>
      </c>
      <c r="L2349" s="1058"/>
      <c r="M2349" s="1059">
        <f>SUM(M2341:N2348)</f>
        <v>912408.20707999996</v>
      </c>
      <c r="N2349" s="1058"/>
    </row>
    <row r="2350" spans="1:15" ht="12.75" customHeight="1" x14ac:dyDescent="0.25">
      <c r="A2350" s="3"/>
      <c r="B2350" s="3"/>
      <c r="C2350" s="3"/>
      <c r="D2350" s="3"/>
      <c r="E2350" s="3"/>
      <c r="F2350" s="3"/>
      <c r="G2350" s="3"/>
      <c r="H2350" s="3"/>
      <c r="I2350" s="3"/>
      <c r="J2350" s="3"/>
      <c r="K2350" s="3"/>
      <c r="L2350" s="3"/>
      <c r="M2350" s="3"/>
      <c r="N2350" s="3"/>
    </row>
    <row r="2351" spans="1:15" ht="12.75" customHeight="1" x14ac:dyDescent="0.2">
      <c r="A2351" s="1065" t="s">
        <v>390</v>
      </c>
      <c r="B2351" s="1057"/>
      <c r="C2351" s="1057"/>
      <c r="D2351" s="1057"/>
      <c r="E2351" s="1057"/>
      <c r="F2351" s="1057"/>
      <c r="G2351" s="1057"/>
      <c r="H2351" s="1057"/>
      <c r="I2351" s="1057"/>
      <c r="J2351" s="1057"/>
      <c r="K2351" s="1057"/>
      <c r="L2351" s="1057"/>
      <c r="M2351" s="1057"/>
      <c r="N2351" s="1058"/>
    </row>
    <row r="2352" spans="1:15" ht="12.75" customHeight="1" x14ac:dyDescent="0.2">
      <c r="A2352" s="1066" t="s">
        <v>38</v>
      </c>
      <c r="B2352" s="1057"/>
      <c r="C2352" s="1057"/>
      <c r="D2352" s="1057"/>
      <c r="E2352" s="1057"/>
      <c r="F2352" s="1057"/>
      <c r="G2352" s="1058"/>
      <c r="H2352" s="28" t="s">
        <v>39</v>
      </c>
      <c r="I2352" s="1062" t="s">
        <v>385</v>
      </c>
      <c r="J2352" s="1058"/>
      <c r="K2352" s="1062" t="s">
        <v>132</v>
      </c>
      <c r="L2352" s="1058"/>
      <c r="M2352" s="1062" t="s">
        <v>386</v>
      </c>
      <c r="N2352" s="1058"/>
    </row>
    <row r="2353" spans="1:15" ht="12.75" customHeight="1" x14ac:dyDescent="0.2">
      <c r="A2353" s="1061" t="s">
        <v>391</v>
      </c>
      <c r="B2353" s="1057"/>
      <c r="C2353" s="1057"/>
      <c r="D2353" s="1057"/>
      <c r="E2353" s="1057"/>
      <c r="F2353" s="1057"/>
      <c r="G2353" s="1058"/>
      <c r="H2353" s="9" t="str">
        <f>IF(A2353="","",VLOOKUP(A2353,AA_Equipos,7,FALSE))</f>
        <v>% M.O.</v>
      </c>
      <c r="I2353" s="1059">
        <f>+M2376</f>
        <v>28967.273144999999</v>
      </c>
      <c r="J2353" s="1058"/>
      <c r="K2353" s="1064">
        <v>0.05</v>
      </c>
      <c r="L2353" s="1058"/>
      <c r="M2353" s="1059">
        <f>IF(A2353="","",I2353*K2353)</f>
        <v>1448.36365725</v>
      </c>
      <c r="N2353" s="1058"/>
    </row>
    <row r="2354" spans="1:15" ht="12.75" customHeight="1" x14ac:dyDescent="0.2">
      <c r="A2354" s="1056"/>
      <c r="B2354" s="1057"/>
      <c r="C2354" s="1057"/>
      <c r="D2354" s="1057"/>
      <c r="E2354" s="1057"/>
      <c r="F2354" s="1057"/>
      <c r="G2354" s="1058"/>
      <c r="H2354" s="9" t="str">
        <f>IF(A2354="","",VLOOKUP(A2354,AA_Equipos,7,FALSE))</f>
        <v/>
      </c>
      <c r="I2354" s="1059" t="str">
        <f>IF(A2354="","",VLOOKUP(A2354,AA_Equipos,8,FALSE))</f>
        <v/>
      </c>
      <c r="J2354" s="1058"/>
      <c r="K2354" s="1067"/>
      <c r="L2354" s="1058"/>
      <c r="M2354" s="1059" t="str">
        <f>IF(A2354="","",I2354*K2354)</f>
        <v/>
      </c>
      <c r="N2354" s="1058"/>
    </row>
    <row r="2355" spans="1:15" ht="12.75" customHeight="1" x14ac:dyDescent="0.2">
      <c r="A2355" s="1061"/>
      <c r="B2355" s="1057"/>
      <c r="C2355" s="1057"/>
      <c r="D2355" s="1057"/>
      <c r="E2355" s="1057"/>
      <c r="F2355" s="1057"/>
      <c r="G2355" s="1058"/>
      <c r="H2355" s="9" t="str">
        <f>IF(A2355="","",VLOOKUP(A2355,AA_Equipos,7,FALSE))</f>
        <v/>
      </c>
      <c r="I2355" s="1059" t="str">
        <f>IF(A2355="","",VLOOKUP(A2355,AA_Equipos,8,FALSE))</f>
        <v/>
      </c>
      <c r="J2355" s="1058"/>
      <c r="K2355" s="1070"/>
      <c r="L2355" s="1058"/>
      <c r="M2355" s="1059" t="str">
        <f>IF(A2355="","",I2355*K2355)</f>
        <v/>
      </c>
      <c r="N2355" s="1058"/>
    </row>
    <row r="2356" spans="1:15" ht="12.75" customHeight="1" x14ac:dyDescent="0.2">
      <c r="A2356" s="1061"/>
      <c r="B2356" s="1057"/>
      <c r="C2356" s="1057"/>
      <c r="D2356" s="1057"/>
      <c r="E2356" s="1057"/>
      <c r="F2356" s="1057"/>
      <c r="G2356" s="1058"/>
      <c r="H2356" s="9" t="str">
        <f>IF(A2356="","",VLOOKUP(A2356,AA_Equipos,7,FALSE))</f>
        <v/>
      </c>
      <c r="I2356" s="1059" t="str">
        <f>IF(A2356="","",VLOOKUP(A2356,AA_Equipos,8,FALSE))</f>
        <v/>
      </c>
      <c r="J2356" s="1058"/>
      <c r="K2356" s="1060"/>
      <c r="L2356" s="1058"/>
      <c r="M2356" s="1059" t="str">
        <f>IF(A2356="","",I2356*K2356)</f>
        <v/>
      </c>
      <c r="N2356" s="1058"/>
    </row>
    <row r="2357" spans="1:15" ht="12.75" customHeight="1" x14ac:dyDescent="0.2">
      <c r="A2357" s="1061"/>
      <c r="B2357" s="1057"/>
      <c r="C2357" s="1057"/>
      <c r="D2357" s="1057"/>
      <c r="E2357" s="1057"/>
      <c r="F2357" s="1057"/>
      <c r="G2357" s="1058"/>
      <c r="H2357" s="9" t="str">
        <f>IF(A2357="","",VLOOKUP(A2357,AA_Equipos,7,FALSE))</f>
        <v/>
      </c>
      <c r="I2357" s="1059" t="str">
        <f>IF(A2357="","",VLOOKUP(A2357,AA_Equipos,8,FALSE))</f>
        <v/>
      </c>
      <c r="J2357" s="1058"/>
      <c r="K2357" s="1060"/>
      <c r="L2357" s="1058"/>
      <c r="M2357" s="1059" t="str">
        <f>IF(A2357="","",I2357*K2357)</f>
        <v/>
      </c>
      <c r="N2357" s="1058"/>
      <c r="O2357" s="7"/>
    </row>
    <row r="2358" spans="1:15" ht="12.75" customHeight="1" x14ac:dyDescent="0.25">
      <c r="A2358" s="3"/>
      <c r="B2358" s="3"/>
      <c r="C2358" s="3"/>
      <c r="D2358" s="3"/>
      <c r="E2358" s="3"/>
      <c r="F2358" s="3"/>
      <c r="G2358" s="3"/>
      <c r="H2358" s="3"/>
      <c r="I2358" s="3"/>
      <c r="J2358" s="3"/>
      <c r="K2358" s="1066" t="s">
        <v>201</v>
      </c>
      <c r="L2358" s="1058"/>
      <c r="M2358" s="1059">
        <f>SUM(M2353:N2357)</f>
        <v>1448.36365725</v>
      </c>
      <c r="N2358" s="1058"/>
      <c r="O2358" s="7"/>
    </row>
    <row r="2359" spans="1:15" ht="12.75" customHeight="1" x14ac:dyDescent="0.25">
      <c r="A2359" s="3"/>
      <c r="B2359" s="3"/>
      <c r="C2359" s="3"/>
      <c r="D2359" s="3"/>
      <c r="E2359" s="3"/>
      <c r="F2359" s="3"/>
      <c r="G2359" s="3"/>
      <c r="H2359" s="3"/>
      <c r="I2359" s="3"/>
      <c r="J2359" s="3"/>
      <c r="K2359" s="3"/>
      <c r="L2359" s="3"/>
      <c r="M2359" s="3"/>
      <c r="N2359" s="3"/>
    </row>
    <row r="2360" spans="1:15" ht="12.75" customHeight="1" x14ac:dyDescent="0.2">
      <c r="A2360" s="1065" t="s">
        <v>392</v>
      </c>
      <c r="B2360" s="1057"/>
      <c r="C2360" s="1057"/>
      <c r="D2360" s="1057"/>
      <c r="E2360" s="1057"/>
      <c r="F2360" s="1057"/>
      <c r="G2360" s="1057"/>
      <c r="H2360" s="1057"/>
      <c r="I2360" s="1057"/>
      <c r="J2360" s="1057"/>
      <c r="K2360" s="1057"/>
      <c r="L2360" s="1057"/>
      <c r="M2360" s="1057"/>
      <c r="N2360" s="1058"/>
    </row>
    <row r="2361" spans="1:15" ht="12.75" customHeight="1" x14ac:dyDescent="0.2">
      <c r="A2361" s="1066" t="s">
        <v>38</v>
      </c>
      <c r="B2361" s="1057"/>
      <c r="C2361" s="1057"/>
      <c r="D2361" s="1057"/>
      <c r="E2361" s="1057"/>
      <c r="F2361" s="1057"/>
      <c r="G2361" s="1058"/>
      <c r="H2361" s="28" t="s">
        <v>39</v>
      </c>
      <c r="I2361" s="1062" t="s">
        <v>385</v>
      </c>
      <c r="J2361" s="1058"/>
      <c r="K2361" s="1062" t="s">
        <v>132</v>
      </c>
      <c r="L2361" s="1058"/>
      <c r="M2361" s="1062" t="s">
        <v>386</v>
      </c>
      <c r="N2361" s="1058"/>
    </row>
    <row r="2362" spans="1:15" ht="12.75" customHeight="1" x14ac:dyDescent="0.2">
      <c r="A2362" s="1061"/>
      <c r="B2362" s="1057"/>
      <c r="C2362" s="1057"/>
      <c r="D2362" s="1057"/>
      <c r="E2362" s="1057"/>
      <c r="F2362" s="1057"/>
      <c r="G2362" s="1058"/>
      <c r="H2362" s="9"/>
      <c r="I2362" s="1059"/>
      <c r="J2362" s="1058"/>
      <c r="K2362" s="1064"/>
      <c r="L2362" s="1058"/>
      <c r="M2362" s="1059" t="str">
        <f>IF(A2362="","",I2362*K2362)</f>
        <v/>
      </c>
      <c r="N2362" s="1058"/>
    </row>
    <row r="2363" spans="1:15" ht="12.75" customHeight="1" x14ac:dyDescent="0.2">
      <c r="A2363" s="1056"/>
      <c r="B2363" s="1057"/>
      <c r="C2363" s="1057"/>
      <c r="D2363" s="1057"/>
      <c r="E2363" s="1057"/>
      <c r="F2363" s="1057"/>
      <c r="G2363" s="1058"/>
      <c r="H2363" s="9"/>
      <c r="I2363" s="1059"/>
      <c r="J2363" s="1058"/>
      <c r="K2363" s="1064"/>
      <c r="L2363" s="1058"/>
      <c r="M2363" s="1059" t="str">
        <f>IF(A2363="","",I2363*K2363)</f>
        <v/>
      </c>
      <c r="N2363" s="1058"/>
    </row>
    <row r="2364" spans="1:15" ht="12.75" customHeight="1" x14ac:dyDescent="0.2">
      <c r="A2364" s="1061"/>
      <c r="B2364" s="1057"/>
      <c r="C2364" s="1057"/>
      <c r="D2364" s="1057"/>
      <c r="E2364" s="1057"/>
      <c r="F2364" s="1057"/>
      <c r="G2364" s="1058"/>
      <c r="H2364" s="9"/>
      <c r="I2364" s="1059"/>
      <c r="J2364" s="1058"/>
      <c r="K2364" s="1060"/>
      <c r="L2364" s="1058"/>
      <c r="M2364" s="1059" t="str">
        <f>IF(A2364="","",I2364*K2364)</f>
        <v/>
      </c>
      <c r="N2364" s="1058"/>
    </row>
    <row r="2365" spans="1:15" ht="12.75" customHeight="1" x14ac:dyDescent="0.2">
      <c r="A2365" s="1061"/>
      <c r="B2365" s="1057"/>
      <c r="C2365" s="1057"/>
      <c r="D2365" s="1057"/>
      <c r="E2365" s="1057"/>
      <c r="F2365" s="1057"/>
      <c r="G2365" s="1058"/>
      <c r="H2365" s="9"/>
      <c r="I2365" s="1059"/>
      <c r="J2365" s="1058"/>
      <c r="K2365" s="1060"/>
      <c r="L2365" s="1058"/>
      <c r="M2365" s="1059" t="str">
        <f>IF(A2365="","",I2365*K2365)</f>
        <v/>
      </c>
      <c r="N2365" s="1058"/>
    </row>
    <row r="2366" spans="1:15" ht="12.75" customHeight="1" x14ac:dyDescent="0.2">
      <c r="A2366" s="1061"/>
      <c r="B2366" s="1057"/>
      <c r="C2366" s="1057"/>
      <c r="D2366" s="1057"/>
      <c r="E2366" s="1057"/>
      <c r="F2366" s="1057"/>
      <c r="G2366" s="1058"/>
      <c r="H2366" s="9"/>
      <c r="I2366" s="1059"/>
      <c r="J2366" s="1058"/>
      <c r="K2366" s="1060"/>
      <c r="L2366" s="1058"/>
      <c r="M2366" s="1059" t="str">
        <f>IF(A2366="","",I2366*K2366)</f>
        <v/>
      </c>
      <c r="N2366" s="1058"/>
    </row>
    <row r="2367" spans="1:15" ht="12.75" customHeight="1" x14ac:dyDescent="0.25">
      <c r="A2367" s="3"/>
      <c r="B2367" s="3"/>
      <c r="C2367" s="3"/>
      <c r="D2367" s="3"/>
      <c r="E2367" s="3"/>
      <c r="F2367" s="3"/>
      <c r="G2367" s="3"/>
      <c r="H2367" s="3"/>
      <c r="I2367" s="3"/>
      <c r="J2367" s="3"/>
      <c r="K2367" s="1066" t="s">
        <v>201</v>
      </c>
      <c r="L2367" s="1058"/>
      <c r="M2367" s="1059">
        <f>SUM(M2362:N2366)</f>
        <v>0</v>
      </c>
      <c r="N2367" s="1058"/>
    </row>
    <row r="2368" spans="1:15" ht="12.75" customHeight="1" x14ac:dyDescent="0.25">
      <c r="A2368" s="3"/>
      <c r="B2368" s="3"/>
      <c r="C2368" s="3"/>
      <c r="D2368" s="3"/>
      <c r="E2368" s="3"/>
      <c r="F2368" s="3"/>
      <c r="G2368" s="3"/>
      <c r="H2368" s="3"/>
      <c r="I2368" s="3"/>
      <c r="J2368" s="3"/>
      <c r="K2368" s="3"/>
      <c r="L2368" s="3"/>
      <c r="M2368" s="3"/>
      <c r="N2368" s="3"/>
    </row>
    <row r="2369" spans="1:14" ht="12.75" customHeight="1" x14ac:dyDescent="0.2">
      <c r="A2369" s="1065" t="s">
        <v>394</v>
      </c>
      <c r="B2369" s="1057"/>
      <c r="C2369" s="1057"/>
      <c r="D2369" s="1057"/>
      <c r="E2369" s="1057"/>
      <c r="F2369" s="1057"/>
      <c r="G2369" s="1057"/>
      <c r="H2369" s="1057"/>
      <c r="I2369" s="1057"/>
      <c r="J2369" s="1057"/>
      <c r="K2369" s="1057"/>
      <c r="L2369" s="1057"/>
      <c r="M2369" s="1057"/>
      <c r="N2369" s="1058"/>
    </row>
    <row r="2370" spans="1:14" ht="12.75" customHeight="1" x14ac:dyDescent="0.2">
      <c r="A2370" s="1066" t="s">
        <v>38</v>
      </c>
      <c r="B2370" s="1057"/>
      <c r="C2370" s="1057"/>
      <c r="D2370" s="1057"/>
      <c r="E2370" s="1057"/>
      <c r="F2370" s="1057"/>
      <c r="G2370" s="1058"/>
      <c r="H2370" s="28" t="s">
        <v>39</v>
      </c>
      <c r="I2370" s="1062" t="s">
        <v>385</v>
      </c>
      <c r="J2370" s="1058"/>
      <c r="K2370" s="30" t="s">
        <v>193</v>
      </c>
      <c r="L2370" s="31" t="s">
        <v>395</v>
      </c>
      <c r="M2370" s="1062" t="s">
        <v>386</v>
      </c>
      <c r="N2370" s="1058"/>
    </row>
    <row r="2371" spans="1:14" ht="12.75" customHeight="1" x14ac:dyDescent="0.25">
      <c r="A2371" s="1063" t="s">
        <v>418</v>
      </c>
      <c r="B2371" s="1057"/>
      <c r="C2371" s="1057"/>
      <c r="D2371" s="1057"/>
      <c r="E2371" s="1057"/>
      <c r="F2371" s="1057"/>
      <c r="G2371" s="1058"/>
      <c r="H2371" s="9" t="str">
        <f>IF(A2371="","",VLOOKUP(A2371,AA_Cuadrillas,4,FALSE))</f>
        <v>Cuadrilla</v>
      </c>
      <c r="I2371" s="1059">
        <f>IF(A2371="","",VLOOKUP(A2371,AA_Cuadrillas,5,FALSE))</f>
        <v>280145</v>
      </c>
      <c r="J2371" s="1058"/>
      <c r="K2371" s="1">
        <f>IF(A2371="","",'06'!$J$3)</f>
        <v>1.7233500000000002</v>
      </c>
      <c r="L2371" s="37">
        <v>0.06</v>
      </c>
      <c r="M2371" s="1059">
        <f>IF(A2371="","",I2371*K2371*L2371)</f>
        <v>28967.273144999999</v>
      </c>
      <c r="N2371" s="1058"/>
    </row>
    <row r="2372" spans="1:14" ht="12.75" customHeight="1" x14ac:dyDescent="0.25">
      <c r="A2372" s="1063"/>
      <c r="B2372" s="1057"/>
      <c r="C2372" s="1057"/>
      <c r="D2372" s="1057"/>
      <c r="E2372" s="1057"/>
      <c r="F2372" s="1057"/>
      <c r="G2372" s="1058"/>
      <c r="H2372" s="9" t="str">
        <f>IF(A2372="","",VLOOKUP(A2372,AA_Cuadrillas,4,FALSE))</f>
        <v/>
      </c>
      <c r="I2372" s="1059" t="str">
        <f>IF(A2372="","",VLOOKUP(A2372,AA_Cuadrillas,5,FALSE))</f>
        <v/>
      </c>
      <c r="J2372" s="1058"/>
      <c r="K2372" s="1" t="str">
        <f>IF(A2372="","",'06'!$J$3)</f>
        <v/>
      </c>
      <c r="L2372" s="1"/>
      <c r="M2372" s="1059" t="str">
        <f>IF(A2372="","",I2372*K2372*L2372)</f>
        <v/>
      </c>
      <c r="N2372" s="1058"/>
    </row>
    <row r="2373" spans="1:14" ht="12.75" customHeight="1" x14ac:dyDescent="0.25">
      <c r="A2373" s="1063"/>
      <c r="B2373" s="1057"/>
      <c r="C2373" s="1057"/>
      <c r="D2373" s="1057"/>
      <c r="E2373" s="1057"/>
      <c r="F2373" s="1057"/>
      <c r="G2373" s="1058"/>
      <c r="H2373" s="9" t="str">
        <f>IF(A2373="","",VLOOKUP(A2373,AA_Cuadrillas,4,FALSE))</f>
        <v/>
      </c>
      <c r="I2373" s="1059" t="str">
        <f>IF(A2373="","",VLOOKUP(A2373,AA_Cuadrillas,5,FALSE))</f>
        <v/>
      </c>
      <c r="J2373" s="1058"/>
      <c r="K2373" s="1" t="str">
        <f>IF(A2373="","",'06'!$J$3)</f>
        <v/>
      </c>
      <c r="L2373" s="10"/>
      <c r="M2373" s="1059" t="str">
        <f>IF(A2373="","",I2373*K2373*L2373)</f>
        <v/>
      </c>
      <c r="N2373" s="1058"/>
    </row>
    <row r="2374" spans="1:14" ht="12.75" customHeight="1" x14ac:dyDescent="0.25">
      <c r="A2374" s="1063"/>
      <c r="B2374" s="1057"/>
      <c r="C2374" s="1057"/>
      <c r="D2374" s="1057"/>
      <c r="E2374" s="1057"/>
      <c r="F2374" s="1057"/>
      <c r="G2374" s="1058"/>
      <c r="H2374" s="9" t="str">
        <f>IF(A2374="","",VLOOKUP(A2374,AA_Cuadrillas,4,FALSE))</f>
        <v/>
      </c>
      <c r="I2374" s="1059" t="str">
        <f>IF(A2374="","",VLOOKUP(A2374,AA_Cuadrillas,5,FALSE))</f>
        <v/>
      </c>
      <c r="J2374" s="1058"/>
      <c r="K2374" s="1" t="str">
        <f>IF(A2374="","",'06'!$J$3)</f>
        <v/>
      </c>
      <c r="L2374" s="10"/>
      <c r="M2374" s="1059" t="str">
        <f>IF(A2374="","",I2374*K2374*L2374)</f>
        <v/>
      </c>
      <c r="N2374" s="1058"/>
    </row>
    <row r="2375" spans="1:14" ht="12.75" customHeight="1" x14ac:dyDescent="0.25">
      <c r="A2375" s="1063"/>
      <c r="B2375" s="1057"/>
      <c r="C2375" s="1057"/>
      <c r="D2375" s="1057"/>
      <c r="E2375" s="1057"/>
      <c r="F2375" s="1057"/>
      <c r="G2375" s="1058"/>
      <c r="H2375" s="9" t="str">
        <f>IF(A2375="","",VLOOKUP(A2375,AA_Cuadrillas,4,FALSE))</f>
        <v/>
      </c>
      <c r="I2375" s="1059" t="str">
        <f>IF(A2375="","",VLOOKUP(A2375,AA_Cuadrillas,5,FALSE))</f>
        <v/>
      </c>
      <c r="J2375" s="1058"/>
      <c r="K2375" s="1" t="str">
        <f>IF(A2375="","",'06'!$J$3)</f>
        <v/>
      </c>
      <c r="L2375" s="10"/>
      <c r="M2375" s="1059" t="str">
        <f>IF(A2375="","",I2375*K2375*L2375)</f>
        <v/>
      </c>
      <c r="N2375" s="1058"/>
    </row>
    <row r="2376" spans="1:14" ht="12.75" customHeight="1" x14ac:dyDescent="0.25">
      <c r="A2376" s="3"/>
      <c r="B2376" s="3"/>
      <c r="C2376" s="3"/>
      <c r="D2376" s="3"/>
      <c r="E2376" s="3"/>
      <c r="F2376" s="3"/>
      <c r="G2376" s="3"/>
      <c r="H2376" s="3"/>
      <c r="I2376" s="3"/>
      <c r="J2376" s="3"/>
      <c r="K2376" s="1066" t="s">
        <v>201</v>
      </c>
      <c r="L2376" s="1058"/>
      <c r="M2376" s="1059">
        <f>SUM(M2371:N2375)</f>
        <v>28967.273144999999</v>
      </c>
      <c r="N2376" s="1058"/>
    </row>
    <row r="2377" spans="1:14" ht="12.75" customHeight="1" x14ac:dyDescent="0.2"/>
    <row r="2378" spans="1:14" ht="12.75" customHeight="1" x14ac:dyDescent="0.2">
      <c r="A2378" s="1072" t="s">
        <v>1721</v>
      </c>
      <c r="B2378" s="1052"/>
      <c r="C2378" s="1052"/>
      <c r="D2378" s="1052"/>
      <c r="E2378" s="1052"/>
      <c r="F2378" s="1052"/>
      <c r="G2378" s="1052"/>
      <c r="H2378" s="1052"/>
      <c r="I2378" s="1052"/>
      <c r="J2378" s="1052"/>
      <c r="K2378" s="1052"/>
      <c r="L2378" s="1052"/>
      <c r="M2378" s="1052"/>
      <c r="N2378" s="1053"/>
    </row>
    <row r="2379" spans="1:14" ht="12.75" customHeight="1" x14ac:dyDescent="0.2">
      <c r="A2379" s="1031"/>
      <c r="B2379" s="1032"/>
      <c r="C2379" s="1032"/>
      <c r="D2379" s="1032"/>
      <c r="E2379" s="1032"/>
      <c r="F2379" s="1032"/>
      <c r="G2379" s="1032"/>
      <c r="H2379" s="1032"/>
      <c r="I2379" s="1032"/>
      <c r="J2379" s="1032"/>
      <c r="K2379" s="1032"/>
      <c r="L2379" s="1032"/>
      <c r="M2379" s="1032"/>
      <c r="N2379" s="1055"/>
    </row>
    <row r="2380" spans="1:14" ht="12.75" customHeight="1" x14ac:dyDescent="0.2">
      <c r="A2380" s="16"/>
      <c r="B2380" s="16"/>
      <c r="C2380" s="16"/>
      <c r="D2380" s="16"/>
      <c r="E2380" s="16"/>
      <c r="F2380" s="16"/>
      <c r="G2380" s="16"/>
      <c r="H2380" s="16"/>
      <c r="I2380" s="16"/>
      <c r="J2380" s="16"/>
      <c r="K2380" s="16"/>
      <c r="L2380" s="16"/>
      <c r="M2380" s="16"/>
      <c r="N2380" s="16"/>
    </row>
    <row r="2381" spans="1:14" ht="12.75" customHeight="1" x14ac:dyDescent="0.3">
      <c r="A2381" s="18" t="s">
        <v>346</v>
      </c>
      <c r="B2381" s="19" t="str">
        <f>A2378</f>
        <v>PASAMUROS PVC 8" E.L L=0.30m (INCLUYE INSTALACIÓN Y SUMINISTRO)</v>
      </c>
      <c r="C2381" s="20" t="s">
        <v>382</v>
      </c>
      <c r="D2381" s="21" t="s">
        <v>424</v>
      </c>
      <c r="E2381" s="22" t="s">
        <v>125</v>
      </c>
      <c r="F2381" s="26">
        <f>(H2381+J2381+L2381+N2381)*$O$2</f>
        <v>700100.31811492506</v>
      </c>
      <c r="G2381" s="22" t="s">
        <v>285</v>
      </c>
      <c r="H2381" s="26">
        <f>M2402</f>
        <v>1448.36365725</v>
      </c>
      <c r="I2381" s="22" t="s">
        <v>383</v>
      </c>
      <c r="J2381" s="26">
        <f>M2393</f>
        <v>508123.06943999999</v>
      </c>
      <c r="K2381" s="22" t="s">
        <v>287</v>
      </c>
      <c r="L2381" s="26">
        <f>M2411</f>
        <v>0</v>
      </c>
      <c r="M2381" s="22" t="s">
        <v>288</v>
      </c>
      <c r="N2381" s="26">
        <f>M2420</f>
        <v>28967.273144999999</v>
      </c>
    </row>
    <row r="2382" spans="1:14" ht="12.75" customHeight="1" x14ac:dyDescent="0.25">
      <c r="A2382" s="27"/>
      <c r="B2382" s="27"/>
      <c r="C2382" s="27"/>
      <c r="D2382" s="27"/>
      <c r="E2382" s="27"/>
      <c r="F2382" s="27"/>
      <c r="G2382" s="27"/>
      <c r="J2382" s="27"/>
      <c r="K2382" s="27"/>
      <c r="L2382" s="27"/>
      <c r="M2382" s="27"/>
      <c r="N2382" s="27"/>
    </row>
    <row r="2383" spans="1:14" ht="12.75" customHeight="1" x14ac:dyDescent="0.2">
      <c r="A2383" s="1065" t="s">
        <v>384</v>
      </c>
      <c r="B2383" s="1057"/>
      <c r="C2383" s="1057"/>
      <c r="D2383" s="1057"/>
      <c r="E2383" s="1057"/>
      <c r="F2383" s="1057"/>
      <c r="G2383" s="1057"/>
      <c r="H2383" s="1057"/>
      <c r="I2383" s="1057"/>
      <c r="J2383" s="1057"/>
      <c r="K2383" s="1057"/>
      <c r="L2383" s="1057"/>
      <c r="M2383" s="1057"/>
      <c r="N2383" s="1058"/>
    </row>
    <row r="2384" spans="1:14" ht="12.75" customHeight="1" x14ac:dyDescent="0.2">
      <c r="A2384" s="1066" t="s">
        <v>38</v>
      </c>
      <c r="B2384" s="1057"/>
      <c r="C2384" s="1057"/>
      <c r="D2384" s="1057"/>
      <c r="E2384" s="1057"/>
      <c r="F2384" s="1057"/>
      <c r="G2384" s="1058"/>
      <c r="H2384" s="28" t="s">
        <v>39</v>
      </c>
      <c r="I2384" s="1062" t="s">
        <v>385</v>
      </c>
      <c r="J2384" s="1058"/>
      <c r="K2384" s="1062" t="s">
        <v>132</v>
      </c>
      <c r="L2384" s="1058"/>
      <c r="M2384" s="1062" t="s">
        <v>386</v>
      </c>
      <c r="N2384" s="1058"/>
    </row>
    <row r="2385" spans="1:14" ht="12.75" customHeight="1" x14ac:dyDescent="0.2">
      <c r="A2385" s="1061" t="s">
        <v>1560</v>
      </c>
      <c r="B2385" s="1057"/>
      <c r="C2385" s="1057"/>
      <c r="D2385" s="1057"/>
      <c r="E2385" s="1057"/>
      <c r="F2385" s="1057"/>
      <c r="G2385" s="1058"/>
      <c r="H2385" s="9" t="str">
        <f t="shared" ref="H2385" si="164">IF(A2385="","",VLOOKUP(A2385,AA_Materiales,7,FALSE))</f>
        <v>Unidad</v>
      </c>
      <c r="I2385" s="1059">
        <f t="shared" ref="I2385" si="165">IF(A2385="","",VLOOKUP(A2385,AA_Materiales,8,FALSE))</f>
        <v>508123.06943999999</v>
      </c>
      <c r="J2385" s="1058"/>
      <c r="K2385" s="1060">
        <v>1</v>
      </c>
      <c r="L2385" s="1058"/>
      <c r="M2385" s="1059">
        <f t="shared" ref="M2385:M2392" si="166">IF(A2385="","",I2385*K2385)</f>
        <v>508123.06943999999</v>
      </c>
      <c r="N2385" s="1058"/>
    </row>
    <row r="2386" spans="1:14" ht="12.75" customHeight="1" x14ac:dyDescent="0.2">
      <c r="A2386" s="1056"/>
      <c r="B2386" s="1057"/>
      <c r="C2386" s="1057"/>
      <c r="D2386" s="1057"/>
      <c r="E2386" s="1057"/>
      <c r="F2386" s="1057"/>
      <c r="G2386" s="1058"/>
      <c r="H2386" s="9" t="str">
        <f t="shared" ref="H2386:H2392" si="167">IF(A2386="","",VLOOKUP(A2386,AA_Materiales,7,FALSE))</f>
        <v/>
      </c>
      <c r="I2386" s="1059" t="str">
        <f t="shared" ref="I2386:I2392" si="168">IF(A2386="","",VLOOKUP(A2386,AA_Materiales,8,FALSE))</f>
        <v/>
      </c>
      <c r="J2386" s="1058"/>
      <c r="K2386" s="1060"/>
      <c r="L2386" s="1058"/>
      <c r="M2386" s="1059" t="str">
        <f t="shared" si="166"/>
        <v/>
      </c>
      <c r="N2386" s="1058"/>
    </row>
    <row r="2387" spans="1:14" ht="12.75" customHeight="1" x14ac:dyDescent="0.2">
      <c r="A2387" s="1056"/>
      <c r="B2387" s="1057"/>
      <c r="C2387" s="1057"/>
      <c r="D2387" s="1057"/>
      <c r="E2387" s="1057"/>
      <c r="F2387" s="1057"/>
      <c r="G2387" s="1058"/>
      <c r="H2387" s="9" t="str">
        <f t="shared" si="167"/>
        <v/>
      </c>
      <c r="I2387" s="1059" t="str">
        <f t="shared" si="168"/>
        <v/>
      </c>
      <c r="J2387" s="1058"/>
      <c r="K2387" s="1060"/>
      <c r="L2387" s="1058"/>
      <c r="M2387" s="1059" t="str">
        <f t="shared" si="166"/>
        <v/>
      </c>
      <c r="N2387" s="1058"/>
    </row>
    <row r="2388" spans="1:14" ht="12.75" customHeight="1" x14ac:dyDescent="0.2">
      <c r="A2388" s="1056"/>
      <c r="B2388" s="1057"/>
      <c r="C2388" s="1057"/>
      <c r="D2388" s="1057"/>
      <c r="E2388" s="1057"/>
      <c r="F2388" s="1057"/>
      <c r="G2388" s="1058"/>
      <c r="H2388" s="9" t="str">
        <f t="shared" si="167"/>
        <v/>
      </c>
      <c r="I2388" s="1059" t="str">
        <f t="shared" si="168"/>
        <v/>
      </c>
      <c r="J2388" s="1058"/>
      <c r="K2388" s="1060"/>
      <c r="L2388" s="1058"/>
      <c r="M2388" s="1059" t="str">
        <f t="shared" si="166"/>
        <v/>
      </c>
      <c r="N2388" s="1058"/>
    </row>
    <row r="2389" spans="1:14" ht="12.75" customHeight="1" x14ac:dyDescent="0.2">
      <c r="A2389" s="1056"/>
      <c r="B2389" s="1057"/>
      <c r="C2389" s="1057"/>
      <c r="D2389" s="1057"/>
      <c r="E2389" s="1057"/>
      <c r="F2389" s="1057"/>
      <c r="G2389" s="1058"/>
      <c r="H2389" s="9" t="str">
        <f t="shared" si="167"/>
        <v/>
      </c>
      <c r="I2389" s="1059" t="str">
        <f t="shared" si="168"/>
        <v/>
      </c>
      <c r="J2389" s="1058"/>
      <c r="K2389" s="1060"/>
      <c r="L2389" s="1058"/>
      <c r="M2389" s="1059" t="str">
        <f t="shared" si="166"/>
        <v/>
      </c>
      <c r="N2389" s="1058"/>
    </row>
    <row r="2390" spans="1:14" ht="12.75" customHeight="1" x14ac:dyDescent="0.2">
      <c r="A2390" s="1056"/>
      <c r="B2390" s="1057"/>
      <c r="C2390" s="1057"/>
      <c r="D2390" s="1057"/>
      <c r="E2390" s="1057"/>
      <c r="F2390" s="1057"/>
      <c r="G2390" s="1058"/>
      <c r="H2390" s="9" t="str">
        <f t="shared" si="167"/>
        <v/>
      </c>
      <c r="I2390" s="1059" t="str">
        <f t="shared" si="168"/>
        <v/>
      </c>
      <c r="J2390" s="1058"/>
      <c r="K2390" s="1060"/>
      <c r="L2390" s="1058"/>
      <c r="M2390" s="1059" t="str">
        <f t="shared" si="166"/>
        <v/>
      </c>
      <c r="N2390" s="1058"/>
    </row>
    <row r="2391" spans="1:14" ht="12.75" customHeight="1" x14ac:dyDescent="0.2">
      <c r="A2391" s="1056"/>
      <c r="B2391" s="1057"/>
      <c r="C2391" s="1057"/>
      <c r="D2391" s="1057"/>
      <c r="E2391" s="1057"/>
      <c r="F2391" s="1057"/>
      <c r="G2391" s="1058"/>
      <c r="H2391" s="9" t="str">
        <f t="shared" si="167"/>
        <v/>
      </c>
      <c r="I2391" s="1059" t="str">
        <f t="shared" si="168"/>
        <v/>
      </c>
      <c r="J2391" s="1058"/>
      <c r="K2391" s="1060"/>
      <c r="L2391" s="1058"/>
      <c r="M2391" s="1059" t="str">
        <f t="shared" si="166"/>
        <v/>
      </c>
      <c r="N2391" s="1058"/>
    </row>
    <row r="2392" spans="1:14" ht="12.75" customHeight="1" x14ac:dyDescent="0.2">
      <c r="A2392" s="1056"/>
      <c r="B2392" s="1057"/>
      <c r="C2392" s="1057"/>
      <c r="D2392" s="1057"/>
      <c r="E2392" s="1057"/>
      <c r="F2392" s="1057"/>
      <c r="G2392" s="1058"/>
      <c r="H2392" s="9" t="str">
        <f t="shared" si="167"/>
        <v/>
      </c>
      <c r="I2392" s="1059" t="str">
        <f t="shared" si="168"/>
        <v/>
      </c>
      <c r="J2392" s="1058"/>
      <c r="K2392" s="1060"/>
      <c r="L2392" s="1058"/>
      <c r="M2392" s="1059" t="str">
        <f t="shared" si="166"/>
        <v/>
      </c>
      <c r="N2392" s="1058"/>
    </row>
    <row r="2393" spans="1:14" ht="12.75" customHeight="1" x14ac:dyDescent="0.25">
      <c r="A2393" s="3"/>
      <c r="B2393" s="3"/>
      <c r="C2393" s="3"/>
      <c r="D2393" s="3"/>
      <c r="E2393" s="3"/>
      <c r="F2393" s="3"/>
      <c r="G2393" s="3"/>
      <c r="H2393" s="3"/>
      <c r="I2393" s="3"/>
      <c r="J2393" s="3"/>
      <c r="K2393" s="1066" t="s">
        <v>201</v>
      </c>
      <c r="L2393" s="1058"/>
      <c r="M2393" s="1059">
        <f>SUM(M2385:N2392)</f>
        <v>508123.06943999999</v>
      </c>
      <c r="N2393" s="1058"/>
    </row>
    <row r="2394" spans="1:14" ht="12.75" customHeight="1" x14ac:dyDescent="0.25">
      <c r="A2394" s="3"/>
      <c r="B2394" s="3"/>
      <c r="C2394" s="3"/>
      <c r="D2394" s="3"/>
      <c r="E2394" s="3"/>
      <c r="F2394" s="3"/>
      <c r="G2394" s="3"/>
      <c r="H2394" s="3"/>
      <c r="I2394" s="3"/>
      <c r="J2394" s="3"/>
      <c r="K2394" s="3"/>
      <c r="L2394" s="3"/>
      <c r="M2394" s="3"/>
      <c r="N2394" s="3"/>
    </row>
    <row r="2395" spans="1:14" ht="12.75" customHeight="1" x14ac:dyDescent="0.2">
      <c r="A2395" s="1065" t="s">
        <v>390</v>
      </c>
      <c r="B2395" s="1057"/>
      <c r="C2395" s="1057"/>
      <c r="D2395" s="1057"/>
      <c r="E2395" s="1057"/>
      <c r="F2395" s="1057"/>
      <c r="G2395" s="1057"/>
      <c r="H2395" s="1057"/>
      <c r="I2395" s="1057"/>
      <c r="J2395" s="1057"/>
      <c r="K2395" s="1057"/>
      <c r="L2395" s="1057"/>
      <c r="M2395" s="1057"/>
      <c r="N2395" s="1058"/>
    </row>
    <row r="2396" spans="1:14" ht="12.75" customHeight="1" x14ac:dyDescent="0.2">
      <c r="A2396" s="1066" t="s">
        <v>38</v>
      </c>
      <c r="B2396" s="1057"/>
      <c r="C2396" s="1057"/>
      <c r="D2396" s="1057"/>
      <c r="E2396" s="1057"/>
      <c r="F2396" s="1057"/>
      <c r="G2396" s="1058"/>
      <c r="H2396" s="28" t="s">
        <v>39</v>
      </c>
      <c r="I2396" s="1062" t="s">
        <v>385</v>
      </c>
      <c r="J2396" s="1058"/>
      <c r="K2396" s="1062" t="s">
        <v>132</v>
      </c>
      <c r="L2396" s="1058"/>
      <c r="M2396" s="1062" t="s">
        <v>386</v>
      </c>
      <c r="N2396" s="1058"/>
    </row>
    <row r="2397" spans="1:14" ht="12.75" customHeight="1" x14ac:dyDescent="0.2">
      <c r="A2397" s="1061" t="s">
        <v>391</v>
      </c>
      <c r="B2397" s="1057"/>
      <c r="C2397" s="1057"/>
      <c r="D2397" s="1057"/>
      <c r="E2397" s="1057"/>
      <c r="F2397" s="1057"/>
      <c r="G2397" s="1058"/>
      <c r="H2397" s="9" t="str">
        <f>IF(A2397="","",VLOOKUP(A2397,AA_Equipos,7,FALSE))</f>
        <v>% M.O.</v>
      </c>
      <c r="I2397" s="1059">
        <f>+M2420</f>
        <v>28967.273144999999</v>
      </c>
      <c r="J2397" s="1058"/>
      <c r="K2397" s="1064">
        <v>0.05</v>
      </c>
      <c r="L2397" s="1058"/>
      <c r="M2397" s="1059">
        <f>IF(A2397="","",I2397*K2397)</f>
        <v>1448.36365725</v>
      </c>
      <c r="N2397" s="1058"/>
    </row>
    <row r="2398" spans="1:14" ht="12.75" customHeight="1" x14ac:dyDescent="0.2">
      <c r="A2398" s="1056"/>
      <c r="B2398" s="1057"/>
      <c r="C2398" s="1057"/>
      <c r="D2398" s="1057"/>
      <c r="E2398" s="1057"/>
      <c r="F2398" s="1057"/>
      <c r="G2398" s="1058"/>
      <c r="H2398" s="9" t="str">
        <f>IF(A2398="","",VLOOKUP(A2398,AA_Equipos,7,FALSE))</f>
        <v/>
      </c>
      <c r="I2398" s="1059" t="str">
        <f>IF(A2398="","",VLOOKUP(A2398,AA_Equipos,8,FALSE))</f>
        <v/>
      </c>
      <c r="J2398" s="1058"/>
      <c r="K2398" s="1067"/>
      <c r="L2398" s="1058"/>
      <c r="M2398" s="1059" t="str">
        <f>IF(A2398="","",I2398*K2398)</f>
        <v/>
      </c>
      <c r="N2398" s="1058"/>
    </row>
    <row r="2399" spans="1:14" ht="12.75" customHeight="1" x14ac:dyDescent="0.2">
      <c r="A2399" s="1061"/>
      <c r="B2399" s="1057"/>
      <c r="C2399" s="1057"/>
      <c r="D2399" s="1057"/>
      <c r="E2399" s="1057"/>
      <c r="F2399" s="1057"/>
      <c r="G2399" s="1058"/>
      <c r="H2399" s="9" t="str">
        <f>IF(A2399="","",VLOOKUP(A2399,AA_Equipos,7,FALSE))</f>
        <v/>
      </c>
      <c r="I2399" s="1059" t="str">
        <f>IF(A2399="","",VLOOKUP(A2399,AA_Equipos,8,FALSE))</f>
        <v/>
      </c>
      <c r="J2399" s="1058"/>
      <c r="K2399" s="1070"/>
      <c r="L2399" s="1058"/>
      <c r="M2399" s="1059" t="str">
        <f>IF(A2399="","",I2399*K2399)</f>
        <v/>
      </c>
      <c r="N2399" s="1058"/>
    </row>
    <row r="2400" spans="1:14" ht="12.75" customHeight="1" x14ac:dyDescent="0.2">
      <c r="A2400" s="1061"/>
      <c r="B2400" s="1057"/>
      <c r="C2400" s="1057"/>
      <c r="D2400" s="1057"/>
      <c r="E2400" s="1057"/>
      <c r="F2400" s="1057"/>
      <c r="G2400" s="1058"/>
      <c r="H2400" s="9" t="str">
        <f>IF(A2400="","",VLOOKUP(A2400,AA_Equipos,7,FALSE))</f>
        <v/>
      </c>
      <c r="I2400" s="1059" t="str">
        <f>IF(A2400="","",VLOOKUP(A2400,AA_Equipos,8,FALSE))</f>
        <v/>
      </c>
      <c r="J2400" s="1058"/>
      <c r="K2400" s="1060"/>
      <c r="L2400" s="1058"/>
      <c r="M2400" s="1059" t="str">
        <f>IF(A2400="","",I2400*K2400)</f>
        <v/>
      </c>
      <c r="N2400" s="1058"/>
    </row>
    <row r="2401" spans="1:15" ht="12.75" customHeight="1" x14ac:dyDescent="0.2">
      <c r="A2401" s="1061"/>
      <c r="B2401" s="1057"/>
      <c r="C2401" s="1057"/>
      <c r="D2401" s="1057"/>
      <c r="E2401" s="1057"/>
      <c r="F2401" s="1057"/>
      <c r="G2401" s="1058"/>
      <c r="H2401" s="9" t="str">
        <f>IF(A2401="","",VLOOKUP(A2401,AA_Equipos,7,FALSE))</f>
        <v/>
      </c>
      <c r="I2401" s="1059" t="str">
        <f>IF(A2401="","",VLOOKUP(A2401,AA_Equipos,8,FALSE))</f>
        <v/>
      </c>
      <c r="J2401" s="1058"/>
      <c r="K2401" s="1060"/>
      <c r="L2401" s="1058"/>
      <c r="M2401" s="1059" t="str">
        <f>IF(A2401="","",I2401*K2401)</f>
        <v/>
      </c>
      <c r="N2401" s="1058"/>
      <c r="O2401" s="7"/>
    </row>
    <row r="2402" spans="1:15" ht="12.75" customHeight="1" x14ac:dyDescent="0.25">
      <c r="A2402" s="3"/>
      <c r="B2402" s="3"/>
      <c r="C2402" s="3"/>
      <c r="D2402" s="3"/>
      <c r="E2402" s="3"/>
      <c r="F2402" s="3"/>
      <c r="G2402" s="3"/>
      <c r="H2402" s="3"/>
      <c r="I2402" s="3"/>
      <c r="J2402" s="3"/>
      <c r="K2402" s="1066" t="s">
        <v>201</v>
      </c>
      <c r="L2402" s="1058"/>
      <c r="M2402" s="1059">
        <f>SUM(M2397:N2401)</f>
        <v>1448.36365725</v>
      </c>
      <c r="N2402" s="1058"/>
      <c r="O2402" s="7"/>
    </row>
    <row r="2403" spans="1:15" ht="12.75" customHeight="1" x14ac:dyDescent="0.25">
      <c r="A2403" s="3"/>
      <c r="B2403" s="3"/>
      <c r="C2403" s="3"/>
      <c r="D2403" s="3"/>
      <c r="E2403" s="3"/>
      <c r="F2403" s="3"/>
      <c r="G2403" s="3"/>
      <c r="H2403" s="3"/>
      <c r="I2403" s="3"/>
      <c r="J2403" s="3"/>
      <c r="K2403" s="3"/>
      <c r="L2403" s="3"/>
      <c r="M2403" s="3"/>
      <c r="N2403" s="3"/>
    </row>
    <row r="2404" spans="1:15" ht="12.75" customHeight="1" x14ac:dyDescent="0.2">
      <c r="A2404" s="1065" t="s">
        <v>392</v>
      </c>
      <c r="B2404" s="1057"/>
      <c r="C2404" s="1057"/>
      <c r="D2404" s="1057"/>
      <c r="E2404" s="1057"/>
      <c r="F2404" s="1057"/>
      <c r="G2404" s="1057"/>
      <c r="H2404" s="1057"/>
      <c r="I2404" s="1057"/>
      <c r="J2404" s="1057"/>
      <c r="K2404" s="1057"/>
      <c r="L2404" s="1057"/>
      <c r="M2404" s="1057"/>
      <c r="N2404" s="1058"/>
    </row>
    <row r="2405" spans="1:15" ht="12.75" customHeight="1" x14ac:dyDescent="0.2">
      <c r="A2405" s="1066" t="s">
        <v>38</v>
      </c>
      <c r="B2405" s="1057"/>
      <c r="C2405" s="1057"/>
      <c r="D2405" s="1057"/>
      <c r="E2405" s="1057"/>
      <c r="F2405" s="1057"/>
      <c r="G2405" s="1058"/>
      <c r="H2405" s="28" t="s">
        <v>39</v>
      </c>
      <c r="I2405" s="1062" t="s">
        <v>385</v>
      </c>
      <c r="J2405" s="1058"/>
      <c r="K2405" s="1062" t="s">
        <v>132</v>
      </c>
      <c r="L2405" s="1058"/>
      <c r="M2405" s="1062" t="s">
        <v>386</v>
      </c>
      <c r="N2405" s="1058"/>
    </row>
    <row r="2406" spans="1:15" ht="12.75" customHeight="1" x14ac:dyDescent="0.2">
      <c r="A2406" s="1061"/>
      <c r="B2406" s="1057"/>
      <c r="C2406" s="1057"/>
      <c r="D2406" s="1057"/>
      <c r="E2406" s="1057"/>
      <c r="F2406" s="1057"/>
      <c r="G2406" s="1058"/>
      <c r="H2406" s="9"/>
      <c r="I2406" s="1059"/>
      <c r="J2406" s="1058"/>
      <c r="K2406" s="1064"/>
      <c r="L2406" s="1058"/>
      <c r="M2406" s="1059" t="str">
        <f>IF(A2406="","",I2406*K2406)</f>
        <v/>
      </c>
      <c r="N2406" s="1058"/>
    </row>
    <row r="2407" spans="1:15" ht="12.75" customHeight="1" x14ac:dyDescent="0.2">
      <c r="A2407" s="1056"/>
      <c r="B2407" s="1057"/>
      <c r="C2407" s="1057"/>
      <c r="D2407" s="1057"/>
      <c r="E2407" s="1057"/>
      <c r="F2407" s="1057"/>
      <c r="G2407" s="1058"/>
      <c r="H2407" s="9"/>
      <c r="I2407" s="1059"/>
      <c r="J2407" s="1058"/>
      <c r="K2407" s="1064"/>
      <c r="L2407" s="1058"/>
      <c r="M2407" s="1059" t="str">
        <f>IF(A2407="","",I2407*K2407)</f>
        <v/>
      </c>
      <c r="N2407" s="1058"/>
    </row>
    <row r="2408" spans="1:15" ht="12.75" customHeight="1" x14ac:dyDescent="0.2">
      <c r="A2408" s="1061"/>
      <c r="B2408" s="1057"/>
      <c r="C2408" s="1057"/>
      <c r="D2408" s="1057"/>
      <c r="E2408" s="1057"/>
      <c r="F2408" s="1057"/>
      <c r="G2408" s="1058"/>
      <c r="H2408" s="9"/>
      <c r="I2408" s="1059"/>
      <c r="J2408" s="1058"/>
      <c r="K2408" s="1060"/>
      <c r="L2408" s="1058"/>
      <c r="M2408" s="1059" t="str">
        <f>IF(A2408="","",I2408*K2408)</f>
        <v/>
      </c>
      <c r="N2408" s="1058"/>
    </row>
    <row r="2409" spans="1:15" ht="12.75" customHeight="1" x14ac:dyDescent="0.2">
      <c r="A2409" s="1061"/>
      <c r="B2409" s="1057"/>
      <c r="C2409" s="1057"/>
      <c r="D2409" s="1057"/>
      <c r="E2409" s="1057"/>
      <c r="F2409" s="1057"/>
      <c r="G2409" s="1058"/>
      <c r="H2409" s="9"/>
      <c r="I2409" s="1059"/>
      <c r="J2409" s="1058"/>
      <c r="K2409" s="1060"/>
      <c r="L2409" s="1058"/>
      <c r="M2409" s="1059" t="str">
        <f>IF(A2409="","",I2409*K2409)</f>
        <v/>
      </c>
      <c r="N2409" s="1058"/>
    </row>
    <row r="2410" spans="1:15" ht="12.75" customHeight="1" x14ac:dyDescent="0.2">
      <c r="A2410" s="1061"/>
      <c r="B2410" s="1057"/>
      <c r="C2410" s="1057"/>
      <c r="D2410" s="1057"/>
      <c r="E2410" s="1057"/>
      <c r="F2410" s="1057"/>
      <c r="G2410" s="1058"/>
      <c r="H2410" s="9"/>
      <c r="I2410" s="1059"/>
      <c r="J2410" s="1058"/>
      <c r="K2410" s="1060"/>
      <c r="L2410" s="1058"/>
      <c r="M2410" s="1059" t="str">
        <f>IF(A2410="","",I2410*K2410)</f>
        <v/>
      </c>
      <c r="N2410" s="1058"/>
    </row>
    <row r="2411" spans="1:15" ht="12.75" customHeight="1" x14ac:dyDescent="0.25">
      <c r="A2411" s="3"/>
      <c r="B2411" s="3"/>
      <c r="C2411" s="3"/>
      <c r="D2411" s="3"/>
      <c r="E2411" s="3"/>
      <c r="F2411" s="3"/>
      <c r="G2411" s="3"/>
      <c r="H2411" s="3"/>
      <c r="I2411" s="3"/>
      <c r="J2411" s="3"/>
      <c r="K2411" s="1066" t="s">
        <v>201</v>
      </c>
      <c r="L2411" s="1058"/>
      <c r="M2411" s="1059">
        <f>SUM(M2406:N2410)</f>
        <v>0</v>
      </c>
      <c r="N2411" s="1058"/>
    </row>
    <row r="2412" spans="1:15" ht="12.75" customHeight="1" x14ac:dyDescent="0.25">
      <c r="A2412" s="3"/>
      <c r="B2412" s="3"/>
      <c r="C2412" s="3"/>
      <c r="D2412" s="3"/>
      <c r="E2412" s="3"/>
      <c r="F2412" s="3"/>
      <c r="G2412" s="3"/>
      <c r="H2412" s="3"/>
      <c r="I2412" s="3"/>
      <c r="J2412" s="3"/>
      <c r="K2412" s="3"/>
      <c r="L2412" s="3"/>
      <c r="M2412" s="3"/>
      <c r="N2412" s="3"/>
    </row>
    <row r="2413" spans="1:15" ht="12.75" customHeight="1" x14ac:dyDescent="0.2">
      <c r="A2413" s="1065" t="s">
        <v>394</v>
      </c>
      <c r="B2413" s="1057"/>
      <c r="C2413" s="1057"/>
      <c r="D2413" s="1057"/>
      <c r="E2413" s="1057"/>
      <c r="F2413" s="1057"/>
      <c r="G2413" s="1057"/>
      <c r="H2413" s="1057"/>
      <c r="I2413" s="1057"/>
      <c r="J2413" s="1057"/>
      <c r="K2413" s="1057"/>
      <c r="L2413" s="1057"/>
      <c r="M2413" s="1057"/>
      <c r="N2413" s="1058"/>
    </row>
    <row r="2414" spans="1:15" ht="12.75" customHeight="1" x14ac:dyDescent="0.2">
      <c r="A2414" s="1066" t="s">
        <v>38</v>
      </c>
      <c r="B2414" s="1057"/>
      <c r="C2414" s="1057"/>
      <c r="D2414" s="1057"/>
      <c r="E2414" s="1057"/>
      <c r="F2414" s="1057"/>
      <c r="G2414" s="1058"/>
      <c r="H2414" s="28" t="s">
        <v>39</v>
      </c>
      <c r="I2414" s="1062" t="s">
        <v>385</v>
      </c>
      <c r="J2414" s="1058"/>
      <c r="K2414" s="30" t="s">
        <v>193</v>
      </c>
      <c r="L2414" s="31" t="s">
        <v>395</v>
      </c>
      <c r="M2414" s="1062" t="s">
        <v>386</v>
      </c>
      <c r="N2414" s="1058"/>
    </row>
    <row r="2415" spans="1:15" ht="12.75" customHeight="1" x14ac:dyDescent="0.25">
      <c r="A2415" s="1063" t="s">
        <v>418</v>
      </c>
      <c r="B2415" s="1057"/>
      <c r="C2415" s="1057"/>
      <c r="D2415" s="1057"/>
      <c r="E2415" s="1057"/>
      <c r="F2415" s="1057"/>
      <c r="G2415" s="1058"/>
      <c r="H2415" s="9" t="str">
        <f>IF(A2415="","",VLOOKUP(A2415,AA_Cuadrillas,4,FALSE))</f>
        <v>Cuadrilla</v>
      </c>
      <c r="I2415" s="1059">
        <f>IF(A2415="","",VLOOKUP(A2415,AA_Cuadrillas,5,FALSE))</f>
        <v>280145</v>
      </c>
      <c r="J2415" s="1058"/>
      <c r="K2415" s="1">
        <f>IF(A2415="","",'06'!$J$3)</f>
        <v>1.7233500000000002</v>
      </c>
      <c r="L2415" s="37">
        <v>0.06</v>
      </c>
      <c r="M2415" s="1059">
        <f>IF(A2415="","",I2415*K2415*L2415)</f>
        <v>28967.273144999999</v>
      </c>
      <c r="N2415" s="1058"/>
    </row>
    <row r="2416" spans="1:15" ht="12.75" customHeight="1" x14ac:dyDescent="0.25">
      <c r="A2416" s="1063"/>
      <c r="B2416" s="1057"/>
      <c r="C2416" s="1057"/>
      <c r="D2416" s="1057"/>
      <c r="E2416" s="1057"/>
      <c r="F2416" s="1057"/>
      <c r="G2416" s="1058"/>
      <c r="H2416" s="9" t="str">
        <f>IF(A2416="","",VLOOKUP(A2416,AA_Cuadrillas,4,FALSE))</f>
        <v/>
      </c>
      <c r="I2416" s="1059" t="str">
        <f>IF(A2416="","",VLOOKUP(A2416,AA_Cuadrillas,5,FALSE))</f>
        <v/>
      </c>
      <c r="J2416" s="1058"/>
      <c r="K2416" s="1" t="str">
        <f>IF(A2416="","",'06'!$J$3)</f>
        <v/>
      </c>
      <c r="L2416" s="1"/>
      <c r="M2416" s="1059" t="str">
        <f>IF(A2416="","",I2416*K2416*L2416)</f>
        <v/>
      </c>
      <c r="N2416" s="1058"/>
    </row>
    <row r="2417" spans="1:14" ht="12.75" customHeight="1" x14ac:dyDescent="0.25">
      <c r="A2417" s="1063"/>
      <c r="B2417" s="1057"/>
      <c r="C2417" s="1057"/>
      <c r="D2417" s="1057"/>
      <c r="E2417" s="1057"/>
      <c r="F2417" s="1057"/>
      <c r="G2417" s="1058"/>
      <c r="H2417" s="9" t="str">
        <f>IF(A2417="","",VLOOKUP(A2417,AA_Cuadrillas,4,FALSE))</f>
        <v/>
      </c>
      <c r="I2417" s="1059" t="str">
        <f>IF(A2417="","",VLOOKUP(A2417,AA_Cuadrillas,5,FALSE))</f>
        <v/>
      </c>
      <c r="J2417" s="1058"/>
      <c r="K2417" s="1" t="str">
        <f>IF(A2417="","",'06'!$J$3)</f>
        <v/>
      </c>
      <c r="L2417" s="10"/>
      <c r="M2417" s="1059" t="str">
        <f>IF(A2417="","",I2417*K2417*L2417)</f>
        <v/>
      </c>
      <c r="N2417" s="1058"/>
    </row>
    <row r="2418" spans="1:14" ht="12.75" customHeight="1" x14ac:dyDescent="0.25">
      <c r="A2418" s="1063"/>
      <c r="B2418" s="1057"/>
      <c r="C2418" s="1057"/>
      <c r="D2418" s="1057"/>
      <c r="E2418" s="1057"/>
      <c r="F2418" s="1057"/>
      <c r="G2418" s="1058"/>
      <c r="H2418" s="9" t="str">
        <f>IF(A2418="","",VLOOKUP(A2418,AA_Cuadrillas,4,FALSE))</f>
        <v/>
      </c>
      <c r="I2418" s="1059" t="str">
        <f>IF(A2418="","",VLOOKUP(A2418,AA_Cuadrillas,5,FALSE))</f>
        <v/>
      </c>
      <c r="J2418" s="1058"/>
      <c r="K2418" s="1" t="str">
        <f>IF(A2418="","",'06'!$J$3)</f>
        <v/>
      </c>
      <c r="L2418" s="10"/>
      <c r="M2418" s="1059" t="str">
        <f>IF(A2418="","",I2418*K2418*L2418)</f>
        <v/>
      </c>
      <c r="N2418" s="1058"/>
    </row>
    <row r="2419" spans="1:14" ht="12.75" customHeight="1" x14ac:dyDescent="0.25">
      <c r="A2419" s="1063"/>
      <c r="B2419" s="1057"/>
      <c r="C2419" s="1057"/>
      <c r="D2419" s="1057"/>
      <c r="E2419" s="1057"/>
      <c r="F2419" s="1057"/>
      <c r="G2419" s="1058"/>
      <c r="H2419" s="9" t="str">
        <f>IF(A2419="","",VLOOKUP(A2419,AA_Cuadrillas,4,FALSE))</f>
        <v/>
      </c>
      <c r="I2419" s="1059" t="str">
        <f>IF(A2419="","",VLOOKUP(A2419,AA_Cuadrillas,5,FALSE))</f>
        <v/>
      </c>
      <c r="J2419" s="1058"/>
      <c r="K2419" s="1" t="str">
        <f>IF(A2419="","",'06'!$J$3)</f>
        <v/>
      </c>
      <c r="L2419" s="10"/>
      <c r="M2419" s="1059" t="str">
        <f>IF(A2419="","",I2419*K2419*L2419)</f>
        <v/>
      </c>
      <c r="N2419" s="1058"/>
    </row>
    <row r="2420" spans="1:14" ht="12.75" customHeight="1" x14ac:dyDescent="0.25">
      <c r="A2420" s="3"/>
      <c r="B2420" s="3"/>
      <c r="C2420" s="3"/>
      <c r="D2420" s="3"/>
      <c r="E2420" s="3"/>
      <c r="F2420" s="3"/>
      <c r="G2420" s="3"/>
      <c r="H2420" s="3"/>
      <c r="I2420" s="3"/>
      <c r="J2420" s="3"/>
      <c r="K2420" s="1066" t="s">
        <v>201</v>
      </c>
      <c r="L2420" s="1058"/>
      <c r="M2420" s="1059">
        <f>SUM(M2415:N2419)</f>
        <v>28967.273144999999</v>
      </c>
      <c r="N2420" s="1058"/>
    </row>
    <row r="2421" spans="1:14" ht="12.75" customHeight="1" x14ac:dyDescent="0.2"/>
    <row r="2422" spans="1:14" ht="12.75" customHeight="1" x14ac:dyDescent="0.2">
      <c r="A2422" s="1072" t="s">
        <v>1722</v>
      </c>
      <c r="B2422" s="1052"/>
      <c r="C2422" s="1052"/>
      <c r="D2422" s="1052"/>
      <c r="E2422" s="1052"/>
      <c r="F2422" s="1052"/>
      <c r="G2422" s="1052"/>
      <c r="H2422" s="1052"/>
      <c r="I2422" s="1052"/>
      <c r="J2422" s="1052"/>
      <c r="K2422" s="1052"/>
      <c r="L2422" s="1052"/>
      <c r="M2422" s="1052"/>
      <c r="N2422" s="1053"/>
    </row>
    <row r="2423" spans="1:14" ht="12.75" customHeight="1" x14ac:dyDescent="0.2">
      <c r="A2423" s="1031"/>
      <c r="B2423" s="1032"/>
      <c r="C2423" s="1032"/>
      <c r="D2423" s="1032"/>
      <c r="E2423" s="1032"/>
      <c r="F2423" s="1032"/>
      <c r="G2423" s="1032"/>
      <c r="H2423" s="1032"/>
      <c r="I2423" s="1032"/>
      <c r="J2423" s="1032"/>
      <c r="K2423" s="1032"/>
      <c r="L2423" s="1032"/>
      <c r="M2423" s="1032"/>
      <c r="N2423" s="1055"/>
    </row>
    <row r="2424" spans="1:14" ht="12.75" customHeight="1" x14ac:dyDescent="0.2">
      <c r="A2424" s="16"/>
      <c r="B2424" s="16"/>
      <c r="C2424" s="16"/>
      <c r="D2424" s="16"/>
      <c r="E2424" s="16"/>
      <c r="F2424" s="16"/>
      <c r="G2424" s="16"/>
      <c r="H2424" s="16"/>
      <c r="I2424" s="16"/>
      <c r="J2424" s="16"/>
      <c r="K2424" s="16"/>
      <c r="L2424" s="16"/>
      <c r="M2424" s="16"/>
      <c r="N2424" s="16"/>
    </row>
    <row r="2425" spans="1:14" ht="12.75" customHeight="1" x14ac:dyDescent="0.3">
      <c r="A2425" s="18" t="s">
        <v>347</v>
      </c>
      <c r="B2425" s="19" t="str">
        <f>A2422</f>
        <v>UNIÓN PVC 8" (INCLUYE INSTALACIÓN Y SUMINISTRO)</v>
      </c>
      <c r="C2425" s="20" t="s">
        <v>382</v>
      </c>
      <c r="D2425" s="21" t="s">
        <v>424</v>
      </c>
      <c r="E2425" s="22" t="s">
        <v>125</v>
      </c>
      <c r="F2425" s="26">
        <f>(H2425+J2425+L2425+N2425)*$O$2</f>
        <v>700571.30811492517</v>
      </c>
      <c r="G2425" s="22" t="s">
        <v>285</v>
      </c>
      <c r="H2425" s="26">
        <f>M2446</f>
        <v>1448.36365725</v>
      </c>
      <c r="I2425" s="22" t="s">
        <v>383</v>
      </c>
      <c r="J2425" s="36">
        <f>M2437</f>
        <v>508485.36944000004</v>
      </c>
      <c r="K2425" s="22" t="s">
        <v>287</v>
      </c>
      <c r="L2425" s="26">
        <f>M2455</f>
        <v>0</v>
      </c>
      <c r="M2425" s="22" t="s">
        <v>288</v>
      </c>
      <c r="N2425" s="26">
        <f>M2464</f>
        <v>28967.273144999999</v>
      </c>
    </row>
    <row r="2426" spans="1:14" ht="12.75" customHeight="1" x14ac:dyDescent="0.25">
      <c r="A2426" s="27"/>
      <c r="B2426" s="27"/>
      <c r="C2426" s="27"/>
      <c r="D2426" s="27"/>
      <c r="E2426" s="27"/>
      <c r="F2426" s="27"/>
      <c r="G2426" s="27"/>
      <c r="J2426" s="27"/>
      <c r="K2426" s="27"/>
      <c r="L2426" s="27"/>
      <c r="M2426" s="27"/>
      <c r="N2426" s="27"/>
    </row>
    <row r="2427" spans="1:14" ht="12.75" customHeight="1" x14ac:dyDescent="0.2">
      <c r="A2427" s="1065" t="s">
        <v>384</v>
      </c>
      <c r="B2427" s="1057"/>
      <c r="C2427" s="1057"/>
      <c r="D2427" s="1057"/>
      <c r="E2427" s="1057"/>
      <c r="F2427" s="1057"/>
      <c r="G2427" s="1057"/>
      <c r="H2427" s="1057"/>
      <c r="I2427" s="1057"/>
      <c r="J2427" s="1057"/>
      <c r="K2427" s="1057"/>
      <c r="L2427" s="1057"/>
      <c r="M2427" s="1057"/>
      <c r="N2427" s="1058"/>
    </row>
    <row r="2428" spans="1:14" ht="12.75" customHeight="1" x14ac:dyDescent="0.2">
      <c r="A2428" s="1066" t="s">
        <v>38</v>
      </c>
      <c r="B2428" s="1057"/>
      <c r="C2428" s="1057"/>
      <c r="D2428" s="1057"/>
      <c r="E2428" s="1057"/>
      <c r="F2428" s="1057"/>
      <c r="G2428" s="1058"/>
      <c r="H2428" s="28" t="s">
        <v>39</v>
      </c>
      <c r="I2428" s="1062" t="s">
        <v>385</v>
      </c>
      <c r="J2428" s="1058"/>
      <c r="K2428" s="1062" t="s">
        <v>132</v>
      </c>
      <c r="L2428" s="1058"/>
      <c r="M2428" s="1062" t="s">
        <v>386</v>
      </c>
      <c r="N2428" s="1058"/>
    </row>
    <row r="2429" spans="1:14" ht="12.75" customHeight="1" x14ac:dyDescent="0.2">
      <c r="A2429" s="1061" t="s">
        <v>1561</v>
      </c>
      <c r="B2429" s="1057"/>
      <c r="C2429" s="1057"/>
      <c r="D2429" s="1057"/>
      <c r="E2429" s="1057"/>
      <c r="F2429" s="1057"/>
      <c r="G2429" s="1058"/>
      <c r="H2429" s="9" t="str">
        <f t="shared" ref="H2429:H2431" si="169">IF(A2429="","",VLOOKUP(A2429,AA_Materiales,7,FALSE))</f>
        <v>Unidad</v>
      </c>
      <c r="I2429" s="1059">
        <f t="shared" ref="I2429:I2431" si="170">IF(A2429="","",VLOOKUP(A2429,AA_Materiales,8,FALSE))</f>
        <v>508123.06943999999</v>
      </c>
      <c r="J2429" s="1058"/>
      <c r="K2429" s="1060">
        <v>1</v>
      </c>
      <c r="L2429" s="1058"/>
      <c r="M2429" s="1059">
        <f t="shared" ref="M2429:M2436" si="171">IF(A2429="","",I2429*K2429)</f>
        <v>508123.06943999999</v>
      </c>
      <c r="N2429" s="1058"/>
    </row>
    <row r="2430" spans="1:14" ht="12.75" customHeight="1" x14ac:dyDescent="0.2">
      <c r="A2430" s="1061" t="s">
        <v>1603</v>
      </c>
      <c r="B2430" s="1057"/>
      <c r="C2430" s="1057"/>
      <c r="D2430" s="1057"/>
      <c r="E2430" s="1057"/>
      <c r="F2430" s="1057"/>
      <c r="G2430" s="1058"/>
      <c r="H2430" s="9" t="str">
        <f t="shared" si="169"/>
        <v>(1/128) Galón</v>
      </c>
      <c r="I2430" s="1059">
        <f t="shared" si="170"/>
        <v>8539</v>
      </c>
      <c r="J2430" s="1058"/>
      <c r="K2430" s="1060">
        <v>0.02</v>
      </c>
      <c r="L2430" s="1058"/>
      <c r="M2430" s="1059">
        <f t="shared" si="171"/>
        <v>170.78</v>
      </c>
      <c r="N2430" s="1058"/>
    </row>
    <row r="2431" spans="1:14" ht="12.75" customHeight="1" x14ac:dyDescent="0.2">
      <c r="A2431" s="1061" t="s">
        <v>1604</v>
      </c>
      <c r="B2431" s="1057"/>
      <c r="C2431" s="1057"/>
      <c r="D2431" s="1057"/>
      <c r="E2431" s="1057"/>
      <c r="F2431" s="1057"/>
      <c r="G2431" s="1058"/>
      <c r="H2431" s="9" t="str">
        <f t="shared" si="169"/>
        <v>28 gr (1/128)</v>
      </c>
      <c r="I2431" s="1059">
        <f t="shared" si="170"/>
        <v>4788</v>
      </c>
      <c r="J2431" s="1058"/>
      <c r="K2431" s="1060">
        <v>0.04</v>
      </c>
      <c r="L2431" s="1058"/>
      <c r="M2431" s="1059">
        <f t="shared" si="171"/>
        <v>191.52</v>
      </c>
      <c r="N2431" s="1058"/>
    </row>
    <row r="2432" spans="1:14" ht="12.75" customHeight="1" x14ac:dyDescent="0.2">
      <c r="A2432" s="1056"/>
      <c r="B2432" s="1057"/>
      <c r="C2432" s="1057"/>
      <c r="D2432" s="1057"/>
      <c r="E2432" s="1057"/>
      <c r="F2432" s="1057"/>
      <c r="G2432" s="1058"/>
      <c r="H2432" s="9" t="str">
        <f t="shared" ref="H2432:H2436" si="172">IF(A2432="","",VLOOKUP(A2432,AA_Materiales,7,FALSE))</f>
        <v/>
      </c>
      <c r="I2432" s="1059" t="str">
        <f t="shared" ref="I2432:I2436" si="173">IF(A2432="","",VLOOKUP(A2432,AA_Materiales,8,FALSE))</f>
        <v/>
      </c>
      <c r="J2432" s="1058"/>
      <c r="K2432" s="1060"/>
      <c r="L2432" s="1058"/>
      <c r="M2432" s="1059" t="str">
        <f t="shared" si="171"/>
        <v/>
      </c>
      <c r="N2432" s="1058"/>
    </row>
    <row r="2433" spans="1:15" ht="12.75" customHeight="1" x14ac:dyDescent="0.2">
      <c r="A2433" s="1056"/>
      <c r="B2433" s="1057"/>
      <c r="C2433" s="1057"/>
      <c r="D2433" s="1057"/>
      <c r="E2433" s="1057"/>
      <c r="F2433" s="1057"/>
      <c r="G2433" s="1058"/>
      <c r="H2433" s="9" t="str">
        <f t="shared" si="172"/>
        <v/>
      </c>
      <c r="I2433" s="1059" t="str">
        <f t="shared" si="173"/>
        <v/>
      </c>
      <c r="J2433" s="1058"/>
      <c r="K2433" s="1060"/>
      <c r="L2433" s="1058"/>
      <c r="M2433" s="1059" t="str">
        <f t="shared" si="171"/>
        <v/>
      </c>
      <c r="N2433" s="1058"/>
    </row>
    <row r="2434" spans="1:15" ht="12.75" customHeight="1" x14ac:dyDescent="0.2">
      <c r="A2434" s="1056"/>
      <c r="B2434" s="1057"/>
      <c r="C2434" s="1057"/>
      <c r="D2434" s="1057"/>
      <c r="E2434" s="1057"/>
      <c r="F2434" s="1057"/>
      <c r="G2434" s="1058"/>
      <c r="H2434" s="9" t="str">
        <f t="shared" si="172"/>
        <v/>
      </c>
      <c r="I2434" s="1059" t="str">
        <f t="shared" si="173"/>
        <v/>
      </c>
      <c r="J2434" s="1058"/>
      <c r="K2434" s="1060"/>
      <c r="L2434" s="1058"/>
      <c r="M2434" s="1059" t="str">
        <f t="shared" si="171"/>
        <v/>
      </c>
      <c r="N2434" s="1058"/>
    </row>
    <row r="2435" spans="1:15" ht="12.75" customHeight="1" x14ac:dyDescent="0.2">
      <c r="A2435" s="1056"/>
      <c r="B2435" s="1057"/>
      <c r="C2435" s="1057"/>
      <c r="D2435" s="1057"/>
      <c r="E2435" s="1057"/>
      <c r="F2435" s="1057"/>
      <c r="G2435" s="1058"/>
      <c r="H2435" s="9" t="str">
        <f t="shared" si="172"/>
        <v/>
      </c>
      <c r="I2435" s="1059" t="str">
        <f t="shared" si="173"/>
        <v/>
      </c>
      <c r="J2435" s="1058"/>
      <c r="K2435" s="1060"/>
      <c r="L2435" s="1058"/>
      <c r="M2435" s="1059" t="str">
        <f t="shared" si="171"/>
        <v/>
      </c>
      <c r="N2435" s="1058"/>
    </row>
    <row r="2436" spans="1:15" ht="12.75" customHeight="1" x14ac:dyDescent="0.2">
      <c r="A2436" s="1056"/>
      <c r="B2436" s="1057"/>
      <c r="C2436" s="1057"/>
      <c r="D2436" s="1057"/>
      <c r="E2436" s="1057"/>
      <c r="F2436" s="1057"/>
      <c r="G2436" s="1058"/>
      <c r="H2436" s="9" t="str">
        <f t="shared" si="172"/>
        <v/>
      </c>
      <c r="I2436" s="1059" t="str">
        <f t="shared" si="173"/>
        <v/>
      </c>
      <c r="J2436" s="1058"/>
      <c r="K2436" s="1060"/>
      <c r="L2436" s="1058"/>
      <c r="M2436" s="1059" t="str">
        <f t="shared" si="171"/>
        <v/>
      </c>
      <c r="N2436" s="1058"/>
    </row>
    <row r="2437" spans="1:15" ht="12.75" customHeight="1" x14ac:dyDescent="0.25">
      <c r="A2437" s="3"/>
      <c r="B2437" s="3"/>
      <c r="C2437" s="3"/>
      <c r="D2437" s="3"/>
      <c r="E2437" s="3"/>
      <c r="F2437" s="3"/>
      <c r="G2437" s="3"/>
      <c r="H2437" s="3"/>
      <c r="I2437" s="3"/>
      <c r="J2437" s="3"/>
      <c r="K2437" s="1066" t="s">
        <v>201</v>
      </c>
      <c r="L2437" s="1058"/>
      <c r="M2437" s="1059">
        <f>SUM(M2429:N2436)</f>
        <v>508485.36944000004</v>
      </c>
      <c r="N2437" s="1058"/>
    </row>
    <row r="2438" spans="1:15" ht="12.75" customHeight="1" x14ac:dyDescent="0.25">
      <c r="A2438" s="3"/>
      <c r="B2438" s="3"/>
      <c r="C2438" s="3"/>
      <c r="D2438" s="3"/>
      <c r="E2438" s="3"/>
      <c r="F2438" s="3"/>
      <c r="G2438" s="3"/>
      <c r="H2438" s="3"/>
      <c r="I2438" s="3"/>
      <c r="J2438" s="3"/>
      <c r="K2438" s="3"/>
      <c r="L2438" s="3"/>
      <c r="M2438" s="3"/>
      <c r="N2438" s="3"/>
    </row>
    <row r="2439" spans="1:15" ht="12.75" customHeight="1" x14ac:dyDescent="0.2">
      <c r="A2439" s="1065" t="s">
        <v>390</v>
      </c>
      <c r="B2439" s="1057"/>
      <c r="C2439" s="1057"/>
      <c r="D2439" s="1057"/>
      <c r="E2439" s="1057"/>
      <c r="F2439" s="1057"/>
      <c r="G2439" s="1057"/>
      <c r="H2439" s="1057"/>
      <c r="I2439" s="1057"/>
      <c r="J2439" s="1057"/>
      <c r="K2439" s="1057"/>
      <c r="L2439" s="1057"/>
      <c r="M2439" s="1057"/>
      <c r="N2439" s="1058"/>
    </row>
    <row r="2440" spans="1:15" ht="12.75" customHeight="1" x14ac:dyDescent="0.2">
      <c r="A2440" s="1066" t="s">
        <v>38</v>
      </c>
      <c r="B2440" s="1057"/>
      <c r="C2440" s="1057"/>
      <c r="D2440" s="1057"/>
      <c r="E2440" s="1057"/>
      <c r="F2440" s="1057"/>
      <c r="G2440" s="1058"/>
      <c r="H2440" s="28" t="s">
        <v>39</v>
      </c>
      <c r="I2440" s="1062" t="s">
        <v>385</v>
      </c>
      <c r="J2440" s="1058"/>
      <c r="K2440" s="1062" t="s">
        <v>132</v>
      </c>
      <c r="L2440" s="1058"/>
      <c r="M2440" s="1062" t="s">
        <v>386</v>
      </c>
      <c r="N2440" s="1058"/>
    </row>
    <row r="2441" spans="1:15" ht="12.75" customHeight="1" x14ac:dyDescent="0.2">
      <c r="A2441" s="1061" t="s">
        <v>391</v>
      </c>
      <c r="B2441" s="1057"/>
      <c r="C2441" s="1057"/>
      <c r="D2441" s="1057"/>
      <c r="E2441" s="1057"/>
      <c r="F2441" s="1057"/>
      <c r="G2441" s="1058"/>
      <c r="H2441" s="9" t="str">
        <f>IF(A2441="","",VLOOKUP(A2441,AA_Equipos,7,FALSE))</f>
        <v>% M.O.</v>
      </c>
      <c r="I2441" s="1059">
        <f>+M2464</f>
        <v>28967.273144999999</v>
      </c>
      <c r="J2441" s="1058"/>
      <c r="K2441" s="1064">
        <v>0.05</v>
      </c>
      <c r="L2441" s="1058"/>
      <c r="M2441" s="1059">
        <f>IF(A2441="","",I2441*K2441)</f>
        <v>1448.36365725</v>
      </c>
      <c r="N2441" s="1058"/>
    </row>
    <row r="2442" spans="1:15" ht="12.75" customHeight="1" x14ac:dyDescent="0.2">
      <c r="A2442" s="1056"/>
      <c r="B2442" s="1057"/>
      <c r="C2442" s="1057"/>
      <c r="D2442" s="1057"/>
      <c r="E2442" s="1057"/>
      <c r="F2442" s="1057"/>
      <c r="G2442" s="1058"/>
      <c r="H2442" s="9" t="str">
        <f>IF(A2442="","",VLOOKUP(A2442,AA_Equipos,7,FALSE))</f>
        <v/>
      </c>
      <c r="I2442" s="1059" t="str">
        <f>IF(A2442="","",VLOOKUP(A2442,AA_Equipos,8,FALSE))</f>
        <v/>
      </c>
      <c r="J2442" s="1058"/>
      <c r="K2442" s="1067"/>
      <c r="L2442" s="1058"/>
      <c r="M2442" s="1059" t="str">
        <f>IF(A2442="","",I2442*K2442)</f>
        <v/>
      </c>
      <c r="N2442" s="1058"/>
    </row>
    <row r="2443" spans="1:15" ht="12.75" customHeight="1" x14ac:dyDescent="0.2">
      <c r="A2443" s="1061"/>
      <c r="B2443" s="1057"/>
      <c r="C2443" s="1057"/>
      <c r="D2443" s="1057"/>
      <c r="E2443" s="1057"/>
      <c r="F2443" s="1057"/>
      <c r="G2443" s="1058"/>
      <c r="H2443" s="9" t="str">
        <f>IF(A2443="","",VLOOKUP(A2443,AA_Equipos,7,FALSE))</f>
        <v/>
      </c>
      <c r="I2443" s="1059" t="str">
        <f>IF(A2443="","",VLOOKUP(A2443,AA_Equipos,8,FALSE))</f>
        <v/>
      </c>
      <c r="J2443" s="1058"/>
      <c r="K2443" s="1070"/>
      <c r="L2443" s="1058"/>
      <c r="M2443" s="1059" t="str">
        <f>IF(A2443="","",I2443*K2443)</f>
        <v/>
      </c>
      <c r="N2443" s="1058"/>
    </row>
    <row r="2444" spans="1:15" ht="12.75" customHeight="1" x14ac:dyDescent="0.2">
      <c r="A2444" s="1061"/>
      <c r="B2444" s="1057"/>
      <c r="C2444" s="1057"/>
      <c r="D2444" s="1057"/>
      <c r="E2444" s="1057"/>
      <c r="F2444" s="1057"/>
      <c r="G2444" s="1058"/>
      <c r="H2444" s="9" t="str">
        <f>IF(A2444="","",VLOOKUP(A2444,AA_Equipos,7,FALSE))</f>
        <v/>
      </c>
      <c r="I2444" s="1059" t="str">
        <f>IF(A2444="","",VLOOKUP(A2444,AA_Equipos,8,FALSE))</f>
        <v/>
      </c>
      <c r="J2444" s="1058"/>
      <c r="K2444" s="1060"/>
      <c r="L2444" s="1058"/>
      <c r="M2444" s="1059" t="str">
        <f>IF(A2444="","",I2444*K2444)</f>
        <v/>
      </c>
      <c r="N2444" s="1058"/>
    </row>
    <row r="2445" spans="1:15" ht="12.75" customHeight="1" x14ac:dyDescent="0.2">
      <c r="A2445" s="1061"/>
      <c r="B2445" s="1057"/>
      <c r="C2445" s="1057"/>
      <c r="D2445" s="1057"/>
      <c r="E2445" s="1057"/>
      <c r="F2445" s="1057"/>
      <c r="G2445" s="1058"/>
      <c r="H2445" s="9" t="str">
        <f>IF(A2445="","",VLOOKUP(A2445,AA_Equipos,7,FALSE))</f>
        <v/>
      </c>
      <c r="I2445" s="1059" t="str">
        <f>IF(A2445="","",VLOOKUP(A2445,AA_Equipos,8,FALSE))</f>
        <v/>
      </c>
      <c r="J2445" s="1058"/>
      <c r="K2445" s="1060"/>
      <c r="L2445" s="1058"/>
      <c r="M2445" s="1059" t="str">
        <f>IF(A2445="","",I2445*K2445)</f>
        <v/>
      </c>
      <c r="N2445" s="1058"/>
      <c r="O2445" s="7"/>
    </row>
    <row r="2446" spans="1:15" ht="12.75" customHeight="1" x14ac:dyDescent="0.25">
      <c r="A2446" s="3"/>
      <c r="B2446" s="3"/>
      <c r="C2446" s="3"/>
      <c r="D2446" s="3"/>
      <c r="E2446" s="3"/>
      <c r="F2446" s="3"/>
      <c r="G2446" s="3"/>
      <c r="H2446" s="3"/>
      <c r="I2446" s="3"/>
      <c r="J2446" s="3"/>
      <c r="K2446" s="1066" t="s">
        <v>201</v>
      </c>
      <c r="L2446" s="1058"/>
      <c r="M2446" s="1059">
        <f>SUM(M2441:N2445)</f>
        <v>1448.36365725</v>
      </c>
      <c r="N2446" s="1058"/>
      <c r="O2446" s="7"/>
    </row>
    <row r="2447" spans="1:15" ht="12.75" customHeight="1" x14ac:dyDescent="0.25">
      <c r="A2447" s="3"/>
      <c r="B2447" s="3"/>
      <c r="C2447" s="3"/>
      <c r="D2447" s="3"/>
      <c r="E2447" s="3"/>
      <c r="F2447" s="3"/>
      <c r="G2447" s="3"/>
      <c r="H2447" s="3"/>
      <c r="I2447" s="3"/>
      <c r="J2447" s="3"/>
      <c r="K2447" s="3"/>
      <c r="L2447" s="3"/>
      <c r="M2447" s="3"/>
      <c r="N2447" s="3"/>
    </row>
    <row r="2448" spans="1:15" ht="12.75" customHeight="1" x14ac:dyDescent="0.2">
      <c r="A2448" s="1065" t="s">
        <v>392</v>
      </c>
      <c r="B2448" s="1057"/>
      <c r="C2448" s="1057"/>
      <c r="D2448" s="1057"/>
      <c r="E2448" s="1057"/>
      <c r="F2448" s="1057"/>
      <c r="G2448" s="1057"/>
      <c r="H2448" s="1057"/>
      <c r="I2448" s="1057"/>
      <c r="J2448" s="1057"/>
      <c r="K2448" s="1057"/>
      <c r="L2448" s="1057"/>
      <c r="M2448" s="1057"/>
      <c r="N2448" s="1058"/>
    </row>
    <row r="2449" spans="1:14" ht="12.75" customHeight="1" x14ac:dyDescent="0.2">
      <c r="A2449" s="1066" t="s">
        <v>38</v>
      </c>
      <c r="B2449" s="1057"/>
      <c r="C2449" s="1057"/>
      <c r="D2449" s="1057"/>
      <c r="E2449" s="1057"/>
      <c r="F2449" s="1057"/>
      <c r="G2449" s="1058"/>
      <c r="H2449" s="28" t="s">
        <v>39</v>
      </c>
      <c r="I2449" s="1062" t="s">
        <v>385</v>
      </c>
      <c r="J2449" s="1058"/>
      <c r="K2449" s="1062" t="s">
        <v>132</v>
      </c>
      <c r="L2449" s="1058"/>
      <c r="M2449" s="1062" t="s">
        <v>386</v>
      </c>
      <c r="N2449" s="1058"/>
    </row>
    <row r="2450" spans="1:14" ht="12.75" customHeight="1" x14ac:dyDescent="0.2">
      <c r="A2450" s="1061"/>
      <c r="B2450" s="1057"/>
      <c r="C2450" s="1057"/>
      <c r="D2450" s="1057"/>
      <c r="E2450" s="1057"/>
      <c r="F2450" s="1057"/>
      <c r="G2450" s="1058"/>
      <c r="H2450" s="9"/>
      <c r="I2450" s="1059"/>
      <c r="J2450" s="1058"/>
      <c r="K2450" s="1064"/>
      <c r="L2450" s="1058"/>
      <c r="M2450" s="1059" t="str">
        <f>IF(A2450="","",I2450*K2450)</f>
        <v/>
      </c>
      <c r="N2450" s="1058"/>
    </row>
    <row r="2451" spans="1:14" ht="12.75" customHeight="1" x14ac:dyDescent="0.2">
      <c r="A2451" s="1056"/>
      <c r="B2451" s="1057"/>
      <c r="C2451" s="1057"/>
      <c r="D2451" s="1057"/>
      <c r="E2451" s="1057"/>
      <c r="F2451" s="1057"/>
      <c r="G2451" s="1058"/>
      <c r="H2451" s="9"/>
      <c r="I2451" s="1059"/>
      <c r="J2451" s="1058"/>
      <c r="K2451" s="1064"/>
      <c r="L2451" s="1058"/>
      <c r="M2451" s="1059" t="str">
        <f>IF(A2451="","",I2451*K2451)</f>
        <v/>
      </c>
      <c r="N2451" s="1058"/>
    </row>
    <row r="2452" spans="1:14" ht="12.75" customHeight="1" x14ac:dyDescent="0.2">
      <c r="A2452" s="1061"/>
      <c r="B2452" s="1057"/>
      <c r="C2452" s="1057"/>
      <c r="D2452" s="1057"/>
      <c r="E2452" s="1057"/>
      <c r="F2452" s="1057"/>
      <c r="G2452" s="1058"/>
      <c r="H2452" s="9"/>
      <c r="I2452" s="1059"/>
      <c r="J2452" s="1058"/>
      <c r="K2452" s="1060"/>
      <c r="L2452" s="1058"/>
      <c r="M2452" s="1059" t="str">
        <f>IF(A2452="","",I2452*K2452)</f>
        <v/>
      </c>
      <c r="N2452" s="1058"/>
    </row>
    <row r="2453" spans="1:14" ht="12.75" customHeight="1" x14ac:dyDescent="0.2">
      <c r="A2453" s="1061"/>
      <c r="B2453" s="1057"/>
      <c r="C2453" s="1057"/>
      <c r="D2453" s="1057"/>
      <c r="E2453" s="1057"/>
      <c r="F2453" s="1057"/>
      <c r="G2453" s="1058"/>
      <c r="H2453" s="9"/>
      <c r="I2453" s="1059"/>
      <c r="J2453" s="1058"/>
      <c r="K2453" s="1060"/>
      <c r="L2453" s="1058"/>
      <c r="M2453" s="1059" t="str">
        <f>IF(A2453="","",I2453*K2453)</f>
        <v/>
      </c>
      <c r="N2453" s="1058"/>
    </row>
    <row r="2454" spans="1:14" ht="12.75" customHeight="1" x14ac:dyDescent="0.2">
      <c r="A2454" s="1061"/>
      <c r="B2454" s="1057"/>
      <c r="C2454" s="1057"/>
      <c r="D2454" s="1057"/>
      <c r="E2454" s="1057"/>
      <c r="F2454" s="1057"/>
      <c r="G2454" s="1058"/>
      <c r="H2454" s="9"/>
      <c r="I2454" s="1059"/>
      <c r="J2454" s="1058"/>
      <c r="K2454" s="1060"/>
      <c r="L2454" s="1058"/>
      <c r="M2454" s="1059" t="str">
        <f>IF(A2454="","",I2454*K2454)</f>
        <v/>
      </c>
      <c r="N2454" s="1058"/>
    </row>
    <row r="2455" spans="1:14" ht="12.75" customHeight="1" x14ac:dyDescent="0.25">
      <c r="A2455" s="3"/>
      <c r="B2455" s="3"/>
      <c r="C2455" s="3"/>
      <c r="D2455" s="3"/>
      <c r="E2455" s="3"/>
      <c r="F2455" s="3"/>
      <c r="G2455" s="3"/>
      <c r="H2455" s="3"/>
      <c r="I2455" s="3"/>
      <c r="J2455" s="3"/>
      <c r="K2455" s="1066" t="s">
        <v>201</v>
      </c>
      <c r="L2455" s="1058"/>
      <c r="M2455" s="1059">
        <f>SUM(M2450:N2454)</f>
        <v>0</v>
      </c>
      <c r="N2455" s="1058"/>
    </row>
    <row r="2456" spans="1:14" ht="12.75" customHeight="1" x14ac:dyDescent="0.25">
      <c r="A2456" s="3"/>
      <c r="B2456" s="3"/>
      <c r="C2456" s="3"/>
      <c r="D2456" s="3"/>
      <c r="E2456" s="3"/>
      <c r="F2456" s="3"/>
      <c r="G2456" s="3"/>
      <c r="H2456" s="3"/>
      <c r="I2456" s="3"/>
      <c r="J2456" s="3"/>
      <c r="K2456" s="3"/>
      <c r="L2456" s="3"/>
      <c r="M2456" s="3"/>
      <c r="N2456" s="3"/>
    </row>
    <row r="2457" spans="1:14" ht="12.75" customHeight="1" x14ac:dyDescent="0.2">
      <c r="A2457" s="1065" t="s">
        <v>394</v>
      </c>
      <c r="B2457" s="1057"/>
      <c r="C2457" s="1057"/>
      <c r="D2457" s="1057"/>
      <c r="E2457" s="1057"/>
      <c r="F2457" s="1057"/>
      <c r="G2457" s="1057"/>
      <c r="H2457" s="1057"/>
      <c r="I2457" s="1057"/>
      <c r="J2457" s="1057"/>
      <c r="K2457" s="1057"/>
      <c r="L2457" s="1057"/>
      <c r="M2457" s="1057"/>
      <c r="N2457" s="1058"/>
    </row>
    <row r="2458" spans="1:14" ht="12.75" customHeight="1" x14ac:dyDescent="0.2">
      <c r="A2458" s="1066" t="s">
        <v>38</v>
      </c>
      <c r="B2458" s="1057"/>
      <c r="C2458" s="1057"/>
      <c r="D2458" s="1057"/>
      <c r="E2458" s="1057"/>
      <c r="F2458" s="1057"/>
      <c r="G2458" s="1058"/>
      <c r="H2458" s="28" t="s">
        <v>39</v>
      </c>
      <c r="I2458" s="1062" t="s">
        <v>385</v>
      </c>
      <c r="J2458" s="1058"/>
      <c r="K2458" s="30" t="s">
        <v>193</v>
      </c>
      <c r="L2458" s="31" t="s">
        <v>395</v>
      </c>
      <c r="M2458" s="1062" t="s">
        <v>386</v>
      </c>
      <c r="N2458" s="1058"/>
    </row>
    <row r="2459" spans="1:14" ht="12.75" customHeight="1" x14ac:dyDescent="0.25">
      <c r="A2459" s="1063" t="s">
        <v>418</v>
      </c>
      <c r="B2459" s="1057"/>
      <c r="C2459" s="1057"/>
      <c r="D2459" s="1057"/>
      <c r="E2459" s="1057"/>
      <c r="F2459" s="1057"/>
      <c r="G2459" s="1058"/>
      <c r="H2459" s="9" t="str">
        <f>IF(A2459="","",VLOOKUP(A2459,AA_Cuadrillas,4,FALSE))</f>
        <v>Cuadrilla</v>
      </c>
      <c r="I2459" s="1059">
        <f>IF(A2459="","",VLOOKUP(A2459,AA_Cuadrillas,5,FALSE))</f>
        <v>280145</v>
      </c>
      <c r="J2459" s="1058"/>
      <c r="K2459" s="1">
        <f>IF(A2459="","",'06'!$J$3)</f>
        <v>1.7233500000000002</v>
      </c>
      <c r="L2459" s="37">
        <v>0.06</v>
      </c>
      <c r="M2459" s="1059">
        <f>IF(A2459="","",I2459*K2459*L2459)</f>
        <v>28967.273144999999</v>
      </c>
      <c r="N2459" s="1058"/>
    </row>
    <row r="2460" spans="1:14" ht="12.75" customHeight="1" x14ac:dyDescent="0.25">
      <c r="A2460" s="1063"/>
      <c r="B2460" s="1057"/>
      <c r="C2460" s="1057"/>
      <c r="D2460" s="1057"/>
      <c r="E2460" s="1057"/>
      <c r="F2460" s="1057"/>
      <c r="G2460" s="1058"/>
      <c r="H2460" s="9" t="str">
        <f>IF(A2460="","",VLOOKUP(A2460,AA_Cuadrillas,4,FALSE))</f>
        <v/>
      </c>
      <c r="I2460" s="1059" t="str">
        <f>IF(A2460="","",VLOOKUP(A2460,AA_Cuadrillas,5,FALSE))</f>
        <v/>
      </c>
      <c r="J2460" s="1058"/>
      <c r="K2460" s="1" t="str">
        <f>IF(A2460="","",'06'!$J$3)</f>
        <v/>
      </c>
      <c r="L2460" s="1"/>
      <c r="M2460" s="1059" t="str">
        <f>IF(A2460="","",I2460*K2460*L2460)</f>
        <v/>
      </c>
      <c r="N2460" s="1058"/>
    </row>
    <row r="2461" spans="1:14" ht="12.75" customHeight="1" x14ac:dyDescent="0.25">
      <c r="A2461" s="1063"/>
      <c r="B2461" s="1057"/>
      <c r="C2461" s="1057"/>
      <c r="D2461" s="1057"/>
      <c r="E2461" s="1057"/>
      <c r="F2461" s="1057"/>
      <c r="G2461" s="1058"/>
      <c r="H2461" s="9" t="str">
        <f>IF(A2461="","",VLOOKUP(A2461,AA_Cuadrillas,4,FALSE))</f>
        <v/>
      </c>
      <c r="I2461" s="1059" t="str">
        <f>IF(A2461="","",VLOOKUP(A2461,AA_Cuadrillas,5,FALSE))</f>
        <v/>
      </c>
      <c r="J2461" s="1058"/>
      <c r="K2461" s="1" t="str">
        <f>IF(A2461="","",'06'!$J$3)</f>
        <v/>
      </c>
      <c r="L2461" s="10"/>
      <c r="M2461" s="1059" t="str">
        <f>IF(A2461="","",I2461*K2461*L2461)</f>
        <v/>
      </c>
      <c r="N2461" s="1058"/>
    </row>
    <row r="2462" spans="1:14" ht="12.75" customHeight="1" x14ac:dyDescent="0.25">
      <c r="A2462" s="1063"/>
      <c r="B2462" s="1057"/>
      <c r="C2462" s="1057"/>
      <c r="D2462" s="1057"/>
      <c r="E2462" s="1057"/>
      <c r="F2462" s="1057"/>
      <c r="G2462" s="1058"/>
      <c r="H2462" s="9" t="str">
        <f>IF(A2462="","",VLOOKUP(A2462,AA_Cuadrillas,4,FALSE))</f>
        <v/>
      </c>
      <c r="I2462" s="1059" t="str">
        <f>IF(A2462="","",VLOOKUP(A2462,AA_Cuadrillas,5,FALSE))</f>
        <v/>
      </c>
      <c r="J2462" s="1058"/>
      <c r="K2462" s="1" t="str">
        <f>IF(A2462="","",'06'!$J$3)</f>
        <v/>
      </c>
      <c r="L2462" s="10"/>
      <c r="M2462" s="1059" t="str">
        <f>IF(A2462="","",I2462*K2462*L2462)</f>
        <v/>
      </c>
      <c r="N2462" s="1058"/>
    </row>
    <row r="2463" spans="1:14" ht="12.75" customHeight="1" x14ac:dyDescent="0.25">
      <c r="A2463" s="1063"/>
      <c r="B2463" s="1057"/>
      <c r="C2463" s="1057"/>
      <c r="D2463" s="1057"/>
      <c r="E2463" s="1057"/>
      <c r="F2463" s="1057"/>
      <c r="G2463" s="1058"/>
      <c r="H2463" s="9" t="str">
        <f>IF(A2463="","",VLOOKUP(A2463,AA_Cuadrillas,4,FALSE))</f>
        <v/>
      </c>
      <c r="I2463" s="1059" t="str">
        <f>IF(A2463="","",VLOOKUP(A2463,AA_Cuadrillas,5,FALSE))</f>
        <v/>
      </c>
      <c r="J2463" s="1058"/>
      <c r="K2463" s="1" t="str">
        <f>IF(A2463="","",'06'!$J$3)</f>
        <v/>
      </c>
      <c r="L2463" s="10"/>
      <c r="M2463" s="1059" t="str">
        <f>IF(A2463="","",I2463*K2463*L2463)</f>
        <v/>
      </c>
      <c r="N2463" s="1058"/>
    </row>
    <row r="2464" spans="1:14" ht="12.75" customHeight="1" x14ac:dyDescent="0.25">
      <c r="A2464" s="3"/>
      <c r="B2464" s="3"/>
      <c r="C2464" s="3"/>
      <c r="D2464" s="3"/>
      <c r="E2464" s="3"/>
      <c r="F2464" s="3"/>
      <c r="G2464" s="3"/>
      <c r="H2464" s="3"/>
      <c r="I2464" s="3"/>
      <c r="J2464" s="3"/>
      <c r="K2464" s="1066" t="s">
        <v>201</v>
      </c>
      <c r="L2464" s="1058"/>
      <c r="M2464" s="1059">
        <f>SUM(M2459:N2463)</f>
        <v>28967.273144999999</v>
      </c>
      <c r="N2464" s="1058"/>
    </row>
    <row r="2465" spans="1:14" ht="12.75" customHeight="1" x14ac:dyDescent="0.2"/>
    <row r="2466" spans="1:14" ht="12.75" customHeight="1" x14ac:dyDescent="0.2">
      <c r="A2466" s="1072" t="s">
        <v>1723</v>
      </c>
      <c r="B2466" s="1052"/>
      <c r="C2466" s="1052"/>
      <c r="D2466" s="1052"/>
      <c r="E2466" s="1052"/>
      <c r="F2466" s="1052"/>
      <c r="G2466" s="1052"/>
      <c r="H2466" s="1052"/>
      <c r="I2466" s="1052"/>
      <c r="J2466" s="1052"/>
      <c r="K2466" s="1052"/>
      <c r="L2466" s="1052"/>
      <c r="M2466" s="1052"/>
      <c r="N2466" s="1053"/>
    </row>
    <row r="2467" spans="1:14" ht="12.75" customHeight="1" x14ac:dyDescent="0.2">
      <c r="A2467" s="1031"/>
      <c r="B2467" s="1032"/>
      <c r="C2467" s="1032"/>
      <c r="D2467" s="1032"/>
      <c r="E2467" s="1032"/>
      <c r="F2467" s="1032"/>
      <c r="G2467" s="1032"/>
      <c r="H2467" s="1032"/>
      <c r="I2467" s="1032"/>
      <c r="J2467" s="1032"/>
      <c r="K2467" s="1032"/>
      <c r="L2467" s="1032"/>
      <c r="M2467" s="1032"/>
      <c r="N2467" s="1055"/>
    </row>
    <row r="2468" spans="1:14" ht="12.75" customHeight="1" x14ac:dyDescent="0.2">
      <c r="A2468" s="16"/>
      <c r="B2468" s="16"/>
      <c r="C2468" s="16"/>
      <c r="D2468" s="16"/>
      <c r="E2468" s="16"/>
      <c r="F2468" s="16"/>
      <c r="G2468" s="16"/>
      <c r="H2468" s="16"/>
      <c r="I2468" s="16"/>
      <c r="J2468" s="16"/>
      <c r="K2468" s="16"/>
      <c r="L2468" s="16"/>
      <c r="M2468" s="16"/>
      <c r="N2468" s="16"/>
    </row>
    <row r="2469" spans="1:14" ht="12.75" customHeight="1" x14ac:dyDescent="0.3">
      <c r="A2469" s="18" t="s">
        <v>348</v>
      </c>
      <c r="B2469" s="19" t="str">
        <f>A2466</f>
        <v>TUBERÍA PVC 8" RDE 21 (INCLUYE INSTALACIÓN Y SUMINISTRO)</v>
      </c>
      <c r="C2469" s="20" t="s">
        <v>382</v>
      </c>
      <c r="D2469" s="127" t="s">
        <v>419</v>
      </c>
      <c r="E2469" s="22" t="s">
        <v>125</v>
      </c>
      <c r="F2469" s="26">
        <f>(H2469+J2469+L2469+N2469)*$O$2</f>
        <v>385963.59117625834</v>
      </c>
      <c r="G2469" s="22" t="s">
        <v>285</v>
      </c>
      <c r="H2469" s="26">
        <f>M2490</f>
        <v>1448.36365725</v>
      </c>
      <c r="I2469" s="22" t="s">
        <v>383</v>
      </c>
      <c r="J2469" s="36">
        <f>M2481</f>
        <v>266479.43333333335</v>
      </c>
      <c r="K2469" s="22" t="s">
        <v>287</v>
      </c>
      <c r="L2469" s="26">
        <f>M2499</f>
        <v>0</v>
      </c>
      <c r="M2469" s="22" t="s">
        <v>288</v>
      </c>
      <c r="N2469" s="26">
        <f>M2508</f>
        <v>28967.273144999999</v>
      </c>
    </row>
    <row r="2470" spans="1:14" ht="12.75" customHeight="1" x14ac:dyDescent="0.25">
      <c r="A2470" s="27"/>
      <c r="B2470" s="27"/>
      <c r="C2470" s="27"/>
      <c r="D2470" s="27"/>
      <c r="E2470" s="27"/>
      <c r="F2470" s="27"/>
      <c r="G2470" s="27"/>
      <c r="J2470" s="27"/>
      <c r="K2470" s="27"/>
      <c r="L2470" s="27"/>
      <c r="M2470" s="27"/>
      <c r="N2470" s="27"/>
    </row>
    <row r="2471" spans="1:14" ht="12.75" customHeight="1" x14ac:dyDescent="0.2">
      <c r="A2471" s="1065" t="s">
        <v>384</v>
      </c>
      <c r="B2471" s="1057"/>
      <c r="C2471" s="1057"/>
      <c r="D2471" s="1057"/>
      <c r="E2471" s="1057"/>
      <c r="F2471" s="1057"/>
      <c r="G2471" s="1057"/>
      <c r="H2471" s="1057"/>
      <c r="I2471" s="1057"/>
      <c r="J2471" s="1057"/>
      <c r="K2471" s="1057"/>
      <c r="L2471" s="1057"/>
      <c r="M2471" s="1057"/>
      <c r="N2471" s="1058"/>
    </row>
    <row r="2472" spans="1:14" ht="12.75" customHeight="1" x14ac:dyDescent="0.2">
      <c r="A2472" s="1066" t="s">
        <v>38</v>
      </c>
      <c r="B2472" s="1057"/>
      <c r="C2472" s="1057"/>
      <c r="D2472" s="1057"/>
      <c r="E2472" s="1057"/>
      <c r="F2472" s="1057"/>
      <c r="G2472" s="1058"/>
      <c r="H2472" s="28" t="s">
        <v>39</v>
      </c>
      <c r="I2472" s="1062" t="s">
        <v>385</v>
      </c>
      <c r="J2472" s="1058"/>
      <c r="K2472" s="1062" t="s">
        <v>132</v>
      </c>
      <c r="L2472" s="1058"/>
      <c r="M2472" s="1062" t="s">
        <v>386</v>
      </c>
      <c r="N2472" s="1058"/>
    </row>
    <row r="2473" spans="1:14" ht="12.75" customHeight="1" x14ac:dyDescent="0.2">
      <c r="A2473" s="1061" t="s">
        <v>1562</v>
      </c>
      <c r="B2473" s="1057"/>
      <c r="C2473" s="1057"/>
      <c r="D2473" s="1057"/>
      <c r="E2473" s="1057"/>
      <c r="F2473" s="1057"/>
      <c r="G2473" s="1058"/>
      <c r="H2473" s="9" t="str">
        <f t="shared" ref="H2473:H2475" si="174">IF(A2473="","",VLOOKUP(A2473,AA_Materiales,7,FALSE))</f>
        <v>m</v>
      </c>
      <c r="I2473" s="1059">
        <f t="shared" ref="I2473:I2475" si="175">IF(A2473="","",VLOOKUP(A2473,AA_Materiales,8,FALSE))</f>
        <v>266117.1333333333</v>
      </c>
      <c r="J2473" s="1058"/>
      <c r="K2473" s="1060">
        <v>1</v>
      </c>
      <c r="L2473" s="1058"/>
      <c r="M2473" s="1059">
        <f t="shared" ref="M2473:M2480" si="176">IF(A2473="","",I2473*K2473)</f>
        <v>266117.1333333333</v>
      </c>
      <c r="N2473" s="1058"/>
    </row>
    <row r="2474" spans="1:14" ht="12.75" customHeight="1" x14ac:dyDescent="0.2">
      <c r="A2474" s="1061" t="s">
        <v>1603</v>
      </c>
      <c r="B2474" s="1057"/>
      <c r="C2474" s="1057"/>
      <c r="D2474" s="1057"/>
      <c r="E2474" s="1057"/>
      <c r="F2474" s="1057"/>
      <c r="G2474" s="1058"/>
      <c r="H2474" s="9" t="str">
        <f t="shared" si="174"/>
        <v>(1/128) Galón</v>
      </c>
      <c r="I2474" s="1059">
        <f t="shared" si="175"/>
        <v>8539</v>
      </c>
      <c r="J2474" s="1058"/>
      <c r="K2474" s="1060">
        <v>0.02</v>
      </c>
      <c r="L2474" s="1058"/>
      <c r="M2474" s="1059">
        <f t="shared" si="176"/>
        <v>170.78</v>
      </c>
      <c r="N2474" s="1058"/>
    </row>
    <row r="2475" spans="1:14" ht="12.75" customHeight="1" x14ac:dyDescent="0.2">
      <c r="A2475" s="1061" t="s">
        <v>1604</v>
      </c>
      <c r="B2475" s="1057"/>
      <c r="C2475" s="1057"/>
      <c r="D2475" s="1057"/>
      <c r="E2475" s="1057"/>
      <c r="F2475" s="1057"/>
      <c r="G2475" s="1058"/>
      <c r="H2475" s="9" t="str">
        <f t="shared" si="174"/>
        <v>28 gr (1/128)</v>
      </c>
      <c r="I2475" s="1059">
        <f t="shared" si="175"/>
        <v>4788</v>
      </c>
      <c r="J2475" s="1058"/>
      <c r="K2475" s="1060">
        <v>0.04</v>
      </c>
      <c r="L2475" s="1058"/>
      <c r="M2475" s="1059">
        <f t="shared" si="176"/>
        <v>191.52</v>
      </c>
      <c r="N2475" s="1058"/>
    </row>
    <row r="2476" spans="1:14" ht="12.75" customHeight="1" x14ac:dyDescent="0.2">
      <c r="A2476" s="1056"/>
      <c r="B2476" s="1057"/>
      <c r="C2476" s="1057"/>
      <c r="D2476" s="1057"/>
      <c r="E2476" s="1057"/>
      <c r="F2476" s="1057"/>
      <c r="G2476" s="1058"/>
      <c r="H2476" s="9" t="str">
        <f t="shared" ref="H2476:H2480" si="177">IF(A2476="","",VLOOKUP(A2476,AA_Materiales,7,FALSE))</f>
        <v/>
      </c>
      <c r="I2476" s="1059" t="str">
        <f t="shared" ref="I2476:I2480" si="178">IF(A2476="","",VLOOKUP(A2476,AA_Materiales,8,FALSE))</f>
        <v/>
      </c>
      <c r="J2476" s="1058"/>
      <c r="K2476" s="1060"/>
      <c r="L2476" s="1058"/>
      <c r="M2476" s="1059" t="str">
        <f t="shared" si="176"/>
        <v/>
      </c>
      <c r="N2476" s="1058"/>
    </row>
    <row r="2477" spans="1:14" ht="12.75" customHeight="1" x14ac:dyDescent="0.2">
      <c r="A2477" s="1056"/>
      <c r="B2477" s="1057"/>
      <c r="C2477" s="1057"/>
      <c r="D2477" s="1057"/>
      <c r="E2477" s="1057"/>
      <c r="F2477" s="1057"/>
      <c r="G2477" s="1058"/>
      <c r="H2477" s="9" t="str">
        <f t="shared" si="177"/>
        <v/>
      </c>
      <c r="I2477" s="1059" t="str">
        <f t="shared" si="178"/>
        <v/>
      </c>
      <c r="J2477" s="1058"/>
      <c r="K2477" s="1060"/>
      <c r="L2477" s="1058"/>
      <c r="M2477" s="1059" t="str">
        <f t="shared" si="176"/>
        <v/>
      </c>
      <c r="N2477" s="1058"/>
    </row>
    <row r="2478" spans="1:14" ht="12.75" customHeight="1" x14ac:dyDescent="0.2">
      <c r="A2478" s="1056"/>
      <c r="B2478" s="1057"/>
      <c r="C2478" s="1057"/>
      <c r="D2478" s="1057"/>
      <c r="E2478" s="1057"/>
      <c r="F2478" s="1057"/>
      <c r="G2478" s="1058"/>
      <c r="H2478" s="9" t="str">
        <f t="shared" si="177"/>
        <v/>
      </c>
      <c r="I2478" s="1059" t="str">
        <f t="shared" si="178"/>
        <v/>
      </c>
      <c r="J2478" s="1058"/>
      <c r="K2478" s="1060"/>
      <c r="L2478" s="1058"/>
      <c r="M2478" s="1059" t="str">
        <f t="shared" si="176"/>
        <v/>
      </c>
      <c r="N2478" s="1058"/>
    </row>
    <row r="2479" spans="1:14" ht="12.75" customHeight="1" x14ac:dyDescent="0.2">
      <c r="A2479" s="1056"/>
      <c r="B2479" s="1057"/>
      <c r="C2479" s="1057"/>
      <c r="D2479" s="1057"/>
      <c r="E2479" s="1057"/>
      <c r="F2479" s="1057"/>
      <c r="G2479" s="1058"/>
      <c r="H2479" s="9" t="str">
        <f t="shared" si="177"/>
        <v/>
      </c>
      <c r="I2479" s="1059" t="str">
        <f t="shared" si="178"/>
        <v/>
      </c>
      <c r="J2479" s="1058"/>
      <c r="K2479" s="1060"/>
      <c r="L2479" s="1058"/>
      <c r="M2479" s="1059" t="str">
        <f t="shared" si="176"/>
        <v/>
      </c>
      <c r="N2479" s="1058"/>
    </row>
    <row r="2480" spans="1:14" ht="12.75" customHeight="1" x14ac:dyDescent="0.2">
      <c r="A2480" s="1056"/>
      <c r="B2480" s="1057"/>
      <c r="C2480" s="1057"/>
      <c r="D2480" s="1057"/>
      <c r="E2480" s="1057"/>
      <c r="F2480" s="1057"/>
      <c r="G2480" s="1058"/>
      <c r="H2480" s="9" t="str">
        <f t="shared" si="177"/>
        <v/>
      </c>
      <c r="I2480" s="1059" t="str">
        <f t="shared" si="178"/>
        <v/>
      </c>
      <c r="J2480" s="1058"/>
      <c r="K2480" s="1060"/>
      <c r="L2480" s="1058"/>
      <c r="M2480" s="1059" t="str">
        <f t="shared" si="176"/>
        <v/>
      </c>
      <c r="N2480" s="1058"/>
    </row>
    <row r="2481" spans="1:15" ht="12.75" customHeight="1" x14ac:dyDescent="0.25">
      <c r="A2481" s="3"/>
      <c r="B2481" s="3"/>
      <c r="C2481" s="3"/>
      <c r="D2481" s="3"/>
      <c r="E2481" s="3"/>
      <c r="F2481" s="3"/>
      <c r="G2481" s="3"/>
      <c r="H2481" s="3"/>
      <c r="I2481" s="3"/>
      <c r="J2481" s="3"/>
      <c r="K2481" s="1066" t="s">
        <v>201</v>
      </c>
      <c r="L2481" s="1058"/>
      <c r="M2481" s="1059">
        <f>SUM(M2473:N2480)</f>
        <v>266479.43333333335</v>
      </c>
      <c r="N2481" s="1058"/>
    </row>
    <row r="2482" spans="1:15" ht="12.75" customHeight="1" x14ac:dyDescent="0.25">
      <c r="A2482" s="3"/>
      <c r="B2482" s="3"/>
      <c r="C2482" s="3"/>
      <c r="D2482" s="3"/>
      <c r="E2482" s="3"/>
      <c r="F2482" s="3"/>
      <c r="G2482" s="3"/>
      <c r="H2482" s="3"/>
      <c r="I2482" s="3"/>
      <c r="J2482" s="3"/>
      <c r="K2482" s="3"/>
      <c r="L2482" s="3"/>
      <c r="M2482" s="3"/>
      <c r="N2482" s="3"/>
    </row>
    <row r="2483" spans="1:15" ht="12.75" customHeight="1" x14ac:dyDescent="0.2">
      <c r="A2483" s="1065" t="s">
        <v>390</v>
      </c>
      <c r="B2483" s="1057"/>
      <c r="C2483" s="1057"/>
      <c r="D2483" s="1057"/>
      <c r="E2483" s="1057"/>
      <c r="F2483" s="1057"/>
      <c r="G2483" s="1057"/>
      <c r="H2483" s="1057"/>
      <c r="I2483" s="1057"/>
      <c r="J2483" s="1057"/>
      <c r="K2483" s="1057"/>
      <c r="L2483" s="1057"/>
      <c r="M2483" s="1057"/>
      <c r="N2483" s="1058"/>
    </row>
    <row r="2484" spans="1:15" ht="12.75" customHeight="1" x14ac:dyDescent="0.2">
      <c r="A2484" s="1066" t="s">
        <v>38</v>
      </c>
      <c r="B2484" s="1057"/>
      <c r="C2484" s="1057"/>
      <c r="D2484" s="1057"/>
      <c r="E2484" s="1057"/>
      <c r="F2484" s="1057"/>
      <c r="G2484" s="1058"/>
      <c r="H2484" s="28" t="s">
        <v>39</v>
      </c>
      <c r="I2484" s="1062" t="s">
        <v>385</v>
      </c>
      <c r="J2484" s="1058"/>
      <c r="K2484" s="1062" t="s">
        <v>132</v>
      </c>
      <c r="L2484" s="1058"/>
      <c r="M2484" s="1062" t="s">
        <v>386</v>
      </c>
      <c r="N2484" s="1058"/>
    </row>
    <row r="2485" spans="1:15" ht="12.75" customHeight="1" x14ac:dyDescent="0.2">
      <c r="A2485" s="1061" t="s">
        <v>391</v>
      </c>
      <c r="B2485" s="1057"/>
      <c r="C2485" s="1057"/>
      <c r="D2485" s="1057"/>
      <c r="E2485" s="1057"/>
      <c r="F2485" s="1057"/>
      <c r="G2485" s="1058"/>
      <c r="H2485" s="9" t="str">
        <f>IF(A2485="","",VLOOKUP(A2485,AA_Equipos,7,FALSE))</f>
        <v>% M.O.</v>
      </c>
      <c r="I2485" s="1059">
        <f>+M2508</f>
        <v>28967.273144999999</v>
      </c>
      <c r="J2485" s="1058"/>
      <c r="K2485" s="1064">
        <v>0.05</v>
      </c>
      <c r="L2485" s="1058"/>
      <c r="M2485" s="1059">
        <f>IF(A2485="","",I2485*K2485)</f>
        <v>1448.36365725</v>
      </c>
      <c r="N2485" s="1058"/>
    </row>
    <row r="2486" spans="1:15" ht="12.75" customHeight="1" x14ac:dyDescent="0.2">
      <c r="A2486" s="1056"/>
      <c r="B2486" s="1057"/>
      <c r="C2486" s="1057"/>
      <c r="D2486" s="1057"/>
      <c r="E2486" s="1057"/>
      <c r="F2486" s="1057"/>
      <c r="G2486" s="1058"/>
      <c r="H2486" s="9" t="str">
        <f>IF(A2486="","",VLOOKUP(A2486,AA_Equipos,7,FALSE))</f>
        <v/>
      </c>
      <c r="I2486" s="1059" t="str">
        <f>IF(A2486="","",VLOOKUP(A2486,AA_Equipos,8,FALSE))</f>
        <v/>
      </c>
      <c r="J2486" s="1058"/>
      <c r="K2486" s="1067"/>
      <c r="L2486" s="1058"/>
      <c r="M2486" s="1059" t="str">
        <f>IF(A2486="","",I2486*K2486)</f>
        <v/>
      </c>
      <c r="N2486" s="1058"/>
    </row>
    <row r="2487" spans="1:15" ht="12.75" customHeight="1" x14ac:dyDescent="0.2">
      <c r="A2487" s="1061"/>
      <c r="B2487" s="1057"/>
      <c r="C2487" s="1057"/>
      <c r="D2487" s="1057"/>
      <c r="E2487" s="1057"/>
      <c r="F2487" s="1057"/>
      <c r="G2487" s="1058"/>
      <c r="H2487" s="9" t="str">
        <f>IF(A2487="","",VLOOKUP(A2487,AA_Equipos,7,FALSE))</f>
        <v/>
      </c>
      <c r="I2487" s="1059" t="str">
        <f>IF(A2487="","",VLOOKUP(A2487,AA_Equipos,8,FALSE))</f>
        <v/>
      </c>
      <c r="J2487" s="1058"/>
      <c r="K2487" s="1070"/>
      <c r="L2487" s="1058"/>
      <c r="M2487" s="1059" t="str">
        <f>IF(A2487="","",I2487*K2487)</f>
        <v/>
      </c>
      <c r="N2487" s="1058"/>
    </row>
    <row r="2488" spans="1:15" ht="12.75" customHeight="1" x14ac:dyDescent="0.2">
      <c r="A2488" s="1061"/>
      <c r="B2488" s="1057"/>
      <c r="C2488" s="1057"/>
      <c r="D2488" s="1057"/>
      <c r="E2488" s="1057"/>
      <c r="F2488" s="1057"/>
      <c r="G2488" s="1058"/>
      <c r="H2488" s="9" t="str">
        <f>IF(A2488="","",VLOOKUP(A2488,AA_Equipos,7,FALSE))</f>
        <v/>
      </c>
      <c r="I2488" s="1059" t="str">
        <f>IF(A2488="","",VLOOKUP(A2488,AA_Equipos,8,FALSE))</f>
        <v/>
      </c>
      <c r="J2488" s="1058"/>
      <c r="K2488" s="1060"/>
      <c r="L2488" s="1058"/>
      <c r="M2488" s="1059" t="str">
        <f>IF(A2488="","",I2488*K2488)</f>
        <v/>
      </c>
      <c r="N2488" s="1058"/>
    </row>
    <row r="2489" spans="1:15" ht="12.75" customHeight="1" x14ac:dyDescent="0.2">
      <c r="A2489" s="1061"/>
      <c r="B2489" s="1057"/>
      <c r="C2489" s="1057"/>
      <c r="D2489" s="1057"/>
      <c r="E2489" s="1057"/>
      <c r="F2489" s="1057"/>
      <c r="G2489" s="1058"/>
      <c r="H2489" s="9" t="str">
        <f>IF(A2489="","",VLOOKUP(A2489,AA_Equipos,7,FALSE))</f>
        <v/>
      </c>
      <c r="I2489" s="1059" t="str">
        <f>IF(A2489="","",VLOOKUP(A2489,AA_Equipos,8,FALSE))</f>
        <v/>
      </c>
      <c r="J2489" s="1058"/>
      <c r="K2489" s="1060"/>
      <c r="L2489" s="1058"/>
      <c r="M2489" s="1059" t="str">
        <f>IF(A2489="","",I2489*K2489)</f>
        <v/>
      </c>
      <c r="N2489" s="1058"/>
      <c r="O2489" s="7"/>
    </row>
    <row r="2490" spans="1:15" ht="12.75" customHeight="1" x14ac:dyDescent="0.25">
      <c r="A2490" s="3"/>
      <c r="B2490" s="3"/>
      <c r="C2490" s="3"/>
      <c r="D2490" s="3"/>
      <c r="E2490" s="3"/>
      <c r="F2490" s="3"/>
      <c r="G2490" s="3"/>
      <c r="H2490" s="3"/>
      <c r="I2490" s="3"/>
      <c r="J2490" s="3"/>
      <c r="K2490" s="1066" t="s">
        <v>201</v>
      </c>
      <c r="L2490" s="1058"/>
      <c r="M2490" s="1059">
        <f>SUM(M2485:N2489)</f>
        <v>1448.36365725</v>
      </c>
      <c r="N2490" s="1058"/>
      <c r="O2490" s="7"/>
    </row>
    <row r="2491" spans="1:15" ht="12.75" customHeight="1" x14ac:dyDescent="0.25">
      <c r="A2491" s="3"/>
      <c r="B2491" s="3"/>
      <c r="C2491" s="3"/>
      <c r="D2491" s="3"/>
      <c r="E2491" s="3"/>
      <c r="F2491" s="3"/>
      <c r="G2491" s="3"/>
      <c r="H2491" s="3"/>
      <c r="I2491" s="3"/>
      <c r="J2491" s="3"/>
      <c r="K2491" s="3"/>
      <c r="L2491" s="3"/>
      <c r="M2491" s="3"/>
      <c r="N2491" s="3"/>
    </row>
    <row r="2492" spans="1:15" ht="12.75" customHeight="1" x14ac:dyDescent="0.2">
      <c r="A2492" s="1065" t="s">
        <v>392</v>
      </c>
      <c r="B2492" s="1057"/>
      <c r="C2492" s="1057"/>
      <c r="D2492" s="1057"/>
      <c r="E2492" s="1057"/>
      <c r="F2492" s="1057"/>
      <c r="G2492" s="1057"/>
      <c r="H2492" s="1057"/>
      <c r="I2492" s="1057"/>
      <c r="J2492" s="1057"/>
      <c r="K2492" s="1057"/>
      <c r="L2492" s="1057"/>
      <c r="M2492" s="1057"/>
      <c r="N2492" s="1058"/>
    </row>
    <row r="2493" spans="1:15" ht="12.75" customHeight="1" x14ac:dyDescent="0.2">
      <c r="A2493" s="1066" t="s">
        <v>38</v>
      </c>
      <c r="B2493" s="1057"/>
      <c r="C2493" s="1057"/>
      <c r="D2493" s="1057"/>
      <c r="E2493" s="1057"/>
      <c r="F2493" s="1057"/>
      <c r="G2493" s="1058"/>
      <c r="H2493" s="28" t="s">
        <v>39</v>
      </c>
      <c r="I2493" s="1062" t="s">
        <v>385</v>
      </c>
      <c r="J2493" s="1058"/>
      <c r="K2493" s="1062" t="s">
        <v>132</v>
      </c>
      <c r="L2493" s="1058"/>
      <c r="M2493" s="1062" t="s">
        <v>386</v>
      </c>
      <c r="N2493" s="1058"/>
    </row>
    <row r="2494" spans="1:15" ht="12.75" customHeight="1" x14ac:dyDescent="0.2">
      <c r="A2494" s="1061"/>
      <c r="B2494" s="1057"/>
      <c r="C2494" s="1057"/>
      <c r="D2494" s="1057"/>
      <c r="E2494" s="1057"/>
      <c r="F2494" s="1057"/>
      <c r="G2494" s="1058"/>
      <c r="H2494" s="9"/>
      <c r="I2494" s="1059"/>
      <c r="J2494" s="1058"/>
      <c r="K2494" s="1064"/>
      <c r="L2494" s="1058"/>
      <c r="M2494" s="1059" t="str">
        <f>IF(A2494="","",I2494*K2494)</f>
        <v/>
      </c>
      <c r="N2494" s="1058"/>
    </row>
    <row r="2495" spans="1:15" ht="12.75" customHeight="1" x14ac:dyDescent="0.2">
      <c r="A2495" s="1056"/>
      <c r="B2495" s="1057"/>
      <c r="C2495" s="1057"/>
      <c r="D2495" s="1057"/>
      <c r="E2495" s="1057"/>
      <c r="F2495" s="1057"/>
      <c r="G2495" s="1058"/>
      <c r="H2495" s="9"/>
      <c r="I2495" s="1059"/>
      <c r="J2495" s="1058"/>
      <c r="K2495" s="1064"/>
      <c r="L2495" s="1058"/>
      <c r="M2495" s="1059" t="str">
        <f>IF(A2495="","",I2495*K2495)</f>
        <v/>
      </c>
      <c r="N2495" s="1058"/>
    </row>
    <row r="2496" spans="1:15" ht="12.75" customHeight="1" x14ac:dyDescent="0.2">
      <c r="A2496" s="1061"/>
      <c r="B2496" s="1057"/>
      <c r="C2496" s="1057"/>
      <c r="D2496" s="1057"/>
      <c r="E2496" s="1057"/>
      <c r="F2496" s="1057"/>
      <c r="G2496" s="1058"/>
      <c r="H2496" s="9"/>
      <c r="I2496" s="1059"/>
      <c r="J2496" s="1058"/>
      <c r="K2496" s="1060"/>
      <c r="L2496" s="1058"/>
      <c r="M2496" s="1059" t="str">
        <f>IF(A2496="","",I2496*K2496)</f>
        <v/>
      </c>
      <c r="N2496" s="1058"/>
    </row>
    <row r="2497" spans="1:14" ht="12.75" customHeight="1" x14ac:dyDescent="0.2">
      <c r="A2497" s="1061"/>
      <c r="B2497" s="1057"/>
      <c r="C2497" s="1057"/>
      <c r="D2497" s="1057"/>
      <c r="E2497" s="1057"/>
      <c r="F2497" s="1057"/>
      <c r="G2497" s="1058"/>
      <c r="H2497" s="9"/>
      <c r="I2497" s="1059"/>
      <c r="J2497" s="1058"/>
      <c r="K2497" s="1060"/>
      <c r="L2497" s="1058"/>
      <c r="M2497" s="1059" t="str">
        <f>IF(A2497="","",I2497*K2497)</f>
        <v/>
      </c>
      <c r="N2497" s="1058"/>
    </row>
    <row r="2498" spans="1:14" ht="12.75" customHeight="1" x14ac:dyDescent="0.2">
      <c r="A2498" s="1061"/>
      <c r="B2498" s="1057"/>
      <c r="C2498" s="1057"/>
      <c r="D2498" s="1057"/>
      <c r="E2498" s="1057"/>
      <c r="F2498" s="1057"/>
      <c r="G2498" s="1058"/>
      <c r="H2498" s="9"/>
      <c r="I2498" s="1059"/>
      <c r="J2498" s="1058"/>
      <c r="K2498" s="1060"/>
      <c r="L2498" s="1058"/>
      <c r="M2498" s="1059" t="str">
        <f>IF(A2498="","",I2498*K2498)</f>
        <v/>
      </c>
      <c r="N2498" s="1058"/>
    </row>
    <row r="2499" spans="1:14" ht="12.75" customHeight="1" x14ac:dyDescent="0.25">
      <c r="A2499" s="3"/>
      <c r="B2499" s="3"/>
      <c r="C2499" s="3"/>
      <c r="D2499" s="3"/>
      <c r="E2499" s="3"/>
      <c r="F2499" s="3"/>
      <c r="G2499" s="3"/>
      <c r="H2499" s="3"/>
      <c r="I2499" s="3"/>
      <c r="J2499" s="3"/>
      <c r="K2499" s="1066" t="s">
        <v>201</v>
      </c>
      <c r="L2499" s="1058"/>
      <c r="M2499" s="1059">
        <f>SUM(M2494:N2498)</f>
        <v>0</v>
      </c>
      <c r="N2499" s="1058"/>
    </row>
    <row r="2500" spans="1:14" ht="12.75" customHeight="1" x14ac:dyDescent="0.25">
      <c r="A2500" s="3"/>
      <c r="B2500" s="3"/>
      <c r="C2500" s="3"/>
      <c r="D2500" s="3"/>
      <c r="E2500" s="3"/>
      <c r="F2500" s="3"/>
      <c r="G2500" s="3"/>
      <c r="H2500" s="3"/>
      <c r="I2500" s="3"/>
      <c r="J2500" s="3"/>
      <c r="K2500" s="3"/>
      <c r="L2500" s="3"/>
      <c r="M2500" s="3"/>
      <c r="N2500" s="3"/>
    </row>
    <row r="2501" spans="1:14" ht="12.75" customHeight="1" x14ac:dyDescent="0.2">
      <c r="A2501" s="1065" t="s">
        <v>394</v>
      </c>
      <c r="B2501" s="1057"/>
      <c r="C2501" s="1057"/>
      <c r="D2501" s="1057"/>
      <c r="E2501" s="1057"/>
      <c r="F2501" s="1057"/>
      <c r="G2501" s="1057"/>
      <c r="H2501" s="1057"/>
      <c r="I2501" s="1057"/>
      <c r="J2501" s="1057"/>
      <c r="K2501" s="1057"/>
      <c r="L2501" s="1057"/>
      <c r="M2501" s="1057"/>
      <c r="N2501" s="1058"/>
    </row>
    <row r="2502" spans="1:14" ht="12.75" customHeight="1" x14ac:dyDescent="0.2">
      <c r="A2502" s="1066" t="s">
        <v>38</v>
      </c>
      <c r="B2502" s="1057"/>
      <c r="C2502" s="1057"/>
      <c r="D2502" s="1057"/>
      <c r="E2502" s="1057"/>
      <c r="F2502" s="1057"/>
      <c r="G2502" s="1058"/>
      <c r="H2502" s="28" t="s">
        <v>39</v>
      </c>
      <c r="I2502" s="1062" t="s">
        <v>385</v>
      </c>
      <c r="J2502" s="1058"/>
      <c r="K2502" s="30" t="s">
        <v>193</v>
      </c>
      <c r="L2502" s="31" t="s">
        <v>395</v>
      </c>
      <c r="M2502" s="1062" t="s">
        <v>386</v>
      </c>
      <c r="N2502" s="1058"/>
    </row>
    <row r="2503" spans="1:14" ht="12.75" customHeight="1" x14ac:dyDescent="0.25">
      <c r="A2503" s="1063" t="s">
        <v>418</v>
      </c>
      <c r="B2503" s="1057"/>
      <c r="C2503" s="1057"/>
      <c r="D2503" s="1057"/>
      <c r="E2503" s="1057"/>
      <c r="F2503" s="1057"/>
      <c r="G2503" s="1058"/>
      <c r="H2503" s="9" t="str">
        <f>IF(A2503="","",VLOOKUP(A2503,AA_Cuadrillas,4,FALSE))</f>
        <v>Cuadrilla</v>
      </c>
      <c r="I2503" s="1059">
        <f>IF(A2503="","",VLOOKUP(A2503,AA_Cuadrillas,5,FALSE))</f>
        <v>280145</v>
      </c>
      <c r="J2503" s="1058"/>
      <c r="K2503" s="1">
        <f>IF(A2503="","",'06'!$J$3)</f>
        <v>1.7233500000000002</v>
      </c>
      <c r="L2503" s="37">
        <v>0.06</v>
      </c>
      <c r="M2503" s="1059">
        <f>IF(A2503="","",I2503*K2503*L2503)</f>
        <v>28967.273144999999</v>
      </c>
      <c r="N2503" s="1058"/>
    </row>
    <row r="2504" spans="1:14" ht="12.75" customHeight="1" x14ac:dyDescent="0.25">
      <c r="A2504" s="1063"/>
      <c r="B2504" s="1057"/>
      <c r="C2504" s="1057"/>
      <c r="D2504" s="1057"/>
      <c r="E2504" s="1057"/>
      <c r="F2504" s="1057"/>
      <c r="G2504" s="1058"/>
      <c r="H2504" s="9" t="str">
        <f>IF(A2504="","",VLOOKUP(A2504,AA_Cuadrillas,4,FALSE))</f>
        <v/>
      </c>
      <c r="I2504" s="1059" t="str">
        <f>IF(A2504="","",VLOOKUP(A2504,AA_Cuadrillas,5,FALSE))</f>
        <v/>
      </c>
      <c r="J2504" s="1058"/>
      <c r="K2504" s="1" t="str">
        <f>IF(A2504="","",'06'!$J$3)</f>
        <v/>
      </c>
      <c r="L2504" s="1"/>
      <c r="M2504" s="1059" t="str">
        <f>IF(A2504="","",I2504*K2504*L2504)</f>
        <v/>
      </c>
      <c r="N2504" s="1058"/>
    </row>
    <row r="2505" spans="1:14" ht="12.75" customHeight="1" x14ac:dyDescent="0.25">
      <c r="A2505" s="1063"/>
      <c r="B2505" s="1057"/>
      <c r="C2505" s="1057"/>
      <c r="D2505" s="1057"/>
      <c r="E2505" s="1057"/>
      <c r="F2505" s="1057"/>
      <c r="G2505" s="1058"/>
      <c r="H2505" s="9" t="str">
        <f>IF(A2505="","",VLOOKUP(A2505,AA_Cuadrillas,4,FALSE))</f>
        <v/>
      </c>
      <c r="I2505" s="1059" t="str">
        <f>IF(A2505="","",VLOOKUP(A2505,AA_Cuadrillas,5,FALSE))</f>
        <v/>
      </c>
      <c r="J2505" s="1058"/>
      <c r="K2505" s="1" t="str">
        <f>IF(A2505="","",'06'!$J$3)</f>
        <v/>
      </c>
      <c r="L2505" s="10"/>
      <c r="M2505" s="1059" t="str">
        <f>IF(A2505="","",I2505*K2505*L2505)</f>
        <v/>
      </c>
      <c r="N2505" s="1058"/>
    </row>
    <row r="2506" spans="1:14" ht="12.75" customHeight="1" x14ac:dyDescent="0.25">
      <c r="A2506" s="1063"/>
      <c r="B2506" s="1057"/>
      <c r="C2506" s="1057"/>
      <c r="D2506" s="1057"/>
      <c r="E2506" s="1057"/>
      <c r="F2506" s="1057"/>
      <c r="G2506" s="1058"/>
      <c r="H2506" s="9" t="str">
        <f>IF(A2506="","",VLOOKUP(A2506,AA_Cuadrillas,4,FALSE))</f>
        <v/>
      </c>
      <c r="I2506" s="1059" t="str">
        <f>IF(A2506="","",VLOOKUP(A2506,AA_Cuadrillas,5,FALSE))</f>
        <v/>
      </c>
      <c r="J2506" s="1058"/>
      <c r="K2506" s="1" t="str">
        <f>IF(A2506="","",'06'!$J$3)</f>
        <v/>
      </c>
      <c r="L2506" s="10"/>
      <c r="M2506" s="1059" t="str">
        <f>IF(A2506="","",I2506*K2506*L2506)</f>
        <v/>
      </c>
      <c r="N2506" s="1058"/>
    </row>
    <row r="2507" spans="1:14" ht="12.75" customHeight="1" x14ac:dyDescent="0.25">
      <c r="A2507" s="1063"/>
      <c r="B2507" s="1057"/>
      <c r="C2507" s="1057"/>
      <c r="D2507" s="1057"/>
      <c r="E2507" s="1057"/>
      <c r="F2507" s="1057"/>
      <c r="G2507" s="1058"/>
      <c r="H2507" s="9" t="str">
        <f>IF(A2507="","",VLOOKUP(A2507,AA_Cuadrillas,4,FALSE))</f>
        <v/>
      </c>
      <c r="I2507" s="1059" t="str">
        <f>IF(A2507="","",VLOOKUP(A2507,AA_Cuadrillas,5,FALSE))</f>
        <v/>
      </c>
      <c r="J2507" s="1058"/>
      <c r="K2507" s="1" t="str">
        <f>IF(A2507="","",'06'!$J$3)</f>
        <v/>
      </c>
      <c r="L2507" s="10"/>
      <c r="M2507" s="1059" t="str">
        <f>IF(A2507="","",I2507*K2507*L2507)</f>
        <v/>
      </c>
      <c r="N2507" s="1058"/>
    </row>
    <row r="2508" spans="1:14" ht="12.75" customHeight="1" x14ac:dyDescent="0.25">
      <c r="A2508" s="3"/>
      <c r="B2508" s="3"/>
      <c r="C2508" s="3"/>
      <c r="D2508" s="3"/>
      <c r="E2508" s="3"/>
      <c r="F2508" s="3"/>
      <c r="G2508" s="3"/>
      <c r="H2508" s="3"/>
      <c r="I2508" s="3"/>
      <c r="J2508" s="3"/>
      <c r="K2508" s="1066" t="s">
        <v>201</v>
      </c>
      <c r="L2508" s="1058"/>
      <c r="M2508" s="1059">
        <f>SUM(M2503:N2507)</f>
        <v>28967.273144999999</v>
      </c>
      <c r="N2508" s="1058"/>
    </row>
    <row r="2509" spans="1:14" ht="12.75" customHeight="1" x14ac:dyDescent="0.2"/>
    <row r="2510" spans="1:14" ht="12.75" customHeight="1" x14ac:dyDescent="0.2">
      <c r="A2510" s="1072" t="s">
        <v>1724</v>
      </c>
      <c r="B2510" s="1052"/>
      <c r="C2510" s="1052"/>
      <c r="D2510" s="1052"/>
      <c r="E2510" s="1052"/>
      <c r="F2510" s="1052"/>
      <c r="G2510" s="1052"/>
      <c r="H2510" s="1052"/>
      <c r="I2510" s="1052"/>
      <c r="J2510" s="1052"/>
      <c r="K2510" s="1052"/>
      <c r="L2510" s="1052"/>
      <c r="M2510" s="1052"/>
      <c r="N2510" s="1053"/>
    </row>
    <row r="2511" spans="1:14" ht="12.75" customHeight="1" x14ac:dyDescent="0.2">
      <c r="A2511" s="1031"/>
      <c r="B2511" s="1032"/>
      <c r="C2511" s="1032"/>
      <c r="D2511" s="1032"/>
      <c r="E2511" s="1032"/>
      <c r="F2511" s="1032"/>
      <c r="G2511" s="1032"/>
      <c r="H2511" s="1032"/>
      <c r="I2511" s="1032"/>
      <c r="J2511" s="1032"/>
      <c r="K2511" s="1032"/>
      <c r="L2511" s="1032"/>
      <c r="M2511" s="1032"/>
      <c r="N2511" s="1055"/>
    </row>
    <row r="2512" spans="1:14" ht="12.75" customHeight="1" x14ac:dyDescent="0.2">
      <c r="A2512" s="16"/>
      <c r="B2512" s="16"/>
      <c r="C2512" s="16"/>
      <c r="D2512" s="16"/>
      <c r="E2512" s="16"/>
      <c r="F2512" s="16"/>
      <c r="G2512" s="16"/>
      <c r="H2512" s="16"/>
      <c r="I2512" s="16"/>
      <c r="J2512" s="16"/>
      <c r="K2512" s="16"/>
      <c r="L2512" s="16"/>
      <c r="M2512" s="16"/>
      <c r="N2512" s="16"/>
    </row>
    <row r="2513" spans="1:14" ht="12.75" customHeight="1" x14ac:dyDescent="0.3">
      <c r="A2513" s="18" t="s">
        <v>349</v>
      </c>
      <c r="B2513" s="19" t="str">
        <f>A2510</f>
        <v>PELDAÑOS EN POLIPROPILENO DE ALTO IMPACTO ALMA DE ACERO (INCLUYE INSTALACIÓN Y SUMINISTRO)</v>
      </c>
      <c r="C2513" s="20" t="s">
        <v>382</v>
      </c>
      <c r="D2513" s="21" t="s">
        <v>424</v>
      </c>
      <c r="E2513" s="22" t="s">
        <v>125</v>
      </c>
      <c r="F2513" s="26">
        <f>(H2513+J2513+L2513+N2513)*$O$2</f>
        <v>191548.38248341251</v>
      </c>
      <c r="G2513" s="22" t="s">
        <v>285</v>
      </c>
      <c r="H2513" s="26">
        <f>M2534</f>
        <v>1689.7576001250004</v>
      </c>
      <c r="I2513" s="22" t="s">
        <v>383</v>
      </c>
      <c r="J2513" s="36">
        <f>M2525</f>
        <v>111860</v>
      </c>
      <c r="K2513" s="22" t="s">
        <v>287</v>
      </c>
      <c r="L2513" s="26">
        <f>M2543</f>
        <v>0</v>
      </c>
      <c r="M2513" s="22" t="s">
        <v>288</v>
      </c>
      <c r="N2513" s="26">
        <f>M2552</f>
        <v>33795.152002500006</v>
      </c>
    </row>
    <row r="2514" spans="1:14" ht="12.75" customHeight="1" x14ac:dyDescent="0.25">
      <c r="A2514" s="27"/>
      <c r="B2514" s="27"/>
      <c r="C2514" s="27"/>
      <c r="D2514" s="27"/>
      <c r="E2514" s="27"/>
      <c r="F2514" s="27"/>
      <c r="G2514" s="27"/>
      <c r="J2514" s="27"/>
      <c r="K2514" s="27"/>
      <c r="L2514" s="27"/>
      <c r="M2514" s="27"/>
      <c r="N2514" s="27"/>
    </row>
    <row r="2515" spans="1:14" ht="12.75" customHeight="1" x14ac:dyDescent="0.2">
      <c r="A2515" s="1065" t="s">
        <v>384</v>
      </c>
      <c r="B2515" s="1057"/>
      <c r="C2515" s="1057"/>
      <c r="D2515" s="1057"/>
      <c r="E2515" s="1057"/>
      <c r="F2515" s="1057"/>
      <c r="G2515" s="1057"/>
      <c r="H2515" s="1057"/>
      <c r="I2515" s="1057"/>
      <c r="J2515" s="1057"/>
      <c r="K2515" s="1057"/>
      <c r="L2515" s="1057"/>
      <c r="M2515" s="1057"/>
      <c r="N2515" s="1058"/>
    </row>
    <row r="2516" spans="1:14" ht="12.75" customHeight="1" x14ac:dyDescent="0.2">
      <c r="A2516" s="1066" t="s">
        <v>38</v>
      </c>
      <c r="B2516" s="1057"/>
      <c r="C2516" s="1057"/>
      <c r="D2516" s="1057"/>
      <c r="E2516" s="1057"/>
      <c r="F2516" s="1057"/>
      <c r="G2516" s="1058"/>
      <c r="H2516" s="28" t="s">
        <v>39</v>
      </c>
      <c r="I2516" s="1062" t="s">
        <v>385</v>
      </c>
      <c r="J2516" s="1058"/>
      <c r="K2516" s="1062" t="s">
        <v>132</v>
      </c>
      <c r="L2516" s="1058"/>
      <c r="M2516" s="1062" t="s">
        <v>386</v>
      </c>
      <c r="N2516" s="1058"/>
    </row>
    <row r="2517" spans="1:14" ht="12.75" customHeight="1" x14ac:dyDescent="0.2">
      <c r="A2517" s="1061" t="s">
        <v>1549</v>
      </c>
      <c r="B2517" s="1057"/>
      <c r="C2517" s="1057"/>
      <c r="D2517" s="1057"/>
      <c r="E2517" s="1057"/>
      <c r="F2517" s="1057"/>
      <c r="G2517" s="1058"/>
      <c r="H2517" s="9" t="str">
        <f t="shared" ref="H2517" si="179">IF(A2517="","",VLOOKUP(A2517,AA_Materiales,7,FALSE))</f>
        <v>Unidad</v>
      </c>
      <c r="I2517" s="1059">
        <f t="shared" ref="I2517" si="180">IF(A2517="","",VLOOKUP(A2517,AA_Materiales,8,FALSE))</f>
        <v>111860</v>
      </c>
      <c r="J2517" s="1058"/>
      <c r="K2517" s="1060">
        <v>1</v>
      </c>
      <c r="L2517" s="1058"/>
      <c r="M2517" s="1059">
        <f t="shared" ref="M2517:M2524" si="181">IF(A2517="","",I2517*K2517)</f>
        <v>111860</v>
      </c>
      <c r="N2517" s="1058"/>
    </row>
    <row r="2518" spans="1:14" ht="12.75" customHeight="1" x14ac:dyDescent="0.2">
      <c r="A2518" s="1056"/>
      <c r="B2518" s="1057"/>
      <c r="C2518" s="1057"/>
      <c r="D2518" s="1057"/>
      <c r="E2518" s="1057"/>
      <c r="F2518" s="1057"/>
      <c r="G2518" s="1058"/>
      <c r="H2518" s="9" t="str">
        <f t="shared" ref="H2518:H2524" si="182">IF(A2518="","",VLOOKUP(A2518,AA_Materiales,7,FALSE))</f>
        <v/>
      </c>
      <c r="I2518" s="1059" t="str">
        <f t="shared" ref="I2518:I2524" si="183">IF(A2518="","",VLOOKUP(A2518,AA_Materiales,8,FALSE))</f>
        <v/>
      </c>
      <c r="J2518" s="1058"/>
      <c r="K2518" s="1060"/>
      <c r="L2518" s="1058"/>
      <c r="M2518" s="1059" t="str">
        <f t="shared" si="181"/>
        <v/>
      </c>
      <c r="N2518" s="1058"/>
    </row>
    <row r="2519" spans="1:14" ht="12.75" customHeight="1" x14ac:dyDescent="0.2">
      <c r="A2519" s="1056"/>
      <c r="B2519" s="1057"/>
      <c r="C2519" s="1057"/>
      <c r="D2519" s="1057"/>
      <c r="E2519" s="1057"/>
      <c r="F2519" s="1057"/>
      <c r="G2519" s="1058"/>
      <c r="H2519" s="9" t="str">
        <f t="shared" si="182"/>
        <v/>
      </c>
      <c r="I2519" s="1059" t="str">
        <f t="shared" si="183"/>
        <v/>
      </c>
      <c r="J2519" s="1058"/>
      <c r="K2519" s="1060"/>
      <c r="L2519" s="1058"/>
      <c r="M2519" s="1059" t="str">
        <f t="shared" si="181"/>
        <v/>
      </c>
      <c r="N2519" s="1058"/>
    </row>
    <row r="2520" spans="1:14" ht="12.75" customHeight="1" x14ac:dyDescent="0.2">
      <c r="A2520" s="1056"/>
      <c r="B2520" s="1057"/>
      <c r="C2520" s="1057"/>
      <c r="D2520" s="1057"/>
      <c r="E2520" s="1057"/>
      <c r="F2520" s="1057"/>
      <c r="G2520" s="1058"/>
      <c r="H2520" s="9" t="str">
        <f t="shared" si="182"/>
        <v/>
      </c>
      <c r="I2520" s="1059" t="str">
        <f t="shared" si="183"/>
        <v/>
      </c>
      <c r="J2520" s="1058"/>
      <c r="K2520" s="1060"/>
      <c r="L2520" s="1058"/>
      <c r="M2520" s="1059" t="str">
        <f t="shared" si="181"/>
        <v/>
      </c>
      <c r="N2520" s="1058"/>
    </row>
    <row r="2521" spans="1:14" ht="12.75" customHeight="1" x14ac:dyDescent="0.2">
      <c r="A2521" s="1056"/>
      <c r="B2521" s="1057"/>
      <c r="C2521" s="1057"/>
      <c r="D2521" s="1057"/>
      <c r="E2521" s="1057"/>
      <c r="F2521" s="1057"/>
      <c r="G2521" s="1058"/>
      <c r="H2521" s="9" t="str">
        <f t="shared" si="182"/>
        <v/>
      </c>
      <c r="I2521" s="1059" t="str">
        <f t="shared" si="183"/>
        <v/>
      </c>
      <c r="J2521" s="1058"/>
      <c r="K2521" s="1060"/>
      <c r="L2521" s="1058"/>
      <c r="M2521" s="1059" t="str">
        <f t="shared" si="181"/>
        <v/>
      </c>
      <c r="N2521" s="1058"/>
    </row>
    <row r="2522" spans="1:14" ht="12.75" customHeight="1" x14ac:dyDescent="0.2">
      <c r="A2522" s="1056"/>
      <c r="B2522" s="1057"/>
      <c r="C2522" s="1057"/>
      <c r="D2522" s="1057"/>
      <c r="E2522" s="1057"/>
      <c r="F2522" s="1057"/>
      <c r="G2522" s="1058"/>
      <c r="H2522" s="9" t="str">
        <f t="shared" si="182"/>
        <v/>
      </c>
      <c r="I2522" s="1059" t="str">
        <f t="shared" si="183"/>
        <v/>
      </c>
      <c r="J2522" s="1058"/>
      <c r="K2522" s="1060"/>
      <c r="L2522" s="1058"/>
      <c r="M2522" s="1059" t="str">
        <f t="shared" si="181"/>
        <v/>
      </c>
      <c r="N2522" s="1058"/>
    </row>
    <row r="2523" spans="1:14" ht="12.75" customHeight="1" x14ac:dyDescent="0.2">
      <c r="A2523" s="1056"/>
      <c r="B2523" s="1057"/>
      <c r="C2523" s="1057"/>
      <c r="D2523" s="1057"/>
      <c r="E2523" s="1057"/>
      <c r="F2523" s="1057"/>
      <c r="G2523" s="1058"/>
      <c r="H2523" s="9" t="str">
        <f t="shared" si="182"/>
        <v/>
      </c>
      <c r="I2523" s="1059" t="str">
        <f t="shared" si="183"/>
        <v/>
      </c>
      <c r="J2523" s="1058"/>
      <c r="K2523" s="1060"/>
      <c r="L2523" s="1058"/>
      <c r="M2523" s="1059" t="str">
        <f t="shared" si="181"/>
        <v/>
      </c>
      <c r="N2523" s="1058"/>
    </row>
    <row r="2524" spans="1:14" ht="12.75" customHeight="1" x14ac:dyDescent="0.2">
      <c r="A2524" s="1056"/>
      <c r="B2524" s="1057"/>
      <c r="C2524" s="1057"/>
      <c r="D2524" s="1057"/>
      <c r="E2524" s="1057"/>
      <c r="F2524" s="1057"/>
      <c r="G2524" s="1058"/>
      <c r="H2524" s="9" t="str">
        <f t="shared" si="182"/>
        <v/>
      </c>
      <c r="I2524" s="1059" t="str">
        <f t="shared" si="183"/>
        <v/>
      </c>
      <c r="J2524" s="1058"/>
      <c r="K2524" s="1060"/>
      <c r="L2524" s="1058"/>
      <c r="M2524" s="1059" t="str">
        <f t="shared" si="181"/>
        <v/>
      </c>
      <c r="N2524" s="1058"/>
    </row>
    <row r="2525" spans="1:14" ht="12.75" customHeight="1" x14ac:dyDescent="0.25">
      <c r="A2525" s="3"/>
      <c r="B2525" s="3"/>
      <c r="C2525" s="3"/>
      <c r="D2525" s="3"/>
      <c r="E2525" s="3"/>
      <c r="F2525" s="3"/>
      <c r="G2525" s="3"/>
      <c r="H2525" s="3"/>
      <c r="I2525" s="3"/>
      <c r="J2525" s="3"/>
      <c r="K2525" s="1066" t="s">
        <v>201</v>
      </c>
      <c r="L2525" s="1058"/>
      <c r="M2525" s="1059">
        <f>SUM(M2517:N2524)</f>
        <v>111860</v>
      </c>
      <c r="N2525" s="1058"/>
    </row>
    <row r="2526" spans="1:14" ht="12.75" customHeight="1" x14ac:dyDescent="0.25">
      <c r="A2526" s="3"/>
      <c r="B2526" s="3"/>
      <c r="C2526" s="3"/>
      <c r="D2526" s="3"/>
      <c r="E2526" s="3"/>
      <c r="F2526" s="3"/>
      <c r="G2526" s="3"/>
      <c r="H2526" s="3"/>
      <c r="I2526" s="3"/>
      <c r="J2526" s="3"/>
      <c r="K2526" s="3"/>
      <c r="L2526" s="3"/>
      <c r="M2526" s="3"/>
      <c r="N2526" s="3"/>
    </row>
    <row r="2527" spans="1:14" ht="12.75" customHeight="1" x14ac:dyDescent="0.2">
      <c r="A2527" s="1065" t="s">
        <v>390</v>
      </c>
      <c r="B2527" s="1057"/>
      <c r="C2527" s="1057"/>
      <c r="D2527" s="1057"/>
      <c r="E2527" s="1057"/>
      <c r="F2527" s="1057"/>
      <c r="G2527" s="1057"/>
      <c r="H2527" s="1057"/>
      <c r="I2527" s="1057"/>
      <c r="J2527" s="1057"/>
      <c r="K2527" s="1057"/>
      <c r="L2527" s="1057"/>
      <c r="M2527" s="1057"/>
      <c r="N2527" s="1058"/>
    </row>
    <row r="2528" spans="1:14" ht="12.75" customHeight="1" x14ac:dyDescent="0.2">
      <c r="A2528" s="1066" t="s">
        <v>38</v>
      </c>
      <c r="B2528" s="1057"/>
      <c r="C2528" s="1057"/>
      <c r="D2528" s="1057"/>
      <c r="E2528" s="1057"/>
      <c r="F2528" s="1057"/>
      <c r="G2528" s="1058"/>
      <c r="H2528" s="28" t="s">
        <v>39</v>
      </c>
      <c r="I2528" s="1062" t="s">
        <v>385</v>
      </c>
      <c r="J2528" s="1058"/>
      <c r="K2528" s="1062" t="s">
        <v>132</v>
      </c>
      <c r="L2528" s="1058"/>
      <c r="M2528" s="1062" t="s">
        <v>386</v>
      </c>
      <c r="N2528" s="1058"/>
    </row>
    <row r="2529" spans="1:15" ht="12.75" customHeight="1" x14ac:dyDescent="0.2">
      <c r="A2529" s="1061" t="s">
        <v>391</v>
      </c>
      <c r="B2529" s="1057"/>
      <c r="C2529" s="1057"/>
      <c r="D2529" s="1057"/>
      <c r="E2529" s="1057"/>
      <c r="F2529" s="1057"/>
      <c r="G2529" s="1058"/>
      <c r="H2529" s="9" t="str">
        <f>IF(A2529="","",VLOOKUP(A2529,AA_Equipos,7,FALSE))</f>
        <v>% M.O.</v>
      </c>
      <c r="I2529" s="1059">
        <f>+M2552</f>
        <v>33795.152002500006</v>
      </c>
      <c r="J2529" s="1058"/>
      <c r="K2529" s="1064">
        <v>0.05</v>
      </c>
      <c r="L2529" s="1058"/>
      <c r="M2529" s="1059">
        <f>IF(A2529="","",I2529*K2529)</f>
        <v>1689.7576001250004</v>
      </c>
      <c r="N2529" s="1058"/>
    </row>
    <row r="2530" spans="1:15" ht="12.75" customHeight="1" x14ac:dyDescent="0.2">
      <c r="A2530" s="1056"/>
      <c r="B2530" s="1057"/>
      <c r="C2530" s="1057"/>
      <c r="D2530" s="1057"/>
      <c r="E2530" s="1057"/>
      <c r="F2530" s="1057"/>
      <c r="G2530" s="1058"/>
      <c r="H2530" s="9" t="str">
        <f>IF(A2530="","",VLOOKUP(A2530,AA_Equipos,7,FALSE))</f>
        <v/>
      </c>
      <c r="I2530" s="1059" t="str">
        <f>IF(A2530="","",VLOOKUP(A2530,AA_Equipos,8,FALSE))</f>
        <v/>
      </c>
      <c r="J2530" s="1058"/>
      <c r="K2530" s="1067"/>
      <c r="L2530" s="1058"/>
      <c r="M2530" s="1059" t="str">
        <f>IF(A2530="","",I2530*K2530)</f>
        <v/>
      </c>
      <c r="N2530" s="1058"/>
    </row>
    <row r="2531" spans="1:15" ht="12.75" customHeight="1" x14ac:dyDescent="0.2">
      <c r="A2531" s="1061"/>
      <c r="B2531" s="1057"/>
      <c r="C2531" s="1057"/>
      <c r="D2531" s="1057"/>
      <c r="E2531" s="1057"/>
      <c r="F2531" s="1057"/>
      <c r="G2531" s="1058"/>
      <c r="H2531" s="9" t="str">
        <f>IF(A2531="","",VLOOKUP(A2531,AA_Equipos,7,FALSE))</f>
        <v/>
      </c>
      <c r="I2531" s="1059" t="str">
        <f>IF(A2531="","",VLOOKUP(A2531,AA_Equipos,8,FALSE))</f>
        <v/>
      </c>
      <c r="J2531" s="1058"/>
      <c r="K2531" s="1070"/>
      <c r="L2531" s="1058"/>
      <c r="M2531" s="1059" t="str">
        <f>IF(A2531="","",I2531*K2531)</f>
        <v/>
      </c>
      <c r="N2531" s="1058"/>
    </row>
    <row r="2532" spans="1:15" ht="12.75" customHeight="1" x14ac:dyDescent="0.2">
      <c r="A2532" s="1061"/>
      <c r="B2532" s="1057"/>
      <c r="C2532" s="1057"/>
      <c r="D2532" s="1057"/>
      <c r="E2532" s="1057"/>
      <c r="F2532" s="1057"/>
      <c r="G2532" s="1058"/>
      <c r="H2532" s="9" t="str">
        <f>IF(A2532="","",VLOOKUP(A2532,AA_Equipos,7,FALSE))</f>
        <v/>
      </c>
      <c r="I2532" s="1059" t="str">
        <f>IF(A2532="","",VLOOKUP(A2532,AA_Equipos,8,FALSE))</f>
        <v/>
      </c>
      <c r="J2532" s="1058"/>
      <c r="K2532" s="1060"/>
      <c r="L2532" s="1058"/>
      <c r="M2532" s="1059" t="str">
        <f>IF(A2532="","",I2532*K2532)</f>
        <v/>
      </c>
      <c r="N2532" s="1058"/>
    </row>
    <row r="2533" spans="1:15" ht="12.75" customHeight="1" x14ac:dyDescent="0.2">
      <c r="A2533" s="1061"/>
      <c r="B2533" s="1057"/>
      <c r="C2533" s="1057"/>
      <c r="D2533" s="1057"/>
      <c r="E2533" s="1057"/>
      <c r="F2533" s="1057"/>
      <c r="G2533" s="1058"/>
      <c r="H2533" s="9" t="str">
        <f>IF(A2533="","",VLOOKUP(A2533,AA_Equipos,7,FALSE))</f>
        <v/>
      </c>
      <c r="I2533" s="1059" t="str">
        <f>IF(A2533="","",VLOOKUP(A2533,AA_Equipos,8,FALSE))</f>
        <v/>
      </c>
      <c r="J2533" s="1058"/>
      <c r="K2533" s="1060"/>
      <c r="L2533" s="1058"/>
      <c r="M2533" s="1059" t="str">
        <f>IF(A2533="","",I2533*K2533)</f>
        <v/>
      </c>
      <c r="N2533" s="1058"/>
      <c r="O2533" s="7"/>
    </row>
    <row r="2534" spans="1:15" ht="12.75" customHeight="1" x14ac:dyDescent="0.25">
      <c r="A2534" s="3"/>
      <c r="B2534" s="3"/>
      <c r="C2534" s="3"/>
      <c r="D2534" s="3"/>
      <c r="E2534" s="3"/>
      <c r="F2534" s="3"/>
      <c r="G2534" s="3"/>
      <c r="H2534" s="3"/>
      <c r="I2534" s="3"/>
      <c r="J2534" s="3"/>
      <c r="K2534" s="1066" t="s">
        <v>201</v>
      </c>
      <c r="L2534" s="1058"/>
      <c r="M2534" s="1059">
        <f>SUM(M2529:N2533)</f>
        <v>1689.7576001250004</v>
      </c>
      <c r="N2534" s="1058"/>
      <c r="O2534" s="7"/>
    </row>
    <row r="2535" spans="1:15" ht="12.75" customHeight="1" x14ac:dyDescent="0.25">
      <c r="A2535" s="3"/>
      <c r="B2535" s="3"/>
      <c r="C2535" s="3"/>
      <c r="D2535" s="3"/>
      <c r="E2535" s="3"/>
      <c r="F2535" s="3"/>
      <c r="G2535" s="3"/>
      <c r="H2535" s="3"/>
      <c r="I2535" s="3"/>
      <c r="J2535" s="3"/>
      <c r="K2535" s="3"/>
      <c r="L2535" s="3"/>
      <c r="M2535" s="3"/>
      <c r="N2535" s="3"/>
    </row>
    <row r="2536" spans="1:15" ht="12.75" customHeight="1" x14ac:dyDescent="0.2">
      <c r="A2536" s="1065" t="s">
        <v>392</v>
      </c>
      <c r="B2536" s="1057"/>
      <c r="C2536" s="1057"/>
      <c r="D2536" s="1057"/>
      <c r="E2536" s="1057"/>
      <c r="F2536" s="1057"/>
      <c r="G2536" s="1057"/>
      <c r="H2536" s="1057"/>
      <c r="I2536" s="1057"/>
      <c r="J2536" s="1057"/>
      <c r="K2536" s="1057"/>
      <c r="L2536" s="1057"/>
      <c r="M2536" s="1057"/>
      <c r="N2536" s="1058"/>
    </row>
    <row r="2537" spans="1:15" ht="12.75" customHeight="1" x14ac:dyDescent="0.2">
      <c r="A2537" s="1066" t="s">
        <v>38</v>
      </c>
      <c r="B2537" s="1057"/>
      <c r="C2537" s="1057"/>
      <c r="D2537" s="1057"/>
      <c r="E2537" s="1057"/>
      <c r="F2537" s="1057"/>
      <c r="G2537" s="1058"/>
      <c r="H2537" s="28" t="s">
        <v>39</v>
      </c>
      <c r="I2537" s="1062" t="s">
        <v>385</v>
      </c>
      <c r="J2537" s="1058"/>
      <c r="K2537" s="1062" t="s">
        <v>132</v>
      </c>
      <c r="L2537" s="1058"/>
      <c r="M2537" s="1062" t="s">
        <v>386</v>
      </c>
      <c r="N2537" s="1058"/>
    </row>
    <row r="2538" spans="1:15" ht="12.75" customHeight="1" x14ac:dyDescent="0.2">
      <c r="A2538" s="1061"/>
      <c r="B2538" s="1057"/>
      <c r="C2538" s="1057"/>
      <c r="D2538" s="1057"/>
      <c r="E2538" s="1057"/>
      <c r="F2538" s="1057"/>
      <c r="G2538" s="1058"/>
      <c r="H2538" s="9"/>
      <c r="I2538" s="1059"/>
      <c r="J2538" s="1058"/>
      <c r="K2538" s="1064"/>
      <c r="L2538" s="1058"/>
      <c r="M2538" s="1059" t="str">
        <f>IF(A2538="","",I2538*K2538)</f>
        <v/>
      </c>
      <c r="N2538" s="1058"/>
    </row>
    <row r="2539" spans="1:15" ht="12.75" customHeight="1" x14ac:dyDescent="0.2">
      <c r="A2539" s="1056"/>
      <c r="B2539" s="1057"/>
      <c r="C2539" s="1057"/>
      <c r="D2539" s="1057"/>
      <c r="E2539" s="1057"/>
      <c r="F2539" s="1057"/>
      <c r="G2539" s="1058"/>
      <c r="H2539" s="9"/>
      <c r="I2539" s="1059"/>
      <c r="J2539" s="1058"/>
      <c r="K2539" s="1064"/>
      <c r="L2539" s="1058"/>
      <c r="M2539" s="1059" t="str">
        <f>IF(A2539="","",I2539*K2539)</f>
        <v/>
      </c>
      <c r="N2539" s="1058"/>
    </row>
    <row r="2540" spans="1:15" ht="12.75" customHeight="1" x14ac:dyDescent="0.2">
      <c r="A2540" s="1061"/>
      <c r="B2540" s="1057"/>
      <c r="C2540" s="1057"/>
      <c r="D2540" s="1057"/>
      <c r="E2540" s="1057"/>
      <c r="F2540" s="1057"/>
      <c r="G2540" s="1058"/>
      <c r="H2540" s="9"/>
      <c r="I2540" s="1059"/>
      <c r="J2540" s="1058"/>
      <c r="K2540" s="1060"/>
      <c r="L2540" s="1058"/>
      <c r="M2540" s="1059" t="str">
        <f>IF(A2540="","",I2540*K2540)</f>
        <v/>
      </c>
      <c r="N2540" s="1058"/>
    </row>
    <row r="2541" spans="1:15" ht="12.75" customHeight="1" x14ac:dyDescent="0.2">
      <c r="A2541" s="1061"/>
      <c r="B2541" s="1057"/>
      <c r="C2541" s="1057"/>
      <c r="D2541" s="1057"/>
      <c r="E2541" s="1057"/>
      <c r="F2541" s="1057"/>
      <c r="G2541" s="1058"/>
      <c r="H2541" s="9"/>
      <c r="I2541" s="1059"/>
      <c r="J2541" s="1058"/>
      <c r="K2541" s="1060"/>
      <c r="L2541" s="1058"/>
      <c r="M2541" s="1059" t="str">
        <f>IF(A2541="","",I2541*K2541)</f>
        <v/>
      </c>
      <c r="N2541" s="1058"/>
    </row>
    <row r="2542" spans="1:15" ht="12.75" customHeight="1" x14ac:dyDescent="0.2">
      <c r="A2542" s="1061"/>
      <c r="B2542" s="1057"/>
      <c r="C2542" s="1057"/>
      <c r="D2542" s="1057"/>
      <c r="E2542" s="1057"/>
      <c r="F2542" s="1057"/>
      <c r="G2542" s="1058"/>
      <c r="H2542" s="9"/>
      <c r="I2542" s="1059"/>
      <c r="J2542" s="1058"/>
      <c r="K2542" s="1060"/>
      <c r="L2542" s="1058"/>
      <c r="M2542" s="1059" t="str">
        <f>IF(A2542="","",I2542*K2542)</f>
        <v/>
      </c>
      <c r="N2542" s="1058"/>
    </row>
    <row r="2543" spans="1:15" ht="12.75" customHeight="1" x14ac:dyDescent="0.25">
      <c r="A2543" s="3"/>
      <c r="B2543" s="3"/>
      <c r="C2543" s="3"/>
      <c r="D2543" s="3"/>
      <c r="E2543" s="3"/>
      <c r="F2543" s="3"/>
      <c r="G2543" s="3"/>
      <c r="H2543" s="3"/>
      <c r="I2543" s="3"/>
      <c r="J2543" s="3"/>
      <c r="K2543" s="1066" t="s">
        <v>201</v>
      </c>
      <c r="L2543" s="1058"/>
      <c r="M2543" s="1059">
        <f>SUM(M2538:N2542)</f>
        <v>0</v>
      </c>
      <c r="N2543" s="1058"/>
    </row>
    <row r="2544" spans="1:15" ht="12.75" customHeight="1" x14ac:dyDescent="0.25">
      <c r="A2544" s="3"/>
      <c r="B2544" s="3"/>
      <c r="C2544" s="3"/>
      <c r="D2544" s="3"/>
      <c r="E2544" s="3"/>
      <c r="F2544" s="3"/>
      <c r="G2544" s="3"/>
      <c r="H2544" s="3"/>
      <c r="I2544" s="3"/>
      <c r="J2544" s="3"/>
      <c r="K2544" s="3"/>
      <c r="L2544" s="3"/>
      <c r="M2544" s="3"/>
      <c r="N2544" s="3"/>
    </row>
    <row r="2545" spans="1:14" ht="12.75" customHeight="1" x14ac:dyDescent="0.2">
      <c r="A2545" s="1065" t="s">
        <v>394</v>
      </c>
      <c r="B2545" s="1057"/>
      <c r="C2545" s="1057"/>
      <c r="D2545" s="1057"/>
      <c r="E2545" s="1057"/>
      <c r="F2545" s="1057"/>
      <c r="G2545" s="1057"/>
      <c r="H2545" s="1057"/>
      <c r="I2545" s="1057"/>
      <c r="J2545" s="1057"/>
      <c r="K2545" s="1057"/>
      <c r="L2545" s="1057"/>
      <c r="M2545" s="1057"/>
      <c r="N2545" s="1058"/>
    </row>
    <row r="2546" spans="1:14" ht="12.75" customHeight="1" x14ac:dyDescent="0.2">
      <c r="A2546" s="1066" t="s">
        <v>38</v>
      </c>
      <c r="B2546" s="1057"/>
      <c r="C2546" s="1057"/>
      <c r="D2546" s="1057"/>
      <c r="E2546" s="1057"/>
      <c r="F2546" s="1057"/>
      <c r="G2546" s="1058"/>
      <c r="H2546" s="28" t="s">
        <v>39</v>
      </c>
      <c r="I2546" s="1062" t="s">
        <v>385</v>
      </c>
      <c r="J2546" s="1058"/>
      <c r="K2546" s="30" t="s">
        <v>193</v>
      </c>
      <c r="L2546" s="31" t="s">
        <v>395</v>
      </c>
      <c r="M2546" s="1062" t="s">
        <v>386</v>
      </c>
      <c r="N2546" s="1058"/>
    </row>
    <row r="2547" spans="1:14" ht="12.75" customHeight="1" x14ac:dyDescent="0.25">
      <c r="A2547" s="1063" t="s">
        <v>418</v>
      </c>
      <c r="B2547" s="1057"/>
      <c r="C2547" s="1057"/>
      <c r="D2547" s="1057"/>
      <c r="E2547" s="1057"/>
      <c r="F2547" s="1057"/>
      <c r="G2547" s="1058"/>
      <c r="H2547" s="9" t="str">
        <f>IF(A2547="","",VLOOKUP(A2547,AA_Cuadrillas,4,FALSE))</f>
        <v>Cuadrilla</v>
      </c>
      <c r="I2547" s="1059">
        <f>IF(A2547="","",VLOOKUP(A2547,AA_Cuadrillas,5,FALSE))</f>
        <v>280145</v>
      </c>
      <c r="J2547" s="1058"/>
      <c r="K2547" s="1">
        <f>IF(A2547="","",'06'!$J$3)</f>
        <v>1.7233500000000002</v>
      </c>
      <c r="L2547" s="37">
        <v>7.0000000000000007E-2</v>
      </c>
      <c r="M2547" s="1059">
        <f>IF(A2547="","",I2547*K2547*L2547)</f>
        <v>33795.152002500006</v>
      </c>
      <c r="N2547" s="1058"/>
    </row>
    <row r="2548" spans="1:14" ht="12.75" customHeight="1" x14ac:dyDescent="0.25">
      <c r="A2548" s="1063"/>
      <c r="B2548" s="1057"/>
      <c r="C2548" s="1057"/>
      <c r="D2548" s="1057"/>
      <c r="E2548" s="1057"/>
      <c r="F2548" s="1057"/>
      <c r="G2548" s="1058"/>
      <c r="H2548" s="9" t="str">
        <f>IF(A2548="","",VLOOKUP(A2548,AA_Cuadrillas,4,FALSE))</f>
        <v/>
      </c>
      <c r="I2548" s="1059" t="str">
        <f>IF(A2548="","",VLOOKUP(A2548,AA_Cuadrillas,5,FALSE))</f>
        <v/>
      </c>
      <c r="J2548" s="1058"/>
      <c r="K2548" s="1" t="str">
        <f>IF(A2548="","",'06'!$J$3)</f>
        <v/>
      </c>
      <c r="L2548" s="1"/>
      <c r="M2548" s="1059" t="str">
        <f>IF(A2548="","",I2548*K2548*L2548)</f>
        <v/>
      </c>
      <c r="N2548" s="1058"/>
    </row>
    <row r="2549" spans="1:14" ht="12.75" customHeight="1" x14ac:dyDescent="0.25">
      <c r="A2549" s="1063"/>
      <c r="B2549" s="1057"/>
      <c r="C2549" s="1057"/>
      <c r="D2549" s="1057"/>
      <c r="E2549" s="1057"/>
      <c r="F2549" s="1057"/>
      <c r="G2549" s="1058"/>
      <c r="H2549" s="9" t="str">
        <f>IF(A2549="","",VLOOKUP(A2549,AA_Cuadrillas,4,FALSE))</f>
        <v/>
      </c>
      <c r="I2549" s="1059" t="str">
        <f>IF(A2549="","",VLOOKUP(A2549,AA_Cuadrillas,5,FALSE))</f>
        <v/>
      </c>
      <c r="J2549" s="1058"/>
      <c r="K2549" s="1" t="str">
        <f>IF(A2549="","",'06'!$J$3)</f>
        <v/>
      </c>
      <c r="L2549" s="10"/>
      <c r="M2549" s="1059" t="str">
        <f>IF(A2549="","",I2549*K2549*L2549)</f>
        <v/>
      </c>
      <c r="N2549" s="1058"/>
    </row>
    <row r="2550" spans="1:14" ht="12.75" customHeight="1" x14ac:dyDescent="0.25">
      <c r="A2550" s="1063"/>
      <c r="B2550" s="1057"/>
      <c r="C2550" s="1057"/>
      <c r="D2550" s="1057"/>
      <c r="E2550" s="1057"/>
      <c r="F2550" s="1057"/>
      <c r="G2550" s="1058"/>
      <c r="H2550" s="9" t="str">
        <f>IF(A2550="","",VLOOKUP(A2550,AA_Cuadrillas,4,FALSE))</f>
        <v/>
      </c>
      <c r="I2550" s="1059" t="str">
        <f>IF(A2550="","",VLOOKUP(A2550,AA_Cuadrillas,5,FALSE))</f>
        <v/>
      </c>
      <c r="J2550" s="1058"/>
      <c r="K2550" s="1" t="str">
        <f>IF(A2550="","",'06'!$J$3)</f>
        <v/>
      </c>
      <c r="L2550" s="10"/>
      <c r="M2550" s="1059" t="str">
        <f>IF(A2550="","",I2550*K2550*L2550)</f>
        <v/>
      </c>
      <c r="N2550" s="1058"/>
    </row>
    <row r="2551" spans="1:14" ht="12.75" customHeight="1" x14ac:dyDescent="0.25">
      <c r="A2551" s="1063"/>
      <c r="B2551" s="1057"/>
      <c r="C2551" s="1057"/>
      <c r="D2551" s="1057"/>
      <c r="E2551" s="1057"/>
      <c r="F2551" s="1057"/>
      <c r="G2551" s="1058"/>
      <c r="H2551" s="9" t="str">
        <f>IF(A2551="","",VLOOKUP(A2551,AA_Cuadrillas,4,FALSE))</f>
        <v/>
      </c>
      <c r="I2551" s="1059" t="str">
        <f>IF(A2551="","",VLOOKUP(A2551,AA_Cuadrillas,5,FALSE))</f>
        <v/>
      </c>
      <c r="J2551" s="1058"/>
      <c r="K2551" s="1" t="str">
        <f>IF(A2551="","",'06'!$J$3)</f>
        <v/>
      </c>
      <c r="L2551" s="10"/>
      <c r="M2551" s="1059" t="str">
        <f>IF(A2551="","",I2551*K2551*L2551)</f>
        <v/>
      </c>
      <c r="N2551" s="1058"/>
    </row>
    <row r="2552" spans="1:14" ht="12.75" customHeight="1" x14ac:dyDescent="0.25">
      <c r="A2552" s="3"/>
      <c r="B2552" s="3"/>
      <c r="C2552" s="3"/>
      <c r="D2552" s="3"/>
      <c r="E2552" s="3"/>
      <c r="F2552" s="3"/>
      <c r="G2552" s="3"/>
      <c r="H2552" s="3"/>
      <c r="I2552" s="3"/>
      <c r="J2552" s="3"/>
      <c r="K2552" s="1066" t="s">
        <v>201</v>
      </c>
      <c r="L2552" s="1058"/>
      <c r="M2552" s="1059">
        <f>SUM(M2547:N2551)</f>
        <v>33795.152002500006</v>
      </c>
      <c r="N2552" s="1058"/>
    </row>
    <row r="2553" spans="1:14" ht="12.75" customHeight="1" x14ac:dyDescent="0.2"/>
    <row r="2554" spans="1:14" ht="12.75" customHeight="1" x14ac:dyDescent="0.2">
      <c r="A2554" s="1072" t="s">
        <v>1725</v>
      </c>
      <c r="B2554" s="1052"/>
      <c r="C2554" s="1052"/>
      <c r="D2554" s="1052"/>
      <c r="E2554" s="1052"/>
      <c r="F2554" s="1052"/>
      <c r="G2554" s="1052"/>
      <c r="H2554" s="1052"/>
      <c r="I2554" s="1052"/>
      <c r="J2554" s="1052"/>
      <c r="K2554" s="1052"/>
      <c r="L2554" s="1052"/>
      <c r="M2554" s="1052"/>
      <c r="N2554" s="1053"/>
    </row>
    <row r="2555" spans="1:14" ht="12.75" customHeight="1" x14ac:dyDescent="0.2">
      <c r="A2555" s="1031"/>
      <c r="B2555" s="1032"/>
      <c r="C2555" s="1032"/>
      <c r="D2555" s="1032"/>
      <c r="E2555" s="1032"/>
      <c r="F2555" s="1032"/>
      <c r="G2555" s="1032"/>
      <c r="H2555" s="1032"/>
      <c r="I2555" s="1032"/>
      <c r="J2555" s="1032"/>
      <c r="K2555" s="1032"/>
      <c r="L2555" s="1032"/>
      <c r="M2555" s="1032"/>
      <c r="N2555" s="1055"/>
    </row>
    <row r="2556" spans="1:14" ht="12.75" customHeight="1" x14ac:dyDescent="0.2">
      <c r="A2556" s="16"/>
      <c r="B2556" s="16"/>
      <c r="C2556" s="16"/>
      <c r="D2556" s="16"/>
      <c r="E2556" s="16"/>
      <c r="F2556" s="16"/>
      <c r="G2556" s="16"/>
      <c r="H2556" s="16"/>
      <c r="I2556" s="16"/>
      <c r="J2556" s="16"/>
      <c r="K2556" s="16"/>
      <c r="L2556" s="16"/>
      <c r="M2556" s="16"/>
      <c r="N2556" s="16"/>
    </row>
    <row r="2557" spans="1:14" ht="12.75" customHeight="1" x14ac:dyDescent="0.3">
      <c r="A2557" s="18" t="s">
        <v>350</v>
      </c>
      <c r="B2557" s="19" t="str">
        <f>A2554</f>
        <v>TAPA DE INSPECCIÓN EN ALFAJOR 80X80 (INCLUYE INSTALACIÓN Y SUMINISTRO)</v>
      </c>
      <c r="C2557" s="20" t="s">
        <v>382</v>
      </c>
      <c r="D2557" s="21" t="s">
        <v>424</v>
      </c>
      <c r="E2557" s="22" t="s">
        <v>125</v>
      </c>
      <c r="F2557" s="26">
        <f>(H2557+J2557+L2557+N2557)*$O$2</f>
        <v>189227.88248341251</v>
      </c>
      <c r="G2557" s="22" t="s">
        <v>285</v>
      </c>
      <c r="H2557" s="26">
        <f>M2578</f>
        <v>1689.7576001250004</v>
      </c>
      <c r="I2557" s="22" t="s">
        <v>383</v>
      </c>
      <c r="J2557" s="36">
        <f>M2569</f>
        <v>110075</v>
      </c>
      <c r="K2557" s="22" t="s">
        <v>287</v>
      </c>
      <c r="L2557" s="26">
        <f>M2587</f>
        <v>0</v>
      </c>
      <c r="M2557" s="22" t="s">
        <v>288</v>
      </c>
      <c r="N2557" s="26">
        <f>M2596</f>
        <v>33795.152002500006</v>
      </c>
    </row>
    <row r="2558" spans="1:14" ht="12.75" customHeight="1" x14ac:dyDescent="0.25">
      <c r="A2558" s="27"/>
      <c r="B2558" s="27"/>
      <c r="C2558" s="27"/>
      <c r="D2558" s="27"/>
      <c r="E2558" s="27"/>
      <c r="F2558" s="27"/>
      <c r="G2558" s="27"/>
      <c r="J2558" s="27"/>
      <c r="K2558" s="27"/>
      <c r="L2558" s="27"/>
      <c r="M2558" s="27"/>
      <c r="N2558" s="27"/>
    </row>
    <row r="2559" spans="1:14" ht="12.75" customHeight="1" x14ac:dyDescent="0.2">
      <c r="A2559" s="1065" t="s">
        <v>384</v>
      </c>
      <c r="B2559" s="1057"/>
      <c r="C2559" s="1057"/>
      <c r="D2559" s="1057"/>
      <c r="E2559" s="1057"/>
      <c r="F2559" s="1057"/>
      <c r="G2559" s="1057"/>
      <c r="H2559" s="1057"/>
      <c r="I2559" s="1057"/>
      <c r="J2559" s="1057"/>
      <c r="K2559" s="1057"/>
      <c r="L2559" s="1057"/>
      <c r="M2559" s="1057"/>
      <c r="N2559" s="1058"/>
    </row>
    <row r="2560" spans="1:14" ht="12.75" customHeight="1" x14ac:dyDescent="0.2">
      <c r="A2560" s="1066" t="s">
        <v>38</v>
      </c>
      <c r="B2560" s="1057"/>
      <c r="C2560" s="1057"/>
      <c r="D2560" s="1057"/>
      <c r="E2560" s="1057"/>
      <c r="F2560" s="1057"/>
      <c r="G2560" s="1058"/>
      <c r="H2560" s="28" t="s">
        <v>39</v>
      </c>
      <c r="I2560" s="1062" t="s">
        <v>385</v>
      </c>
      <c r="J2560" s="1058"/>
      <c r="K2560" s="1062" t="s">
        <v>132</v>
      </c>
      <c r="L2560" s="1058"/>
      <c r="M2560" s="1062" t="s">
        <v>386</v>
      </c>
      <c r="N2560" s="1058"/>
    </row>
    <row r="2561" spans="1:14" ht="12.75" customHeight="1" x14ac:dyDescent="0.2">
      <c r="A2561" s="1061" t="s">
        <v>1563</v>
      </c>
      <c r="B2561" s="1057"/>
      <c r="C2561" s="1057"/>
      <c r="D2561" s="1057"/>
      <c r="E2561" s="1057"/>
      <c r="F2561" s="1057"/>
      <c r="G2561" s="1058"/>
      <c r="H2561" s="9" t="str">
        <f t="shared" ref="H2561" si="184">IF(A2561="","",VLOOKUP(A2561,AA_Materiales,7,FALSE))</f>
        <v>Unidad</v>
      </c>
      <c r="I2561" s="1059">
        <f t="shared" ref="I2561" si="185">IF(A2561="","",VLOOKUP(A2561,AA_Materiales,8,FALSE))</f>
        <v>110075</v>
      </c>
      <c r="J2561" s="1058"/>
      <c r="K2561" s="1060">
        <v>1</v>
      </c>
      <c r="L2561" s="1058"/>
      <c r="M2561" s="1059">
        <f t="shared" ref="M2561:M2568" si="186">IF(A2561="","",I2561*K2561)</f>
        <v>110075</v>
      </c>
      <c r="N2561" s="1058"/>
    </row>
    <row r="2562" spans="1:14" ht="12.75" customHeight="1" x14ac:dyDescent="0.2">
      <c r="A2562" s="1056"/>
      <c r="B2562" s="1057"/>
      <c r="C2562" s="1057"/>
      <c r="D2562" s="1057"/>
      <c r="E2562" s="1057"/>
      <c r="F2562" s="1057"/>
      <c r="G2562" s="1058"/>
      <c r="H2562" s="9" t="str">
        <f t="shared" ref="H2562:H2568" si="187">IF(A2562="","",VLOOKUP(A2562,AA_Materiales,7,FALSE))</f>
        <v/>
      </c>
      <c r="I2562" s="1059" t="str">
        <f t="shared" ref="I2562:I2568" si="188">IF(A2562="","",VLOOKUP(A2562,AA_Materiales,8,FALSE))</f>
        <v/>
      </c>
      <c r="J2562" s="1058"/>
      <c r="K2562" s="1060"/>
      <c r="L2562" s="1058"/>
      <c r="M2562" s="1059" t="str">
        <f t="shared" si="186"/>
        <v/>
      </c>
      <c r="N2562" s="1058"/>
    </row>
    <row r="2563" spans="1:14" ht="12.75" customHeight="1" x14ac:dyDescent="0.2">
      <c r="A2563" s="1056"/>
      <c r="B2563" s="1057"/>
      <c r="C2563" s="1057"/>
      <c r="D2563" s="1057"/>
      <c r="E2563" s="1057"/>
      <c r="F2563" s="1057"/>
      <c r="G2563" s="1058"/>
      <c r="H2563" s="9" t="str">
        <f t="shared" si="187"/>
        <v/>
      </c>
      <c r="I2563" s="1059" t="str">
        <f t="shared" si="188"/>
        <v/>
      </c>
      <c r="J2563" s="1058"/>
      <c r="K2563" s="1060"/>
      <c r="L2563" s="1058"/>
      <c r="M2563" s="1059" t="str">
        <f t="shared" si="186"/>
        <v/>
      </c>
      <c r="N2563" s="1058"/>
    </row>
    <row r="2564" spans="1:14" ht="12.75" customHeight="1" x14ac:dyDescent="0.2">
      <c r="A2564" s="1056"/>
      <c r="B2564" s="1057"/>
      <c r="C2564" s="1057"/>
      <c r="D2564" s="1057"/>
      <c r="E2564" s="1057"/>
      <c r="F2564" s="1057"/>
      <c r="G2564" s="1058"/>
      <c r="H2564" s="9" t="str">
        <f t="shared" si="187"/>
        <v/>
      </c>
      <c r="I2564" s="1059" t="str">
        <f t="shared" si="188"/>
        <v/>
      </c>
      <c r="J2564" s="1058"/>
      <c r="K2564" s="1060"/>
      <c r="L2564" s="1058"/>
      <c r="M2564" s="1059" t="str">
        <f t="shared" si="186"/>
        <v/>
      </c>
      <c r="N2564" s="1058"/>
    </row>
    <row r="2565" spans="1:14" ht="12.75" customHeight="1" x14ac:dyDescent="0.2">
      <c r="A2565" s="1056"/>
      <c r="B2565" s="1057"/>
      <c r="C2565" s="1057"/>
      <c r="D2565" s="1057"/>
      <c r="E2565" s="1057"/>
      <c r="F2565" s="1057"/>
      <c r="G2565" s="1058"/>
      <c r="H2565" s="9" t="str">
        <f t="shared" si="187"/>
        <v/>
      </c>
      <c r="I2565" s="1059" t="str">
        <f t="shared" si="188"/>
        <v/>
      </c>
      <c r="J2565" s="1058"/>
      <c r="K2565" s="1060"/>
      <c r="L2565" s="1058"/>
      <c r="M2565" s="1059" t="str">
        <f t="shared" si="186"/>
        <v/>
      </c>
      <c r="N2565" s="1058"/>
    </row>
    <row r="2566" spans="1:14" ht="12.75" customHeight="1" x14ac:dyDescent="0.2">
      <c r="A2566" s="1056"/>
      <c r="B2566" s="1057"/>
      <c r="C2566" s="1057"/>
      <c r="D2566" s="1057"/>
      <c r="E2566" s="1057"/>
      <c r="F2566" s="1057"/>
      <c r="G2566" s="1058"/>
      <c r="H2566" s="9" t="str">
        <f t="shared" si="187"/>
        <v/>
      </c>
      <c r="I2566" s="1059" t="str">
        <f t="shared" si="188"/>
        <v/>
      </c>
      <c r="J2566" s="1058"/>
      <c r="K2566" s="1060"/>
      <c r="L2566" s="1058"/>
      <c r="M2566" s="1059" t="str">
        <f t="shared" si="186"/>
        <v/>
      </c>
      <c r="N2566" s="1058"/>
    </row>
    <row r="2567" spans="1:14" ht="12.75" customHeight="1" x14ac:dyDescent="0.2">
      <c r="A2567" s="1056"/>
      <c r="B2567" s="1057"/>
      <c r="C2567" s="1057"/>
      <c r="D2567" s="1057"/>
      <c r="E2567" s="1057"/>
      <c r="F2567" s="1057"/>
      <c r="G2567" s="1058"/>
      <c r="H2567" s="9" t="str">
        <f t="shared" si="187"/>
        <v/>
      </c>
      <c r="I2567" s="1059" t="str">
        <f t="shared" si="188"/>
        <v/>
      </c>
      <c r="J2567" s="1058"/>
      <c r="K2567" s="1060"/>
      <c r="L2567" s="1058"/>
      <c r="M2567" s="1059" t="str">
        <f t="shared" si="186"/>
        <v/>
      </c>
      <c r="N2567" s="1058"/>
    </row>
    <row r="2568" spans="1:14" ht="12.75" customHeight="1" x14ac:dyDescent="0.2">
      <c r="A2568" s="1056"/>
      <c r="B2568" s="1057"/>
      <c r="C2568" s="1057"/>
      <c r="D2568" s="1057"/>
      <c r="E2568" s="1057"/>
      <c r="F2568" s="1057"/>
      <c r="G2568" s="1058"/>
      <c r="H2568" s="9" t="str">
        <f t="shared" si="187"/>
        <v/>
      </c>
      <c r="I2568" s="1059" t="str">
        <f t="shared" si="188"/>
        <v/>
      </c>
      <c r="J2568" s="1058"/>
      <c r="K2568" s="1060"/>
      <c r="L2568" s="1058"/>
      <c r="M2568" s="1059" t="str">
        <f t="shared" si="186"/>
        <v/>
      </c>
      <c r="N2568" s="1058"/>
    </row>
    <row r="2569" spans="1:14" ht="12.75" customHeight="1" x14ac:dyDescent="0.25">
      <c r="A2569" s="3"/>
      <c r="B2569" s="3"/>
      <c r="C2569" s="3"/>
      <c r="D2569" s="3"/>
      <c r="E2569" s="3"/>
      <c r="F2569" s="3"/>
      <c r="G2569" s="3"/>
      <c r="H2569" s="3"/>
      <c r="I2569" s="3"/>
      <c r="J2569" s="3"/>
      <c r="K2569" s="1066" t="s">
        <v>201</v>
      </c>
      <c r="L2569" s="1058"/>
      <c r="M2569" s="1059">
        <f>SUM(M2561:N2568)</f>
        <v>110075</v>
      </c>
      <c r="N2569" s="1058"/>
    </row>
    <row r="2570" spans="1:14" ht="12.75" customHeight="1" x14ac:dyDescent="0.25">
      <c r="A2570" s="3"/>
      <c r="B2570" s="3"/>
      <c r="C2570" s="3"/>
      <c r="D2570" s="3"/>
      <c r="E2570" s="3"/>
      <c r="F2570" s="3"/>
      <c r="G2570" s="3"/>
      <c r="H2570" s="3"/>
      <c r="I2570" s="3"/>
      <c r="J2570" s="3"/>
      <c r="K2570" s="3"/>
      <c r="L2570" s="3"/>
      <c r="M2570" s="3"/>
      <c r="N2570" s="3"/>
    </row>
    <row r="2571" spans="1:14" ht="12.75" customHeight="1" x14ac:dyDescent="0.2">
      <c r="A2571" s="1065" t="s">
        <v>390</v>
      </c>
      <c r="B2571" s="1057"/>
      <c r="C2571" s="1057"/>
      <c r="D2571" s="1057"/>
      <c r="E2571" s="1057"/>
      <c r="F2571" s="1057"/>
      <c r="G2571" s="1057"/>
      <c r="H2571" s="1057"/>
      <c r="I2571" s="1057"/>
      <c r="J2571" s="1057"/>
      <c r="K2571" s="1057"/>
      <c r="L2571" s="1057"/>
      <c r="M2571" s="1057"/>
      <c r="N2571" s="1058"/>
    </row>
    <row r="2572" spans="1:14" ht="12.75" customHeight="1" x14ac:dyDescent="0.2">
      <c r="A2572" s="1066" t="s">
        <v>38</v>
      </c>
      <c r="B2572" s="1057"/>
      <c r="C2572" s="1057"/>
      <c r="D2572" s="1057"/>
      <c r="E2572" s="1057"/>
      <c r="F2572" s="1057"/>
      <c r="G2572" s="1058"/>
      <c r="H2572" s="28" t="s">
        <v>39</v>
      </c>
      <c r="I2572" s="1062" t="s">
        <v>385</v>
      </c>
      <c r="J2572" s="1058"/>
      <c r="K2572" s="1062" t="s">
        <v>132</v>
      </c>
      <c r="L2572" s="1058"/>
      <c r="M2572" s="1062" t="s">
        <v>386</v>
      </c>
      <c r="N2572" s="1058"/>
    </row>
    <row r="2573" spans="1:14" ht="12.75" customHeight="1" x14ac:dyDescent="0.2">
      <c r="A2573" s="1061" t="s">
        <v>391</v>
      </c>
      <c r="B2573" s="1057"/>
      <c r="C2573" s="1057"/>
      <c r="D2573" s="1057"/>
      <c r="E2573" s="1057"/>
      <c r="F2573" s="1057"/>
      <c r="G2573" s="1058"/>
      <c r="H2573" s="9" t="str">
        <f>IF(A2573="","",VLOOKUP(A2573,AA_Equipos,7,FALSE))</f>
        <v>% M.O.</v>
      </c>
      <c r="I2573" s="1059">
        <f>+M2596</f>
        <v>33795.152002500006</v>
      </c>
      <c r="J2573" s="1058"/>
      <c r="K2573" s="1064">
        <v>0.05</v>
      </c>
      <c r="L2573" s="1058"/>
      <c r="M2573" s="1059">
        <f>IF(A2573="","",I2573*K2573)</f>
        <v>1689.7576001250004</v>
      </c>
      <c r="N2573" s="1058"/>
    </row>
    <row r="2574" spans="1:14" ht="12.75" customHeight="1" x14ac:dyDescent="0.2">
      <c r="A2574" s="1056"/>
      <c r="B2574" s="1057"/>
      <c r="C2574" s="1057"/>
      <c r="D2574" s="1057"/>
      <c r="E2574" s="1057"/>
      <c r="F2574" s="1057"/>
      <c r="G2574" s="1058"/>
      <c r="H2574" s="9" t="str">
        <f>IF(A2574="","",VLOOKUP(A2574,AA_Equipos,7,FALSE))</f>
        <v/>
      </c>
      <c r="I2574" s="1059" t="str">
        <f>IF(A2574="","",VLOOKUP(A2574,AA_Equipos,8,FALSE))</f>
        <v/>
      </c>
      <c r="J2574" s="1058"/>
      <c r="K2574" s="1067"/>
      <c r="L2574" s="1058"/>
      <c r="M2574" s="1059" t="str">
        <f>IF(A2574="","",I2574*K2574)</f>
        <v/>
      </c>
      <c r="N2574" s="1058"/>
    </row>
    <row r="2575" spans="1:14" ht="12.75" customHeight="1" x14ac:dyDescent="0.2">
      <c r="A2575" s="1061"/>
      <c r="B2575" s="1057"/>
      <c r="C2575" s="1057"/>
      <c r="D2575" s="1057"/>
      <c r="E2575" s="1057"/>
      <c r="F2575" s="1057"/>
      <c r="G2575" s="1058"/>
      <c r="H2575" s="9" t="str">
        <f>IF(A2575="","",VLOOKUP(A2575,AA_Equipos,7,FALSE))</f>
        <v/>
      </c>
      <c r="I2575" s="1059" t="str">
        <f>IF(A2575="","",VLOOKUP(A2575,AA_Equipos,8,FALSE))</f>
        <v/>
      </c>
      <c r="J2575" s="1058"/>
      <c r="K2575" s="1070"/>
      <c r="L2575" s="1058"/>
      <c r="M2575" s="1059" t="str">
        <f>IF(A2575="","",I2575*K2575)</f>
        <v/>
      </c>
      <c r="N2575" s="1058"/>
    </row>
    <row r="2576" spans="1:14" ht="12.75" customHeight="1" x14ac:dyDescent="0.2">
      <c r="A2576" s="1061"/>
      <c r="B2576" s="1057"/>
      <c r="C2576" s="1057"/>
      <c r="D2576" s="1057"/>
      <c r="E2576" s="1057"/>
      <c r="F2576" s="1057"/>
      <c r="G2576" s="1058"/>
      <c r="H2576" s="9" t="str">
        <f>IF(A2576="","",VLOOKUP(A2576,AA_Equipos,7,FALSE))</f>
        <v/>
      </c>
      <c r="I2576" s="1059" t="str">
        <f>IF(A2576="","",VLOOKUP(A2576,AA_Equipos,8,FALSE))</f>
        <v/>
      </c>
      <c r="J2576" s="1058"/>
      <c r="K2576" s="1060"/>
      <c r="L2576" s="1058"/>
      <c r="M2576" s="1059" t="str">
        <f>IF(A2576="","",I2576*K2576)</f>
        <v/>
      </c>
      <c r="N2576" s="1058"/>
    </row>
    <row r="2577" spans="1:15" ht="12.75" customHeight="1" x14ac:dyDescent="0.2">
      <c r="A2577" s="1061"/>
      <c r="B2577" s="1057"/>
      <c r="C2577" s="1057"/>
      <c r="D2577" s="1057"/>
      <c r="E2577" s="1057"/>
      <c r="F2577" s="1057"/>
      <c r="G2577" s="1058"/>
      <c r="H2577" s="9" t="str">
        <f>IF(A2577="","",VLOOKUP(A2577,AA_Equipos,7,FALSE))</f>
        <v/>
      </c>
      <c r="I2577" s="1059" t="str">
        <f>IF(A2577="","",VLOOKUP(A2577,AA_Equipos,8,FALSE))</f>
        <v/>
      </c>
      <c r="J2577" s="1058"/>
      <c r="K2577" s="1060"/>
      <c r="L2577" s="1058"/>
      <c r="M2577" s="1059" t="str">
        <f>IF(A2577="","",I2577*K2577)</f>
        <v/>
      </c>
      <c r="N2577" s="1058"/>
      <c r="O2577" s="7"/>
    </row>
    <row r="2578" spans="1:15" ht="12.75" customHeight="1" x14ac:dyDescent="0.25">
      <c r="A2578" s="3"/>
      <c r="B2578" s="3"/>
      <c r="C2578" s="3"/>
      <c r="D2578" s="3"/>
      <c r="E2578" s="3"/>
      <c r="F2578" s="3"/>
      <c r="G2578" s="3"/>
      <c r="H2578" s="3"/>
      <c r="I2578" s="3"/>
      <c r="J2578" s="3"/>
      <c r="K2578" s="1066" t="s">
        <v>201</v>
      </c>
      <c r="L2578" s="1058"/>
      <c r="M2578" s="1059">
        <f>SUM(M2573:N2577)</f>
        <v>1689.7576001250004</v>
      </c>
      <c r="N2578" s="1058"/>
      <c r="O2578" s="7"/>
    </row>
    <row r="2579" spans="1:15" ht="12.75" customHeight="1" x14ac:dyDescent="0.25">
      <c r="A2579" s="3"/>
      <c r="B2579" s="3"/>
      <c r="C2579" s="3"/>
      <c r="D2579" s="3"/>
      <c r="E2579" s="3"/>
      <c r="F2579" s="3"/>
      <c r="G2579" s="3"/>
      <c r="H2579" s="3"/>
      <c r="I2579" s="3"/>
      <c r="J2579" s="3"/>
      <c r="K2579" s="3"/>
      <c r="L2579" s="3"/>
      <c r="M2579" s="3"/>
      <c r="N2579" s="3"/>
    </row>
    <row r="2580" spans="1:15" ht="12.75" customHeight="1" x14ac:dyDescent="0.2">
      <c r="A2580" s="1065" t="s">
        <v>392</v>
      </c>
      <c r="B2580" s="1057"/>
      <c r="C2580" s="1057"/>
      <c r="D2580" s="1057"/>
      <c r="E2580" s="1057"/>
      <c r="F2580" s="1057"/>
      <c r="G2580" s="1057"/>
      <c r="H2580" s="1057"/>
      <c r="I2580" s="1057"/>
      <c r="J2580" s="1057"/>
      <c r="K2580" s="1057"/>
      <c r="L2580" s="1057"/>
      <c r="M2580" s="1057"/>
      <c r="N2580" s="1058"/>
    </row>
    <row r="2581" spans="1:15" ht="12.75" customHeight="1" x14ac:dyDescent="0.2">
      <c r="A2581" s="1066" t="s">
        <v>38</v>
      </c>
      <c r="B2581" s="1057"/>
      <c r="C2581" s="1057"/>
      <c r="D2581" s="1057"/>
      <c r="E2581" s="1057"/>
      <c r="F2581" s="1057"/>
      <c r="G2581" s="1058"/>
      <c r="H2581" s="28" t="s">
        <v>39</v>
      </c>
      <c r="I2581" s="1062" t="s">
        <v>385</v>
      </c>
      <c r="J2581" s="1058"/>
      <c r="K2581" s="1062" t="s">
        <v>132</v>
      </c>
      <c r="L2581" s="1058"/>
      <c r="M2581" s="1062" t="s">
        <v>386</v>
      </c>
      <c r="N2581" s="1058"/>
    </row>
    <row r="2582" spans="1:15" ht="12.75" customHeight="1" x14ac:dyDescent="0.2">
      <c r="A2582" s="1061"/>
      <c r="B2582" s="1057"/>
      <c r="C2582" s="1057"/>
      <c r="D2582" s="1057"/>
      <c r="E2582" s="1057"/>
      <c r="F2582" s="1057"/>
      <c r="G2582" s="1058"/>
      <c r="H2582" s="9"/>
      <c r="I2582" s="1059"/>
      <c r="J2582" s="1058"/>
      <c r="K2582" s="1064"/>
      <c r="L2582" s="1058"/>
      <c r="M2582" s="1059" t="str">
        <f>IF(A2582="","",I2582*K2582)</f>
        <v/>
      </c>
      <c r="N2582" s="1058"/>
    </row>
    <row r="2583" spans="1:15" ht="12.75" customHeight="1" x14ac:dyDescent="0.2">
      <c r="A2583" s="1056"/>
      <c r="B2583" s="1057"/>
      <c r="C2583" s="1057"/>
      <c r="D2583" s="1057"/>
      <c r="E2583" s="1057"/>
      <c r="F2583" s="1057"/>
      <c r="G2583" s="1058"/>
      <c r="H2583" s="9"/>
      <c r="I2583" s="1059"/>
      <c r="J2583" s="1058"/>
      <c r="K2583" s="1064"/>
      <c r="L2583" s="1058"/>
      <c r="M2583" s="1059" t="str">
        <f>IF(A2583="","",I2583*K2583)</f>
        <v/>
      </c>
      <c r="N2583" s="1058"/>
    </row>
    <row r="2584" spans="1:15" ht="12.75" customHeight="1" x14ac:dyDescent="0.2">
      <c r="A2584" s="1061"/>
      <c r="B2584" s="1057"/>
      <c r="C2584" s="1057"/>
      <c r="D2584" s="1057"/>
      <c r="E2584" s="1057"/>
      <c r="F2584" s="1057"/>
      <c r="G2584" s="1058"/>
      <c r="H2584" s="9"/>
      <c r="I2584" s="1059"/>
      <c r="J2584" s="1058"/>
      <c r="K2584" s="1060"/>
      <c r="L2584" s="1058"/>
      <c r="M2584" s="1059" t="str">
        <f>IF(A2584="","",I2584*K2584)</f>
        <v/>
      </c>
      <c r="N2584" s="1058"/>
    </row>
    <row r="2585" spans="1:15" ht="12.75" customHeight="1" x14ac:dyDescent="0.2">
      <c r="A2585" s="1061"/>
      <c r="B2585" s="1057"/>
      <c r="C2585" s="1057"/>
      <c r="D2585" s="1057"/>
      <c r="E2585" s="1057"/>
      <c r="F2585" s="1057"/>
      <c r="G2585" s="1058"/>
      <c r="H2585" s="9"/>
      <c r="I2585" s="1059"/>
      <c r="J2585" s="1058"/>
      <c r="K2585" s="1060"/>
      <c r="L2585" s="1058"/>
      <c r="M2585" s="1059" t="str">
        <f>IF(A2585="","",I2585*K2585)</f>
        <v/>
      </c>
      <c r="N2585" s="1058"/>
    </row>
    <row r="2586" spans="1:15" ht="12.75" customHeight="1" x14ac:dyDescent="0.2">
      <c r="A2586" s="1061"/>
      <c r="B2586" s="1057"/>
      <c r="C2586" s="1057"/>
      <c r="D2586" s="1057"/>
      <c r="E2586" s="1057"/>
      <c r="F2586" s="1057"/>
      <c r="G2586" s="1058"/>
      <c r="H2586" s="9"/>
      <c r="I2586" s="1059"/>
      <c r="J2586" s="1058"/>
      <c r="K2586" s="1060"/>
      <c r="L2586" s="1058"/>
      <c r="M2586" s="1059" t="str">
        <f>IF(A2586="","",I2586*K2586)</f>
        <v/>
      </c>
      <c r="N2586" s="1058"/>
    </row>
    <row r="2587" spans="1:15" ht="12.75" customHeight="1" x14ac:dyDescent="0.25">
      <c r="A2587" s="3"/>
      <c r="B2587" s="3"/>
      <c r="C2587" s="3"/>
      <c r="D2587" s="3"/>
      <c r="E2587" s="3"/>
      <c r="F2587" s="3"/>
      <c r="G2587" s="3"/>
      <c r="H2587" s="3"/>
      <c r="I2587" s="3"/>
      <c r="J2587" s="3"/>
      <c r="K2587" s="1066" t="s">
        <v>201</v>
      </c>
      <c r="L2587" s="1058"/>
      <c r="M2587" s="1059">
        <f>SUM(M2582:N2586)</f>
        <v>0</v>
      </c>
      <c r="N2587" s="1058"/>
    </row>
    <row r="2588" spans="1:15" ht="12.75" customHeight="1" x14ac:dyDescent="0.25">
      <c r="A2588" s="3"/>
      <c r="B2588" s="3"/>
      <c r="C2588" s="3"/>
      <c r="D2588" s="3"/>
      <c r="E2588" s="3"/>
      <c r="F2588" s="3"/>
      <c r="G2588" s="3"/>
      <c r="H2588" s="3"/>
      <c r="I2588" s="3"/>
      <c r="J2588" s="3"/>
      <c r="K2588" s="3"/>
      <c r="L2588" s="3"/>
      <c r="M2588" s="3"/>
      <c r="N2588" s="3"/>
    </row>
    <row r="2589" spans="1:15" ht="12.75" customHeight="1" x14ac:dyDescent="0.2">
      <c r="A2589" s="1065" t="s">
        <v>394</v>
      </c>
      <c r="B2589" s="1057"/>
      <c r="C2589" s="1057"/>
      <c r="D2589" s="1057"/>
      <c r="E2589" s="1057"/>
      <c r="F2589" s="1057"/>
      <c r="G2589" s="1057"/>
      <c r="H2589" s="1057"/>
      <c r="I2589" s="1057"/>
      <c r="J2589" s="1057"/>
      <c r="K2589" s="1057"/>
      <c r="L2589" s="1057"/>
      <c r="M2589" s="1057"/>
      <c r="N2589" s="1058"/>
    </row>
    <row r="2590" spans="1:15" ht="12.75" customHeight="1" x14ac:dyDescent="0.2">
      <c r="A2590" s="1066" t="s">
        <v>38</v>
      </c>
      <c r="B2590" s="1057"/>
      <c r="C2590" s="1057"/>
      <c r="D2590" s="1057"/>
      <c r="E2590" s="1057"/>
      <c r="F2590" s="1057"/>
      <c r="G2590" s="1058"/>
      <c r="H2590" s="28" t="s">
        <v>39</v>
      </c>
      <c r="I2590" s="1062" t="s">
        <v>385</v>
      </c>
      <c r="J2590" s="1058"/>
      <c r="K2590" s="30" t="s">
        <v>193</v>
      </c>
      <c r="L2590" s="31" t="s">
        <v>395</v>
      </c>
      <c r="M2590" s="1062" t="s">
        <v>386</v>
      </c>
      <c r="N2590" s="1058"/>
    </row>
    <row r="2591" spans="1:15" ht="12.75" customHeight="1" x14ac:dyDescent="0.25">
      <c r="A2591" s="1063" t="s">
        <v>418</v>
      </c>
      <c r="B2591" s="1057"/>
      <c r="C2591" s="1057"/>
      <c r="D2591" s="1057"/>
      <c r="E2591" s="1057"/>
      <c r="F2591" s="1057"/>
      <c r="G2591" s="1058"/>
      <c r="H2591" s="9" t="str">
        <f>IF(A2591="","",VLOOKUP(A2591,AA_Cuadrillas,4,FALSE))</f>
        <v>Cuadrilla</v>
      </c>
      <c r="I2591" s="1059">
        <f>IF(A2591="","",VLOOKUP(A2591,AA_Cuadrillas,5,FALSE))</f>
        <v>280145</v>
      </c>
      <c r="J2591" s="1058"/>
      <c r="K2591" s="1">
        <f>IF(A2591="","",'06'!$J$3)</f>
        <v>1.7233500000000002</v>
      </c>
      <c r="L2591" s="37">
        <v>7.0000000000000007E-2</v>
      </c>
      <c r="M2591" s="1059">
        <f>IF(A2591="","",I2591*K2591*L2591)</f>
        <v>33795.152002500006</v>
      </c>
      <c r="N2591" s="1058"/>
    </row>
    <row r="2592" spans="1:15" ht="12.75" customHeight="1" x14ac:dyDescent="0.25">
      <c r="A2592" s="1063"/>
      <c r="B2592" s="1057"/>
      <c r="C2592" s="1057"/>
      <c r="D2592" s="1057"/>
      <c r="E2592" s="1057"/>
      <c r="F2592" s="1057"/>
      <c r="G2592" s="1058"/>
      <c r="H2592" s="9" t="str">
        <f>IF(A2592="","",VLOOKUP(A2592,AA_Cuadrillas,4,FALSE))</f>
        <v/>
      </c>
      <c r="I2592" s="1059" t="str">
        <f>IF(A2592="","",VLOOKUP(A2592,AA_Cuadrillas,5,FALSE))</f>
        <v/>
      </c>
      <c r="J2592" s="1058"/>
      <c r="K2592" s="1" t="str">
        <f>IF(A2592="","",'06'!$J$3)</f>
        <v/>
      </c>
      <c r="L2592" s="1"/>
      <c r="M2592" s="1059" t="str">
        <f>IF(A2592="","",I2592*K2592*L2592)</f>
        <v/>
      </c>
      <c r="N2592" s="1058"/>
    </row>
    <row r="2593" spans="1:14" ht="12.75" customHeight="1" x14ac:dyDescent="0.25">
      <c r="A2593" s="1063"/>
      <c r="B2593" s="1057"/>
      <c r="C2593" s="1057"/>
      <c r="D2593" s="1057"/>
      <c r="E2593" s="1057"/>
      <c r="F2593" s="1057"/>
      <c r="G2593" s="1058"/>
      <c r="H2593" s="9" t="str">
        <f>IF(A2593="","",VLOOKUP(A2593,AA_Cuadrillas,4,FALSE))</f>
        <v/>
      </c>
      <c r="I2593" s="1059" t="str">
        <f>IF(A2593="","",VLOOKUP(A2593,AA_Cuadrillas,5,FALSE))</f>
        <v/>
      </c>
      <c r="J2593" s="1058"/>
      <c r="K2593" s="1" t="str">
        <f>IF(A2593="","",'06'!$J$3)</f>
        <v/>
      </c>
      <c r="L2593" s="10"/>
      <c r="M2593" s="1059" t="str">
        <f>IF(A2593="","",I2593*K2593*L2593)</f>
        <v/>
      </c>
      <c r="N2593" s="1058"/>
    </row>
    <row r="2594" spans="1:14" ht="12.75" customHeight="1" x14ac:dyDescent="0.25">
      <c r="A2594" s="1063"/>
      <c r="B2594" s="1057"/>
      <c r="C2594" s="1057"/>
      <c r="D2594" s="1057"/>
      <c r="E2594" s="1057"/>
      <c r="F2594" s="1057"/>
      <c r="G2594" s="1058"/>
      <c r="H2594" s="9" t="str">
        <f>IF(A2594="","",VLOOKUP(A2594,AA_Cuadrillas,4,FALSE))</f>
        <v/>
      </c>
      <c r="I2594" s="1059" t="str">
        <f>IF(A2594="","",VLOOKUP(A2594,AA_Cuadrillas,5,FALSE))</f>
        <v/>
      </c>
      <c r="J2594" s="1058"/>
      <c r="K2594" s="1" t="str">
        <f>IF(A2594="","",'06'!$J$3)</f>
        <v/>
      </c>
      <c r="L2594" s="10"/>
      <c r="M2594" s="1059" t="str">
        <f>IF(A2594="","",I2594*K2594*L2594)</f>
        <v/>
      </c>
      <c r="N2594" s="1058"/>
    </row>
    <row r="2595" spans="1:14" ht="12.75" customHeight="1" x14ac:dyDescent="0.25">
      <c r="A2595" s="1063"/>
      <c r="B2595" s="1057"/>
      <c r="C2595" s="1057"/>
      <c r="D2595" s="1057"/>
      <c r="E2595" s="1057"/>
      <c r="F2595" s="1057"/>
      <c r="G2595" s="1058"/>
      <c r="H2595" s="9" t="str">
        <f>IF(A2595="","",VLOOKUP(A2595,AA_Cuadrillas,4,FALSE))</f>
        <v/>
      </c>
      <c r="I2595" s="1059" t="str">
        <f>IF(A2595="","",VLOOKUP(A2595,AA_Cuadrillas,5,FALSE))</f>
        <v/>
      </c>
      <c r="J2595" s="1058"/>
      <c r="K2595" s="1" t="str">
        <f>IF(A2595="","",'06'!$J$3)</f>
        <v/>
      </c>
      <c r="L2595" s="10"/>
      <c r="M2595" s="1059" t="str">
        <f>IF(A2595="","",I2595*K2595*L2595)</f>
        <v/>
      </c>
      <c r="N2595" s="1058"/>
    </row>
    <row r="2596" spans="1:14" ht="12.75" customHeight="1" x14ac:dyDescent="0.25">
      <c r="A2596" s="3"/>
      <c r="B2596" s="3"/>
      <c r="C2596" s="3"/>
      <c r="D2596" s="3"/>
      <c r="E2596" s="3"/>
      <c r="F2596" s="3"/>
      <c r="G2596" s="3"/>
      <c r="H2596" s="3"/>
      <c r="I2596" s="3"/>
      <c r="J2596" s="3"/>
      <c r="K2596" s="1066" t="s">
        <v>201</v>
      </c>
      <c r="L2596" s="1058"/>
      <c r="M2596" s="1059">
        <f>SUM(M2591:N2595)</f>
        <v>33795.152002500006</v>
      </c>
      <c r="N2596" s="1058"/>
    </row>
    <row r="2597" spans="1:14" ht="12.75" customHeight="1" x14ac:dyDescent="0.2"/>
    <row r="2598" spans="1:14" ht="12.75" customHeight="1" x14ac:dyDescent="0.2">
      <c r="A2598" s="1072" t="s">
        <v>1726</v>
      </c>
      <c r="B2598" s="1052"/>
      <c r="C2598" s="1052"/>
      <c r="D2598" s="1052"/>
      <c r="E2598" s="1052"/>
      <c r="F2598" s="1052"/>
      <c r="G2598" s="1052"/>
      <c r="H2598" s="1052"/>
      <c r="I2598" s="1052"/>
      <c r="J2598" s="1052"/>
      <c r="K2598" s="1052"/>
      <c r="L2598" s="1052"/>
      <c r="M2598" s="1052"/>
      <c r="N2598" s="1053"/>
    </row>
    <row r="2599" spans="1:14" ht="12.75" customHeight="1" x14ac:dyDescent="0.2">
      <c r="A2599" s="1031"/>
      <c r="B2599" s="1032"/>
      <c r="C2599" s="1032"/>
      <c r="D2599" s="1032"/>
      <c r="E2599" s="1032"/>
      <c r="F2599" s="1032"/>
      <c r="G2599" s="1032"/>
      <c r="H2599" s="1032"/>
      <c r="I2599" s="1032"/>
      <c r="J2599" s="1032"/>
      <c r="K2599" s="1032"/>
      <c r="L2599" s="1032"/>
      <c r="M2599" s="1032"/>
      <c r="N2599" s="1055"/>
    </row>
    <row r="2600" spans="1:14" ht="12.75" customHeight="1" x14ac:dyDescent="0.2">
      <c r="A2600" s="16"/>
      <c r="B2600" s="16"/>
      <c r="C2600" s="16"/>
      <c r="D2600" s="16"/>
      <c r="E2600" s="16"/>
      <c r="F2600" s="16"/>
      <c r="G2600" s="16"/>
      <c r="H2600" s="16"/>
      <c r="I2600" s="16"/>
      <c r="J2600" s="16"/>
      <c r="K2600" s="16"/>
      <c r="L2600" s="16"/>
      <c r="M2600" s="16"/>
      <c r="N2600" s="16"/>
    </row>
    <row r="2601" spans="1:14" ht="12.75" customHeight="1" x14ac:dyDescent="0.3">
      <c r="A2601" s="18" t="s">
        <v>351</v>
      </c>
      <c r="B2601" s="19" t="str">
        <f>A2598</f>
        <v>VÁLVULA DE BOLA HD DE 6" (INCLUYE INSTALACIÓN Y SUMINISTRO)</v>
      </c>
      <c r="C2601" s="20" t="s">
        <v>382</v>
      </c>
      <c r="D2601" s="21" t="s">
        <v>424</v>
      </c>
      <c r="E2601" s="22" t="s">
        <v>125</v>
      </c>
      <c r="F2601" s="26">
        <f>(H2601+J2601+L2601+N2601)*$O$2</f>
        <v>4259204.2220146246</v>
      </c>
      <c r="G2601" s="22" t="s">
        <v>285</v>
      </c>
      <c r="H2601" s="26">
        <f>M2622</f>
        <v>7241.8182862500007</v>
      </c>
      <c r="I2601" s="22" t="s">
        <v>383</v>
      </c>
      <c r="J2601" s="36">
        <f>M2613</f>
        <v>3124232.7560000001</v>
      </c>
      <c r="K2601" s="22" t="s">
        <v>287</v>
      </c>
      <c r="L2601" s="26">
        <f>M2631</f>
        <v>0</v>
      </c>
      <c r="M2601" s="22" t="s">
        <v>288</v>
      </c>
      <c r="N2601" s="26">
        <f>M2640</f>
        <v>144836.36572500001</v>
      </c>
    </row>
    <row r="2602" spans="1:14" ht="12.75" customHeight="1" x14ac:dyDescent="0.25">
      <c r="A2602" s="27"/>
      <c r="B2602" s="27"/>
      <c r="C2602" s="27"/>
      <c r="D2602" s="27"/>
      <c r="E2602" s="27"/>
      <c r="F2602" s="27"/>
      <c r="G2602" s="27"/>
      <c r="J2602" s="27"/>
      <c r="K2602" s="27"/>
      <c r="L2602" s="27"/>
      <c r="M2602" s="27"/>
      <c r="N2602" s="27"/>
    </row>
    <row r="2603" spans="1:14" ht="12.75" customHeight="1" x14ac:dyDescent="0.2">
      <c r="A2603" s="1065" t="s">
        <v>384</v>
      </c>
      <c r="B2603" s="1057"/>
      <c r="C2603" s="1057"/>
      <c r="D2603" s="1057"/>
      <c r="E2603" s="1057"/>
      <c r="F2603" s="1057"/>
      <c r="G2603" s="1057"/>
      <c r="H2603" s="1057"/>
      <c r="I2603" s="1057"/>
      <c r="J2603" s="1057"/>
      <c r="K2603" s="1057"/>
      <c r="L2603" s="1057"/>
      <c r="M2603" s="1057"/>
      <c r="N2603" s="1058"/>
    </row>
    <row r="2604" spans="1:14" ht="12.75" customHeight="1" x14ac:dyDescent="0.2">
      <c r="A2604" s="1066" t="s">
        <v>38</v>
      </c>
      <c r="B2604" s="1057"/>
      <c r="C2604" s="1057"/>
      <c r="D2604" s="1057"/>
      <c r="E2604" s="1057"/>
      <c r="F2604" s="1057"/>
      <c r="G2604" s="1058"/>
      <c r="H2604" s="28" t="s">
        <v>39</v>
      </c>
      <c r="I2604" s="1062" t="s">
        <v>385</v>
      </c>
      <c r="J2604" s="1058"/>
      <c r="K2604" s="1062" t="s">
        <v>132</v>
      </c>
      <c r="L2604" s="1058"/>
      <c r="M2604" s="1062" t="s">
        <v>386</v>
      </c>
      <c r="N2604" s="1058"/>
    </row>
    <row r="2605" spans="1:14" ht="12.75" customHeight="1" x14ac:dyDescent="0.2">
      <c r="A2605" s="1061" t="s">
        <v>1546</v>
      </c>
      <c r="B2605" s="1057"/>
      <c r="C2605" s="1057"/>
      <c r="D2605" s="1057"/>
      <c r="E2605" s="1057"/>
      <c r="F2605" s="1057"/>
      <c r="G2605" s="1058"/>
      <c r="H2605" s="9" t="str">
        <f t="shared" ref="H2605" si="189">IF(A2605="","",VLOOKUP(A2605,AA_Materiales,7,FALSE))</f>
        <v>Unidad</v>
      </c>
      <c r="I2605" s="1059">
        <f t="shared" ref="I2605" si="190">IF(A2605="","",VLOOKUP(A2605,AA_Materiales,8,FALSE))</f>
        <v>3124232.7560000001</v>
      </c>
      <c r="J2605" s="1058"/>
      <c r="K2605" s="1060">
        <v>1</v>
      </c>
      <c r="L2605" s="1058"/>
      <c r="M2605" s="1059">
        <f t="shared" ref="M2605:M2612" si="191">IF(A2605="","",I2605*K2605)</f>
        <v>3124232.7560000001</v>
      </c>
      <c r="N2605" s="1058"/>
    </row>
    <row r="2606" spans="1:14" ht="12.75" customHeight="1" x14ac:dyDescent="0.2">
      <c r="A2606" s="1056"/>
      <c r="B2606" s="1057"/>
      <c r="C2606" s="1057"/>
      <c r="D2606" s="1057"/>
      <c r="E2606" s="1057"/>
      <c r="F2606" s="1057"/>
      <c r="G2606" s="1058"/>
      <c r="H2606" s="9" t="str">
        <f t="shared" ref="H2606:H2612" si="192">IF(A2606="","",VLOOKUP(A2606,AA_Materiales,7,FALSE))</f>
        <v/>
      </c>
      <c r="I2606" s="1059" t="str">
        <f t="shared" ref="I2606:I2612" si="193">IF(A2606="","",VLOOKUP(A2606,AA_Materiales,8,FALSE))</f>
        <v/>
      </c>
      <c r="J2606" s="1058"/>
      <c r="K2606" s="1060"/>
      <c r="L2606" s="1058"/>
      <c r="M2606" s="1059" t="str">
        <f t="shared" si="191"/>
        <v/>
      </c>
      <c r="N2606" s="1058"/>
    </row>
    <row r="2607" spans="1:14" ht="12.75" customHeight="1" x14ac:dyDescent="0.2">
      <c r="A2607" s="1056"/>
      <c r="B2607" s="1057"/>
      <c r="C2607" s="1057"/>
      <c r="D2607" s="1057"/>
      <c r="E2607" s="1057"/>
      <c r="F2607" s="1057"/>
      <c r="G2607" s="1058"/>
      <c r="H2607" s="9" t="str">
        <f t="shared" si="192"/>
        <v/>
      </c>
      <c r="I2607" s="1059" t="str">
        <f t="shared" si="193"/>
        <v/>
      </c>
      <c r="J2607" s="1058"/>
      <c r="K2607" s="1060"/>
      <c r="L2607" s="1058"/>
      <c r="M2607" s="1059" t="str">
        <f t="shared" si="191"/>
        <v/>
      </c>
      <c r="N2607" s="1058"/>
    </row>
    <row r="2608" spans="1:14" ht="12.75" customHeight="1" x14ac:dyDescent="0.2">
      <c r="A2608" s="1056"/>
      <c r="B2608" s="1057"/>
      <c r="C2608" s="1057"/>
      <c r="D2608" s="1057"/>
      <c r="E2608" s="1057"/>
      <c r="F2608" s="1057"/>
      <c r="G2608" s="1058"/>
      <c r="H2608" s="9" t="str">
        <f t="shared" si="192"/>
        <v/>
      </c>
      <c r="I2608" s="1059" t="str">
        <f t="shared" si="193"/>
        <v/>
      </c>
      <c r="J2608" s="1058"/>
      <c r="K2608" s="1060"/>
      <c r="L2608" s="1058"/>
      <c r="M2608" s="1059" t="str">
        <f t="shared" si="191"/>
        <v/>
      </c>
      <c r="N2608" s="1058"/>
    </row>
    <row r="2609" spans="1:15" ht="12.75" customHeight="1" x14ac:dyDescent="0.2">
      <c r="A2609" s="1056"/>
      <c r="B2609" s="1057"/>
      <c r="C2609" s="1057"/>
      <c r="D2609" s="1057"/>
      <c r="E2609" s="1057"/>
      <c r="F2609" s="1057"/>
      <c r="G2609" s="1058"/>
      <c r="H2609" s="9" t="str">
        <f t="shared" si="192"/>
        <v/>
      </c>
      <c r="I2609" s="1059" t="str">
        <f t="shared" si="193"/>
        <v/>
      </c>
      <c r="J2609" s="1058"/>
      <c r="K2609" s="1060"/>
      <c r="L2609" s="1058"/>
      <c r="M2609" s="1059" t="str">
        <f t="shared" si="191"/>
        <v/>
      </c>
      <c r="N2609" s="1058"/>
    </row>
    <row r="2610" spans="1:15" ht="12.75" customHeight="1" x14ac:dyDescent="0.2">
      <c r="A2610" s="1056"/>
      <c r="B2610" s="1057"/>
      <c r="C2610" s="1057"/>
      <c r="D2610" s="1057"/>
      <c r="E2610" s="1057"/>
      <c r="F2610" s="1057"/>
      <c r="G2610" s="1058"/>
      <c r="H2610" s="9" t="str">
        <f t="shared" si="192"/>
        <v/>
      </c>
      <c r="I2610" s="1059" t="str">
        <f t="shared" si="193"/>
        <v/>
      </c>
      <c r="J2610" s="1058"/>
      <c r="K2610" s="1060"/>
      <c r="L2610" s="1058"/>
      <c r="M2610" s="1059" t="str">
        <f t="shared" si="191"/>
        <v/>
      </c>
      <c r="N2610" s="1058"/>
    </row>
    <row r="2611" spans="1:15" ht="12.75" customHeight="1" x14ac:dyDescent="0.2">
      <c r="A2611" s="1056"/>
      <c r="B2611" s="1057"/>
      <c r="C2611" s="1057"/>
      <c r="D2611" s="1057"/>
      <c r="E2611" s="1057"/>
      <c r="F2611" s="1057"/>
      <c r="G2611" s="1058"/>
      <c r="H2611" s="9" t="str">
        <f t="shared" si="192"/>
        <v/>
      </c>
      <c r="I2611" s="1059" t="str">
        <f t="shared" si="193"/>
        <v/>
      </c>
      <c r="J2611" s="1058"/>
      <c r="K2611" s="1060"/>
      <c r="L2611" s="1058"/>
      <c r="M2611" s="1059" t="str">
        <f t="shared" si="191"/>
        <v/>
      </c>
      <c r="N2611" s="1058"/>
    </row>
    <row r="2612" spans="1:15" ht="12.75" customHeight="1" x14ac:dyDescent="0.2">
      <c r="A2612" s="1056"/>
      <c r="B2612" s="1057"/>
      <c r="C2612" s="1057"/>
      <c r="D2612" s="1057"/>
      <c r="E2612" s="1057"/>
      <c r="F2612" s="1057"/>
      <c r="G2612" s="1058"/>
      <c r="H2612" s="9" t="str">
        <f t="shared" si="192"/>
        <v/>
      </c>
      <c r="I2612" s="1059" t="str">
        <f t="shared" si="193"/>
        <v/>
      </c>
      <c r="J2612" s="1058"/>
      <c r="K2612" s="1060"/>
      <c r="L2612" s="1058"/>
      <c r="M2612" s="1059" t="str">
        <f t="shared" si="191"/>
        <v/>
      </c>
      <c r="N2612" s="1058"/>
    </row>
    <row r="2613" spans="1:15" ht="12.75" customHeight="1" x14ac:dyDescent="0.25">
      <c r="A2613" s="3"/>
      <c r="B2613" s="3"/>
      <c r="C2613" s="3"/>
      <c r="D2613" s="3"/>
      <c r="E2613" s="3"/>
      <c r="F2613" s="3"/>
      <c r="G2613" s="3"/>
      <c r="H2613" s="3"/>
      <c r="I2613" s="3"/>
      <c r="J2613" s="3"/>
      <c r="K2613" s="1066" t="s">
        <v>201</v>
      </c>
      <c r="L2613" s="1058"/>
      <c r="M2613" s="1059">
        <f>SUM(M2605:N2612)</f>
        <v>3124232.7560000001</v>
      </c>
      <c r="N2613" s="1058"/>
    </row>
    <row r="2614" spans="1:15" ht="12.75" customHeight="1" x14ac:dyDescent="0.25">
      <c r="A2614" s="3"/>
      <c r="B2614" s="3"/>
      <c r="C2614" s="3"/>
      <c r="D2614" s="3"/>
      <c r="E2614" s="3"/>
      <c r="F2614" s="3"/>
      <c r="G2614" s="3"/>
      <c r="H2614" s="3"/>
      <c r="I2614" s="3"/>
      <c r="J2614" s="3"/>
      <c r="K2614" s="3"/>
      <c r="L2614" s="3"/>
      <c r="M2614" s="3"/>
      <c r="N2614" s="3"/>
    </row>
    <row r="2615" spans="1:15" ht="12.75" customHeight="1" x14ac:dyDescent="0.2">
      <c r="A2615" s="1065" t="s">
        <v>390</v>
      </c>
      <c r="B2615" s="1057"/>
      <c r="C2615" s="1057"/>
      <c r="D2615" s="1057"/>
      <c r="E2615" s="1057"/>
      <c r="F2615" s="1057"/>
      <c r="G2615" s="1057"/>
      <c r="H2615" s="1057"/>
      <c r="I2615" s="1057"/>
      <c r="J2615" s="1057"/>
      <c r="K2615" s="1057"/>
      <c r="L2615" s="1057"/>
      <c r="M2615" s="1057"/>
      <c r="N2615" s="1058"/>
    </row>
    <row r="2616" spans="1:15" ht="12.75" customHeight="1" x14ac:dyDescent="0.2">
      <c r="A2616" s="1066" t="s">
        <v>38</v>
      </c>
      <c r="B2616" s="1057"/>
      <c r="C2616" s="1057"/>
      <c r="D2616" s="1057"/>
      <c r="E2616" s="1057"/>
      <c r="F2616" s="1057"/>
      <c r="G2616" s="1058"/>
      <c r="H2616" s="28" t="s">
        <v>39</v>
      </c>
      <c r="I2616" s="1062" t="s">
        <v>385</v>
      </c>
      <c r="J2616" s="1058"/>
      <c r="K2616" s="1062" t="s">
        <v>132</v>
      </c>
      <c r="L2616" s="1058"/>
      <c r="M2616" s="1062" t="s">
        <v>386</v>
      </c>
      <c r="N2616" s="1058"/>
    </row>
    <row r="2617" spans="1:15" ht="12.75" customHeight="1" x14ac:dyDescent="0.2">
      <c r="A2617" s="1061" t="s">
        <v>391</v>
      </c>
      <c r="B2617" s="1057"/>
      <c r="C2617" s="1057"/>
      <c r="D2617" s="1057"/>
      <c r="E2617" s="1057"/>
      <c r="F2617" s="1057"/>
      <c r="G2617" s="1058"/>
      <c r="H2617" s="9" t="str">
        <f>IF(A2617="","",VLOOKUP(A2617,AA_Equipos,7,FALSE))</f>
        <v>% M.O.</v>
      </c>
      <c r="I2617" s="1059">
        <f>+M2640</f>
        <v>144836.36572500001</v>
      </c>
      <c r="J2617" s="1058"/>
      <c r="K2617" s="1064">
        <v>0.05</v>
      </c>
      <c r="L2617" s="1058"/>
      <c r="M2617" s="1059">
        <f>IF(A2617="","",I2617*K2617)</f>
        <v>7241.8182862500007</v>
      </c>
      <c r="N2617" s="1058"/>
    </row>
    <row r="2618" spans="1:15" ht="12.75" customHeight="1" x14ac:dyDescent="0.2">
      <c r="A2618" s="1056"/>
      <c r="B2618" s="1057"/>
      <c r="C2618" s="1057"/>
      <c r="D2618" s="1057"/>
      <c r="E2618" s="1057"/>
      <c r="F2618" s="1057"/>
      <c r="G2618" s="1058"/>
      <c r="H2618" s="9" t="str">
        <f>IF(A2618="","",VLOOKUP(A2618,AA_Equipos,7,FALSE))</f>
        <v/>
      </c>
      <c r="I2618" s="1059" t="str">
        <f>IF(A2618="","",VLOOKUP(A2618,AA_Equipos,8,FALSE))</f>
        <v/>
      </c>
      <c r="J2618" s="1058"/>
      <c r="K2618" s="1067"/>
      <c r="L2618" s="1058"/>
      <c r="M2618" s="1059" t="str">
        <f>IF(A2618="","",I2618*K2618)</f>
        <v/>
      </c>
      <c r="N2618" s="1058"/>
    </row>
    <row r="2619" spans="1:15" ht="12.75" customHeight="1" x14ac:dyDescent="0.2">
      <c r="A2619" s="1061"/>
      <c r="B2619" s="1057"/>
      <c r="C2619" s="1057"/>
      <c r="D2619" s="1057"/>
      <c r="E2619" s="1057"/>
      <c r="F2619" s="1057"/>
      <c r="G2619" s="1058"/>
      <c r="H2619" s="9" t="str">
        <f>IF(A2619="","",VLOOKUP(A2619,AA_Equipos,7,FALSE))</f>
        <v/>
      </c>
      <c r="I2619" s="1059" t="str">
        <f>IF(A2619="","",VLOOKUP(A2619,AA_Equipos,8,FALSE))</f>
        <v/>
      </c>
      <c r="J2619" s="1058"/>
      <c r="K2619" s="1070"/>
      <c r="L2619" s="1058"/>
      <c r="M2619" s="1059" t="str">
        <f>IF(A2619="","",I2619*K2619)</f>
        <v/>
      </c>
      <c r="N2619" s="1058"/>
    </row>
    <row r="2620" spans="1:15" ht="12.75" customHeight="1" x14ac:dyDescent="0.2">
      <c r="A2620" s="1061"/>
      <c r="B2620" s="1057"/>
      <c r="C2620" s="1057"/>
      <c r="D2620" s="1057"/>
      <c r="E2620" s="1057"/>
      <c r="F2620" s="1057"/>
      <c r="G2620" s="1058"/>
      <c r="H2620" s="9" t="str">
        <f>IF(A2620="","",VLOOKUP(A2620,AA_Equipos,7,FALSE))</f>
        <v/>
      </c>
      <c r="I2620" s="1059" t="str">
        <f>IF(A2620="","",VLOOKUP(A2620,AA_Equipos,8,FALSE))</f>
        <v/>
      </c>
      <c r="J2620" s="1058"/>
      <c r="K2620" s="1060"/>
      <c r="L2620" s="1058"/>
      <c r="M2620" s="1059" t="str">
        <f>IF(A2620="","",I2620*K2620)</f>
        <v/>
      </c>
      <c r="N2620" s="1058"/>
    </row>
    <row r="2621" spans="1:15" ht="12.75" customHeight="1" x14ac:dyDescent="0.2">
      <c r="A2621" s="1061"/>
      <c r="B2621" s="1057"/>
      <c r="C2621" s="1057"/>
      <c r="D2621" s="1057"/>
      <c r="E2621" s="1057"/>
      <c r="F2621" s="1057"/>
      <c r="G2621" s="1058"/>
      <c r="H2621" s="9" t="str">
        <f>IF(A2621="","",VLOOKUP(A2621,AA_Equipos,7,FALSE))</f>
        <v/>
      </c>
      <c r="I2621" s="1059" t="str">
        <f>IF(A2621="","",VLOOKUP(A2621,AA_Equipos,8,FALSE))</f>
        <v/>
      </c>
      <c r="J2621" s="1058"/>
      <c r="K2621" s="1060"/>
      <c r="L2621" s="1058"/>
      <c r="M2621" s="1059" t="str">
        <f>IF(A2621="","",I2621*K2621)</f>
        <v/>
      </c>
      <c r="N2621" s="1058"/>
      <c r="O2621" s="7"/>
    </row>
    <row r="2622" spans="1:15" ht="12.75" customHeight="1" x14ac:dyDescent="0.25">
      <c r="A2622" s="3"/>
      <c r="B2622" s="3"/>
      <c r="C2622" s="3"/>
      <c r="D2622" s="3"/>
      <c r="E2622" s="3"/>
      <c r="F2622" s="3"/>
      <c r="G2622" s="3"/>
      <c r="H2622" s="3"/>
      <c r="I2622" s="3"/>
      <c r="J2622" s="3"/>
      <c r="K2622" s="1066" t="s">
        <v>201</v>
      </c>
      <c r="L2622" s="1058"/>
      <c r="M2622" s="1059">
        <f>SUM(M2617:N2621)</f>
        <v>7241.8182862500007</v>
      </c>
      <c r="N2622" s="1058"/>
      <c r="O2622" s="7"/>
    </row>
    <row r="2623" spans="1:15" ht="12.75" customHeight="1" x14ac:dyDescent="0.25">
      <c r="A2623" s="3"/>
      <c r="B2623" s="3"/>
      <c r="C2623" s="3"/>
      <c r="D2623" s="3"/>
      <c r="E2623" s="3"/>
      <c r="F2623" s="3"/>
      <c r="G2623" s="3"/>
      <c r="H2623" s="3"/>
      <c r="I2623" s="3"/>
      <c r="J2623" s="3"/>
      <c r="K2623" s="3"/>
      <c r="L2623" s="3"/>
      <c r="M2623" s="3"/>
      <c r="N2623" s="3"/>
    </row>
    <row r="2624" spans="1:15" ht="12.75" customHeight="1" x14ac:dyDescent="0.2">
      <c r="A2624" s="1065" t="s">
        <v>392</v>
      </c>
      <c r="B2624" s="1057"/>
      <c r="C2624" s="1057"/>
      <c r="D2624" s="1057"/>
      <c r="E2624" s="1057"/>
      <c r="F2624" s="1057"/>
      <c r="G2624" s="1057"/>
      <c r="H2624" s="1057"/>
      <c r="I2624" s="1057"/>
      <c r="J2624" s="1057"/>
      <c r="K2624" s="1057"/>
      <c r="L2624" s="1057"/>
      <c r="M2624" s="1057"/>
      <c r="N2624" s="1058"/>
    </row>
    <row r="2625" spans="1:14" ht="12.75" customHeight="1" x14ac:dyDescent="0.2">
      <c r="A2625" s="1066" t="s">
        <v>38</v>
      </c>
      <c r="B2625" s="1057"/>
      <c r="C2625" s="1057"/>
      <c r="D2625" s="1057"/>
      <c r="E2625" s="1057"/>
      <c r="F2625" s="1057"/>
      <c r="G2625" s="1058"/>
      <c r="H2625" s="28" t="s">
        <v>39</v>
      </c>
      <c r="I2625" s="1062" t="s">
        <v>385</v>
      </c>
      <c r="J2625" s="1058"/>
      <c r="K2625" s="1062" t="s">
        <v>132</v>
      </c>
      <c r="L2625" s="1058"/>
      <c r="M2625" s="1062" t="s">
        <v>386</v>
      </c>
      <c r="N2625" s="1058"/>
    </row>
    <row r="2626" spans="1:14" ht="12.75" customHeight="1" x14ac:dyDescent="0.2">
      <c r="A2626" s="1061"/>
      <c r="B2626" s="1057"/>
      <c r="C2626" s="1057"/>
      <c r="D2626" s="1057"/>
      <c r="E2626" s="1057"/>
      <c r="F2626" s="1057"/>
      <c r="G2626" s="1058"/>
      <c r="H2626" s="9"/>
      <c r="I2626" s="1059"/>
      <c r="J2626" s="1058"/>
      <c r="K2626" s="1064"/>
      <c r="L2626" s="1058"/>
      <c r="M2626" s="1059" t="str">
        <f>IF(A2626="","",I2626*K2626)</f>
        <v/>
      </c>
      <c r="N2626" s="1058"/>
    </row>
    <row r="2627" spans="1:14" ht="12.75" customHeight="1" x14ac:dyDescent="0.2">
      <c r="A2627" s="1056"/>
      <c r="B2627" s="1057"/>
      <c r="C2627" s="1057"/>
      <c r="D2627" s="1057"/>
      <c r="E2627" s="1057"/>
      <c r="F2627" s="1057"/>
      <c r="G2627" s="1058"/>
      <c r="H2627" s="9"/>
      <c r="I2627" s="1059"/>
      <c r="J2627" s="1058"/>
      <c r="K2627" s="1064"/>
      <c r="L2627" s="1058"/>
      <c r="M2627" s="1059" t="str">
        <f>IF(A2627="","",I2627*K2627)</f>
        <v/>
      </c>
      <c r="N2627" s="1058"/>
    </row>
    <row r="2628" spans="1:14" ht="12.75" customHeight="1" x14ac:dyDescent="0.2">
      <c r="A2628" s="1061"/>
      <c r="B2628" s="1057"/>
      <c r="C2628" s="1057"/>
      <c r="D2628" s="1057"/>
      <c r="E2628" s="1057"/>
      <c r="F2628" s="1057"/>
      <c r="G2628" s="1058"/>
      <c r="H2628" s="9"/>
      <c r="I2628" s="1059"/>
      <c r="J2628" s="1058"/>
      <c r="K2628" s="1060"/>
      <c r="L2628" s="1058"/>
      <c r="M2628" s="1059" t="str">
        <f>IF(A2628="","",I2628*K2628)</f>
        <v/>
      </c>
      <c r="N2628" s="1058"/>
    </row>
    <row r="2629" spans="1:14" ht="12.75" customHeight="1" x14ac:dyDescent="0.2">
      <c r="A2629" s="1061"/>
      <c r="B2629" s="1057"/>
      <c r="C2629" s="1057"/>
      <c r="D2629" s="1057"/>
      <c r="E2629" s="1057"/>
      <c r="F2629" s="1057"/>
      <c r="G2629" s="1058"/>
      <c r="H2629" s="9"/>
      <c r="I2629" s="1059"/>
      <c r="J2629" s="1058"/>
      <c r="K2629" s="1060"/>
      <c r="L2629" s="1058"/>
      <c r="M2629" s="1059" t="str">
        <f>IF(A2629="","",I2629*K2629)</f>
        <v/>
      </c>
      <c r="N2629" s="1058"/>
    </row>
    <row r="2630" spans="1:14" ht="12.75" customHeight="1" x14ac:dyDescent="0.2">
      <c r="A2630" s="1061"/>
      <c r="B2630" s="1057"/>
      <c r="C2630" s="1057"/>
      <c r="D2630" s="1057"/>
      <c r="E2630" s="1057"/>
      <c r="F2630" s="1057"/>
      <c r="G2630" s="1058"/>
      <c r="H2630" s="9"/>
      <c r="I2630" s="1059"/>
      <c r="J2630" s="1058"/>
      <c r="K2630" s="1060"/>
      <c r="L2630" s="1058"/>
      <c r="M2630" s="1059" t="str">
        <f>IF(A2630="","",I2630*K2630)</f>
        <v/>
      </c>
      <c r="N2630" s="1058"/>
    </row>
    <row r="2631" spans="1:14" ht="12.75" customHeight="1" x14ac:dyDescent="0.25">
      <c r="A2631" s="3"/>
      <c r="B2631" s="3"/>
      <c r="C2631" s="3"/>
      <c r="D2631" s="3"/>
      <c r="E2631" s="3"/>
      <c r="F2631" s="3"/>
      <c r="G2631" s="3"/>
      <c r="H2631" s="3"/>
      <c r="I2631" s="3"/>
      <c r="J2631" s="3"/>
      <c r="K2631" s="1066" t="s">
        <v>201</v>
      </c>
      <c r="L2631" s="1058"/>
      <c r="M2631" s="1059">
        <f>SUM(M2626:N2630)</f>
        <v>0</v>
      </c>
      <c r="N2631" s="1058"/>
    </row>
    <row r="2632" spans="1:14" ht="12.75" customHeight="1" x14ac:dyDescent="0.25">
      <c r="A2632" s="3"/>
      <c r="B2632" s="3"/>
      <c r="C2632" s="3"/>
      <c r="D2632" s="3"/>
      <c r="E2632" s="3"/>
      <c r="F2632" s="3"/>
      <c r="G2632" s="3"/>
      <c r="H2632" s="3"/>
      <c r="I2632" s="3"/>
      <c r="J2632" s="3"/>
      <c r="K2632" s="3"/>
      <c r="L2632" s="3"/>
      <c r="M2632" s="3"/>
      <c r="N2632" s="3"/>
    </row>
    <row r="2633" spans="1:14" ht="12.75" customHeight="1" x14ac:dyDescent="0.2">
      <c r="A2633" s="1065" t="s">
        <v>394</v>
      </c>
      <c r="B2633" s="1057"/>
      <c r="C2633" s="1057"/>
      <c r="D2633" s="1057"/>
      <c r="E2633" s="1057"/>
      <c r="F2633" s="1057"/>
      <c r="G2633" s="1057"/>
      <c r="H2633" s="1057"/>
      <c r="I2633" s="1057"/>
      <c r="J2633" s="1057"/>
      <c r="K2633" s="1057"/>
      <c r="L2633" s="1057"/>
      <c r="M2633" s="1057"/>
      <c r="N2633" s="1058"/>
    </row>
    <row r="2634" spans="1:14" ht="12.75" customHeight="1" x14ac:dyDescent="0.2">
      <c r="A2634" s="1066" t="s">
        <v>38</v>
      </c>
      <c r="B2634" s="1057"/>
      <c r="C2634" s="1057"/>
      <c r="D2634" s="1057"/>
      <c r="E2634" s="1057"/>
      <c r="F2634" s="1057"/>
      <c r="G2634" s="1058"/>
      <c r="H2634" s="28" t="s">
        <v>39</v>
      </c>
      <c r="I2634" s="1062" t="s">
        <v>385</v>
      </c>
      <c r="J2634" s="1058"/>
      <c r="K2634" s="30" t="s">
        <v>193</v>
      </c>
      <c r="L2634" s="31" t="s">
        <v>395</v>
      </c>
      <c r="M2634" s="1062" t="s">
        <v>386</v>
      </c>
      <c r="N2634" s="1058"/>
    </row>
    <row r="2635" spans="1:14" ht="12.75" customHeight="1" x14ac:dyDescent="0.25">
      <c r="A2635" s="1063" t="s">
        <v>418</v>
      </c>
      <c r="B2635" s="1057"/>
      <c r="C2635" s="1057"/>
      <c r="D2635" s="1057"/>
      <c r="E2635" s="1057"/>
      <c r="F2635" s="1057"/>
      <c r="G2635" s="1058"/>
      <c r="H2635" s="9" t="str">
        <f>IF(A2635="","",VLOOKUP(A2635,AA_Cuadrillas,4,FALSE))</f>
        <v>Cuadrilla</v>
      </c>
      <c r="I2635" s="1059">
        <f>IF(A2635="","",VLOOKUP(A2635,AA_Cuadrillas,5,FALSE))</f>
        <v>280145</v>
      </c>
      <c r="J2635" s="1058"/>
      <c r="K2635" s="1">
        <f>IF(A2635="","",'06'!$J$3)</f>
        <v>1.7233500000000002</v>
      </c>
      <c r="L2635" s="37">
        <v>0.3</v>
      </c>
      <c r="M2635" s="1059">
        <f>IF(A2635="","",I2635*K2635*L2635)</f>
        <v>144836.36572500001</v>
      </c>
      <c r="N2635" s="1058"/>
    </row>
    <row r="2636" spans="1:14" ht="12.75" customHeight="1" x14ac:dyDescent="0.25">
      <c r="A2636" s="1063"/>
      <c r="B2636" s="1057"/>
      <c r="C2636" s="1057"/>
      <c r="D2636" s="1057"/>
      <c r="E2636" s="1057"/>
      <c r="F2636" s="1057"/>
      <c r="G2636" s="1058"/>
      <c r="H2636" s="9" t="str">
        <f>IF(A2636="","",VLOOKUP(A2636,AA_Cuadrillas,4,FALSE))</f>
        <v/>
      </c>
      <c r="I2636" s="1059" t="str">
        <f>IF(A2636="","",VLOOKUP(A2636,AA_Cuadrillas,5,FALSE))</f>
        <v/>
      </c>
      <c r="J2636" s="1058"/>
      <c r="K2636" s="1" t="str">
        <f>IF(A2636="","",'06'!$J$3)</f>
        <v/>
      </c>
      <c r="L2636" s="1"/>
      <c r="M2636" s="1059" t="str">
        <f>IF(A2636="","",I2636*K2636*L2636)</f>
        <v/>
      </c>
      <c r="N2636" s="1058"/>
    </row>
    <row r="2637" spans="1:14" ht="12.75" customHeight="1" x14ac:dyDescent="0.25">
      <c r="A2637" s="1063"/>
      <c r="B2637" s="1057"/>
      <c r="C2637" s="1057"/>
      <c r="D2637" s="1057"/>
      <c r="E2637" s="1057"/>
      <c r="F2637" s="1057"/>
      <c r="G2637" s="1058"/>
      <c r="H2637" s="9" t="str">
        <f>IF(A2637="","",VLOOKUP(A2637,AA_Cuadrillas,4,FALSE))</f>
        <v/>
      </c>
      <c r="I2637" s="1059" t="str">
        <f>IF(A2637="","",VLOOKUP(A2637,AA_Cuadrillas,5,FALSE))</f>
        <v/>
      </c>
      <c r="J2637" s="1058"/>
      <c r="K2637" s="1" t="str">
        <f>IF(A2637="","",'06'!$J$3)</f>
        <v/>
      </c>
      <c r="L2637" s="10"/>
      <c r="M2637" s="1059" t="str">
        <f>IF(A2637="","",I2637*K2637*L2637)</f>
        <v/>
      </c>
      <c r="N2637" s="1058"/>
    </row>
    <row r="2638" spans="1:14" ht="12.75" customHeight="1" x14ac:dyDescent="0.25">
      <c r="A2638" s="1063"/>
      <c r="B2638" s="1057"/>
      <c r="C2638" s="1057"/>
      <c r="D2638" s="1057"/>
      <c r="E2638" s="1057"/>
      <c r="F2638" s="1057"/>
      <c r="G2638" s="1058"/>
      <c r="H2638" s="9" t="str">
        <f>IF(A2638="","",VLOOKUP(A2638,AA_Cuadrillas,4,FALSE))</f>
        <v/>
      </c>
      <c r="I2638" s="1059" t="str">
        <f>IF(A2638="","",VLOOKUP(A2638,AA_Cuadrillas,5,FALSE))</f>
        <v/>
      </c>
      <c r="J2638" s="1058"/>
      <c r="K2638" s="1" t="str">
        <f>IF(A2638="","",'06'!$J$3)</f>
        <v/>
      </c>
      <c r="L2638" s="10"/>
      <c r="M2638" s="1059" t="str">
        <f>IF(A2638="","",I2638*K2638*L2638)</f>
        <v/>
      </c>
      <c r="N2638" s="1058"/>
    </row>
    <row r="2639" spans="1:14" ht="12.75" customHeight="1" x14ac:dyDescent="0.25">
      <c r="A2639" s="1063"/>
      <c r="B2639" s="1057"/>
      <c r="C2639" s="1057"/>
      <c r="D2639" s="1057"/>
      <c r="E2639" s="1057"/>
      <c r="F2639" s="1057"/>
      <c r="G2639" s="1058"/>
      <c r="H2639" s="9" t="str">
        <f>IF(A2639="","",VLOOKUP(A2639,AA_Cuadrillas,4,FALSE))</f>
        <v/>
      </c>
      <c r="I2639" s="1059" t="str">
        <f>IF(A2639="","",VLOOKUP(A2639,AA_Cuadrillas,5,FALSE))</f>
        <v/>
      </c>
      <c r="J2639" s="1058"/>
      <c r="K2639" s="1" t="str">
        <f>IF(A2639="","",'06'!$J$3)</f>
        <v/>
      </c>
      <c r="L2639" s="10"/>
      <c r="M2639" s="1059" t="str">
        <f>IF(A2639="","",I2639*K2639*L2639)</f>
        <v/>
      </c>
      <c r="N2639" s="1058"/>
    </row>
    <row r="2640" spans="1:14" ht="12.75" customHeight="1" x14ac:dyDescent="0.25">
      <c r="A2640" s="3"/>
      <c r="B2640" s="3"/>
      <c r="C2640" s="3"/>
      <c r="D2640" s="3"/>
      <c r="E2640" s="3"/>
      <c r="F2640" s="3"/>
      <c r="G2640" s="3"/>
      <c r="H2640" s="3"/>
      <c r="I2640" s="3"/>
      <c r="J2640" s="3"/>
      <c r="K2640" s="1066" t="s">
        <v>201</v>
      </c>
      <c r="L2640" s="1058"/>
      <c r="M2640" s="1059">
        <f>SUM(M2635:N2639)</f>
        <v>144836.36572500001</v>
      </c>
      <c r="N2640" s="1058"/>
    </row>
    <row r="2641" spans="1:14" ht="12.75" customHeight="1" x14ac:dyDescent="0.2"/>
    <row r="2642" spans="1:14" ht="12.75" customHeight="1" x14ac:dyDescent="0.2">
      <c r="A2642" s="1072" t="s">
        <v>1727</v>
      </c>
      <c r="B2642" s="1052"/>
      <c r="C2642" s="1052"/>
      <c r="D2642" s="1052"/>
      <c r="E2642" s="1052"/>
      <c r="F2642" s="1052"/>
      <c r="G2642" s="1052"/>
      <c r="H2642" s="1052"/>
      <c r="I2642" s="1052"/>
      <c r="J2642" s="1052"/>
      <c r="K2642" s="1052"/>
      <c r="L2642" s="1052"/>
      <c r="M2642" s="1052"/>
      <c r="N2642" s="1053"/>
    </row>
    <row r="2643" spans="1:14" ht="12.75" customHeight="1" x14ac:dyDescent="0.2">
      <c r="A2643" s="1031"/>
      <c r="B2643" s="1032"/>
      <c r="C2643" s="1032"/>
      <c r="D2643" s="1032"/>
      <c r="E2643" s="1032"/>
      <c r="F2643" s="1032"/>
      <c r="G2643" s="1032"/>
      <c r="H2643" s="1032"/>
      <c r="I2643" s="1032"/>
      <c r="J2643" s="1032"/>
      <c r="K2643" s="1032"/>
      <c r="L2643" s="1032"/>
      <c r="M2643" s="1032"/>
      <c r="N2643" s="1055"/>
    </row>
    <row r="2644" spans="1:14" ht="12.75" customHeight="1" x14ac:dyDescent="0.2">
      <c r="A2644" s="16"/>
      <c r="B2644" s="16"/>
      <c r="C2644" s="16"/>
      <c r="D2644" s="16"/>
      <c r="E2644" s="16"/>
      <c r="F2644" s="16"/>
      <c r="G2644" s="16"/>
      <c r="H2644" s="16"/>
      <c r="I2644" s="16"/>
      <c r="J2644" s="16"/>
      <c r="K2644" s="16"/>
      <c r="L2644" s="16"/>
      <c r="M2644" s="16"/>
      <c r="N2644" s="16"/>
    </row>
    <row r="2645" spans="1:14" ht="12.75" customHeight="1" x14ac:dyDescent="0.3">
      <c r="A2645" s="18" t="s">
        <v>352</v>
      </c>
      <c r="B2645" s="19" t="str">
        <f>A2642</f>
        <v>CODO 90° PVC 4" (INCLUYE INSTALACIÓN Y SUMINISTRO)</v>
      </c>
      <c r="C2645" s="20" t="s">
        <v>382</v>
      </c>
      <c r="D2645" s="21" t="s">
        <v>424</v>
      </c>
      <c r="E2645" s="22" t="s">
        <v>125</v>
      </c>
      <c r="F2645" s="26">
        <f>(H2645+J2645+L2645+N2645)*$O$2</f>
        <v>193878.13640487503</v>
      </c>
      <c r="G2645" s="22" t="s">
        <v>285</v>
      </c>
      <c r="H2645" s="26">
        <f>M2666</f>
        <v>2413.9394287500004</v>
      </c>
      <c r="I2645" s="22" t="s">
        <v>383</v>
      </c>
      <c r="J2645" s="36">
        <f>M2657</f>
        <v>98444.3</v>
      </c>
      <c r="K2645" s="22" t="s">
        <v>287</v>
      </c>
      <c r="L2645" s="26">
        <f>M2675</f>
        <v>0</v>
      </c>
      <c r="M2645" s="22" t="s">
        <v>288</v>
      </c>
      <c r="N2645" s="26">
        <f>M2684</f>
        <v>48278.788575000006</v>
      </c>
    </row>
    <row r="2646" spans="1:14" ht="12.75" customHeight="1" x14ac:dyDescent="0.25">
      <c r="A2646" s="27"/>
      <c r="B2646" s="27"/>
      <c r="C2646" s="27"/>
      <c r="D2646" s="27"/>
      <c r="E2646" s="27"/>
      <c r="F2646" s="27"/>
      <c r="G2646" s="27"/>
      <c r="J2646" s="27"/>
      <c r="K2646" s="27"/>
      <c r="L2646" s="27"/>
      <c r="M2646" s="27"/>
      <c r="N2646" s="27"/>
    </row>
    <row r="2647" spans="1:14" ht="12.75" customHeight="1" x14ac:dyDescent="0.2">
      <c r="A2647" s="1065" t="s">
        <v>384</v>
      </c>
      <c r="B2647" s="1057"/>
      <c r="C2647" s="1057"/>
      <c r="D2647" s="1057"/>
      <c r="E2647" s="1057"/>
      <c r="F2647" s="1057"/>
      <c r="G2647" s="1057"/>
      <c r="H2647" s="1057"/>
      <c r="I2647" s="1057"/>
      <c r="J2647" s="1057"/>
      <c r="K2647" s="1057"/>
      <c r="L2647" s="1057"/>
      <c r="M2647" s="1057"/>
      <c r="N2647" s="1058"/>
    </row>
    <row r="2648" spans="1:14" ht="12.75" customHeight="1" x14ac:dyDescent="0.2">
      <c r="A2648" s="1066" t="s">
        <v>38</v>
      </c>
      <c r="B2648" s="1057"/>
      <c r="C2648" s="1057"/>
      <c r="D2648" s="1057"/>
      <c r="E2648" s="1057"/>
      <c r="F2648" s="1057"/>
      <c r="G2648" s="1058"/>
      <c r="H2648" s="28" t="s">
        <v>39</v>
      </c>
      <c r="I2648" s="1062" t="s">
        <v>385</v>
      </c>
      <c r="J2648" s="1058"/>
      <c r="K2648" s="1062" t="s">
        <v>132</v>
      </c>
      <c r="L2648" s="1058"/>
      <c r="M2648" s="1062" t="s">
        <v>386</v>
      </c>
      <c r="N2648" s="1058"/>
    </row>
    <row r="2649" spans="1:14" ht="12.75" customHeight="1" x14ac:dyDescent="0.2">
      <c r="A2649" s="1061" t="s">
        <v>1564</v>
      </c>
      <c r="B2649" s="1057"/>
      <c r="C2649" s="1057"/>
      <c r="D2649" s="1057"/>
      <c r="E2649" s="1057"/>
      <c r="F2649" s="1057"/>
      <c r="G2649" s="1058"/>
      <c r="H2649" s="9" t="str">
        <f t="shared" ref="H2649" si="194">IF(A2649="","",VLOOKUP(A2649,AA_Materiales,7,FALSE))</f>
        <v>Unidad</v>
      </c>
      <c r="I2649" s="1059">
        <f t="shared" ref="I2649" si="195">IF(A2649="","",VLOOKUP(A2649,AA_Materiales,8,FALSE))</f>
        <v>98082</v>
      </c>
      <c r="J2649" s="1058"/>
      <c r="K2649" s="1060">
        <v>1</v>
      </c>
      <c r="L2649" s="1058"/>
      <c r="M2649" s="1059">
        <f t="shared" ref="M2649:M2656" si="196">IF(A2649="","",I2649*K2649)</f>
        <v>98082</v>
      </c>
      <c r="N2649" s="1058"/>
    </row>
    <row r="2650" spans="1:14" ht="12.75" customHeight="1" x14ac:dyDescent="0.2">
      <c r="A2650" s="1061" t="s">
        <v>1603</v>
      </c>
      <c r="B2650" s="1057"/>
      <c r="C2650" s="1057"/>
      <c r="D2650" s="1057"/>
      <c r="E2650" s="1057"/>
      <c r="F2650" s="1057"/>
      <c r="G2650" s="1058"/>
      <c r="H2650" s="9" t="str">
        <f t="shared" ref="H2650:H2656" si="197">IF(A2650="","",VLOOKUP(A2650,AA_Materiales,7,FALSE))</f>
        <v>(1/128) Galón</v>
      </c>
      <c r="I2650" s="1059">
        <f t="shared" ref="I2650:I2656" si="198">IF(A2650="","",VLOOKUP(A2650,AA_Materiales,8,FALSE))</f>
        <v>8539</v>
      </c>
      <c r="J2650" s="1058"/>
      <c r="K2650" s="1060">
        <v>0.02</v>
      </c>
      <c r="L2650" s="1058"/>
      <c r="M2650" s="1059">
        <f t="shared" si="196"/>
        <v>170.78</v>
      </c>
      <c r="N2650" s="1058"/>
    </row>
    <row r="2651" spans="1:14" ht="12.75" customHeight="1" x14ac:dyDescent="0.2">
      <c r="A2651" s="1061" t="s">
        <v>1604</v>
      </c>
      <c r="B2651" s="1057"/>
      <c r="C2651" s="1057"/>
      <c r="D2651" s="1057"/>
      <c r="E2651" s="1057"/>
      <c r="F2651" s="1057"/>
      <c r="G2651" s="1058"/>
      <c r="H2651" s="9" t="str">
        <f t="shared" si="197"/>
        <v>28 gr (1/128)</v>
      </c>
      <c r="I2651" s="1059">
        <f t="shared" si="198"/>
        <v>4788</v>
      </c>
      <c r="J2651" s="1058"/>
      <c r="K2651" s="1060">
        <v>0.04</v>
      </c>
      <c r="L2651" s="1058"/>
      <c r="M2651" s="1059">
        <f t="shared" si="196"/>
        <v>191.52</v>
      </c>
      <c r="N2651" s="1058"/>
    </row>
    <row r="2652" spans="1:14" ht="12.75" customHeight="1" x14ac:dyDescent="0.2">
      <c r="A2652" s="1056"/>
      <c r="B2652" s="1057"/>
      <c r="C2652" s="1057"/>
      <c r="D2652" s="1057"/>
      <c r="E2652" s="1057"/>
      <c r="F2652" s="1057"/>
      <c r="G2652" s="1058"/>
      <c r="H2652" s="9" t="str">
        <f t="shared" si="197"/>
        <v/>
      </c>
      <c r="I2652" s="1059" t="str">
        <f t="shared" si="198"/>
        <v/>
      </c>
      <c r="J2652" s="1058"/>
      <c r="K2652" s="1060"/>
      <c r="L2652" s="1058"/>
      <c r="M2652" s="1059" t="str">
        <f t="shared" si="196"/>
        <v/>
      </c>
      <c r="N2652" s="1058"/>
    </row>
    <row r="2653" spans="1:14" ht="12.75" customHeight="1" x14ac:dyDescent="0.2">
      <c r="A2653" s="1056"/>
      <c r="B2653" s="1057"/>
      <c r="C2653" s="1057"/>
      <c r="D2653" s="1057"/>
      <c r="E2653" s="1057"/>
      <c r="F2653" s="1057"/>
      <c r="G2653" s="1058"/>
      <c r="H2653" s="9" t="str">
        <f t="shared" si="197"/>
        <v/>
      </c>
      <c r="I2653" s="1059" t="str">
        <f t="shared" si="198"/>
        <v/>
      </c>
      <c r="J2653" s="1058"/>
      <c r="K2653" s="1060"/>
      <c r="L2653" s="1058"/>
      <c r="M2653" s="1059" t="str">
        <f t="shared" si="196"/>
        <v/>
      </c>
      <c r="N2653" s="1058"/>
    </row>
    <row r="2654" spans="1:14" ht="12.75" customHeight="1" x14ac:dyDescent="0.2">
      <c r="A2654" s="1056"/>
      <c r="B2654" s="1057"/>
      <c r="C2654" s="1057"/>
      <c r="D2654" s="1057"/>
      <c r="E2654" s="1057"/>
      <c r="F2654" s="1057"/>
      <c r="G2654" s="1058"/>
      <c r="H2654" s="9" t="str">
        <f t="shared" si="197"/>
        <v/>
      </c>
      <c r="I2654" s="1059" t="str">
        <f t="shared" si="198"/>
        <v/>
      </c>
      <c r="J2654" s="1058"/>
      <c r="K2654" s="1060"/>
      <c r="L2654" s="1058"/>
      <c r="M2654" s="1059" t="str">
        <f t="shared" si="196"/>
        <v/>
      </c>
      <c r="N2654" s="1058"/>
    </row>
    <row r="2655" spans="1:14" ht="12.75" customHeight="1" x14ac:dyDescent="0.2">
      <c r="A2655" s="1056"/>
      <c r="B2655" s="1057"/>
      <c r="C2655" s="1057"/>
      <c r="D2655" s="1057"/>
      <c r="E2655" s="1057"/>
      <c r="F2655" s="1057"/>
      <c r="G2655" s="1058"/>
      <c r="H2655" s="9" t="str">
        <f t="shared" si="197"/>
        <v/>
      </c>
      <c r="I2655" s="1059" t="str">
        <f t="shared" si="198"/>
        <v/>
      </c>
      <c r="J2655" s="1058"/>
      <c r="K2655" s="1060"/>
      <c r="L2655" s="1058"/>
      <c r="M2655" s="1059" t="str">
        <f t="shared" si="196"/>
        <v/>
      </c>
      <c r="N2655" s="1058"/>
    </row>
    <row r="2656" spans="1:14" ht="12.75" customHeight="1" x14ac:dyDescent="0.2">
      <c r="A2656" s="1056"/>
      <c r="B2656" s="1057"/>
      <c r="C2656" s="1057"/>
      <c r="D2656" s="1057"/>
      <c r="E2656" s="1057"/>
      <c r="F2656" s="1057"/>
      <c r="G2656" s="1058"/>
      <c r="H2656" s="9" t="str">
        <f t="shared" si="197"/>
        <v/>
      </c>
      <c r="I2656" s="1059" t="str">
        <f t="shared" si="198"/>
        <v/>
      </c>
      <c r="J2656" s="1058"/>
      <c r="K2656" s="1060"/>
      <c r="L2656" s="1058"/>
      <c r="M2656" s="1059" t="str">
        <f t="shared" si="196"/>
        <v/>
      </c>
      <c r="N2656" s="1058"/>
    </row>
    <row r="2657" spans="1:15" ht="12.75" customHeight="1" x14ac:dyDescent="0.25">
      <c r="A2657" s="3"/>
      <c r="B2657" s="3"/>
      <c r="C2657" s="3"/>
      <c r="D2657" s="3"/>
      <c r="E2657" s="3"/>
      <c r="F2657" s="3"/>
      <c r="G2657" s="3"/>
      <c r="H2657" s="3"/>
      <c r="I2657" s="3"/>
      <c r="J2657" s="3"/>
      <c r="K2657" s="1066" t="s">
        <v>201</v>
      </c>
      <c r="L2657" s="1058"/>
      <c r="M2657" s="1059">
        <f>SUM(M2649:N2656)</f>
        <v>98444.3</v>
      </c>
      <c r="N2657" s="1058"/>
    </row>
    <row r="2658" spans="1:15" ht="12.75" customHeight="1" x14ac:dyDescent="0.25">
      <c r="A2658" s="3"/>
      <c r="B2658" s="3"/>
      <c r="C2658" s="3"/>
      <c r="D2658" s="3"/>
      <c r="E2658" s="3"/>
      <c r="F2658" s="3"/>
      <c r="G2658" s="3"/>
      <c r="H2658" s="3"/>
      <c r="I2658" s="3"/>
      <c r="J2658" s="3"/>
      <c r="K2658" s="3"/>
      <c r="L2658" s="3"/>
      <c r="M2658" s="3"/>
      <c r="N2658" s="3"/>
    </row>
    <row r="2659" spans="1:15" ht="12.75" customHeight="1" x14ac:dyDescent="0.2">
      <c r="A2659" s="1065" t="s">
        <v>390</v>
      </c>
      <c r="B2659" s="1057"/>
      <c r="C2659" s="1057"/>
      <c r="D2659" s="1057"/>
      <c r="E2659" s="1057"/>
      <c r="F2659" s="1057"/>
      <c r="G2659" s="1057"/>
      <c r="H2659" s="1057"/>
      <c r="I2659" s="1057"/>
      <c r="J2659" s="1057"/>
      <c r="K2659" s="1057"/>
      <c r="L2659" s="1057"/>
      <c r="M2659" s="1057"/>
      <c r="N2659" s="1058"/>
    </row>
    <row r="2660" spans="1:15" ht="12.75" customHeight="1" x14ac:dyDescent="0.2">
      <c r="A2660" s="1066" t="s">
        <v>38</v>
      </c>
      <c r="B2660" s="1057"/>
      <c r="C2660" s="1057"/>
      <c r="D2660" s="1057"/>
      <c r="E2660" s="1057"/>
      <c r="F2660" s="1057"/>
      <c r="G2660" s="1058"/>
      <c r="H2660" s="28" t="s">
        <v>39</v>
      </c>
      <c r="I2660" s="1062" t="s">
        <v>385</v>
      </c>
      <c r="J2660" s="1058"/>
      <c r="K2660" s="1062" t="s">
        <v>132</v>
      </c>
      <c r="L2660" s="1058"/>
      <c r="M2660" s="1062" t="s">
        <v>386</v>
      </c>
      <c r="N2660" s="1058"/>
    </row>
    <row r="2661" spans="1:15" ht="12.75" customHeight="1" x14ac:dyDescent="0.2">
      <c r="A2661" s="1061" t="s">
        <v>391</v>
      </c>
      <c r="B2661" s="1057"/>
      <c r="C2661" s="1057"/>
      <c r="D2661" s="1057"/>
      <c r="E2661" s="1057"/>
      <c r="F2661" s="1057"/>
      <c r="G2661" s="1058"/>
      <c r="H2661" s="9" t="str">
        <f>IF(A2661="","",VLOOKUP(A2661,AA_Equipos,7,FALSE))</f>
        <v>% M.O.</v>
      </c>
      <c r="I2661" s="1059">
        <f>+M2684</f>
        <v>48278.788575000006</v>
      </c>
      <c r="J2661" s="1058"/>
      <c r="K2661" s="1064">
        <v>0.05</v>
      </c>
      <c r="L2661" s="1058"/>
      <c r="M2661" s="1059">
        <f>IF(A2661="","",I2661*K2661)</f>
        <v>2413.9394287500004</v>
      </c>
      <c r="N2661" s="1058"/>
    </row>
    <row r="2662" spans="1:15" ht="12.75" customHeight="1" x14ac:dyDescent="0.2">
      <c r="A2662" s="1056"/>
      <c r="B2662" s="1057"/>
      <c r="C2662" s="1057"/>
      <c r="D2662" s="1057"/>
      <c r="E2662" s="1057"/>
      <c r="F2662" s="1057"/>
      <c r="G2662" s="1058"/>
      <c r="H2662" s="9" t="str">
        <f>IF(A2662="","",VLOOKUP(A2662,AA_Equipos,7,FALSE))</f>
        <v/>
      </c>
      <c r="I2662" s="1059" t="str">
        <f>IF(A2662="","",VLOOKUP(A2662,AA_Equipos,8,FALSE))</f>
        <v/>
      </c>
      <c r="J2662" s="1058"/>
      <c r="K2662" s="1067"/>
      <c r="L2662" s="1058"/>
      <c r="M2662" s="1059" t="str">
        <f>IF(A2662="","",I2662*K2662)</f>
        <v/>
      </c>
      <c r="N2662" s="1058"/>
    </row>
    <row r="2663" spans="1:15" ht="12.75" customHeight="1" x14ac:dyDescent="0.2">
      <c r="A2663" s="1061"/>
      <c r="B2663" s="1057"/>
      <c r="C2663" s="1057"/>
      <c r="D2663" s="1057"/>
      <c r="E2663" s="1057"/>
      <c r="F2663" s="1057"/>
      <c r="G2663" s="1058"/>
      <c r="H2663" s="9" t="str">
        <f>IF(A2663="","",VLOOKUP(A2663,AA_Equipos,7,FALSE))</f>
        <v/>
      </c>
      <c r="I2663" s="1059" t="str">
        <f>IF(A2663="","",VLOOKUP(A2663,AA_Equipos,8,FALSE))</f>
        <v/>
      </c>
      <c r="J2663" s="1058"/>
      <c r="K2663" s="1070"/>
      <c r="L2663" s="1058"/>
      <c r="M2663" s="1059" t="str">
        <f>IF(A2663="","",I2663*K2663)</f>
        <v/>
      </c>
      <c r="N2663" s="1058"/>
    </row>
    <row r="2664" spans="1:15" ht="12.75" customHeight="1" x14ac:dyDescent="0.2">
      <c r="A2664" s="1061"/>
      <c r="B2664" s="1057"/>
      <c r="C2664" s="1057"/>
      <c r="D2664" s="1057"/>
      <c r="E2664" s="1057"/>
      <c r="F2664" s="1057"/>
      <c r="G2664" s="1058"/>
      <c r="H2664" s="9" t="str">
        <f>IF(A2664="","",VLOOKUP(A2664,AA_Equipos,7,FALSE))</f>
        <v/>
      </c>
      <c r="I2664" s="1059" t="str">
        <f>IF(A2664="","",VLOOKUP(A2664,AA_Equipos,8,FALSE))</f>
        <v/>
      </c>
      <c r="J2664" s="1058"/>
      <c r="K2664" s="1060"/>
      <c r="L2664" s="1058"/>
      <c r="M2664" s="1059" t="str">
        <f>IF(A2664="","",I2664*K2664)</f>
        <v/>
      </c>
      <c r="N2664" s="1058"/>
    </row>
    <row r="2665" spans="1:15" ht="12.75" customHeight="1" x14ac:dyDescent="0.2">
      <c r="A2665" s="1061"/>
      <c r="B2665" s="1057"/>
      <c r="C2665" s="1057"/>
      <c r="D2665" s="1057"/>
      <c r="E2665" s="1057"/>
      <c r="F2665" s="1057"/>
      <c r="G2665" s="1058"/>
      <c r="H2665" s="9" t="str">
        <f>IF(A2665="","",VLOOKUP(A2665,AA_Equipos,7,FALSE))</f>
        <v/>
      </c>
      <c r="I2665" s="1059" t="str">
        <f>IF(A2665="","",VLOOKUP(A2665,AA_Equipos,8,FALSE))</f>
        <v/>
      </c>
      <c r="J2665" s="1058"/>
      <c r="K2665" s="1060"/>
      <c r="L2665" s="1058"/>
      <c r="M2665" s="1059" t="str">
        <f>IF(A2665="","",I2665*K2665)</f>
        <v/>
      </c>
      <c r="N2665" s="1058"/>
      <c r="O2665" s="7"/>
    </row>
    <row r="2666" spans="1:15" ht="12.75" customHeight="1" x14ac:dyDescent="0.25">
      <c r="A2666" s="3"/>
      <c r="B2666" s="3"/>
      <c r="C2666" s="3"/>
      <c r="D2666" s="3"/>
      <c r="E2666" s="3"/>
      <c r="F2666" s="3"/>
      <c r="G2666" s="3"/>
      <c r="H2666" s="3"/>
      <c r="I2666" s="3"/>
      <c r="J2666" s="3"/>
      <c r="K2666" s="1066" t="s">
        <v>201</v>
      </c>
      <c r="L2666" s="1058"/>
      <c r="M2666" s="1059">
        <f>SUM(M2661:N2665)</f>
        <v>2413.9394287500004</v>
      </c>
      <c r="N2666" s="1058"/>
      <c r="O2666" s="7"/>
    </row>
    <row r="2667" spans="1:15" ht="12.75" customHeight="1" x14ac:dyDescent="0.25">
      <c r="A2667" s="3"/>
      <c r="B2667" s="3"/>
      <c r="C2667" s="3"/>
      <c r="D2667" s="3"/>
      <c r="E2667" s="3"/>
      <c r="F2667" s="3"/>
      <c r="G2667" s="3"/>
      <c r="H2667" s="3"/>
      <c r="I2667" s="3"/>
      <c r="J2667" s="3"/>
      <c r="K2667" s="3"/>
      <c r="L2667" s="3"/>
      <c r="M2667" s="3"/>
      <c r="N2667" s="3"/>
    </row>
    <row r="2668" spans="1:15" ht="12.75" customHeight="1" x14ac:dyDescent="0.2">
      <c r="A2668" s="1065" t="s">
        <v>392</v>
      </c>
      <c r="B2668" s="1057"/>
      <c r="C2668" s="1057"/>
      <c r="D2668" s="1057"/>
      <c r="E2668" s="1057"/>
      <c r="F2668" s="1057"/>
      <c r="G2668" s="1057"/>
      <c r="H2668" s="1057"/>
      <c r="I2668" s="1057"/>
      <c r="J2668" s="1057"/>
      <c r="K2668" s="1057"/>
      <c r="L2668" s="1057"/>
      <c r="M2668" s="1057"/>
      <c r="N2668" s="1058"/>
    </row>
    <row r="2669" spans="1:15" ht="12.75" customHeight="1" x14ac:dyDescent="0.2">
      <c r="A2669" s="1066" t="s">
        <v>38</v>
      </c>
      <c r="B2669" s="1057"/>
      <c r="C2669" s="1057"/>
      <c r="D2669" s="1057"/>
      <c r="E2669" s="1057"/>
      <c r="F2669" s="1057"/>
      <c r="G2669" s="1058"/>
      <c r="H2669" s="28" t="s">
        <v>39</v>
      </c>
      <c r="I2669" s="1062" t="s">
        <v>385</v>
      </c>
      <c r="J2669" s="1058"/>
      <c r="K2669" s="1062" t="s">
        <v>132</v>
      </c>
      <c r="L2669" s="1058"/>
      <c r="M2669" s="1062" t="s">
        <v>386</v>
      </c>
      <c r="N2669" s="1058"/>
    </row>
    <row r="2670" spans="1:15" ht="12.75" customHeight="1" x14ac:dyDescent="0.2">
      <c r="A2670" s="1061"/>
      <c r="B2670" s="1057"/>
      <c r="C2670" s="1057"/>
      <c r="D2670" s="1057"/>
      <c r="E2670" s="1057"/>
      <c r="F2670" s="1057"/>
      <c r="G2670" s="1058"/>
      <c r="H2670" s="9"/>
      <c r="I2670" s="1059"/>
      <c r="J2670" s="1058"/>
      <c r="K2670" s="1064"/>
      <c r="L2670" s="1058"/>
      <c r="M2670" s="1059" t="str">
        <f>IF(A2670="","",I2670*K2670)</f>
        <v/>
      </c>
      <c r="N2670" s="1058"/>
    </row>
    <row r="2671" spans="1:15" ht="12.75" customHeight="1" x14ac:dyDescent="0.2">
      <c r="A2671" s="1056"/>
      <c r="B2671" s="1057"/>
      <c r="C2671" s="1057"/>
      <c r="D2671" s="1057"/>
      <c r="E2671" s="1057"/>
      <c r="F2671" s="1057"/>
      <c r="G2671" s="1058"/>
      <c r="H2671" s="9"/>
      <c r="I2671" s="1059"/>
      <c r="J2671" s="1058"/>
      <c r="K2671" s="1064"/>
      <c r="L2671" s="1058"/>
      <c r="M2671" s="1059" t="str">
        <f>IF(A2671="","",I2671*K2671)</f>
        <v/>
      </c>
      <c r="N2671" s="1058"/>
    </row>
    <row r="2672" spans="1:15" ht="12.75" customHeight="1" x14ac:dyDescent="0.2">
      <c r="A2672" s="1061"/>
      <c r="B2672" s="1057"/>
      <c r="C2672" s="1057"/>
      <c r="D2672" s="1057"/>
      <c r="E2672" s="1057"/>
      <c r="F2672" s="1057"/>
      <c r="G2672" s="1058"/>
      <c r="H2672" s="9"/>
      <c r="I2672" s="1059"/>
      <c r="J2672" s="1058"/>
      <c r="K2672" s="1060"/>
      <c r="L2672" s="1058"/>
      <c r="M2672" s="1059" t="str">
        <f>IF(A2672="","",I2672*K2672)</f>
        <v/>
      </c>
      <c r="N2672" s="1058"/>
    </row>
    <row r="2673" spans="1:14" ht="12.75" customHeight="1" x14ac:dyDescent="0.2">
      <c r="A2673" s="1061"/>
      <c r="B2673" s="1057"/>
      <c r="C2673" s="1057"/>
      <c r="D2673" s="1057"/>
      <c r="E2673" s="1057"/>
      <c r="F2673" s="1057"/>
      <c r="G2673" s="1058"/>
      <c r="H2673" s="9"/>
      <c r="I2673" s="1059"/>
      <c r="J2673" s="1058"/>
      <c r="K2673" s="1060"/>
      <c r="L2673" s="1058"/>
      <c r="M2673" s="1059" t="str">
        <f>IF(A2673="","",I2673*K2673)</f>
        <v/>
      </c>
      <c r="N2673" s="1058"/>
    </row>
    <row r="2674" spans="1:14" ht="12.75" customHeight="1" x14ac:dyDescent="0.2">
      <c r="A2674" s="1061"/>
      <c r="B2674" s="1057"/>
      <c r="C2674" s="1057"/>
      <c r="D2674" s="1057"/>
      <c r="E2674" s="1057"/>
      <c r="F2674" s="1057"/>
      <c r="G2674" s="1058"/>
      <c r="H2674" s="9"/>
      <c r="I2674" s="1059"/>
      <c r="J2674" s="1058"/>
      <c r="K2674" s="1060"/>
      <c r="L2674" s="1058"/>
      <c r="M2674" s="1059" t="str">
        <f>IF(A2674="","",I2674*K2674)</f>
        <v/>
      </c>
      <c r="N2674" s="1058"/>
    </row>
    <row r="2675" spans="1:14" ht="12.75" customHeight="1" x14ac:dyDescent="0.25">
      <c r="A2675" s="3"/>
      <c r="B2675" s="3"/>
      <c r="C2675" s="3"/>
      <c r="D2675" s="3"/>
      <c r="E2675" s="3"/>
      <c r="F2675" s="3"/>
      <c r="G2675" s="3"/>
      <c r="H2675" s="3"/>
      <c r="I2675" s="3"/>
      <c r="J2675" s="3"/>
      <c r="K2675" s="1066" t="s">
        <v>201</v>
      </c>
      <c r="L2675" s="1058"/>
      <c r="M2675" s="1059">
        <f>SUM(M2670:N2674)</f>
        <v>0</v>
      </c>
      <c r="N2675" s="1058"/>
    </row>
    <row r="2676" spans="1:14" ht="12.75" customHeight="1" x14ac:dyDescent="0.25">
      <c r="A2676" s="3"/>
      <c r="B2676" s="3"/>
      <c r="C2676" s="3"/>
      <c r="D2676" s="3"/>
      <c r="E2676" s="3"/>
      <c r="F2676" s="3"/>
      <c r="G2676" s="3"/>
      <c r="H2676" s="3"/>
      <c r="I2676" s="3"/>
      <c r="J2676" s="3"/>
      <c r="K2676" s="3"/>
      <c r="L2676" s="3"/>
      <c r="M2676" s="3"/>
      <c r="N2676" s="3"/>
    </row>
    <row r="2677" spans="1:14" ht="12.75" customHeight="1" x14ac:dyDescent="0.2">
      <c r="A2677" s="1065" t="s">
        <v>394</v>
      </c>
      <c r="B2677" s="1057"/>
      <c r="C2677" s="1057"/>
      <c r="D2677" s="1057"/>
      <c r="E2677" s="1057"/>
      <c r="F2677" s="1057"/>
      <c r="G2677" s="1057"/>
      <c r="H2677" s="1057"/>
      <c r="I2677" s="1057"/>
      <c r="J2677" s="1057"/>
      <c r="K2677" s="1057"/>
      <c r="L2677" s="1057"/>
      <c r="M2677" s="1057"/>
      <c r="N2677" s="1058"/>
    </row>
    <row r="2678" spans="1:14" ht="12.75" customHeight="1" x14ac:dyDescent="0.2">
      <c r="A2678" s="1066" t="s">
        <v>38</v>
      </c>
      <c r="B2678" s="1057"/>
      <c r="C2678" s="1057"/>
      <c r="D2678" s="1057"/>
      <c r="E2678" s="1057"/>
      <c r="F2678" s="1057"/>
      <c r="G2678" s="1058"/>
      <c r="H2678" s="28" t="s">
        <v>39</v>
      </c>
      <c r="I2678" s="1062" t="s">
        <v>385</v>
      </c>
      <c r="J2678" s="1058"/>
      <c r="K2678" s="30" t="s">
        <v>193</v>
      </c>
      <c r="L2678" s="31" t="s">
        <v>395</v>
      </c>
      <c r="M2678" s="1062" t="s">
        <v>386</v>
      </c>
      <c r="N2678" s="1058"/>
    </row>
    <row r="2679" spans="1:14" ht="12.75" customHeight="1" x14ac:dyDescent="0.25">
      <c r="A2679" s="1063" t="s">
        <v>418</v>
      </c>
      <c r="B2679" s="1057"/>
      <c r="C2679" s="1057"/>
      <c r="D2679" s="1057"/>
      <c r="E2679" s="1057"/>
      <c r="F2679" s="1057"/>
      <c r="G2679" s="1058"/>
      <c r="H2679" s="9" t="str">
        <f>IF(A2679="","",VLOOKUP(A2679,AA_Cuadrillas,4,FALSE))</f>
        <v>Cuadrilla</v>
      </c>
      <c r="I2679" s="1059">
        <f>IF(A2679="","",VLOOKUP(A2679,AA_Cuadrillas,5,FALSE))</f>
        <v>280145</v>
      </c>
      <c r="J2679" s="1058"/>
      <c r="K2679" s="1">
        <f>IF(A2679="","",'06'!$J$3)</f>
        <v>1.7233500000000002</v>
      </c>
      <c r="L2679" s="37">
        <v>0.1</v>
      </c>
      <c r="M2679" s="1059">
        <f>IF(A2679="","",I2679*K2679*L2679)</f>
        <v>48278.788575000006</v>
      </c>
      <c r="N2679" s="1058"/>
    </row>
    <row r="2680" spans="1:14" ht="12.75" customHeight="1" x14ac:dyDescent="0.25">
      <c r="A2680" s="1063"/>
      <c r="B2680" s="1057"/>
      <c r="C2680" s="1057"/>
      <c r="D2680" s="1057"/>
      <c r="E2680" s="1057"/>
      <c r="F2680" s="1057"/>
      <c r="G2680" s="1058"/>
      <c r="H2680" s="9" t="str">
        <f>IF(A2680="","",VLOOKUP(A2680,AA_Cuadrillas,4,FALSE))</f>
        <v/>
      </c>
      <c r="I2680" s="1059" t="str">
        <f>IF(A2680="","",VLOOKUP(A2680,AA_Cuadrillas,5,FALSE))</f>
        <v/>
      </c>
      <c r="J2680" s="1058"/>
      <c r="K2680" s="1" t="str">
        <f>IF(A2680="","",'06'!$J$3)</f>
        <v/>
      </c>
      <c r="L2680" s="1"/>
      <c r="M2680" s="1059" t="str">
        <f>IF(A2680="","",I2680*K2680*L2680)</f>
        <v/>
      </c>
      <c r="N2680" s="1058"/>
    </row>
    <row r="2681" spans="1:14" ht="12.75" customHeight="1" x14ac:dyDescent="0.25">
      <c r="A2681" s="1063"/>
      <c r="B2681" s="1057"/>
      <c r="C2681" s="1057"/>
      <c r="D2681" s="1057"/>
      <c r="E2681" s="1057"/>
      <c r="F2681" s="1057"/>
      <c r="G2681" s="1058"/>
      <c r="H2681" s="9" t="str">
        <f>IF(A2681="","",VLOOKUP(A2681,AA_Cuadrillas,4,FALSE))</f>
        <v/>
      </c>
      <c r="I2681" s="1059" t="str">
        <f>IF(A2681="","",VLOOKUP(A2681,AA_Cuadrillas,5,FALSE))</f>
        <v/>
      </c>
      <c r="J2681" s="1058"/>
      <c r="K2681" s="1" t="str">
        <f>IF(A2681="","",'06'!$J$3)</f>
        <v/>
      </c>
      <c r="L2681" s="10"/>
      <c r="M2681" s="1059" t="str">
        <f>IF(A2681="","",I2681*K2681*L2681)</f>
        <v/>
      </c>
      <c r="N2681" s="1058"/>
    </row>
    <row r="2682" spans="1:14" ht="12.75" customHeight="1" x14ac:dyDescent="0.25">
      <c r="A2682" s="1063"/>
      <c r="B2682" s="1057"/>
      <c r="C2682" s="1057"/>
      <c r="D2682" s="1057"/>
      <c r="E2682" s="1057"/>
      <c r="F2682" s="1057"/>
      <c r="G2682" s="1058"/>
      <c r="H2682" s="9" t="str">
        <f>IF(A2682="","",VLOOKUP(A2682,AA_Cuadrillas,4,FALSE))</f>
        <v/>
      </c>
      <c r="I2682" s="1059" t="str">
        <f>IF(A2682="","",VLOOKUP(A2682,AA_Cuadrillas,5,FALSE))</f>
        <v/>
      </c>
      <c r="J2682" s="1058"/>
      <c r="K2682" s="1" t="str">
        <f>IF(A2682="","",'06'!$J$3)</f>
        <v/>
      </c>
      <c r="L2682" s="10"/>
      <c r="M2682" s="1059" t="str">
        <f>IF(A2682="","",I2682*K2682*L2682)</f>
        <v/>
      </c>
      <c r="N2682" s="1058"/>
    </row>
    <row r="2683" spans="1:14" ht="12.75" customHeight="1" x14ac:dyDescent="0.25">
      <c r="A2683" s="1063"/>
      <c r="B2683" s="1057"/>
      <c r="C2683" s="1057"/>
      <c r="D2683" s="1057"/>
      <c r="E2683" s="1057"/>
      <c r="F2683" s="1057"/>
      <c r="G2683" s="1058"/>
      <c r="H2683" s="9" t="str">
        <f>IF(A2683="","",VLOOKUP(A2683,AA_Cuadrillas,4,FALSE))</f>
        <v/>
      </c>
      <c r="I2683" s="1059" t="str">
        <f>IF(A2683="","",VLOOKUP(A2683,AA_Cuadrillas,5,FALSE))</f>
        <v/>
      </c>
      <c r="J2683" s="1058"/>
      <c r="K2683" s="1" t="str">
        <f>IF(A2683="","",'06'!$J$3)</f>
        <v/>
      </c>
      <c r="L2683" s="10"/>
      <c r="M2683" s="1059" t="str">
        <f>IF(A2683="","",I2683*K2683*L2683)</f>
        <v/>
      </c>
      <c r="N2683" s="1058"/>
    </row>
    <row r="2684" spans="1:14" ht="12.75" customHeight="1" x14ac:dyDescent="0.25">
      <c r="A2684" s="3"/>
      <c r="B2684" s="3"/>
      <c r="C2684" s="3"/>
      <c r="D2684" s="3"/>
      <c r="E2684" s="3"/>
      <c r="F2684" s="3"/>
      <c r="G2684" s="3"/>
      <c r="H2684" s="3"/>
      <c r="I2684" s="3"/>
      <c r="J2684" s="3"/>
      <c r="K2684" s="1066" t="s">
        <v>201</v>
      </c>
      <c r="L2684" s="1058"/>
      <c r="M2684" s="1059">
        <f>SUM(M2679:N2683)</f>
        <v>48278.788575000006</v>
      </c>
      <c r="N2684" s="1058"/>
    </row>
    <row r="2685" spans="1:14" ht="12.75" customHeight="1" x14ac:dyDescent="0.2"/>
    <row r="2686" spans="1:14" ht="12.75" customHeight="1" x14ac:dyDescent="0.2">
      <c r="A2686" s="1072" t="s">
        <v>1728</v>
      </c>
      <c r="B2686" s="1052"/>
      <c r="C2686" s="1052"/>
      <c r="D2686" s="1052"/>
      <c r="E2686" s="1052"/>
      <c r="F2686" s="1052"/>
      <c r="G2686" s="1052"/>
      <c r="H2686" s="1052"/>
      <c r="I2686" s="1052"/>
      <c r="J2686" s="1052"/>
      <c r="K2686" s="1052"/>
      <c r="L2686" s="1052"/>
      <c r="M2686" s="1052"/>
      <c r="N2686" s="1053"/>
    </row>
    <row r="2687" spans="1:14" ht="12.75" customHeight="1" x14ac:dyDescent="0.2">
      <c r="A2687" s="1031"/>
      <c r="B2687" s="1032"/>
      <c r="C2687" s="1032"/>
      <c r="D2687" s="1032"/>
      <c r="E2687" s="1032"/>
      <c r="F2687" s="1032"/>
      <c r="G2687" s="1032"/>
      <c r="H2687" s="1032"/>
      <c r="I2687" s="1032"/>
      <c r="J2687" s="1032"/>
      <c r="K2687" s="1032"/>
      <c r="L2687" s="1032"/>
      <c r="M2687" s="1032"/>
      <c r="N2687" s="1055"/>
    </row>
    <row r="2688" spans="1:14" ht="12.75" customHeight="1" x14ac:dyDescent="0.2">
      <c r="A2688" s="16"/>
      <c r="B2688" s="16"/>
      <c r="C2688" s="16"/>
      <c r="D2688" s="16"/>
      <c r="E2688" s="16"/>
      <c r="F2688" s="16"/>
      <c r="G2688" s="16"/>
      <c r="H2688" s="16"/>
      <c r="I2688" s="16"/>
      <c r="J2688" s="16"/>
      <c r="K2688" s="16"/>
      <c r="L2688" s="16"/>
      <c r="M2688" s="16"/>
      <c r="N2688" s="16"/>
    </row>
    <row r="2689" spans="1:14" ht="12.75" customHeight="1" x14ac:dyDescent="0.3">
      <c r="A2689" s="18" t="s">
        <v>353</v>
      </c>
      <c r="B2689" s="19" t="str">
        <f>A2686</f>
        <v>CODO 90° PVC 6" (INCLUYE INSTALACIÓN Y SUMINISTRO)</v>
      </c>
      <c r="C2689" s="20" t="s">
        <v>382</v>
      </c>
      <c r="D2689" s="21" t="s">
        <v>424</v>
      </c>
      <c r="E2689" s="22" t="s">
        <v>125</v>
      </c>
      <c r="F2689" s="26">
        <f>(H2689+J2689+L2689+N2689)*$O$2</f>
        <v>372738.80353563622</v>
      </c>
      <c r="G2689" s="22" t="s">
        <v>285</v>
      </c>
      <c r="H2689" s="26">
        <f>M2710</f>
        <v>4113.8979317082849</v>
      </c>
      <c r="I2689" s="22" t="s">
        <v>383</v>
      </c>
      <c r="J2689" s="36">
        <f>M2701</f>
        <v>200330.3</v>
      </c>
      <c r="K2689" s="22" t="s">
        <v>287</v>
      </c>
      <c r="L2689" s="26">
        <f>M2719</f>
        <v>0</v>
      </c>
      <c r="M2689" s="22" t="s">
        <v>288</v>
      </c>
      <c r="N2689" s="26">
        <f>M2728</f>
        <v>82277.958634165698</v>
      </c>
    </row>
    <row r="2690" spans="1:14" ht="12.75" customHeight="1" x14ac:dyDescent="0.25">
      <c r="A2690" s="27"/>
      <c r="B2690" s="27"/>
      <c r="C2690" s="27"/>
      <c r="D2690" s="27"/>
      <c r="E2690" s="27"/>
      <c r="F2690" s="27"/>
      <c r="G2690" s="27"/>
      <c r="J2690" s="27"/>
      <c r="K2690" s="27"/>
      <c r="L2690" s="27"/>
      <c r="M2690" s="27"/>
      <c r="N2690" s="27"/>
    </row>
    <row r="2691" spans="1:14" ht="12.75" customHeight="1" x14ac:dyDescent="0.2">
      <c r="A2691" s="1065" t="s">
        <v>384</v>
      </c>
      <c r="B2691" s="1057"/>
      <c r="C2691" s="1057"/>
      <c r="D2691" s="1057"/>
      <c r="E2691" s="1057"/>
      <c r="F2691" s="1057"/>
      <c r="G2691" s="1057"/>
      <c r="H2691" s="1057"/>
      <c r="I2691" s="1057"/>
      <c r="J2691" s="1057"/>
      <c r="K2691" s="1057"/>
      <c r="L2691" s="1057"/>
      <c r="M2691" s="1057"/>
      <c r="N2691" s="1058"/>
    </row>
    <row r="2692" spans="1:14" ht="12.75" customHeight="1" x14ac:dyDescent="0.2">
      <c r="A2692" s="1066" t="s">
        <v>38</v>
      </c>
      <c r="B2692" s="1057"/>
      <c r="C2692" s="1057"/>
      <c r="D2692" s="1057"/>
      <c r="E2692" s="1057"/>
      <c r="F2692" s="1057"/>
      <c r="G2692" s="1058"/>
      <c r="H2692" s="28" t="s">
        <v>39</v>
      </c>
      <c r="I2692" s="1062" t="s">
        <v>385</v>
      </c>
      <c r="J2692" s="1058"/>
      <c r="K2692" s="1062" t="s">
        <v>132</v>
      </c>
      <c r="L2692" s="1058"/>
      <c r="M2692" s="1062" t="s">
        <v>386</v>
      </c>
      <c r="N2692" s="1058"/>
    </row>
    <row r="2693" spans="1:14" ht="12.75" customHeight="1" x14ac:dyDescent="0.2">
      <c r="A2693" s="1061" t="s">
        <v>1565</v>
      </c>
      <c r="B2693" s="1057"/>
      <c r="C2693" s="1057"/>
      <c r="D2693" s="1057"/>
      <c r="E2693" s="1057"/>
      <c r="F2693" s="1057"/>
      <c r="G2693" s="1058"/>
      <c r="H2693" s="9" t="str">
        <f t="shared" ref="H2693:H2695" si="199">IF(A2693="","",VLOOKUP(A2693,AA_Materiales,7,FALSE))</f>
        <v>Unidad</v>
      </c>
      <c r="I2693" s="1059">
        <f t="shared" ref="I2693:I2695" si="200">IF(A2693="","",VLOOKUP(A2693,AA_Materiales,8,FALSE))</f>
        <v>199968</v>
      </c>
      <c r="J2693" s="1058"/>
      <c r="K2693" s="1060">
        <v>1</v>
      </c>
      <c r="L2693" s="1058"/>
      <c r="M2693" s="1059">
        <f t="shared" ref="M2693:M2700" si="201">IF(A2693="","",I2693*K2693)</f>
        <v>199968</v>
      </c>
      <c r="N2693" s="1058"/>
    </row>
    <row r="2694" spans="1:14" ht="12.75" customHeight="1" x14ac:dyDescent="0.2">
      <c r="A2694" s="1061" t="s">
        <v>1603</v>
      </c>
      <c r="B2694" s="1057"/>
      <c r="C2694" s="1057"/>
      <c r="D2694" s="1057"/>
      <c r="E2694" s="1057"/>
      <c r="F2694" s="1057"/>
      <c r="G2694" s="1058"/>
      <c r="H2694" s="9" t="str">
        <f t="shared" si="199"/>
        <v>(1/128) Galón</v>
      </c>
      <c r="I2694" s="1059">
        <f t="shared" si="200"/>
        <v>8539</v>
      </c>
      <c r="J2694" s="1058"/>
      <c r="K2694" s="1060">
        <v>0.02</v>
      </c>
      <c r="L2694" s="1058"/>
      <c r="M2694" s="1059">
        <f t="shared" si="201"/>
        <v>170.78</v>
      </c>
      <c r="N2694" s="1058"/>
    </row>
    <row r="2695" spans="1:14" ht="12.75" customHeight="1" x14ac:dyDescent="0.2">
      <c r="A2695" s="1061" t="s">
        <v>1604</v>
      </c>
      <c r="B2695" s="1057"/>
      <c r="C2695" s="1057"/>
      <c r="D2695" s="1057"/>
      <c r="E2695" s="1057"/>
      <c r="F2695" s="1057"/>
      <c r="G2695" s="1058"/>
      <c r="H2695" s="9" t="str">
        <f t="shared" si="199"/>
        <v>28 gr (1/128)</v>
      </c>
      <c r="I2695" s="1059">
        <f t="shared" si="200"/>
        <v>4788</v>
      </c>
      <c r="J2695" s="1058"/>
      <c r="K2695" s="1060">
        <v>0.04</v>
      </c>
      <c r="L2695" s="1058"/>
      <c r="M2695" s="1059">
        <f t="shared" si="201"/>
        <v>191.52</v>
      </c>
      <c r="N2695" s="1058"/>
    </row>
    <row r="2696" spans="1:14" ht="12.75" customHeight="1" x14ac:dyDescent="0.2">
      <c r="A2696" s="1056"/>
      <c r="B2696" s="1057"/>
      <c r="C2696" s="1057"/>
      <c r="D2696" s="1057"/>
      <c r="E2696" s="1057"/>
      <c r="F2696" s="1057"/>
      <c r="G2696" s="1058"/>
      <c r="H2696" s="9" t="str">
        <f t="shared" ref="H2696:H2700" si="202">IF(A2696="","",VLOOKUP(A2696,AA_Materiales,7,FALSE))</f>
        <v/>
      </c>
      <c r="I2696" s="1059" t="str">
        <f t="shared" ref="I2696:I2700" si="203">IF(A2696="","",VLOOKUP(A2696,AA_Materiales,8,FALSE))</f>
        <v/>
      </c>
      <c r="J2696" s="1058"/>
      <c r="K2696" s="1060"/>
      <c r="L2696" s="1058"/>
      <c r="M2696" s="1059" t="str">
        <f t="shared" si="201"/>
        <v/>
      </c>
      <c r="N2696" s="1058"/>
    </row>
    <row r="2697" spans="1:14" ht="12.75" customHeight="1" x14ac:dyDescent="0.2">
      <c r="A2697" s="1056"/>
      <c r="B2697" s="1057"/>
      <c r="C2697" s="1057"/>
      <c r="D2697" s="1057"/>
      <c r="E2697" s="1057"/>
      <c r="F2697" s="1057"/>
      <c r="G2697" s="1058"/>
      <c r="H2697" s="9" t="str">
        <f t="shared" si="202"/>
        <v/>
      </c>
      <c r="I2697" s="1059" t="str">
        <f t="shared" si="203"/>
        <v/>
      </c>
      <c r="J2697" s="1058"/>
      <c r="K2697" s="1060"/>
      <c r="L2697" s="1058"/>
      <c r="M2697" s="1059" t="str">
        <f t="shared" si="201"/>
        <v/>
      </c>
      <c r="N2697" s="1058"/>
    </row>
    <row r="2698" spans="1:14" ht="12.75" customHeight="1" x14ac:dyDescent="0.2">
      <c r="A2698" s="1056"/>
      <c r="B2698" s="1057"/>
      <c r="C2698" s="1057"/>
      <c r="D2698" s="1057"/>
      <c r="E2698" s="1057"/>
      <c r="F2698" s="1057"/>
      <c r="G2698" s="1058"/>
      <c r="H2698" s="9" t="str">
        <f t="shared" si="202"/>
        <v/>
      </c>
      <c r="I2698" s="1059" t="str">
        <f t="shared" si="203"/>
        <v/>
      </c>
      <c r="J2698" s="1058"/>
      <c r="K2698" s="1060"/>
      <c r="L2698" s="1058"/>
      <c r="M2698" s="1059" t="str">
        <f t="shared" si="201"/>
        <v/>
      </c>
      <c r="N2698" s="1058"/>
    </row>
    <row r="2699" spans="1:14" ht="12.75" customHeight="1" x14ac:dyDescent="0.2">
      <c r="A2699" s="1056"/>
      <c r="B2699" s="1057"/>
      <c r="C2699" s="1057"/>
      <c r="D2699" s="1057"/>
      <c r="E2699" s="1057"/>
      <c r="F2699" s="1057"/>
      <c r="G2699" s="1058"/>
      <c r="H2699" s="9" t="str">
        <f t="shared" si="202"/>
        <v/>
      </c>
      <c r="I2699" s="1059" t="str">
        <f t="shared" si="203"/>
        <v/>
      </c>
      <c r="J2699" s="1058"/>
      <c r="K2699" s="1060"/>
      <c r="L2699" s="1058"/>
      <c r="M2699" s="1059" t="str">
        <f t="shared" si="201"/>
        <v/>
      </c>
      <c r="N2699" s="1058"/>
    </row>
    <row r="2700" spans="1:14" ht="12.75" customHeight="1" x14ac:dyDescent="0.2">
      <c r="A2700" s="1056"/>
      <c r="B2700" s="1057"/>
      <c r="C2700" s="1057"/>
      <c r="D2700" s="1057"/>
      <c r="E2700" s="1057"/>
      <c r="F2700" s="1057"/>
      <c r="G2700" s="1058"/>
      <c r="H2700" s="9" t="str">
        <f t="shared" si="202"/>
        <v/>
      </c>
      <c r="I2700" s="1059" t="str">
        <f t="shared" si="203"/>
        <v/>
      </c>
      <c r="J2700" s="1058"/>
      <c r="K2700" s="1060"/>
      <c r="L2700" s="1058"/>
      <c r="M2700" s="1059" t="str">
        <f t="shared" si="201"/>
        <v/>
      </c>
      <c r="N2700" s="1058"/>
    </row>
    <row r="2701" spans="1:14" ht="12.75" customHeight="1" x14ac:dyDescent="0.25">
      <c r="A2701" s="3"/>
      <c r="B2701" s="3"/>
      <c r="C2701" s="3"/>
      <c r="D2701" s="3"/>
      <c r="E2701" s="3"/>
      <c r="F2701" s="3"/>
      <c r="G2701" s="3"/>
      <c r="H2701" s="3"/>
      <c r="I2701" s="3"/>
      <c r="J2701" s="3"/>
      <c r="K2701" s="1066" t="s">
        <v>201</v>
      </c>
      <c r="L2701" s="1058"/>
      <c r="M2701" s="1059">
        <f>SUM(M2693:N2700)</f>
        <v>200330.3</v>
      </c>
      <c r="N2701" s="1058"/>
    </row>
    <row r="2702" spans="1:14" ht="12.75" customHeight="1" x14ac:dyDescent="0.25">
      <c r="A2702" s="3"/>
      <c r="B2702" s="3"/>
      <c r="C2702" s="3"/>
      <c r="D2702" s="3"/>
      <c r="E2702" s="3"/>
      <c r="F2702" s="3"/>
      <c r="G2702" s="3"/>
      <c r="H2702" s="3"/>
      <c r="I2702" s="3"/>
      <c r="J2702" s="3"/>
      <c r="K2702" s="3"/>
      <c r="L2702" s="3"/>
      <c r="M2702" s="3"/>
      <c r="N2702" s="3"/>
    </row>
    <row r="2703" spans="1:14" ht="12.75" customHeight="1" x14ac:dyDescent="0.2">
      <c r="A2703" s="1065" t="s">
        <v>390</v>
      </c>
      <c r="B2703" s="1057"/>
      <c r="C2703" s="1057"/>
      <c r="D2703" s="1057"/>
      <c r="E2703" s="1057"/>
      <c r="F2703" s="1057"/>
      <c r="G2703" s="1057"/>
      <c r="H2703" s="1057"/>
      <c r="I2703" s="1057"/>
      <c r="J2703" s="1057"/>
      <c r="K2703" s="1057"/>
      <c r="L2703" s="1057"/>
      <c r="M2703" s="1057"/>
      <c r="N2703" s="1058"/>
    </row>
    <row r="2704" spans="1:14" ht="12.75" customHeight="1" x14ac:dyDescent="0.2">
      <c r="A2704" s="1066" t="s">
        <v>38</v>
      </c>
      <c r="B2704" s="1057"/>
      <c r="C2704" s="1057"/>
      <c r="D2704" s="1057"/>
      <c r="E2704" s="1057"/>
      <c r="F2704" s="1057"/>
      <c r="G2704" s="1058"/>
      <c r="H2704" s="28" t="s">
        <v>39</v>
      </c>
      <c r="I2704" s="1062" t="s">
        <v>385</v>
      </c>
      <c r="J2704" s="1058"/>
      <c r="K2704" s="1062" t="s">
        <v>132</v>
      </c>
      <c r="L2704" s="1058"/>
      <c r="M2704" s="1062" t="s">
        <v>386</v>
      </c>
      <c r="N2704" s="1058"/>
    </row>
    <row r="2705" spans="1:15" ht="12.75" customHeight="1" x14ac:dyDescent="0.2">
      <c r="A2705" s="1061" t="s">
        <v>391</v>
      </c>
      <c r="B2705" s="1057"/>
      <c r="C2705" s="1057"/>
      <c r="D2705" s="1057"/>
      <c r="E2705" s="1057"/>
      <c r="F2705" s="1057"/>
      <c r="G2705" s="1058"/>
      <c r="H2705" s="9" t="str">
        <f>IF(A2705="","",VLOOKUP(A2705,AA_Equipos,7,FALSE))</f>
        <v>% M.O.</v>
      </c>
      <c r="I2705" s="1059">
        <f>+M2728</f>
        <v>82277.958634165698</v>
      </c>
      <c r="J2705" s="1058"/>
      <c r="K2705" s="1064">
        <v>0.05</v>
      </c>
      <c r="L2705" s="1058"/>
      <c r="M2705" s="1059">
        <f>IF(A2705="","",I2705*K2705)</f>
        <v>4113.8979317082849</v>
      </c>
      <c r="N2705" s="1058"/>
    </row>
    <row r="2706" spans="1:15" ht="12.75" customHeight="1" x14ac:dyDescent="0.2">
      <c r="A2706" s="1056"/>
      <c r="B2706" s="1057"/>
      <c r="C2706" s="1057"/>
      <c r="D2706" s="1057"/>
      <c r="E2706" s="1057"/>
      <c r="F2706" s="1057"/>
      <c r="G2706" s="1058"/>
      <c r="H2706" s="9" t="str">
        <f>IF(A2706="","",VLOOKUP(A2706,AA_Equipos,7,FALSE))</f>
        <v/>
      </c>
      <c r="I2706" s="1059" t="str">
        <f>IF(A2706="","",VLOOKUP(A2706,AA_Equipos,8,FALSE))</f>
        <v/>
      </c>
      <c r="J2706" s="1058"/>
      <c r="K2706" s="1067"/>
      <c r="L2706" s="1058"/>
      <c r="M2706" s="1059" t="str">
        <f>IF(A2706="","",I2706*K2706)</f>
        <v/>
      </c>
      <c r="N2706" s="1058"/>
    </row>
    <row r="2707" spans="1:15" ht="12.75" customHeight="1" x14ac:dyDescent="0.2">
      <c r="A2707" s="1061"/>
      <c r="B2707" s="1057"/>
      <c r="C2707" s="1057"/>
      <c r="D2707" s="1057"/>
      <c r="E2707" s="1057"/>
      <c r="F2707" s="1057"/>
      <c r="G2707" s="1058"/>
      <c r="H2707" s="9" t="str">
        <f>IF(A2707="","",VLOOKUP(A2707,AA_Equipos,7,FALSE))</f>
        <v/>
      </c>
      <c r="I2707" s="1059" t="str">
        <f>IF(A2707="","",VLOOKUP(A2707,AA_Equipos,8,FALSE))</f>
        <v/>
      </c>
      <c r="J2707" s="1058"/>
      <c r="K2707" s="1070"/>
      <c r="L2707" s="1058"/>
      <c r="M2707" s="1059" t="str">
        <f>IF(A2707="","",I2707*K2707)</f>
        <v/>
      </c>
      <c r="N2707" s="1058"/>
    </row>
    <row r="2708" spans="1:15" ht="12.75" customHeight="1" x14ac:dyDescent="0.2">
      <c r="A2708" s="1061"/>
      <c r="B2708" s="1057"/>
      <c r="C2708" s="1057"/>
      <c r="D2708" s="1057"/>
      <c r="E2708" s="1057"/>
      <c r="F2708" s="1057"/>
      <c r="G2708" s="1058"/>
      <c r="H2708" s="9" t="str">
        <f>IF(A2708="","",VLOOKUP(A2708,AA_Equipos,7,FALSE))</f>
        <v/>
      </c>
      <c r="I2708" s="1059" t="str">
        <f>IF(A2708="","",VLOOKUP(A2708,AA_Equipos,8,FALSE))</f>
        <v/>
      </c>
      <c r="J2708" s="1058"/>
      <c r="K2708" s="1060"/>
      <c r="L2708" s="1058"/>
      <c r="M2708" s="1059" t="str">
        <f>IF(A2708="","",I2708*K2708)</f>
        <v/>
      </c>
      <c r="N2708" s="1058"/>
    </row>
    <row r="2709" spans="1:15" ht="12.75" customHeight="1" x14ac:dyDescent="0.2">
      <c r="A2709" s="1061"/>
      <c r="B2709" s="1057"/>
      <c r="C2709" s="1057"/>
      <c r="D2709" s="1057"/>
      <c r="E2709" s="1057"/>
      <c r="F2709" s="1057"/>
      <c r="G2709" s="1058"/>
      <c r="H2709" s="9" t="str">
        <f>IF(A2709="","",VLOOKUP(A2709,AA_Equipos,7,FALSE))</f>
        <v/>
      </c>
      <c r="I2709" s="1059" t="str">
        <f>IF(A2709="","",VLOOKUP(A2709,AA_Equipos,8,FALSE))</f>
        <v/>
      </c>
      <c r="J2709" s="1058"/>
      <c r="K2709" s="1060"/>
      <c r="L2709" s="1058"/>
      <c r="M2709" s="1059" t="str">
        <f>IF(A2709="","",I2709*K2709)</f>
        <v/>
      </c>
      <c r="N2709" s="1058"/>
      <c r="O2709" s="7"/>
    </row>
    <row r="2710" spans="1:15" ht="12.75" customHeight="1" x14ac:dyDescent="0.25">
      <c r="A2710" s="3"/>
      <c r="B2710" s="3"/>
      <c r="C2710" s="3"/>
      <c r="D2710" s="3"/>
      <c r="E2710" s="3"/>
      <c r="F2710" s="3"/>
      <c r="G2710" s="3"/>
      <c r="H2710" s="3"/>
      <c r="I2710" s="3"/>
      <c r="J2710" s="3"/>
      <c r="K2710" s="1066" t="s">
        <v>201</v>
      </c>
      <c r="L2710" s="1058"/>
      <c r="M2710" s="1059">
        <f>SUM(M2705:N2709)</f>
        <v>4113.8979317082849</v>
      </c>
      <c r="N2710" s="1058"/>
      <c r="O2710" s="7"/>
    </row>
    <row r="2711" spans="1:15" ht="12.75" customHeight="1" x14ac:dyDescent="0.25">
      <c r="A2711" s="3"/>
      <c r="B2711" s="3"/>
      <c r="C2711" s="3"/>
      <c r="D2711" s="3"/>
      <c r="E2711" s="3"/>
      <c r="F2711" s="3"/>
      <c r="G2711" s="3"/>
      <c r="H2711" s="3"/>
      <c r="I2711" s="3"/>
      <c r="J2711" s="3"/>
      <c r="K2711" s="3"/>
      <c r="L2711" s="3"/>
      <c r="M2711" s="3"/>
      <c r="N2711" s="3"/>
    </row>
    <row r="2712" spans="1:15" ht="12.75" customHeight="1" x14ac:dyDescent="0.2">
      <c r="A2712" s="1065" t="s">
        <v>392</v>
      </c>
      <c r="B2712" s="1057"/>
      <c r="C2712" s="1057"/>
      <c r="D2712" s="1057"/>
      <c r="E2712" s="1057"/>
      <c r="F2712" s="1057"/>
      <c r="G2712" s="1057"/>
      <c r="H2712" s="1057"/>
      <c r="I2712" s="1057"/>
      <c r="J2712" s="1057"/>
      <c r="K2712" s="1057"/>
      <c r="L2712" s="1057"/>
      <c r="M2712" s="1057"/>
      <c r="N2712" s="1058"/>
    </row>
    <row r="2713" spans="1:15" ht="12.75" customHeight="1" x14ac:dyDescent="0.2">
      <c r="A2713" s="1066" t="s">
        <v>38</v>
      </c>
      <c r="B2713" s="1057"/>
      <c r="C2713" s="1057"/>
      <c r="D2713" s="1057"/>
      <c r="E2713" s="1057"/>
      <c r="F2713" s="1057"/>
      <c r="G2713" s="1058"/>
      <c r="H2713" s="28" t="s">
        <v>39</v>
      </c>
      <c r="I2713" s="1062" t="s">
        <v>385</v>
      </c>
      <c r="J2713" s="1058"/>
      <c r="K2713" s="1062" t="s">
        <v>132</v>
      </c>
      <c r="L2713" s="1058"/>
      <c r="M2713" s="1062" t="s">
        <v>386</v>
      </c>
      <c r="N2713" s="1058"/>
    </row>
    <row r="2714" spans="1:15" ht="12.75" customHeight="1" x14ac:dyDescent="0.2">
      <c r="A2714" s="1061"/>
      <c r="B2714" s="1057"/>
      <c r="C2714" s="1057"/>
      <c r="D2714" s="1057"/>
      <c r="E2714" s="1057"/>
      <c r="F2714" s="1057"/>
      <c r="G2714" s="1058"/>
      <c r="H2714" s="9"/>
      <c r="I2714" s="1059"/>
      <c r="J2714" s="1058"/>
      <c r="K2714" s="1064"/>
      <c r="L2714" s="1058"/>
      <c r="M2714" s="1059" t="str">
        <f>IF(A2714="","",I2714*K2714)</f>
        <v/>
      </c>
      <c r="N2714" s="1058"/>
    </row>
    <row r="2715" spans="1:15" ht="12.75" customHeight="1" x14ac:dyDescent="0.2">
      <c r="A2715" s="1056"/>
      <c r="B2715" s="1057"/>
      <c r="C2715" s="1057"/>
      <c r="D2715" s="1057"/>
      <c r="E2715" s="1057"/>
      <c r="F2715" s="1057"/>
      <c r="G2715" s="1058"/>
      <c r="H2715" s="9"/>
      <c r="I2715" s="1059"/>
      <c r="J2715" s="1058"/>
      <c r="K2715" s="1064"/>
      <c r="L2715" s="1058"/>
      <c r="M2715" s="1059" t="str">
        <f>IF(A2715="","",I2715*K2715)</f>
        <v/>
      </c>
      <c r="N2715" s="1058"/>
    </row>
    <row r="2716" spans="1:15" ht="12.75" customHeight="1" x14ac:dyDescent="0.2">
      <c r="A2716" s="1061"/>
      <c r="B2716" s="1057"/>
      <c r="C2716" s="1057"/>
      <c r="D2716" s="1057"/>
      <c r="E2716" s="1057"/>
      <c r="F2716" s="1057"/>
      <c r="G2716" s="1058"/>
      <c r="H2716" s="9"/>
      <c r="I2716" s="1059"/>
      <c r="J2716" s="1058"/>
      <c r="K2716" s="1060"/>
      <c r="L2716" s="1058"/>
      <c r="M2716" s="1059" t="str">
        <f>IF(A2716="","",I2716*K2716)</f>
        <v/>
      </c>
      <c r="N2716" s="1058"/>
    </row>
    <row r="2717" spans="1:15" ht="12.75" customHeight="1" x14ac:dyDescent="0.2">
      <c r="A2717" s="1061"/>
      <c r="B2717" s="1057"/>
      <c r="C2717" s="1057"/>
      <c r="D2717" s="1057"/>
      <c r="E2717" s="1057"/>
      <c r="F2717" s="1057"/>
      <c r="G2717" s="1058"/>
      <c r="H2717" s="9"/>
      <c r="I2717" s="1059"/>
      <c r="J2717" s="1058"/>
      <c r="K2717" s="1060"/>
      <c r="L2717" s="1058"/>
      <c r="M2717" s="1059" t="str">
        <f>IF(A2717="","",I2717*K2717)</f>
        <v/>
      </c>
      <c r="N2717" s="1058"/>
    </row>
    <row r="2718" spans="1:15" ht="12.75" customHeight="1" x14ac:dyDescent="0.2">
      <c r="A2718" s="1061"/>
      <c r="B2718" s="1057"/>
      <c r="C2718" s="1057"/>
      <c r="D2718" s="1057"/>
      <c r="E2718" s="1057"/>
      <c r="F2718" s="1057"/>
      <c r="G2718" s="1058"/>
      <c r="H2718" s="9"/>
      <c r="I2718" s="1059"/>
      <c r="J2718" s="1058"/>
      <c r="K2718" s="1060"/>
      <c r="L2718" s="1058"/>
      <c r="M2718" s="1059" t="str">
        <f>IF(A2718="","",I2718*K2718)</f>
        <v/>
      </c>
      <c r="N2718" s="1058"/>
    </row>
    <row r="2719" spans="1:15" ht="12.75" customHeight="1" x14ac:dyDescent="0.25">
      <c r="A2719" s="3"/>
      <c r="B2719" s="3"/>
      <c r="C2719" s="3"/>
      <c r="D2719" s="3"/>
      <c r="E2719" s="3"/>
      <c r="F2719" s="3"/>
      <c r="G2719" s="3"/>
      <c r="H2719" s="3"/>
      <c r="I2719" s="3"/>
      <c r="J2719" s="3"/>
      <c r="K2719" s="1066" t="s">
        <v>201</v>
      </c>
      <c r="L2719" s="1058"/>
      <c r="M2719" s="1059">
        <f>SUM(M2714:N2718)</f>
        <v>0</v>
      </c>
      <c r="N2719" s="1058"/>
    </row>
    <row r="2720" spans="1:15" ht="12.75" customHeight="1" x14ac:dyDescent="0.25">
      <c r="A2720" s="3"/>
      <c r="B2720" s="3"/>
      <c r="C2720" s="3"/>
      <c r="D2720" s="3"/>
      <c r="E2720" s="3"/>
      <c r="F2720" s="3"/>
      <c r="G2720" s="3"/>
      <c r="H2720" s="3"/>
      <c r="I2720" s="3"/>
      <c r="J2720" s="3"/>
      <c r="K2720" s="3"/>
      <c r="L2720" s="3"/>
      <c r="M2720" s="3"/>
      <c r="N2720" s="3"/>
    </row>
    <row r="2721" spans="1:14" ht="12.75" customHeight="1" x14ac:dyDescent="0.2">
      <c r="A2721" s="1065" t="s">
        <v>394</v>
      </c>
      <c r="B2721" s="1057"/>
      <c r="C2721" s="1057"/>
      <c r="D2721" s="1057"/>
      <c r="E2721" s="1057"/>
      <c r="F2721" s="1057"/>
      <c r="G2721" s="1057"/>
      <c r="H2721" s="1057"/>
      <c r="I2721" s="1057"/>
      <c r="J2721" s="1057"/>
      <c r="K2721" s="1057"/>
      <c r="L2721" s="1057"/>
      <c r="M2721" s="1057"/>
      <c r="N2721" s="1058"/>
    </row>
    <row r="2722" spans="1:14" ht="12.75" customHeight="1" x14ac:dyDescent="0.2">
      <c r="A2722" s="1066" t="s">
        <v>38</v>
      </c>
      <c r="B2722" s="1057"/>
      <c r="C2722" s="1057"/>
      <c r="D2722" s="1057"/>
      <c r="E2722" s="1057"/>
      <c r="F2722" s="1057"/>
      <c r="G2722" s="1058"/>
      <c r="H2722" s="28" t="s">
        <v>39</v>
      </c>
      <c r="I2722" s="1062" t="s">
        <v>385</v>
      </c>
      <c r="J2722" s="1058"/>
      <c r="K2722" s="30" t="s">
        <v>193</v>
      </c>
      <c r="L2722" s="31" t="s">
        <v>395</v>
      </c>
      <c r="M2722" s="1062" t="s">
        <v>386</v>
      </c>
      <c r="N2722" s="1058"/>
    </row>
    <row r="2723" spans="1:14" ht="12.75" customHeight="1" x14ac:dyDescent="0.25">
      <c r="A2723" s="1063" t="s">
        <v>418</v>
      </c>
      <c r="B2723" s="1057"/>
      <c r="C2723" s="1057"/>
      <c r="D2723" s="1057"/>
      <c r="E2723" s="1057"/>
      <c r="F2723" s="1057"/>
      <c r="G2723" s="1058"/>
      <c r="H2723" s="9" t="str">
        <f>IF(A2723="","",VLOOKUP(A2723,AA_Cuadrillas,4,FALSE))</f>
        <v>Cuadrilla</v>
      </c>
      <c r="I2723" s="1059">
        <f>IF(A2723="","",VLOOKUP(A2723,AA_Cuadrillas,5,FALSE))</f>
        <v>280145</v>
      </c>
      <c r="J2723" s="1058"/>
      <c r="K2723" s="1">
        <f>IF(A2723="","",'06'!$J$3)</f>
        <v>1.7233500000000002</v>
      </c>
      <c r="L2723" s="37">
        <v>0.17042258321446643</v>
      </c>
      <c r="M2723" s="1059">
        <f>IF(A2723="","",I2723*K2723*L2723)</f>
        <v>82277.958634165698</v>
      </c>
      <c r="N2723" s="1058"/>
    </row>
    <row r="2724" spans="1:14" ht="12.75" customHeight="1" x14ac:dyDescent="0.25">
      <c r="A2724" s="1063"/>
      <c r="B2724" s="1057"/>
      <c r="C2724" s="1057"/>
      <c r="D2724" s="1057"/>
      <c r="E2724" s="1057"/>
      <c r="F2724" s="1057"/>
      <c r="G2724" s="1058"/>
      <c r="H2724" s="9" t="str">
        <f>IF(A2724="","",VLOOKUP(A2724,AA_Cuadrillas,4,FALSE))</f>
        <v/>
      </c>
      <c r="I2724" s="1059" t="str">
        <f>IF(A2724="","",VLOOKUP(A2724,AA_Cuadrillas,5,FALSE))</f>
        <v/>
      </c>
      <c r="J2724" s="1058"/>
      <c r="K2724" s="1" t="str">
        <f>IF(A2724="","",'06'!$J$3)</f>
        <v/>
      </c>
      <c r="L2724" s="1"/>
      <c r="M2724" s="1059" t="str">
        <f>IF(A2724="","",I2724*K2724*L2724)</f>
        <v/>
      </c>
      <c r="N2724" s="1058"/>
    </row>
    <row r="2725" spans="1:14" ht="12.75" customHeight="1" x14ac:dyDescent="0.25">
      <c r="A2725" s="1063"/>
      <c r="B2725" s="1057"/>
      <c r="C2725" s="1057"/>
      <c r="D2725" s="1057"/>
      <c r="E2725" s="1057"/>
      <c r="F2725" s="1057"/>
      <c r="G2725" s="1058"/>
      <c r="H2725" s="9" t="str">
        <f>IF(A2725="","",VLOOKUP(A2725,AA_Cuadrillas,4,FALSE))</f>
        <v/>
      </c>
      <c r="I2725" s="1059" t="str">
        <f>IF(A2725="","",VLOOKUP(A2725,AA_Cuadrillas,5,FALSE))</f>
        <v/>
      </c>
      <c r="J2725" s="1058"/>
      <c r="K2725" s="1" t="str">
        <f>IF(A2725="","",'06'!$J$3)</f>
        <v/>
      </c>
      <c r="L2725" s="10"/>
      <c r="M2725" s="1059" t="str">
        <f>IF(A2725="","",I2725*K2725*L2725)</f>
        <v/>
      </c>
      <c r="N2725" s="1058"/>
    </row>
    <row r="2726" spans="1:14" ht="12.75" customHeight="1" x14ac:dyDescent="0.25">
      <c r="A2726" s="1063"/>
      <c r="B2726" s="1057"/>
      <c r="C2726" s="1057"/>
      <c r="D2726" s="1057"/>
      <c r="E2726" s="1057"/>
      <c r="F2726" s="1057"/>
      <c r="G2726" s="1058"/>
      <c r="H2726" s="9" t="str">
        <f>IF(A2726="","",VLOOKUP(A2726,AA_Cuadrillas,4,FALSE))</f>
        <v/>
      </c>
      <c r="I2726" s="1059" t="str">
        <f>IF(A2726="","",VLOOKUP(A2726,AA_Cuadrillas,5,FALSE))</f>
        <v/>
      </c>
      <c r="J2726" s="1058"/>
      <c r="K2726" s="1" t="str">
        <f>IF(A2726="","",'06'!$J$3)</f>
        <v/>
      </c>
      <c r="L2726" s="10"/>
      <c r="M2726" s="1059" t="str">
        <f>IF(A2726="","",I2726*K2726*L2726)</f>
        <v/>
      </c>
      <c r="N2726" s="1058"/>
    </row>
    <row r="2727" spans="1:14" ht="12.75" customHeight="1" x14ac:dyDescent="0.25">
      <c r="A2727" s="1063"/>
      <c r="B2727" s="1057"/>
      <c r="C2727" s="1057"/>
      <c r="D2727" s="1057"/>
      <c r="E2727" s="1057"/>
      <c r="F2727" s="1057"/>
      <c r="G2727" s="1058"/>
      <c r="H2727" s="9" t="str">
        <f>IF(A2727="","",VLOOKUP(A2727,AA_Cuadrillas,4,FALSE))</f>
        <v/>
      </c>
      <c r="I2727" s="1059" t="str">
        <f>IF(A2727="","",VLOOKUP(A2727,AA_Cuadrillas,5,FALSE))</f>
        <v/>
      </c>
      <c r="J2727" s="1058"/>
      <c r="K2727" s="1" t="str">
        <f>IF(A2727="","",'06'!$J$3)</f>
        <v/>
      </c>
      <c r="L2727" s="10"/>
      <c r="M2727" s="1059" t="str">
        <f>IF(A2727="","",I2727*K2727*L2727)</f>
        <v/>
      </c>
      <c r="N2727" s="1058"/>
    </row>
    <row r="2728" spans="1:14" ht="12.75" customHeight="1" x14ac:dyDescent="0.25">
      <c r="A2728" s="3"/>
      <c r="B2728" s="3"/>
      <c r="C2728" s="3"/>
      <c r="D2728" s="3"/>
      <c r="E2728" s="3"/>
      <c r="F2728" s="3"/>
      <c r="G2728" s="3"/>
      <c r="H2728" s="3"/>
      <c r="I2728" s="3"/>
      <c r="J2728" s="3"/>
      <c r="K2728" s="1066" t="s">
        <v>201</v>
      </c>
      <c r="L2728" s="1058"/>
      <c r="M2728" s="1059">
        <f>SUM(M2723:N2727)</f>
        <v>82277.958634165698</v>
      </c>
      <c r="N2728" s="1058"/>
    </row>
    <row r="2729" spans="1:14" ht="12.75" customHeight="1" x14ac:dyDescent="0.2"/>
    <row r="2730" spans="1:14" ht="12.75" customHeight="1" x14ac:dyDescent="0.2">
      <c r="A2730" s="1072" t="s">
        <v>1729</v>
      </c>
      <c r="B2730" s="1052"/>
      <c r="C2730" s="1052"/>
      <c r="D2730" s="1052"/>
      <c r="E2730" s="1052"/>
      <c r="F2730" s="1052"/>
      <c r="G2730" s="1052"/>
      <c r="H2730" s="1052"/>
      <c r="I2730" s="1052"/>
      <c r="J2730" s="1052"/>
      <c r="K2730" s="1052"/>
      <c r="L2730" s="1052"/>
      <c r="M2730" s="1052"/>
      <c r="N2730" s="1053"/>
    </row>
    <row r="2731" spans="1:14" ht="12.75" customHeight="1" x14ac:dyDescent="0.2">
      <c r="A2731" s="1031"/>
      <c r="B2731" s="1032"/>
      <c r="C2731" s="1032"/>
      <c r="D2731" s="1032"/>
      <c r="E2731" s="1032"/>
      <c r="F2731" s="1032"/>
      <c r="G2731" s="1032"/>
      <c r="H2731" s="1032"/>
      <c r="I2731" s="1032"/>
      <c r="J2731" s="1032"/>
      <c r="K2731" s="1032"/>
      <c r="L2731" s="1032"/>
      <c r="M2731" s="1032"/>
      <c r="N2731" s="1055"/>
    </row>
    <row r="2732" spans="1:14" ht="12.75" customHeight="1" x14ac:dyDescent="0.2">
      <c r="A2732" s="16"/>
      <c r="B2732" s="16"/>
      <c r="C2732" s="16"/>
      <c r="D2732" s="16"/>
      <c r="E2732" s="16"/>
      <c r="F2732" s="16"/>
      <c r="G2732" s="16"/>
      <c r="H2732" s="16"/>
      <c r="I2732" s="16"/>
      <c r="J2732" s="16"/>
      <c r="K2732" s="16"/>
      <c r="L2732" s="16"/>
      <c r="M2732" s="16"/>
      <c r="N2732" s="16"/>
    </row>
    <row r="2733" spans="1:14" ht="12.75" customHeight="1" x14ac:dyDescent="0.3">
      <c r="A2733" s="18" t="s">
        <v>354</v>
      </c>
      <c r="B2733" s="19" t="str">
        <f>A2730</f>
        <v>VALVULA FLOTADOR TIPO DIAFRAGMA 2" (INCLUYE INSTALACIÓN Y SUMINISTRO)</v>
      </c>
      <c r="C2733" s="20" t="s">
        <v>382</v>
      </c>
      <c r="D2733" s="21" t="s">
        <v>424</v>
      </c>
      <c r="E2733" s="22" t="s">
        <v>125</v>
      </c>
      <c r="F2733" s="26">
        <f>(H2733+J2733+L2733+N2733)*$O$2</f>
        <v>4060993.0007624249</v>
      </c>
      <c r="G2733" s="22" t="s">
        <v>285</v>
      </c>
      <c r="H2733" s="26">
        <f>M2754</f>
        <v>24994.322372250001</v>
      </c>
      <c r="I2733" s="22" t="s">
        <v>383</v>
      </c>
      <c r="J2733" s="36">
        <f>M2745</f>
        <v>2598960</v>
      </c>
      <c r="K2733" s="22" t="s">
        <v>287</v>
      </c>
      <c r="L2733" s="26">
        <f>M2763</f>
        <v>0</v>
      </c>
      <c r="M2733" s="22" t="s">
        <v>288</v>
      </c>
      <c r="N2733" s="26">
        <f>M2772</f>
        <v>499886.447445</v>
      </c>
    </row>
    <row r="2734" spans="1:14" ht="12.75" customHeight="1" x14ac:dyDescent="0.25">
      <c r="A2734" s="27"/>
      <c r="B2734" s="27"/>
      <c r="C2734" s="27"/>
      <c r="D2734" s="27"/>
      <c r="E2734" s="27"/>
      <c r="F2734" s="27"/>
      <c r="G2734" s="27"/>
      <c r="J2734" s="27"/>
      <c r="K2734" s="27"/>
      <c r="L2734" s="27"/>
      <c r="M2734" s="27"/>
      <c r="N2734" s="27"/>
    </row>
    <row r="2735" spans="1:14" ht="12.75" customHeight="1" x14ac:dyDescent="0.2">
      <c r="A2735" s="1065" t="s">
        <v>384</v>
      </c>
      <c r="B2735" s="1057"/>
      <c r="C2735" s="1057"/>
      <c r="D2735" s="1057"/>
      <c r="E2735" s="1057"/>
      <c r="F2735" s="1057"/>
      <c r="G2735" s="1057"/>
      <c r="H2735" s="1057"/>
      <c r="I2735" s="1057"/>
      <c r="J2735" s="1057"/>
      <c r="K2735" s="1057"/>
      <c r="L2735" s="1057"/>
      <c r="M2735" s="1057"/>
      <c r="N2735" s="1058"/>
    </row>
    <row r="2736" spans="1:14" ht="12.75" customHeight="1" x14ac:dyDescent="0.2">
      <c r="A2736" s="1066" t="s">
        <v>38</v>
      </c>
      <c r="B2736" s="1057"/>
      <c r="C2736" s="1057"/>
      <c r="D2736" s="1057"/>
      <c r="E2736" s="1057"/>
      <c r="F2736" s="1057"/>
      <c r="G2736" s="1058"/>
      <c r="H2736" s="28" t="s">
        <v>39</v>
      </c>
      <c r="I2736" s="1062" t="s">
        <v>385</v>
      </c>
      <c r="J2736" s="1058"/>
      <c r="K2736" s="1062" t="s">
        <v>132</v>
      </c>
      <c r="L2736" s="1058"/>
      <c r="M2736" s="1062" t="s">
        <v>386</v>
      </c>
      <c r="N2736" s="1058"/>
    </row>
    <row r="2737" spans="1:14" ht="12.75" customHeight="1" x14ac:dyDescent="0.2">
      <c r="A2737" s="1061" t="s">
        <v>1566</v>
      </c>
      <c r="B2737" s="1057"/>
      <c r="C2737" s="1057"/>
      <c r="D2737" s="1057"/>
      <c r="E2737" s="1057"/>
      <c r="F2737" s="1057"/>
      <c r="G2737" s="1058"/>
      <c r="H2737" s="9" t="str">
        <f t="shared" ref="H2737" si="204">IF(A2737="","",VLOOKUP(A2737,AA_Materiales,7,FALSE))</f>
        <v>Unidad</v>
      </c>
      <c r="I2737" s="1059">
        <f t="shared" ref="I2737" si="205">IF(A2737="","",VLOOKUP(A2737,AA_Materiales,8,FALSE))</f>
        <v>2598960</v>
      </c>
      <c r="J2737" s="1058"/>
      <c r="K2737" s="1060">
        <v>1</v>
      </c>
      <c r="L2737" s="1058"/>
      <c r="M2737" s="1059">
        <f t="shared" ref="M2737:M2744" si="206">IF(A2737="","",I2737*K2737)</f>
        <v>2598960</v>
      </c>
      <c r="N2737" s="1058"/>
    </row>
    <row r="2738" spans="1:14" ht="12.75" customHeight="1" x14ac:dyDescent="0.2">
      <c r="A2738" s="1056"/>
      <c r="B2738" s="1057"/>
      <c r="C2738" s="1057"/>
      <c r="D2738" s="1057"/>
      <c r="E2738" s="1057"/>
      <c r="F2738" s="1057"/>
      <c r="G2738" s="1058"/>
      <c r="H2738" s="9" t="str">
        <f t="shared" ref="H2738:H2744" si="207">IF(A2738="","",VLOOKUP(A2738,AA_Materiales,7,FALSE))</f>
        <v/>
      </c>
      <c r="I2738" s="1059" t="str">
        <f t="shared" ref="I2738:I2744" si="208">IF(A2738="","",VLOOKUP(A2738,AA_Materiales,8,FALSE))</f>
        <v/>
      </c>
      <c r="J2738" s="1058"/>
      <c r="K2738" s="1060"/>
      <c r="L2738" s="1058"/>
      <c r="M2738" s="1059" t="str">
        <f t="shared" si="206"/>
        <v/>
      </c>
      <c r="N2738" s="1058"/>
    </row>
    <row r="2739" spans="1:14" ht="12.75" customHeight="1" x14ac:dyDescent="0.2">
      <c r="A2739" s="1056"/>
      <c r="B2739" s="1057"/>
      <c r="C2739" s="1057"/>
      <c r="D2739" s="1057"/>
      <c r="E2739" s="1057"/>
      <c r="F2739" s="1057"/>
      <c r="G2739" s="1058"/>
      <c r="H2739" s="9" t="str">
        <f t="shared" si="207"/>
        <v/>
      </c>
      <c r="I2739" s="1059" t="str">
        <f t="shared" si="208"/>
        <v/>
      </c>
      <c r="J2739" s="1058"/>
      <c r="K2739" s="1060"/>
      <c r="L2739" s="1058"/>
      <c r="M2739" s="1059" t="str">
        <f t="shared" si="206"/>
        <v/>
      </c>
      <c r="N2739" s="1058"/>
    </row>
    <row r="2740" spans="1:14" ht="12.75" customHeight="1" x14ac:dyDescent="0.2">
      <c r="A2740" s="1056"/>
      <c r="B2740" s="1057"/>
      <c r="C2740" s="1057"/>
      <c r="D2740" s="1057"/>
      <c r="E2740" s="1057"/>
      <c r="F2740" s="1057"/>
      <c r="G2740" s="1058"/>
      <c r="H2740" s="9" t="str">
        <f t="shared" si="207"/>
        <v/>
      </c>
      <c r="I2740" s="1059" t="str">
        <f t="shared" si="208"/>
        <v/>
      </c>
      <c r="J2740" s="1058"/>
      <c r="K2740" s="1060"/>
      <c r="L2740" s="1058"/>
      <c r="M2740" s="1059" t="str">
        <f t="shared" si="206"/>
        <v/>
      </c>
      <c r="N2740" s="1058"/>
    </row>
    <row r="2741" spans="1:14" ht="12.75" customHeight="1" x14ac:dyDescent="0.2">
      <c r="A2741" s="1056"/>
      <c r="B2741" s="1057"/>
      <c r="C2741" s="1057"/>
      <c r="D2741" s="1057"/>
      <c r="E2741" s="1057"/>
      <c r="F2741" s="1057"/>
      <c r="G2741" s="1058"/>
      <c r="H2741" s="9" t="str">
        <f t="shared" si="207"/>
        <v/>
      </c>
      <c r="I2741" s="1059" t="str">
        <f t="shared" si="208"/>
        <v/>
      </c>
      <c r="J2741" s="1058"/>
      <c r="K2741" s="1060"/>
      <c r="L2741" s="1058"/>
      <c r="M2741" s="1059" t="str">
        <f t="shared" si="206"/>
        <v/>
      </c>
      <c r="N2741" s="1058"/>
    </row>
    <row r="2742" spans="1:14" ht="12.75" customHeight="1" x14ac:dyDescent="0.2">
      <c r="A2742" s="1056"/>
      <c r="B2742" s="1057"/>
      <c r="C2742" s="1057"/>
      <c r="D2742" s="1057"/>
      <c r="E2742" s="1057"/>
      <c r="F2742" s="1057"/>
      <c r="G2742" s="1058"/>
      <c r="H2742" s="9" t="str">
        <f t="shared" si="207"/>
        <v/>
      </c>
      <c r="I2742" s="1059" t="str">
        <f t="shared" si="208"/>
        <v/>
      </c>
      <c r="J2742" s="1058"/>
      <c r="K2742" s="1060"/>
      <c r="L2742" s="1058"/>
      <c r="M2742" s="1059" t="str">
        <f t="shared" si="206"/>
        <v/>
      </c>
      <c r="N2742" s="1058"/>
    </row>
    <row r="2743" spans="1:14" ht="12.75" customHeight="1" x14ac:dyDescent="0.2">
      <c r="A2743" s="1056"/>
      <c r="B2743" s="1057"/>
      <c r="C2743" s="1057"/>
      <c r="D2743" s="1057"/>
      <c r="E2743" s="1057"/>
      <c r="F2743" s="1057"/>
      <c r="G2743" s="1058"/>
      <c r="H2743" s="9" t="str">
        <f t="shared" si="207"/>
        <v/>
      </c>
      <c r="I2743" s="1059" t="str">
        <f t="shared" si="208"/>
        <v/>
      </c>
      <c r="J2743" s="1058"/>
      <c r="K2743" s="1060"/>
      <c r="L2743" s="1058"/>
      <c r="M2743" s="1059" t="str">
        <f t="shared" si="206"/>
        <v/>
      </c>
      <c r="N2743" s="1058"/>
    </row>
    <row r="2744" spans="1:14" ht="12.75" customHeight="1" x14ac:dyDescent="0.2">
      <c r="A2744" s="1056"/>
      <c r="B2744" s="1057"/>
      <c r="C2744" s="1057"/>
      <c r="D2744" s="1057"/>
      <c r="E2744" s="1057"/>
      <c r="F2744" s="1057"/>
      <c r="G2744" s="1058"/>
      <c r="H2744" s="9" t="str">
        <f t="shared" si="207"/>
        <v/>
      </c>
      <c r="I2744" s="1059" t="str">
        <f t="shared" si="208"/>
        <v/>
      </c>
      <c r="J2744" s="1058"/>
      <c r="K2744" s="1060"/>
      <c r="L2744" s="1058"/>
      <c r="M2744" s="1059" t="str">
        <f t="shared" si="206"/>
        <v/>
      </c>
      <c r="N2744" s="1058"/>
    </row>
    <row r="2745" spans="1:14" ht="12.75" customHeight="1" x14ac:dyDescent="0.25">
      <c r="A2745" s="3"/>
      <c r="B2745" s="3"/>
      <c r="C2745" s="3"/>
      <c r="D2745" s="3"/>
      <c r="E2745" s="3"/>
      <c r="F2745" s="3"/>
      <c r="G2745" s="3"/>
      <c r="H2745" s="3"/>
      <c r="I2745" s="3"/>
      <c r="J2745" s="3"/>
      <c r="K2745" s="1066" t="s">
        <v>201</v>
      </c>
      <c r="L2745" s="1058"/>
      <c r="M2745" s="1059">
        <f>SUM(M2737:N2744)</f>
        <v>2598960</v>
      </c>
      <c r="N2745" s="1058"/>
    </row>
    <row r="2746" spans="1:14" ht="12.75" customHeight="1" x14ac:dyDescent="0.25">
      <c r="A2746" s="3"/>
      <c r="B2746" s="3"/>
      <c r="C2746" s="3"/>
      <c r="D2746" s="3"/>
      <c r="E2746" s="3"/>
      <c r="F2746" s="3"/>
      <c r="G2746" s="3"/>
      <c r="H2746" s="3"/>
      <c r="I2746" s="3"/>
      <c r="J2746" s="3"/>
      <c r="K2746" s="3"/>
      <c r="L2746" s="3"/>
      <c r="M2746" s="3"/>
      <c r="N2746" s="3"/>
    </row>
    <row r="2747" spans="1:14" ht="12.75" customHeight="1" x14ac:dyDescent="0.2">
      <c r="A2747" s="1065" t="s">
        <v>390</v>
      </c>
      <c r="B2747" s="1057"/>
      <c r="C2747" s="1057"/>
      <c r="D2747" s="1057"/>
      <c r="E2747" s="1057"/>
      <c r="F2747" s="1057"/>
      <c r="G2747" s="1057"/>
      <c r="H2747" s="1057"/>
      <c r="I2747" s="1057"/>
      <c r="J2747" s="1057"/>
      <c r="K2747" s="1057"/>
      <c r="L2747" s="1057"/>
      <c r="M2747" s="1057"/>
      <c r="N2747" s="1058"/>
    </row>
    <row r="2748" spans="1:14" ht="12.75" customHeight="1" x14ac:dyDescent="0.2">
      <c r="A2748" s="1066" t="s">
        <v>38</v>
      </c>
      <c r="B2748" s="1057"/>
      <c r="C2748" s="1057"/>
      <c r="D2748" s="1057"/>
      <c r="E2748" s="1057"/>
      <c r="F2748" s="1057"/>
      <c r="G2748" s="1058"/>
      <c r="H2748" s="28" t="s">
        <v>39</v>
      </c>
      <c r="I2748" s="1062" t="s">
        <v>385</v>
      </c>
      <c r="J2748" s="1058"/>
      <c r="K2748" s="1062" t="s">
        <v>132</v>
      </c>
      <c r="L2748" s="1058"/>
      <c r="M2748" s="1062" t="s">
        <v>386</v>
      </c>
      <c r="N2748" s="1058"/>
    </row>
    <row r="2749" spans="1:14" ht="12.75" customHeight="1" x14ac:dyDescent="0.2">
      <c r="A2749" s="1061" t="s">
        <v>391</v>
      </c>
      <c r="B2749" s="1057"/>
      <c r="C2749" s="1057"/>
      <c r="D2749" s="1057"/>
      <c r="E2749" s="1057"/>
      <c r="F2749" s="1057"/>
      <c r="G2749" s="1058"/>
      <c r="H2749" s="9" t="str">
        <f>IF(A2749="","",VLOOKUP(A2749,AA_Equipos,7,FALSE))</f>
        <v>% M.O.</v>
      </c>
      <c r="I2749" s="1059">
        <f>+M2772</f>
        <v>499886.447445</v>
      </c>
      <c r="J2749" s="1058"/>
      <c r="K2749" s="1064">
        <v>0.05</v>
      </c>
      <c r="L2749" s="1058"/>
      <c r="M2749" s="1059">
        <f>IF(A2749="","",I2749*K2749)</f>
        <v>24994.322372250001</v>
      </c>
      <c r="N2749" s="1058"/>
    </row>
    <row r="2750" spans="1:14" ht="12.75" customHeight="1" x14ac:dyDescent="0.2">
      <c r="A2750" s="1056"/>
      <c r="B2750" s="1057"/>
      <c r="C2750" s="1057"/>
      <c r="D2750" s="1057"/>
      <c r="E2750" s="1057"/>
      <c r="F2750" s="1057"/>
      <c r="G2750" s="1058"/>
      <c r="H2750" s="9" t="str">
        <f>IF(A2750="","",VLOOKUP(A2750,AA_Equipos,7,FALSE))</f>
        <v/>
      </c>
      <c r="I2750" s="1059" t="str">
        <f>IF(A2750="","",VLOOKUP(A2750,AA_Equipos,8,FALSE))</f>
        <v/>
      </c>
      <c r="J2750" s="1058"/>
      <c r="K2750" s="1067"/>
      <c r="L2750" s="1058"/>
      <c r="M2750" s="1059" t="str">
        <f>IF(A2750="","",I2750*K2750)</f>
        <v/>
      </c>
      <c r="N2750" s="1058"/>
    </row>
    <row r="2751" spans="1:14" ht="12.75" customHeight="1" x14ac:dyDescent="0.2">
      <c r="A2751" s="1061"/>
      <c r="B2751" s="1057"/>
      <c r="C2751" s="1057"/>
      <c r="D2751" s="1057"/>
      <c r="E2751" s="1057"/>
      <c r="F2751" s="1057"/>
      <c r="G2751" s="1058"/>
      <c r="H2751" s="9" t="str">
        <f>IF(A2751="","",VLOOKUP(A2751,AA_Equipos,7,FALSE))</f>
        <v/>
      </c>
      <c r="I2751" s="1059" t="str">
        <f>IF(A2751="","",VLOOKUP(A2751,AA_Equipos,8,FALSE))</f>
        <v/>
      </c>
      <c r="J2751" s="1058"/>
      <c r="K2751" s="1070"/>
      <c r="L2751" s="1058"/>
      <c r="M2751" s="1059" t="str">
        <f>IF(A2751="","",I2751*K2751)</f>
        <v/>
      </c>
      <c r="N2751" s="1058"/>
    </row>
    <row r="2752" spans="1:14" ht="12.75" customHeight="1" x14ac:dyDescent="0.2">
      <c r="A2752" s="1061"/>
      <c r="B2752" s="1057"/>
      <c r="C2752" s="1057"/>
      <c r="D2752" s="1057"/>
      <c r="E2752" s="1057"/>
      <c r="F2752" s="1057"/>
      <c r="G2752" s="1058"/>
      <c r="H2752" s="9" t="str">
        <f>IF(A2752="","",VLOOKUP(A2752,AA_Equipos,7,FALSE))</f>
        <v/>
      </c>
      <c r="I2752" s="1059" t="str">
        <f>IF(A2752="","",VLOOKUP(A2752,AA_Equipos,8,FALSE))</f>
        <v/>
      </c>
      <c r="J2752" s="1058"/>
      <c r="K2752" s="1060"/>
      <c r="L2752" s="1058"/>
      <c r="M2752" s="1059" t="str">
        <f>IF(A2752="","",I2752*K2752)</f>
        <v/>
      </c>
      <c r="N2752" s="1058"/>
    </row>
    <row r="2753" spans="1:15" ht="12.75" customHeight="1" x14ac:dyDescent="0.2">
      <c r="A2753" s="1061"/>
      <c r="B2753" s="1057"/>
      <c r="C2753" s="1057"/>
      <c r="D2753" s="1057"/>
      <c r="E2753" s="1057"/>
      <c r="F2753" s="1057"/>
      <c r="G2753" s="1058"/>
      <c r="H2753" s="9" t="str">
        <f>IF(A2753="","",VLOOKUP(A2753,AA_Equipos,7,FALSE))</f>
        <v/>
      </c>
      <c r="I2753" s="1059" t="str">
        <f>IF(A2753="","",VLOOKUP(A2753,AA_Equipos,8,FALSE))</f>
        <v/>
      </c>
      <c r="J2753" s="1058"/>
      <c r="K2753" s="1060"/>
      <c r="L2753" s="1058"/>
      <c r="M2753" s="1059" t="str">
        <f>IF(A2753="","",I2753*K2753)</f>
        <v/>
      </c>
      <c r="N2753" s="1058"/>
      <c r="O2753" s="7"/>
    </row>
    <row r="2754" spans="1:15" ht="12.75" customHeight="1" x14ac:dyDescent="0.25">
      <c r="A2754" s="3"/>
      <c r="B2754" s="3"/>
      <c r="C2754" s="3"/>
      <c r="D2754" s="3"/>
      <c r="E2754" s="3"/>
      <c r="F2754" s="3"/>
      <c r="G2754" s="3"/>
      <c r="H2754" s="3"/>
      <c r="I2754" s="3"/>
      <c r="J2754" s="3"/>
      <c r="K2754" s="1066" t="s">
        <v>201</v>
      </c>
      <c r="L2754" s="1058"/>
      <c r="M2754" s="1059">
        <f>SUM(M2749:N2753)</f>
        <v>24994.322372250001</v>
      </c>
      <c r="N2754" s="1058"/>
      <c r="O2754" s="7"/>
    </row>
    <row r="2755" spans="1:15" ht="12.75" customHeight="1" x14ac:dyDescent="0.25">
      <c r="A2755" s="3"/>
      <c r="B2755" s="3"/>
      <c r="C2755" s="3"/>
      <c r="D2755" s="3"/>
      <c r="E2755" s="3"/>
      <c r="F2755" s="3"/>
      <c r="G2755" s="3"/>
      <c r="H2755" s="3"/>
      <c r="I2755" s="3"/>
      <c r="J2755" s="3"/>
      <c r="K2755" s="3"/>
      <c r="L2755" s="3"/>
      <c r="M2755" s="3"/>
      <c r="N2755" s="3"/>
    </row>
    <row r="2756" spans="1:15" ht="12.75" customHeight="1" x14ac:dyDescent="0.2">
      <c r="A2756" s="1065" t="s">
        <v>392</v>
      </c>
      <c r="B2756" s="1057"/>
      <c r="C2756" s="1057"/>
      <c r="D2756" s="1057"/>
      <c r="E2756" s="1057"/>
      <c r="F2756" s="1057"/>
      <c r="G2756" s="1057"/>
      <c r="H2756" s="1057"/>
      <c r="I2756" s="1057"/>
      <c r="J2756" s="1057"/>
      <c r="K2756" s="1057"/>
      <c r="L2756" s="1057"/>
      <c r="M2756" s="1057"/>
      <c r="N2756" s="1058"/>
    </row>
    <row r="2757" spans="1:15" ht="12.75" customHeight="1" x14ac:dyDescent="0.2">
      <c r="A2757" s="1066" t="s">
        <v>38</v>
      </c>
      <c r="B2757" s="1057"/>
      <c r="C2757" s="1057"/>
      <c r="D2757" s="1057"/>
      <c r="E2757" s="1057"/>
      <c r="F2757" s="1057"/>
      <c r="G2757" s="1058"/>
      <c r="H2757" s="28" t="s">
        <v>39</v>
      </c>
      <c r="I2757" s="1062" t="s">
        <v>385</v>
      </c>
      <c r="J2757" s="1058"/>
      <c r="K2757" s="1062" t="s">
        <v>132</v>
      </c>
      <c r="L2757" s="1058"/>
      <c r="M2757" s="1062" t="s">
        <v>386</v>
      </c>
      <c r="N2757" s="1058"/>
    </row>
    <row r="2758" spans="1:15" ht="12.75" customHeight="1" x14ac:dyDescent="0.2">
      <c r="A2758" s="1061"/>
      <c r="B2758" s="1057"/>
      <c r="C2758" s="1057"/>
      <c r="D2758" s="1057"/>
      <c r="E2758" s="1057"/>
      <c r="F2758" s="1057"/>
      <c r="G2758" s="1058"/>
      <c r="H2758" s="9"/>
      <c r="I2758" s="1059"/>
      <c r="J2758" s="1058"/>
      <c r="K2758" s="1064"/>
      <c r="L2758" s="1058"/>
      <c r="M2758" s="1059" t="str">
        <f>IF(A2758="","",I2758*K2758)</f>
        <v/>
      </c>
      <c r="N2758" s="1058"/>
    </row>
    <row r="2759" spans="1:15" ht="12.75" customHeight="1" x14ac:dyDescent="0.2">
      <c r="A2759" s="1056"/>
      <c r="B2759" s="1057"/>
      <c r="C2759" s="1057"/>
      <c r="D2759" s="1057"/>
      <c r="E2759" s="1057"/>
      <c r="F2759" s="1057"/>
      <c r="G2759" s="1058"/>
      <c r="H2759" s="9"/>
      <c r="I2759" s="1059"/>
      <c r="J2759" s="1058"/>
      <c r="K2759" s="1064"/>
      <c r="L2759" s="1058"/>
      <c r="M2759" s="1059" t="str">
        <f>IF(A2759="","",I2759*K2759)</f>
        <v/>
      </c>
      <c r="N2759" s="1058"/>
    </row>
    <row r="2760" spans="1:15" ht="12.75" customHeight="1" x14ac:dyDescent="0.2">
      <c r="A2760" s="1061"/>
      <c r="B2760" s="1057"/>
      <c r="C2760" s="1057"/>
      <c r="D2760" s="1057"/>
      <c r="E2760" s="1057"/>
      <c r="F2760" s="1057"/>
      <c r="G2760" s="1058"/>
      <c r="H2760" s="9"/>
      <c r="I2760" s="1059"/>
      <c r="J2760" s="1058"/>
      <c r="K2760" s="1060"/>
      <c r="L2760" s="1058"/>
      <c r="M2760" s="1059" t="str">
        <f>IF(A2760="","",I2760*K2760)</f>
        <v/>
      </c>
      <c r="N2760" s="1058"/>
    </row>
    <row r="2761" spans="1:15" ht="12.75" customHeight="1" x14ac:dyDescent="0.2">
      <c r="A2761" s="1061"/>
      <c r="B2761" s="1057"/>
      <c r="C2761" s="1057"/>
      <c r="D2761" s="1057"/>
      <c r="E2761" s="1057"/>
      <c r="F2761" s="1057"/>
      <c r="G2761" s="1058"/>
      <c r="H2761" s="9"/>
      <c r="I2761" s="1059"/>
      <c r="J2761" s="1058"/>
      <c r="K2761" s="1060"/>
      <c r="L2761" s="1058"/>
      <c r="M2761" s="1059" t="str">
        <f>IF(A2761="","",I2761*K2761)</f>
        <v/>
      </c>
      <c r="N2761" s="1058"/>
    </row>
    <row r="2762" spans="1:15" ht="12.75" customHeight="1" x14ac:dyDescent="0.2">
      <c r="A2762" s="1061"/>
      <c r="B2762" s="1057"/>
      <c r="C2762" s="1057"/>
      <c r="D2762" s="1057"/>
      <c r="E2762" s="1057"/>
      <c r="F2762" s="1057"/>
      <c r="G2762" s="1058"/>
      <c r="H2762" s="9"/>
      <c r="I2762" s="1059"/>
      <c r="J2762" s="1058"/>
      <c r="K2762" s="1060"/>
      <c r="L2762" s="1058"/>
      <c r="M2762" s="1059" t="str">
        <f>IF(A2762="","",I2762*K2762)</f>
        <v/>
      </c>
      <c r="N2762" s="1058"/>
    </row>
    <row r="2763" spans="1:15" ht="12.75" customHeight="1" x14ac:dyDescent="0.25">
      <c r="A2763" s="3"/>
      <c r="B2763" s="3"/>
      <c r="C2763" s="3"/>
      <c r="D2763" s="3"/>
      <c r="E2763" s="3"/>
      <c r="F2763" s="3"/>
      <c r="G2763" s="3"/>
      <c r="H2763" s="3"/>
      <c r="I2763" s="3"/>
      <c r="J2763" s="3"/>
      <c r="K2763" s="1066" t="s">
        <v>201</v>
      </c>
      <c r="L2763" s="1058"/>
      <c r="M2763" s="1059">
        <f>SUM(M2758:N2762)</f>
        <v>0</v>
      </c>
      <c r="N2763" s="1058"/>
    </row>
    <row r="2764" spans="1:15" ht="12.75" customHeight="1" x14ac:dyDescent="0.25">
      <c r="A2764" s="3"/>
      <c r="B2764" s="3"/>
      <c r="C2764" s="3"/>
      <c r="D2764" s="3"/>
      <c r="E2764" s="3"/>
      <c r="F2764" s="3"/>
      <c r="G2764" s="3"/>
      <c r="H2764" s="3"/>
      <c r="I2764" s="3"/>
      <c r="J2764" s="3"/>
      <c r="K2764" s="3"/>
      <c r="L2764" s="3"/>
      <c r="M2764" s="3"/>
      <c r="N2764" s="3"/>
    </row>
    <row r="2765" spans="1:15" ht="12.75" customHeight="1" x14ac:dyDescent="0.2">
      <c r="A2765" s="1065" t="s">
        <v>394</v>
      </c>
      <c r="B2765" s="1057"/>
      <c r="C2765" s="1057"/>
      <c r="D2765" s="1057"/>
      <c r="E2765" s="1057"/>
      <c r="F2765" s="1057"/>
      <c r="G2765" s="1057"/>
      <c r="H2765" s="1057"/>
      <c r="I2765" s="1057"/>
      <c r="J2765" s="1057"/>
      <c r="K2765" s="1057"/>
      <c r="L2765" s="1057"/>
      <c r="M2765" s="1057"/>
      <c r="N2765" s="1058"/>
    </row>
    <row r="2766" spans="1:15" ht="12.75" customHeight="1" x14ac:dyDescent="0.2">
      <c r="A2766" s="1066" t="s">
        <v>38</v>
      </c>
      <c r="B2766" s="1057"/>
      <c r="C2766" s="1057"/>
      <c r="D2766" s="1057"/>
      <c r="E2766" s="1057"/>
      <c r="F2766" s="1057"/>
      <c r="G2766" s="1058"/>
      <c r="H2766" s="28" t="s">
        <v>39</v>
      </c>
      <c r="I2766" s="1062" t="s">
        <v>385</v>
      </c>
      <c r="J2766" s="1058"/>
      <c r="K2766" s="30" t="s">
        <v>193</v>
      </c>
      <c r="L2766" s="31" t="s">
        <v>395</v>
      </c>
      <c r="M2766" s="1062" t="s">
        <v>386</v>
      </c>
      <c r="N2766" s="1058"/>
    </row>
    <row r="2767" spans="1:15" ht="12.75" customHeight="1" x14ac:dyDescent="0.25">
      <c r="A2767" s="1063" t="s">
        <v>411</v>
      </c>
      <c r="B2767" s="1057"/>
      <c r="C2767" s="1057"/>
      <c r="D2767" s="1057"/>
      <c r="E2767" s="1057"/>
      <c r="F2767" s="1057"/>
      <c r="G2767" s="1058"/>
      <c r="H2767" s="9" t="str">
        <f>IF(A2767="","",VLOOKUP(A2767,AA_Cuadrillas,4,FALSE))</f>
        <v>Cuadrilla</v>
      </c>
      <c r="I2767" s="1059">
        <f>IF(A2767="","",VLOOKUP(A2767,AA_Cuadrillas,5,FALSE))</f>
        <v>414381</v>
      </c>
      <c r="J2767" s="1058"/>
      <c r="K2767" s="1">
        <f>IF(A2767="","",'06'!$J$3)</f>
        <v>1.7233500000000002</v>
      </c>
      <c r="L2767" s="37">
        <v>0.7</v>
      </c>
      <c r="M2767" s="1059">
        <f>IF(A2767="","",I2767*K2767*L2767)</f>
        <v>499886.447445</v>
      </c>
      <c r="N2767" s="1058"/>
    </row>
    <row r="2768" spans="1:15" ht="12.75" customHeight="1" x14ac:dyDescent="0.25">
      <c r="A2768" s="1063"/>
      <c r="B2768" s="1057"/>
      <c r="C2768" s="1057"/>
      <c r="D2768" s="1057"/>
      <c r="E2768" s="1057"/>
      <c r="F2768" s="1057"/>
      <c r="G2768" s="1058"/>
      <c r="H2768" s="9" t="str">
        <f>IF(A2768="","",VLOOKUP(A2768,AA_Cuadrillas,4,FALSE))</f>
        <v/>
      </c>
      <c r="I2768" s="1059" t="str">
        <f>IF(A2768="","",VLOOKUP(A2768,AA_Cuadrillas,5,FALSE))</f>
        <v/>
      </c>
      <c r="J2768" s="1058"/>
      <c r="K2768" s="1" t="str">
        <f>IF(A2768="","",'06'!$J$3)</f>
        <v/>
      </c>
      <c r="L2768" s="1"/>
      <c r="M2768" s="1059" t="str">
        <f>IF(A2768="","",I2768*K2768*L2768)</f>
        <v/>
      </c>
      <c r="N2768" s="1058"/>
    </row>
    <row r="2769" spans="1:14" ht="12.75" customHeight="1" x14ac:dyDescent="0.25">
      <c r="A2769" s="1063"/>
      <c r="B2769" s="1057"/>
      <c r="C2769" s="1057"/>
      <c r="D2769" s="1057"/>
      <c r="E2769" s="1057"/>
      <c r="F2769" s="1057"/>
      <c r="G2769" s="1058"/>
      <c r="H2769" s="9" t="str">
        <f>IF(A2769="","",VLOOKUP(A2769,AA_Cuadrillas,4,FALSE))</f>
        <v/>
      </c>
      <c r="I2769" s="1059" t="str">
        <f>IF(A2769="","",VLOOKUP(A2769,AA_Cuadrillas,5,FALSE))</f>
        <v/>
      </c>
      <c r="J2769" s="1058"/>
      <c r="K2769" s="1" t="str">
        <f>IF(A2769="","",'06'!$J$3)</f>
        <v/>
      </c>
      <c r="L2769" s="10"/>
      <c r="M2769" s="1059" t="str">
        <f>IF(A2769="","",I2769*K2769*L2769)</f>
        <v/>
      </c>
      <c r="N2769" s="1058"/>
    </row>
    <row r="2770" spans="1:14" ht="12.75" customHeight="1" x14ac:dyDescent="0.25">
      <c r="A2770" s="1063"/>
      <c r="B2770" s="1057"/>
      <c r="C2770" s="1057"/>
      <c r="D2770" s="1057"/>
      <c r="E2770" s="1057"/>
      <c r="F2770" s="1057"/>
      <c r="G2770" s="1058"/>
      <c r="H2770" s="9" t="str">
        <f>IF(A2770="","",VLOOKUP(A2770,AA_Cuadrillas,4,FALSE))</f>
        <v/>
      </c>
      <c r="I2770" s="1059" t="str">
        <f>IF(A2770="","",VLOOKUP(A2770,AA_Cuadrillas,5,FALSE))</f>
        <v/>
      </c>
      <c r="J2770" s="1058"/>
      <c r="K2770" s="1" t="str">
        <f>IF(A2770="","",'06'!$J$3)</f>
        <v/>
      </c>
      <c r="L2770" s="10"/>
      <c r="M2770" s="1059" t="str">
        <f>IF(A2770="","",I2770*K2770*L2770)</f>
        <v/>
      </c>
      <c r="N2770" s="1058"/>
    </row>
    <row r="2771" spans="1:14" ht="12.75" customHeight="1" x14ac:dyDescent="0.25">
      <c r="A2771" s="1063"/>
      <c r="B2771" s="1057"/>
      <c r="C2771" s="1057"/>
      <c r="D2771" s="1057"/>
      <c r="E2771" s="1057"/>
      <c r="F2771" s="1057"/>
      <c r="G2771" s="1058"/>
      <c r="H2771" s="9" t="str">
        <f>IF(A2771="","",VLOOKUP(A2771,AA_Cuadrillas,4,FALSE))</f>
        <v/>
      </c>
      <c r="I2771" s="1059" t="str">
        <f>IF(A2771="","",VLOOKUP(A2771,AA_Cuadrillas,5,FALSE))</f>
        <v/>
      </c>
      <c r="J2771" s="1058"/>
      <c r="K2771" s="1" t="str">
        <f>IF(A2771="","",'06'!$J$3)</f>
        <v/>
      </c>
      <c r="L2771" s="10"/>
      <c r="M2771" s="1059" t="str">
        <f>IF(A2771="","",I2771*K2771*L2771)</f>
        <v/>
      </c>
      <c r="N2771" s="1058"/>
    </row>
    <row r="2772" spans="1:14" ht="12.75" customHeight="1" x14ac:dyDescent="0.25">
      <c r="A2772" s="3"/>
      <c r="B2772" s="3"/>
      <c r="C2772" s="3"/>
      <c r="D2772" s="3"/>
      <c r="E2772" s="3"/>
      <c r="F2772" s="3"/>
      <c r="G2772" s="3"/>
      <c r="H2772" s="3"/>
      <c r="I2772" s="3"/>
      <c r="J2772" s="3"/>
      <c r="K2772" s="1066" t="s">
        <v>201</v>
      </c>
      <c r="L2772" s="1058"/>
      <c r="M2772" s="1059">
        <f>SUM(M2767:N2771)</f>
        <v>499886.447445</v>
      </c>
      <c r="N2772" s="1058"/>
    </row>
    <row r="2773" spans="1:14" ht="12.75" customHeight="1" x14ac:dyDescent="0.2"/>
    <row r="2774" spans="1:14" ht="12.75" customHeight="1" x14ac:dyDescent="0.2">
      <c r="A2774" s="1072" t="s">
        <v>1730</v>
      </c>
      <c r="B2774" s="1052"/>
      <c r="C2774" s="1052"/>
      <c r="D2774" s="1052"/>
      <c r="E2774" s="1052"/>
      <c r="F2774" s="1052"/>
      <c r="G2774" s="1052"/>
      <c r="H2774" s="1052"/>
      <c r="I2774" s="1052"/>
      <c r="J2774" s="1052"/>
      <c r="K2774" s="1052"/>
      <c r="L2774" s="1052"/>
      <c r="M2774" s="1052"/>
      <c r="N2774" s="1053"/>
    </row>
    <row r="2775" spans="1:14" ht="12.75" customHeight="1" x14ac:dyDescent="0.2">
      <c r="A2775" s="1031"/>
      <c r="B2775" s="1032"/>
      <c r="C2775" s="1032"/>
      <c r="D2775" s="1032"/>
      <c r="E2775" s="1032"/>
      <c r="F2775" s="1032"/>
      <c r="G2775" s="1032"/>
      <c r="H2775" s="1032"/>
      <c r="I2775" s="1032"/>
      <c r="J2775" s="1032"/>
      <c r="K2775" s="1032"/>
      <c r="L2775" s="1032"/>
      <c r="M2775" s="1032"/>
      <c r="N2775" s="1055"/>
    </row>
    <row r="2776" spans="1:14" ht="12.75" customHeight="1" x14ac:dyDescent="0.2">
      <c r="A2776" s="16"/>
      <c r="B2776" s="16"/>
      <c r="C2776" s="16"/>
      <c r="D2776" s="16"/>
      <c r="E2776" s="16"/>
      <c r="F2776" s="16"/>
      <c r="G2776" s="16"/>
      <c r="H2776" s="16"/>
      <c r="I2776" s="16"/>
      <c r="J2776" s="16"/>
      <c r="K2776" s="16"/>
      <c r="L2776" s="16"/>
      <c r="M2776" s="16"/>
      <c r="N2776" s="16"/>
    </row>
    <row r="2777" spans="1:14" ht="12.75" customHeight="1" x14ac:dyDescent="0.3">
      <c r="A2777" s="18" t="s">
        <v>355</v>
      </c>
      <c r="B2777" s="19" t="str">
        <f>A2774</f>
        <v>VÁLVULA DE CONTROL HIDRÁULICO CIERRE Y APERTURA (INCLUYE INSTALACIÓN Y SUMINISTRO)</v>
      </c>
      <c r="C2777" s="20" t="s">
        <v>382</v>
      </c>
      <c r="D2777" s="127" t="s">
        <v>424</v>
      </c>
      <c r="E2777" s="22" t="s">
        <v>125</v>
      </c>
      <c r="F2777" s="26">
        <f>(H2777+J2777+L2777+N2777)*$O$2</f>
        <v>15006102.2870213</v>
      </c>
      <c r="G2777" s="22" t="s">
        <v>285</v>
      </c>
      <c r="H2777" s="26">
        <f>M2795</f>
        <v>42847.409781000002</v>
      </c>
      <c r="I2777" s="22" t="s">
        <v>383</v>
      </c>
      <c r="J2777" s="26">
        <f>M2786</f>
        <v>10643360</v>
      </c>
      <c r="K2777" s="22" t="s">
        <v>287</v>
      </c>
      <c r="L2777" s="26">
        <f>M2804</f>
        <v>0</v>
      </c>
      <c r="M2777" s="22" t="s">
        <v>288</v>
      </c>
      <c r="N2777" s="26">
        <f>M2813</f>
        <v>856948.19562000001</v>
      </c>
    </row>
    <row r="2778" spans="1:14" ht="12.75" customHeight="1" x14ac:dyDescent="0.25">
      <c r="A2778" s="27"/>
      <c r="B2778" s="27"/>
      <c r="C2778" s="27"/>
      <c r="D2778" s="27"/>
      <c r="E2778" s="27"/>
      <c r="F2778" s="27"/>
      <c r="G2778" s="27"/>
      <c r="J2778" s="27"/>
      <c r="K2778" s="27"/>
      <c r="L2778" s="27"/>
      <c r="M2778" s="27"/>
      <c r="N2778" s="27"/>
    </row>
    <row r="2779" spans="1:14" ht="12.75" customHeight="1" x14ac:dyDescent="0.2">
      <c r="A2779" s="1065" t="s">
        <v>384</v>
      </c>
      <c r="B2779" s="1057"/>
      <c r="C2779" s="1057"/>
      <c r="D2779" s="1057"/>
      <c r="E2779" s="1057"/>
      <c r="F2779" s="1057"/>
      <c r="G2779" s="1057"/>
      <c r="H2779" s="1057"/>
      <c r="I2779" s="1057"/>
      <c r="J2779" s="1057"/>
      <c r="K2779" s="1057"/>
      <c r="L2779" s="1057"/>
      <c r="M2779" s="1057"/>
      <c r="N2779" s="1058"/>
    </row>
    <row r="2780" spans="1:14" ht="12.75" customHeight="1" x14ac:dyDescent="0.2">
      <c r="A2780" s="1066" t="s">
        <v>38</v>
      </c>
      <c r="B2780" s="1057"/>
      <c r="C2780" s="1057"/>
      <c r="D2780" s="1057"/>
      <c r="E2780" s="1057"/>
      <c r="F2780" s="1057"/>
      <c r="G2780" s="1058"/>
      <c r="H2780" s="28" t="s">
        <v>39</v>
      </c>
      <c r="I2780" s="1062" t="s">
        <v>385</v>
      </c>
      <c r="J2780" s="1058"/>
      <c r="K2780" s="1062" t="s">
        <v>132</v>
      </c>
      <c r="L2780" s="1058"/>
      <c r="M2780" s="1062" t="s">
        <v>386</v>
      </c>
      <c r="N2780" s="1058"/>
    </row>
    <row r="2781" spans="1:14" ht="12.75" customHeight="1" x14ac:dyDescent="0.2">
      <c r="A2781" s="1061" t="s">
        <v>1567</v>
      </c>
      <c r="B2781" s="1057"/>
      <c r="C2781" s="1057"/>
      <c r="D2781" s="1057"/>
      <c r="E2781" s="1057"/>
      <c r="F2781" s="1057"/>
      <c r="G2781" s="1058"/>
      <c r="H2781" s="9" t="str">
        <f t="shared" ref="H2781" si="209">IF(A2781="","",VLOOKUP(A2781,AA_Materiales,7,FALSE))</f>
        <v>Unidad</v>
      </c>
      <c r="I2781" s="1059">
        <f t="shared" ref="I2781" si="210">IF(A2781="","",VLOOKUP(A2781,AA_Materiales,8,FALSE))</f>
        <v>10643360</v>
      </c>
      <c r="J2781" s="1058"/>
      <c r="K2781" s="1060">
        <v>1</v>
      </c>
      <c r="L2781" s="1058"/>
      <c r="M2781" s="1059">
        <f>IF(A2781="","",I2781*K2781)</f>
        <v>10643360</v>
      </c>
      <c r="N2781" s="1058"/>
    </row>
    <row r="2782" spans="1:14" ht="12.75" customHeight="1" x14ac:dyDescent="0.2">
      <c r="A2782" s="1061"/>
      <c r="B2782" s="1057"/>
      <c r="C2782" s="1057"/>
      <c r="D2782" s="1057"/>
      <c r="E2782" s="1057"/>
      <c r="F2782" s="1057"/>
      <c r="G2782" s="1058"/>
      <c r="H2782" s="9"/>
      <c r="I2782" s="1059"/>
      <c r="J2782" s="1058"/>
      <c r="K2782" s="1060"/>
      <c r="L2782" s="1058"/>
      <c r="M2782" s="1059"/>
      <c r="N2782" s="1058"/>
    </row>
    <row r="2783" spans="1:14" ht="12.75" customHeight="1" x14ac:dyDescent="0.2">
      <c r="A2783" s="1061"/>
      <c r="B2783" s="1057"/>
      <c r="C2783" s="1057"/>
      <c r="D2783" s="1057"/>
      <c r="E2783" s="1057"/>
      <c r="F2783" s="1057"/>
      <c r="G2783" s="1058"/>
      <c r="H2783" s="9"/>
      <c r="I2783" s="1059"/>
      <c r="J2783" s="1058"/>
      <c r="K2783" s="1060"/>
      <c r="L2783" s="1058"/>
      <c r="M2783" s="1059"/>
      <c r="N2783" s="1058"/>
    </row>
    <row r="2784" spans="1:14" ht="12.75" customHeight="1" x14ac:dyDescent="0.2">
      <c r="A2784" s="1061"/>
      <c r="B2784" s="1057"/>
      <c r="C2784" s="1057"/>
      <c r="D2784" s="1057"/>
      <c r="E2784" s="1057"/>
      <c r="F2784" s="1057"/>
      <c r="G2784" s="1058"/>
      <c r="H2784" s="9"/>
      <c r="I2784" s="1059"/>
      <c r="J2784" s="1058"/>
      <c r="K2784" s="1060"/>
      <c r="L2784" s="1058"/>
      <c r="M2784" s="1059"/>
      <c r="N2784" s="1058"/>
    </row>
    <row r="2785" spans="1:15" ht="12.75" customHeight="1" x14ac:dyDescent="0.2">
      <c r="A2785" s="1061"/>
      <c r="B2785" s="1057"/>
      <c r="C2785" s="1057"/>
      <c r="D2785" s="1057"/>
      <c r="E2785" s="1057"/>
      <c r="F2785" s="1057"/>
      <c r="G2785" s="1058"/>
      <c r="H2785" s="9" t="str">
        <f>IF(A2785="","",VLOOKUP(A2785,AA_Materiales,7,FALSE))</f>
        <v/>
      </c>
      <c r="I2785" s="1059" t="str">
        <f>IF(A2785="","",VLOOKUP(A2785,AA_Materiales,8,FALSE))</f>
        <v/>
      </c>
      <c r="J2785" s="1058"/>
      <c r="K2785" s="1060"/>
      <c r="L2785" s="1058"/>
      <c r="M2785" s="1059" t="str">
        <f>IF(A2785="","",I2785*K2785)</f>
        <v/>
      </c>
      <c r="N2785" s="1058"/>
    </row>
    <row r="2786" spans="1:15" ht="12.75" customHeight="1" x14ac:dyDescent="0.25">
      <c r="A2786" s="3"/>
      <c r="B2786" s="3"/>
      <c r="C2786" s="3"/>
      <c r="D2786" s="3"/>
      <c r="E2786" s="3"/>
      <c r="F2786" s="3"/>
      <c r="G2786" s="3"/>
      <c r="H2786" s="3"/>
      <c r="I2786" s="3"/>
      <c r="J2786" s="3"/>
      <c r="K2786" s="1066" t="s">
        <v>201</v>
      </c>
      <c r="L2786" s="1058"/>
      <c r="M2786" s="1059">
        <f>SUM(M2781:N2785)</f>
        <v>10643360</v>
      </c>
      <c r="N2786" s="1058"/>
    </row>
    <row r="2787" spans="1:15" ht="12.75" customHeight="1" x14ac:dyDescent="0.25">
      <c r="A2787" s="3"/>
      <c r="B2787" s="3"/>
      <c r="C2787" s="3"/>
      <c r="D2787" s="3"/>
      <c r="E2787" s="3"/>
      <c r="F2787" s="3"/>
      <c r="G2787" s="3"/>
      <c r="H2787" s="3"/>
      <c r="I2787" s="3"/>
      <c r="J2787" s="3"/>
      <c r="K2787" s="3"/>
      <c r="L2787" s="3"/>
      <c r="M2787" s="3"/>
      <c r="N2787" s="3"/>
    </row>
    <row r="2788" spans="1:15" ht="12.75" customHeight="1" x14ac:dyDescent="0.2">
      <c r="A2788" s="1065" t="s">
        <v>390</v>
      </c>
      <c r="B2788" s="1057"/>
      <c r="C2788" s="1057"/>
      <c r="D2788" s="1057"/>
      <c r="E2788" s="1057"/>
      <c r="F2788" s="1057"/>
      <c r="G2788" s="1057"/>
      <c r="H2788" s="1057"/>
      <c r="I2788" s="1057"/>
      <c r="J2788" s="1057"/>
      <c r="K2788" s="1057"/>
      <c r="L2788" s="1057"/>
      <c r="M2788" s="1057"/>
      <c r="N2788" s="1058"/>
    </row>
    <row r="2789" spans="1:15" ht="12.75" customHeight="1" x14ac:dyDescent="0.2">
      <c r="A2789" s="1066" t="s">
        <v>38</v>
      </c>
      <c r="B2789" s="1057"/>
      <c r="C2789" s="1057"/>
      <c r="D2789" s="1057"/>
      <c r="E2789" s="1057"/>
      <c r="F2789" s="1057"/>
      <c r="G2789" s="1058"/>
      <c r="H2789" s="28" t="s">
        <v>39</v>
      </c>
      <c r="I2789" s="1062" t="s">
        <v>385</v>
      </c>
      <c r="J2789" s="1058"/>
      <c r="K2789" s="1062" t="s">
        <v>132</v>
      </c>
      <c r="L2789" s="1058"/>
      <c r="M2789" s="1062" t="s">
        <v>386</v>
      </c>
      <c r="N2789" s="1058"/>
    </row>
    <row r="2790" spans="1:15" ht="12.75" customHeight="1" x14ac:dyDescent="0.2">
      <c r="A2790" s="1061" t="s">
        <v>391</v>
      </c>
      <c r="B2790" s="1057"/>
      <c r="C2790" s="1057"/>
      <c r="D2790" s="1057"/>
      <c r="E2790" s="1057"/>
      <c r="F2790" s="1057"/>
      <c r="G2790" s="1058"/>
      <c r="H2790" s="9" t="str">
        <f>IF(A2790="","",VLOOKUP(A2790,AA_Equipos,7,FALSE))</f>
        <v>% M.O.</v>
      </c>
      <c r="I2790" s="1059">
        <f>+M2813</f>
        <v>856948.19562000001</v>
      </c>
      <c r="J2790" s="1058"/>
      <c r="K2790" s="1064">
        <v>0.05</v>
      </c>
      <c r="L2790" s="1058"/>
      <c r="M2790" s="1059">
        <f>IF(A2790="","",I2790*K2790)</f>
        <v>42847.409781000002</v>
      </c>
      <c r="N2790" s="1058"/>
    </row>
    <row r="2791" spans="1:15" ht="12.75" customHeight="1" x14ac:dyDescent="0.2">
      <c r="A2791" s="1056"/>
      <c r="B2791" s="1057"/>
      <c r="C2791" s="1057"/>
      <c r="D2791" s="1057"/>
      <c r="E2791" s="1057"/>
      <c r="F2791" s="1057"/>
      <c r="G2791" s="1058"/>
      <c r="H2791" s="9" t="str">
        <f>IF(A2791="","",VLOOKUP(A2791,AA_Equipos,7,FALSE))</f>
        <v/>
      </c>
      <c r="I2791" s="1059" t="str">
        <f>IF(A2791="","",VLOOKUP(A2791,AA_Equipos,8,FALSE))</f>
        <v/>
      </c>
      <c r="J2791" s="1058"/>
      <c r="K2791" s="1067"/>
      <c r="L2791" s="1058"/>
      <c r="M2791" s="1059" t="str">
        <f>IF(A2791="","",I2791*K2791)</f>
        <v/>
      </c>
      <c r="N2791" s="1058"/>
    </row>
    <row r="2792" spans="1:15" ht="12.75" customHeight="1" x14ac:dyDescent="0.2">
      <c r="A2792" s="1061"/>
      <c r="B2792" s="1057"/>
      <c r="C2792" s="1057"/>
      <c r="D2792" s="1057"/>
      <c r="E2792" s="1057"/>
      <c r="F2792" s="1057"/>
      <c r="G2792" s="1058"/>
      <c r="H2792" s="9" t="str">
        <f>IF(A2792="","",VLOOKUP(A2792,AA_Equipos,7,FALSE))</f>
        <v/>
      </c>
      <c r="I2792" s="1059" t="str">
        <f>IF(A2792="","",VLOOKUP(A2792,AA_Equipos,8,FALSE))</f>
        <v/>
      </c>
      <c r="J2792" s="1058"/>
      <c r="K2792" s="1060"/>
      <c r="L2792" s="1058"/>
      <c r="M2792" s="1059" t="str">
        <f>IF(A2792="","",I2792*K2792)</f>
        <v/>
      </c>
      <c r="N2792" s="1058"/>
    </row>
    <row r="2793" spans="1:15" ht="12.75" customHeight="1" x14ac:dyDescent="0.2">
      <c r="A2793" s="1061"/>
      <c r="B2793" s="1057"/>
      <c r="C2793" s="1057"/>
      <c r="D2793" s="1057"/>
      <c r="E2793" s="1057"/>
      <c r="F2793" s="1057"/>
      <c r="G2793" s="1058"/>
      <c r="H2793" s="9" t="str">
        <f>IF(A2793="","",VLOOKUP(A2793,AA_Equipos,7,FALSE))</f>
        <v/>
      </c>
      <c r="I2793" s="1059" t="str">
        <f>IF(A2793="","",VLOOKUP(A2793,AA_Equipos,8,FALSE))</f>
        <v/>
      </c>
      <c r="J2793" s="1058"/>
      <c r="K2793" s="1060"/>
      <c r="L2793" s="1058"/>
      <c r="M2793" s="1059" t="str">
        <f>IF(A2793="","",I2793*K2793)</f>
        <v/>
      </c>
      <c r="N2793" s="1058"/>
    </row>
    <row r="2794" spans="1:15" ht="12.75" customHeight="1" x14ac:dyDescent="0.2">
      <c r="A2794" s="1061"/>
      <c r="B2794" s="1057"/>
      <c r="C2794" s="1057"/>
      <c r="D2794" s="1057"/>
      <c r="E2794" s="1057"/>
      <c r="F2794" s="1057"/>
      <c r="G2794" s="1058"/>
      <c r="H2794" s="9" t="str">
        <f>IF(A2794="","",VLOOKUP(A2794,AA_Equipos,7,FALSE))</f>
        <v/>
      </c>
      <c r="I2794" s="1059" t="str">
        <f>IF(A2794="","",VLOOKUP(A2794,AA_Equipos,8,FALSE))</f>
        <v/>
      </c>
      <c r="J2794" s="1058"/>
      <c r="K2794" s="1060"/>
      <c r="L2794" s="1058"/>
      <c r="M2794" s="1059" t="str">
        <f>IF(A2794="","",I2794*K2794)</f>
        <v/>
      </c>
      <c r="N2794" s="1058"/>
      <c r="O2794" s="7"/>
    </row>
    <row r="2795" spans="1:15" ht="12.75" customHeight="1" x14ac:dyDescent="0.25">
      <c r="A2795" s="3"/>
      <c r="B2795" s="3"/>
      <c r="C2795" s="3"/>
      <c r="D2795" s="3"/>
      <c r="E2795" s="3"/>
      <c r="F2795" s="3"/>
      <c r="G2795" s="3"/>
      <c r="H2795" s="3"/>
      <c r="I2795" s="3"/>
      <c r="J2795" s="3"/>
      <c r="K2795" s="1066" t="s">
        <v>201</v>
      </c>
      <c r="L2795" s="1058"/>
      <c r="M2795" s="1059">
        <f>SUM(M2790:N2794)</f>
        <v>42847.409781000002</v>
      </c>
      <c r="N2795" s="1058"/>
      <c r="O2795" s="7"/>
    </row>
    <row r="2796" spans="1:15" ht="12.75" customHeight="1" x14ac:dyDescent="0.25">
      <c r="A2796" s="3"/>
      <c r="B2796" s="3"/>
      <c r="C2796" s="3"/>
      <c r="D2796" s="3"/>
      <c r="E2796" s="3"/>
      <c r="F2796" s="3"/>
      <c r="G2796" s="3"/>
      <c r="H2796" s="3"/>
      <c r="I2796" s="3"/>
      <c r="J2796" s="3"/>
      <c r="K2796" s="3"/>
      <c r="L2796" s="3"/>
      <c r="M2796" s="3"/>
      <c r="N2796" s="3"/>
    </row>
    <row r="2797" spans="1:15" ht="12.75" customHeight="1" x14ac:dyDescent="0.2">
      <c r="A2797" s="1065" t="s">
        <v>392</v>
      </c>
      <c r="B2797" s="1057"/>
      <c r="C2797" s="1057"/>
      <c r="D2797" s="1057"/>
      <c r="E2797" s="1057"/>
      <c r="F2797" s="1057"/>
      <c r="G2797" s="1057"/>
      <c r="H2797" s="1057"/>
      <c r="I2797" s="1057"/>
      <c r="J2797" s="1057"/>
      <c r="K2797" s="1057"/>
      <c r="L2797" s="1057"/>
      <c r="M2797" s="1057"/>
      <c r="N2797" s="1058"/>
    </row>
    <row r="2798" spans="1:15" ht="12.75" customHeight="1" x14ac:dyDescent="0.2">
      <c r="A2798" s="1066" t="s">
        <v>38</v>
      </c>
      <c r="B2798" s="1057"/>
      <c r="C2798" s="1057"/>
      <c r="D2798" s="1057"/>
      <c r="E2798" s="1057"/>
      <c r="F2798" s="1057"/>
      <c r="G2798" s="1058"/>
      <c r="H2798" s="28" t="s">
        <v>39</v>
      </c>
      <c r="I2798" s="1062" t="s">
        <v>385</v>
      </c>
      <c r="J2798" s="1058"/>
      <c r="K2798" s="1062" t="s">
        <v>132</v>
      </c>
      <c r="L2798" s="1058"/>
      <c r="M2798" s="1062" t="s">
        <v>386</v>
      </c>
      <c r="N2798" s="1058"/>
    </row>
    <row r="2799" spans="1:15" ht="12.75" customHeight="1" x14ac:dyDescent="0.2">
      <c r="A2799" s="1056"/>
      <c r="B2799" s="1057"/>
      <c r="C2799" s="1057"/>
      <c r="D2799" s="1057"/>
      <c r="E2799" s="1057"/>
      <c r="F2799" s="1057"/>
      <c r="G2799" s="1058"/>
      <c r="H2799" s="9"/>
      <c r="I2799" s="1059"/>
      <c r="J2799" s="1058"/>
      <c r="K2799" s="1064"/>
      <c r="L2799" s="1058"/>
      <c r="M2799" s="1059" t="str">
        <f>IF(A2799="","",I2799*K2799)</f>
        <v/>
      </c>
      <c r="N2799" s="1058"/>
    </row>
    <row r="2800" spans="1:15" ht="12.75" customHeight="1" x14ac:dyDescent="0.2">
      <c r="A2800" s="1056"/>
      <c r="B2800" s="1057"/>
      <c r="C2800" s="1057"/>
      <c r="D2800" s="1057"/>
      <c r="E2800" s="1057"/>
      <c r="F2800" s="1057"/>
      <c r="G2800" s="1058"/>
      <c r="H2800" s="9"/>
      <c r="I2800" s="1059"/>
      <c r="J2800" s="1058"/>
      <c r="K2800" s="1064"/>
      <c r="L2800" s="1058"/>
      <c r="M2800" s="1059" t="str">
        <f>IF(A2800="","",I2800*K2800)</f>
        <v/>
      </c>
      <c r="N2800" s="1058"/>
    </row>
    <row r="2801" spans="1:15" ht="12.75" customHeight="1" x14ac:dyDescent="0.2">
      <c r="A2801" s="1061"/>
      <c r="B2801" s="1057"/>
      <c r="C2801" s="1057"/>
      <c r="D2801" s="1057"/>
      <c r="E2801" s="1057"/>
      <c r="F2801" s="1057"/>
      <c r="G2801" s="1058"/>
      <c r="H2801" s="9"/>
      <c r="I2801" s="1059"/>
      <c r="J2801" s="1058"/>
      <c r="K2801" s="1060"/>
      <c r="L2801" s="1058"/>
      <c r="M2801" s="1059" t="str">
        <f>IF(A2801="","",I2801*K2801)</f>
        <v/>
      </c>
      <c r="N2801" s="1058"/>
    </row>
    <row r="2802" spans="1:15" ht="12.75" customHeight="1" x14ac:dyDescent="0.2">
      <c r="A2802" s="1061"/>
      <c r="B2802" s="1057"/>
      <c r="C2802" s="1057"/>
      <c r="D2802" s="1057"/>
      <c r="E2802" s="1057"/>
      <c r="F2802" s="1057"/>
      <c r="G2802" s="1058"/>
      <c r="H2802" s="9"/>
      <c r="I2802" s="1059"/>
      <c r="J2802" s="1058"/>
      <c r="K2802" s="1060"/>
      <c r="L2802" s="1058"/>
      <c r="M2802" s="1059" t="str">
        <f>IF(A2802="","",I2802*K2802)</f>
        <v/>
      </c>
      <c r="N2802" s="1058"/>
    </row>
    <row r="2803" spans="1:15" ht="12.75" customHeight="1" x14ac:dyDescent="0.2">
      <c r="A2803" s="1061"/>
      <c r="B2803" s="1057"/>
      <c r="C2803" s="1057"/>
      <c r="D2803" s="1057"/>
      <c r="E2803" s="1057"/>
      <c r="F2803" s="1057"/>
      <c r="G2803" s="1058"/>
      <c r="H2803" s="9"/>
      <c r="I2803" s="1059"/>
      <c r="J2803" s="1058"/>
      <c r="K2803" s="1060"/>
      <c r="L2803" s="1058"/>
      <c r="M2803" s="1059" t="str">
        <f>IF(A2803="","",I2803*K2803)</f>
        <v/>
      </c>
      <c r="N2803" s="1058"/>
      <c r="O2803" s="7"/>
    </row>
    <row r="2804" spans="1:15" ht="12.75" customHeight="1" x14ac:dyDescent="0.25">
      <c r="A2804" s="3"/>
      <c r="B2804" s="3"/>
      <c r="C2804" s="3"/>
      <c r="D2804" s="3"/>
      <c r="E2804" s="3"/>
      <c r="F2804" s="3"/>
      <c r="G2804" s="3"/>
      <c r="H2804" s="3"/>
      <c r="I2804" s="3"/>
      <c r="J2804" s="3"/>
      <c r="K2804" s="1066" t="s">
        <v>201</v>
      </c>
      <c r="L2804" s="1058"/>
      <c r="M2804" s="1059">
        <f>SUM(M2799:N2803)</f>
        <v>0</v>
      </c>
      <c r="N2804" s="1058"/>
    </row>
    <row r="2805" spans="1:15" ht="12.75" customHeight="1" x14ac:dyDescent="0.25">
      <c r="A2805" s="3"/>
      <c r="B2805" s="3"/>
      <c r="C2805" s="3"/>
      <c r="D2805" s="3"/>
      <c r="E2805" s="3"/>
      <c r="F2805" s="3"/>
      <c r="G2805" s="3"/>
      <c r="H2805" s="3"/>
      <c r="I2805" s="3"/>
      <c r="J2805" s="3"/>
      <c r="K2805" s="3"/>
      <c r="L2805" s="3"/>
      <c r="M2805" s="3"/>
      <c r="N2805" s="3"/>
    </row>
    <row r="2806" spans="1:15" ht="12.75" customHeight="1" x14ac:dyDescent="0.2">
      <c r="A2806" s="1065" t="s">
        <v>394</v>
      </c>
      <c r="B2806" s="1057"/>
      <c r="C2806" s="1057"/>
      <c r="D2806" s="1057"/>
      <c r="E2806" s="1057"/>
      <c r="F2806" s="1057"/>
      <c r="G2806" s="1057"/>
      <c r="H2806" s="1057"/>
      <c r="I2806" s="1057"/>
      <c r="J2806" s="1057"/>
      <c r="K2806" s="1057"/>
      <c r="L2806" s="1057"/>
      <c r="M2806" s="1057"/>
      <c r="N2806" s="1058"/>
    </row>
    <row r="2807" spans="1:15" ht="12.75" customHeight="1" x14ac:dyDescent="0.2">
      <c r="A2807" s="1066" t="s">
        <v>38</v>
      </c>
      <c r="B2807" s="1057"/>
      <c r="C2807" s="1057"/>
      <c r="D2807" s="1057"/>
      <c r="E2807" s="1057"/>
      <c r="F2807" s="1057"/>
      <c r="G2807" s="1058"/>
      <c r="H2807" s="28" t="s">
        <v>39</v>
      </c>
      <c r="I2807" s="1062" t="s">
        <v>385</v>
      </c>
      <c r="J2807" s="1058"/>
      <c r="K2807" s="30" t="s">
        <v>193</v>
      </c>
      <c r="L2807" s="31" t="s">
        <v>395</v>
      </c>
      <c r="M2807" s="1062" t="s">
        <v>386</v>
      </c>
      <c r="N2807" s="1058"/>
    </row>
    <row r="2808" spans="1:15" ht="12.75" customHeight="1" x14ac:dyDescent="0.25">
      <c r="A2808" s="1063" t="s">
        <v>411</v>
      </c>
      <c r="B2808" s="1057"/>
      <c r="C2808" s="1057"/>
      <c r="D2808" s="1057"/>
      <c r="E2808" s="1057"/>
      <c r="F2808" s="1057"/>
      <c r="G2808" s="1058"/>
      <c r="H2808" s="9" t="str">
        <f>IF(A2808="","",VLOOKUP(A2808,AA_Cuadrillas,4,FALSE))</f>
        <v>Cuadrilla</v>
      </c>
      <c r="I2808" s="1059">
        <f>IF(A2808="","",VLOOKUP(A2808,AA_Cuadrillas,5,FALSE))</f>
        <v>414381</v>
      </c>
      <c r="J2808" s="1058"/>
      <c r="K2808" s="1">
        <f>IF(A2808="","",'06'!$J$3)</f>
        <v>1.7233500000000002</v>
      </c>
      <c r="L2808" s="37">
        <v>1.2</v>
      </c>
      <c r="M2808" s="1059">
        <f>IF(A2808="","",I2808*K2808*L2808)</f>
        <v>856948.19562000001</v>
      </c>
      <c r="N2808" s="1058"/>
    </row>
    <row r="2809" spans="1:15" ht="12.75" customHeight="1" x14ac:dyDescent="0.25">
      <c r="A2809" s="1063"/>
      <c r="B2809" s="1057"/>
      <c r="C2809" s="1057"/>
      <c r="D2809" s="1057"/>
      <c r="E2809" s="1057"/>
      <c r="F2809" s="1057"/>
      <c r="G2809" s="1058"/>
      <c r="H2809" s="9" t="str">
        <f>IF(A2809="","",VLOOKUP(A2809,AA_Cuadrillas,4,FALSE))</f>
        <v/>
      </c>
      <c r="I2809" s="1059" t="str">
        <f>IF(A2809="","",VLOOKUP(A2809,AA_Cuadrillas,5,FALSE))</f>
        <v/>
      </c>
      <c r="J2809" s="1058"/>
      <c r="K2809" s="1" t="str">
        <f>IF(A2809="","",'06'!$J$3)</f>
        <v/>
      </c>
      <c r="L2809" s="1"/>
      <c r="M2809" s="1059" t="str">
        <f>IF(A2809="","",I2809*K2809*L2809)</f>
        <v/>
      </c>
      <c r="N2809" s="1058"/>
    </row>
    <row r="2810" spans="1:15" ht="12.75" customHeight="1" x14ac:dyDescent="0.25">
      <c r="A2810" s="1063"/>
      <c r="B2810" s="1057"/>
      <c r="C2810" s="1057"/>
      <c r="D2810" s="1057"/>
      <c r="E2810" s="1057"/>
      <c r="F2810" s="1057"/>
      <c r="G2810" s="1058"/>
      <c r="H2810" s="9" t="str">
        <f>IF(A2810="","",VLOOKUP(A2810,AA_Cuadrillas,4,FALSE))</f>
        <v/>
      </c>
      <c r="I2810" s="1059" t="str">
        <f>IF(A2810="","",VLOOKUP(A2810,AA_Cuadrillas,5,FALSE))</f>
        <v/>
      </c>
      <c r="J2810" s="1058"/>
      <c r="K2810" s="1" t="str">
        <f>IF(A2810="","",'06'!$J$3)</f>
        <v/>
      </c>
      <c r="L2810" s="10"/>
      <c r="M2810" s="1059" t="str">
        <f>IF(A2810="","",I2810*K2810*L2810)</f>
        <v/>
      </c>
      <c r="N2810" s="1058"/>
    </row>
    <row r="2811" spans="1:15" ht="12.75" customHeight="1" x14ac:dyDescent="0.25">
      <c r="A2811" s="1063"/>
      <c r="B2811" s="1057"/>
      <c r="C2811" s="1057"/>
      <c r="D2811" s="1057"/>
      <c r="E2811" s="1057"/>
      <c r="F2811" s="1057"/>
      <c r="G2811" s="1058"/>
      <c r="H2811" s="9" t="str">
        <f>IF(A2811="","",VLOOKUP(A2811,AA_Cuadrillas,4,FALSE))</f>
        <v/>
      </c>
      <c r="I2811" s="1059" t="str">
        <f>IF(A2811="","",VLOOKUP(A2811,AA_Cuadrillas,5,FALSE))</f>
        <v/>
      </c>
      <c r="J2811" s="1058"/>
      <c r="K2811" s="1" t="str">
        <f>IF(A2811="","",'06'!$J$3)</f>
        <v/>
      </c>
      <c r="L2811" s="10"/>
      <c r="M2811" s="1059" t="str">
        <f>IF(A2811="","",I2811*K2811*L2811)</f>
        <v/>
      </c>
      <c r="N2811" s="1058"/>
    </row>
    <row r="2812" spans="1:15" ht="12.75" customHeight="1" x14ac:dyDescent="0.25">
      <c r="A2812" s="1063"/>
      <c r="B2812" s="1057"/>
      <c r="C2812" s="1057"/>
      <c r="D2812" s="1057"/>
      <c r="E2812" s="1057"/>
      <c r="F2812" s="1057"/>
      <c r="G2812" s="1058"/>
      <c r="H2812" s="9" t="str">
        <f>IF(A2812="","",VLOOKUP(A2812,AA_Cuadrillas,4,FALSE))</f>
        <v/>
      </c>
      <c r="I2812" s="1059" t="str">
        <f>IF(A2812="","",VLOOKUP(A2812,AA_Cuadrillas,5,FALSE))</f>
        <v/>
      </c>
      <c r="J2812" s="1058"/>
      <c r="K2812" s="1" t="str">
        <f>IF(A2812="","",'06'!$J$3)</f>
        <v/>
      </c>
      <c r="L2812" s="10"/>
      <c r="M2812" s="1059" t="str">
        <f>IF(A2812="","",I2812*K2812*L2812)</f>
        <v/>
      </c>
      <c r="N2812" s="1058"/>
    </row>
    <row r="2813" spans="1:15" ht="12.75" customHeight="1" x14ac:dyDescent="0.25">
      <c r="A2813" s="3"/>
      <c r="B2813" s="3"/>
      <c r="C2813" s="3"/>
      <c r="D2813" s="3"/>
      <c r="E2813" s="3"/>
      <c r="F2813" s="3"/>
      <c r="G2813" s="3"/>
      <c r="H2813" s="3"/>
      <c r="I2813" s="3"/>
      <c r="J2813" s="3"/>
      <c r="K2813" s="1066" t="s">
        <v>201</v>
      </c>
      <c r="L2813" s="1058"/>
      <c r="M2813" s="1059">
        <f>SUM(M2808:N2812)</f>
        <v>856948.19562000001</v>
      </c>
      <c r="N2813" s="1058"/>
    </row>
    <row r="2814" spans="1:15" ht="12.75" customHeight="1" x14ac:dyDescent="0.2"/>
    <row r="2815" spans="1:15" ht="12.75" customHeight="1" x14ac:dyDescent="0.2">
      <c r="A2815" s="1072" t="s">
        <v>1731</v>
      </c>
      <c r="B2815" s="1052"/>
      <c r="C2815" s="1052"/>
      <c r="D2815" s="1052"/>
      <c r="E2815" s="1052"/>
      <c r="F2815" s="1052"/>
      <c r="G2815" s="1052"/>
      <c r="H2815" s="1052"/>
      <c r="I2815" s="1052"/>
      <c r="J2815" s="1052"/>
      <c r="K2815" s="1052"/>
      <c r="L2815" s="1052"/>
      <c r="M2815" s="1052"/>
      <c r="N2815" s="1053"/>
    </row>
    <row r="2816" spans="1:15" ht="12.75" customHeight="1" x14ac:dyDescent="0.2">
      <c r="A2816" s="1031"/>
      <c r="B2816" s="1032"/>
      <c r="C2816" s="1032"/>
      <c r="D2816" s="1032"/>
      <c r="E2816" s="1032"/>
      <c r="F2816" s="1032"/>
      <c r="G2816" s="1032"/>
      <c r="H2816" s="1032"/>
      <c r="I2816" s="1032"/>
      <c r="J2816" s="1032"/>
      <c r="K2816" s="1032"/>
      <c r="L2816" s="1032"/>
      <c r="M2816" s="1032"/>
      <c r="N2816" s="1055"/>
    </row>
    <row r="2817" spans="1:14" ht="12.75" customHeight="1" x14ac:dyDescent="0.2">
      <c r="A2817" s="16"/>
      <c r="B2817" s="16"/>
      <c r="C2817" s="16"/>
      <c r="D2817" s="16"/>
      <c r="E2817" s="16"/>
      <c r="F2817" s="16"/>
      <c r="G2817" s="16"/>
      <c r="H2817" s="16"/>
      <c r="I2817" s="16"/>
      <c r="J2817" s="16"/>
      <c r="K2817" s="16"/>
      <c r="L2817" s="16"/>
      <c r="M2817" s="16"/>
      <c r="N2817" s="16"/>
    </row>
    <row r="2818" spans="1:14" ht="12.75" customHeight="1" x14ac:dyDescent="0.3">
      <c r="A2818" s="18" t="s">
        <v>356</v>
      </c>
      <c r="B2818" s="19" t="str">
        <f>A2815</f>
        <v>VÁLVULA AQT COMPUERTA ELÁSTICA BRIDADA DE 6" (INCLUYE INSTALACIÓN Y SUMINISTRO)</v>
      </c>
      <c r="C2818" s="20" t="s">
        <v>382</v>
      </c>
      <c r="D2818" s="127" t="s">
        <v>424</v>
      </c>
      <c r="E2818" s="22" t="s">
        <v>125</v>
      </c>
      <c r="F2818" s="26">
        <f>(H2818+J2818+L2818+N2818)*$O$2</f>
        <v>1820476.2596258873</v>
      </c>
      <c r="G2818" s="22" t="s">
        <v>285</v>
      </c>
      <c r="H2818" s="26">
        <f>M2835</f>
        <v>1785.3087408750002</v>
      </c>
      <c r="I2818" s="22" t="s">
        <v>383</v>
      </c>
      <c r="J2818" s="26">
        <f>M2826</f>
        <v>1362874.8699999999</v>
      </c>
      <c r="K2818" s="22" t="s">
        <v>287</v>
      </c>
      <c r="L2818" s="26">
        <f>M2844</f>
        <v>0</v>
      </c>
      <c r="M2818" s="22" t="s">
        <v>288</v>
      </c>
      <c r="N2818" s="26">
        <f>M2853</f>
        <v>35706.174817500003</v>
      </c>
    </row>
    <row r="2819" spans="1:14" ht="12.75" customHeight="1" x14ac:dyDescent="0.25">
      <c r="A2819" s="27"/>
      <c r="B2819" s="27"/>
      <c r="C2819" s="27"/>
      <c r="D2819" s="27"/>
      <c r="E2819" s="27"/>
      <c r="F2819" s="27"/>
      <c r="G2819" s="27"/>
      <c r="J2819" s="27"/>
      <c r="K2819" s="27"/>
      <c r="L2819" s="27"/>
      <c r="M2819" s="27"/>
      <c r="N2819" s="27"/>
    </row>
    <row r="2820" spans="1:14" ht="12.75" customHeight="1" x14ac:dyDescent="0.2">
      <c r="A2820" s="1065" t="s">
        <v>384</v>
      </c>
      <c r="B2820" s="1057"/>
      <c r="C2820" s="1057"/>
      <c r="D2820" s="1057"/>
      <c r="E2820" s="1057"/>
      <c r="F2820" s="1057"/>
      <c r="G2820" s="1057"/>
      <c r="H2820" s="1057"/>
      <c r="I2820" s="1057"/>
      <c r="J2820" s="1057"/>
      <c r="K2820" s="1057"/>
      <c r="L2820" s="1057"/>
      <c r="M2820" s="1057"/>
      <c r="N2820" s="1058"/>
    </row>
    <row r="2821" spans="1:14" ht="12.75" customHeight="1" x14ac:dyDescent="0.2">
      <c r="A2821" s="1066" t="s">
        <v>38</v>
      </c>
      <c r="B2821" s="1057"/>
      <c r="C2821" s="1057"/>
      <c r="D2821" s="1057"/>
      <c r="E2821" s="1057"/>
      <c r="F2821" s="1057"/>
      <c r="G2821" s="1058"/>
      <c r="H2821" s="28" t="s">
        <v>39</v>
      </c>
      <c r="I2821" s="1062" t="s">
        <v>385</v>
      </c>
      <c r="J2821" s="1058"/>
      <c r="K2821" s="1062" t="s">
        <v>132</v>
      </c>
      <c r="L2821" s="1058"/>
      <c r="M2821" s="1062" t="s">
        <v>386</v>
      </c>
      <c r="N2821" s="1058"/>
    </row>
    <row r="2822" spans="1:14" ht="12.75" customHeight="1" x14ac:dyDescent="0.2">
      <c r="A2822" s="1061" t="s">
        <v>1544</v>
      </c>
      <c r="B2822" s="1057"/>
      <c r="C2822" s="1057"/>
      <c r="D2822" s="1057"/>
      <c r="E2822" s="1057"/>
      <c r="F2822" s="1057"/>
      <c r="G2822" s="1058"/>
      <c r="H2822" s="9" t="str">
        <f t="shared" ref="H2822" si="211">IF(A2822="","",VLOOKUP(A2822,AA_Materiales,7,FALSE))</f>
        <v>Unidad</v>
      </c>
      <c r="I2822" s="1059">
        <f t="shared" ref="I2822" si="212">IF(A2822="","",VLOOKUP(A2822,AA_Materiales,8,FALSE))</f>
        <v>1362874.8699999999</v>
      </c>
      <c r="J2822" s="1058"/>
      <c r="K2822" s="1060">
        <v>1</v>
      </c>
      <c r="L2822" s="1058"/>
      <c r="M2822" s="1059">
        <f>IF(A2822="","",I2822*K2822)</f>
        <v>1362874.8699999999</v>
      </c>
      <c r="N2822" s="1058"/>
    </row>
    <row r="2823" spans="1:14" ht="12.75" customHeight="1" x14ac:dyDescent="0.2">
      <c r="A2823" s="1061"/>
      <c r="B2823" s="1057"/>
      <c r="C2823" s="1057"/>
      <c r="D2823" s="1057"/>
      <c r="E2823" s="1057"/>
      <c r="F2823" s="1057"/>
      <c r="G2823" s="1058"/>
      <c r="H2823" s="9"/>
      <c r="I2823" s="1059"/>
      <c r="J2823" s="1058"/>
      <c r="K2823" s="1060"/>
      <c r="L2823" s="1058"/>
      <c r="M2823" s="1059" t="str">
        <f>IF(A2823="","",I2823*K2823)</f>
        <v/>
      </c>
      <c r="N2823" s="1058"/>
    </row>
    <row r="2824" spans="1:14" ht="12.75" customHeight="1" x14ac:dyDescent="0.2">
      <c r="A2824" s="1061"/>
      <c r="B2824" s="1057"/>
      <c r="C2824" s="1057"/>
      <c r="D2824" s="1057"/>
      <c r="E2824" s="1057"/>
      <c r="F2824" s="1057"/>
      <c r="G2824" s="1058"/>
      <c r="H2824" s="9"/>
      <c r="I2824" s="1059"/>
      <c r="J2824" s="1058"/>
      <c r="K2824" s="1060"/>
      <c r="L2824" s="1058"/>
      <c r="M2824" s="1059"/>
      <c r="N2824" s="1058"/>
    </row>
    <row r="2825" spans="1:14" ht="12.75" customHeight="1" x14ac:dyDescent="0.2">
      <c r="A2825" s="1061"/>
      <c r="B2825" s="1057"/>
      <c r="C2825" s="1057"/>
      <c r="D2825" s="1057"/>
      <c r="E2825" s="1057"/>
      <c r="F2825" s="1057"/>
      <c r="G2825" s="1058"/>
      <c r="H2825" s="9" t="str">
        <f>IF(A2825="","",VLOOKUP(A2825,AA_Materiales,7,FALSE))</f>
        <v/>
      </c>
      <c r="I2825" s="1059" t="str">
        <f>IF(A2825="","",VLOOKUP(A2825,AA_Materiales,8,FALSE))</f>
        <v/>
      </c>
      <c r="J2825" s="1058"/>
      <c r="K2825" s="1060"/>
      <c r="L2825" s="1058"/>
      <c r="M2825" s="1059" t="str">
        <f>IF(A2825="","",I2825*K2825)</f>
        <v/>
      </c>
      <c r="N2825" s="1058"/>
    </row>
    <row r="2826" spans="1:14" ht="12.75" customHeight="1" x14ac:dyDescent="0.25">
      <c r="A2826" s="3"/>
      <c r="B2826" s="3"/>
      <c r="C2826" s="3"/>
      <c r="D2826" s="3"/>
      <c r="E2826" s="3"/>
      <c r="F2826" s="3"/>
      <c r="G2826" s="3"/>
      <c r="H2826" s="3"/>
      <c r="I2826" s="3"/>
      <c r="J2826" s="3"/>
      <c r="K2826" s="1066" t="s">
        <v>201</v>
      </c>
      <c r="L2826" s="1058"/>
      <c r="M2826" s="1059">
        <f>SUM(M2822:N2825)</f>
        <v>1362874.8699999999</v>
      </c>
      <c r="N2826" s="1058"/>
    </row>
    <row r="2827" spans="1:14" ht="12.75" customHeight="1" x14ac:dyDescent="0.25">
      <c r="A2827" s="3"/>
      <c r="B2827" s="3"/>
      <c r="C2827" s="3"/>
      <c r="D2827" s="3"/>
      <c r="E2827" s="3"/>
      <c r="F2827" s="3"/>
      <c r="G2827" s="3"/>
      <c r="H2827" s="3"/>
      <c r="I2827" s="3"/>
      <c r="J2827" s="3"/>
      <c r="K2827" s="3"/>
      <c r="L2827" s="3"/>
      <c r="M2827" s="3"/>
      <c r="N2827" s="3"/>
    </row>
    <row r="2828" spans="1:14" ht="12.75" customHeight="1" x14ac:dyDescent="0.2">
      <c r="A2828" s="1065" t="s">
        <v>390</v>
      </c>
      <c r="B2828" s="1057"/>
      <c r="C2828" s="1057"/>
      <c r="D2828" s="1057"/>
      <c r="E2828" s="1057"/>
      <c r="F2828" s="1057"/>
      <c r="G2828" s="1057"/>
      <c r="H2828" s="1057"/>
      <c r="I2828" s="1057"/>
      <c r="J2828" s="1057"/>
      <c r="K2828" s="1057"/>
      <c r="L2828" s="1057"/>
      <c r="M2828" s="1057"/>
      <c r="N2828" s="1058"/>
    </row>
    <row r="2829" spans="1:14" ht="12.75" customHeight="1" x14ac:dyDescent="0.2">
      <c r="A2829" s="1066" t="s">
        <v>38</v>
      </c>
      <c r="B2829" s="1057"/>
      <c r="C2829" s="1057"/>
      <c r="D2829" s="1057"/>
      <c r="E2829" s="1057"/>
      <c r="F2829" s="1057"/>
      <c r="G2829" s="1058"/>
      <c r="H2829" s="28" t="s">
        <v>39</v>
      </c>
      <c r="I2829" s="1062" t="s">
        <v>385</v>
      </c>
      <c r="J2829" s="1058"/>
      <c r="K2829" s="1062" t="s">
        <v>132</v>
      </c>
      <c r="L2829" s="1058"/>
      <c r="M2829" s="1062" t="s">
        <v>386</v>
      </c>
      <c r="N2829" s="1058"/>
    </row>
    <row r="2830" spans="1:14" ht="12.75" customHeight="1" x14ac:dyDescent="0.2">
      <c r="A2830" s="1061" t="s">
        <v>391</v>
      </c>
      <c r="B2830" s="1057"/>
      <c r="C2830" s="1057"/>
      <c r="D2830" s="1057"/>
      <c r="E2830" s="1057"/>
      <c r="F2830" s="1057"/>
      <c r="G2830" s="1058"/>
      <c r="H2830" s="9" t="str">
        <f>IF(A2830="","",VLOOKUP(A2830,AA_Equipos,7,FALSE))</f>
        <v>% M.O.</v>
      </c>
      <c r="I2830" s="1059">
        <f>M2853</f>
        <v>35706.174817500003</v>
      </c>
      <c r="J2830" s="1058"/>
      <c r="K2830" s="1064">
        <v>0.05</v>
      </c>
      <c r="L2830" s="1058"/>
      <c r="M2830" s="1059">
        <f>IF(A2830="","",I2830*K2830)</f>
        <v>1785.3087408750002</v>
      </c>
      <c r="N2830" s="1058"/>
    </row>
    <row r="2831" spans="1:14" ht="12.75" customHeight="1" x14ac:dyDescent="0.2">
      <c r="A2831" s="1056"/>
      <c r="B2831" s="1057"/>
      <c r="C2831" s="1057"/>
      <c r="D2831" s="1057"/>
      <c r="E2831" s="1057"/>
      <c r="F2831" s="1057"/>
      <c r="G2831" s="1058"/>
      <c r="H2831" s="9" t="str">
        <f>IF(A2831="","",VLOOKUP(A2831,AA_Equipos,7,FALSE))</f>
        <v/>
      </c>
      <c r="I2831" s="1059" t="str">
        <f>IF(A2831="","",VLOOKUP(A2831,AA_Equipos,8,FALSE))</f>
        <v/>
      </c>
      <c r="J2831" s="1058"/>
      <c r="K2831" s="1067"/>
      <c r="L2831" s="1058"/>
      <c r="M2831" s="1059" t="str">
        <f>IF(A2831="","",I2831*K2831)</f>
        <v/>
      </c>
      <c r="N2831" s="1058"/>
    </row>
    <row r="2832" spans="1:14" ht="12.75" customHeight="1" x14ac:dyDescent="0.2">
      <c r="A2832" s="1061"/>
      <c r="B2832" s="1057"/>
      <c r="C2832" s="1057"/>
      <c r="D2832" s="1057"/>
      <c r="E2832" s="1057"/>
      <c r="F2832" s="1057"/>
      <c r="G2832" s="1058"/>
      <c r="H2832" s="9" t="str">
        <f>IF(A2832="","",VLOOKUP(A2832,AA_Equipos,7,FALSE))</f>
        <v/>
      </c>
      <c r="I2832" s="1059" t="str">
        <f>IF(A2832="","",VLOOKUP(A2832,AA_Equipos,8,FALSE))</f>
        <v/>
      </c>
      <c r="J2832" s="1058"/>
      <c r="K2832" s="1060"/>
      <c r="L2832" s="1058"/>
      <c r="M2832" s="1059" t="str">
        <f>IF(A2832="","",I2832*K2832)</f>
        <v/>
      </c>
      <c r="N2832" s="1058"/>
    </row>
    <row r="2833" spans="1:15" ht="12.75" customHeight="1" x14ac:dyDescent="0.2">
      <c r="A2833" s="1061"/>
      <c r="B2833" s="1057"/>
      <c r="C2833" s="1057"/>
      <c r="D2833" s="1057"/>
      <c r="E2833" s="1057"/>
      <c r="F2833" s="1057"/>
      <c r="G2833" s="1058"/>
      <c r="H2833" s="9" t="str">
        <f>IF(A2833="","",VLOOKUP(A2833,AA_Equipos,7,FALSE))</f>
        <v/>
      </c>
      <c r="I2833" s="1059" t="str">
        <f>IF(A2833="","",VLOOKUP(A2833,AA_Equipos,8,FALSE))</f>
        <v/>
      </c>
      <c r="J2833" s="1058"/>
      <c r="K2833" s="1060"/>
      <c r="L2833" s="1058"/>
      <c r="M2833" s="1059" t="str">
        <f>IF(A2833="","",I2833*K2833)</f>
        <v/>
      </c>
      <c r="N2833" s="1058"/>
    </row>
    <row r="2834" spans="1:15" ht="12.75" customHeight="1" x14ac:dyDescent="0.2">
      <c r="A2834" s="1061"/>
      <c r="B2834" s="1057"/>
      <c r="C2834" s="1057"/>
      <c r="D2834" s="1057"/>
      <c r="E2834" s="1057"/>
      <c r="F2834" s="1057"/>
      <c r="G2834" s="1058"/>
      <c r="H2834" s="9" t="str">
        <f>IF(A2834="","",VLOOKUP(A2834,AA_Equipos,7,FALSE))</f>
        <v/>
      </c>
      <c r="I2834" s="1059" t="str">
        <f>IF(A2834="","",VLOOKUP(A2834,AA_Equipos,8,FALSE))</f>
        <v/>
      </c>
      <c r="J2834" s="1058"/>
      <c r="K2834" s="1060"/>
      <c r="L2834" s="1058"/>
      <c r="M2834" s="1059" t="str">
        <f>IF(A2834="","",I2834*K2834)</f>
        <v/>
      </c>
      <c r="N2834" s="1058"/>
      <c r="O2834" s="7"/>
    </row>
    <row r="2835" spans="1:15" ht="12.75" customHeight="1" x14ac:dyDescent="0.25">
      <c r="A2835" s="3"/>
      <c r="B2835" s="3"/>
      <c r="C2835" s="3"/>
      <c r="D2835" s="3"/>
      <c r="E2835" s="3"/>
      <c r="F2835" s="3"/>
      <c r="G2835" s="3"/>
      <c r="H2835" s="3"/>
      <c r="I2835" s="3"/>
      <c r="J2835" s="3"/>
      <c r="K2835" s="1066" t="s">
        <v>201</v>
      </c>
      <c r="L2835" s="1058"/>
      <c r="M2835" s="1059">
        <f>SUM(M2830:N2834)</f>
        <v>1785.3087408750002</v>
      </c>
      <c r="N2835" s="1058"/>
      <c r="O2835" s="7"/>
    </row>
    <row r="2836" spans="1:15" ht="12.75" customHeight="1" x14ac:dyDescent="0.25">
      <c r="A2836" s="3"/>
      <c r="B2836" s="3"/>
      <c r="C2836" s="3"/>
      <c r="D2836" s="3"/>
      <c r="E2836" s="3"/>
      <c r="F2836" s="3"/>
      <c r="G2836" s="3"/>
      <c r="H2836" s="3"/>
      <c r="I2836" s="3"/>
      <c r="J2836" s="3"/>
      <c r="K2836" s="3"/>
      <c r="L2836" s="3"/>
      <c r="M2836" s="3"/>
      <c r="N2836" s="3"/>
    </row>
    <row r="2837" spans="1:15" ht="12.75" customHeight="1" x14ac:dyDescent="0.2">
      <c r="A2837" s="1065" t="s">
        <v>392</v>
      </c>
      <c r="B2837" s="1057"/>
      <c r="C2837" s="1057"/>
      <c r="D2837" s="1057"/>
      <c r="E2837" s="1057"/>
      <c r="F2837" s="1057"/>
      <c r="G2837" s="1057"/>
      <c r="H2837" s="1057"/>
      <c r="I2837" s="1057"/>
      <c r="J2837" s="1057"/>
      <c r="K2837" s="1057"/>
      <c r="L2837" s="1057"/>
      <c r="M2837" s="1057"/>
      <c r="N2837" s="1058"/>
    </row>
    <row r="2838" spans="1:15" ht="12.75" customHeight="1" x14ac:dyDescent="0.2">
      <c r="A2838" s="1066" t="s">
        <v>38</v>
      </c>
      <c r="B2838" s="1057"/>
      <c r="C2838" s="1057"/>
      <c r="D2838" s="1057"/>
      <c r="E2838" s="1057"/>
      <c r="F2838" s="1057"/>
      <c r="G2838" s="1058"/>
      <c r="H2838" s="28" t="s">
        <v>39</v>
      </c>
      <c r="I2838" s="1062" t="s">
        <v>385</v>
      </c>
      <c r="J2838" s="1058"/>
      <c r="K2838" s="1062" t="s">
        <v>132</v>
      </c>
      <c r="L2838" s="1058"/>
      <c r="M2838" s="1062" t="s">
        <v>386</v>
      </c>
      <c r="N2838" s="1058"/>
    </row>
    <row r="2839" spans="1:15" ht="12.75" customHeight="1" x14ac:dyDescent="0.2">
      <c r="A2839" s="1056"/>
      <c r="B2839" s="1057"/>
      <c r="C2839" s="1057"/>
      <c r="D2839" s="1057"/>
      <c r="E2839" s="1057"/>
      <c r="F2839" s="1057"/>
      <c r="G2839" s="1058"/>
      <c r="H2839" s="9"/>
      <c r="I2839" s="1059"/>
      <c r="J2839" s="1058"/>
      <c r="K2839" s="1064"/>
      <c r="L2839" s="1058"/>
      <c r="M2839" s="1059" t="str">
        <f>IF(A2839="","",I2839*K2839)</f>
        <v/>
      </c>
      <c r="N2839" s="1058"/>
    </row>
    <row r="2840" spans="1:15" ht="12.75" customHeight="1" x14ac:dyDescent="0.2">
      <c r="A2840" s="1056"/>
      <c r="B2840" s="1057"/>
      <c r="C2840" s="1057"/>
      <c r="D2840" s="1057"/>
      <c r="E2840" s="1057"/>
      <c r="F2840" s="1057"/>
      <c r="G2840" s="1058"/>
      <c r="H2840" s="9"/>
      <c r="I2840" s="1059"/>
      <c r="J2840" s="1058"/>
      <c r="K2840" s="1064"/>
      <c r="L2840" s="1058"/>
      <c r="M2840" s="1059" t="str">
        <f>IF(A2840="","",I2840*K2840)</f>
        <v/>
      </c>
      <c r="N2840" s="1058"/>
    </row>
    <row r="2841" spans="1:15" ht="12.75" customHeight="1" x14ac:dyDescent="0.2">
      <c r="A2841" s="1061"/>
      <c r="B2841" s="1057"/>
      <c r="C2841" s="1057"/>
      <c r="D2841" s="1057"/>
      <c r="E2841" s="1057"/>
      <c r="F2841" s="1057"/>
      <c r="G2841" s="1058"/>
      <c r="H2841" s="9"/>
      <c r="I2841" s="1059"/>
      <c r="J2841" s="1058"/>
      <c r="K2841" s="1060"/>
      <c r="L2841" s="1058"/>
      <c r="M2841" s="1059" t="str">
        <f>IF(A2841="","",I2841*K2841)</f>
        <v/>
      </c>
      <c r="N2841" s="1058"/>
    </row>
    <row r="2842" spans="1:15" ht="12.75" customHeight="1" x14ac:dyDescent="0.2">
      <c r="A2842" s="1061"/>
      <c r="B2842" s="1057"/>
      <c r="C2842" s="1057"/>
      <c r="D2842" s="1057"/>
      <c r="E2842" s="1057"/>
      <c r="F2842" s="1057"/>
      <c r="G2842" s="1058"/>
      <c r="H2842" s="9"/>
      <c r="I2842" s="1059"/>
      <c r="J2842" s="1058"/>
      <c r="K2842" s="1060"/>
      <c r="L2842" s="1058"/>
      <c r="M2842" s="1059" t="str">
        <f>IF(A2842="","",I2842*K2842)</f>
        <v/>
      </c>
      <c r="N2842" s="1058"/>
    </row>
    <row r="2843" spans="1:15" ht="12.75" customHeight="1" x14ac:dyDescent="0.2">
      <c r="A2843" s="1061"/>
      <c r="B2843" s="1057"/>
      <c r="C2843" s="1057"/>
      <c r="D2843" s="1057"/>
      <c r="E2843" s="1057"/>
      <c r="F2843" s="1057"/>
      <c r="G2843" s="1058"/>
      <c r="H2843" s="9"/>
      <c r="I2843" s="1059"/>
      <c r="J2843" s="1058"/>
      <c r="K2843" s="1060"/>
      <c r="L2843" s="1058"/>
      <c r="M2843" s="1059" t="str">
        <f>IF(A2843="","",I2843*K2843)</f>
        <v/>
      </c>
      <c r="N2843" s="1058"/>
      <c r="O2843" s="7"/>
    </row>
    <row r="2844" spans="1:15" ht="12.75" customHeight="1" x14ac:dyDescent="0.25">
      <c r="A2844" s="3"/>
      <c r="B2844" s="3"/>
      <c r="C2844" s="3"/>
      <c r="D2844" s="3"/>
      <c r="E2844" s="3"/>
      <c r="F2844" s="3"/>
      <c r="G2844" s="3"/>
      <c r="H2844" s="3"/>
      <c r="I2844" s="3"/>
      <c r="J2844" s="3"/>
      <c r="K2844" s="1066" t="s">
        <v>201</v>
      </c>
      <c r="L2844" s="1058"/>
      <c r="M2844" s="1059">
        <f>SUM(M2839:N2843)</f>
        <v>0</v>
      </c>
      <c r="N2844" s="1058"/>
    </row>
    <row r="2845" spans="1:15" ht="12.75" customHeight="1" x14ac:dyDescent="0.25">
      <c r="A2845" s="3"/>
      <c r="B2845" s="3"/>
      <c r="C2845" s="3"/>
      <c r="D2845" s="3"/>
      <c r="E2845" s="3"/>
      <c r="F2845" s="3"/>
      <c r="G2845" s="3"/>
      <c r="H2845" s="3"/>
      <c r="I2845" s="3"/>
      <c r="J2845" s="3"/>
      <c r="K2845" s="3"/>
      <c r="L2845" s="3"/>
      <c r="M2845" s="3"/>
      <c r="N2845" s="3"/>
    </row>
    <row r="2846" spans="1:15" ht="12.75" customHeight="1" x14ac:dyDescent="0.2">
      <c r="A2846" s="1065" t="s">
        <v>394</v>
      </c>
      <c r="B2846" s="1057"/>
      <c r="C2846" s="1057"/>
      <c r="D2846" s="1057"/>
      <c r="E2846" s="1057"/>
      <c r="F2846" s="1057"/>
      <c r="G2846" s="1057"/>
      <c r="H2846" s="1057"/>
      <c r="I2846" s="1057"/>
      <c r="J2846" s="1057"/>
      <c r="K2846" s="1057"/>
      <c r="L2846" s="1057"/>
      <c r="M2846" s="1057"/>
      <c r="N2846" s="1058"/>
    </row>
    <row r="2847" spans="1:15" ht="12.75" customHeight="1" x14ac:dyDescent="0.2">
      <c r="A2847" s="1066" t="s">
        <v>38</v>
      </c>
      <c r="B2847" s="1057"/>
      <c r="C2847" s="1057"/>
      <c r="D2847" s="1057"/>
      <c r="E2847" s="1057"/>
      <c r="F2847" s="1057"/>
      <c r="G2847" s="1058"/>
      <c r="H2847" s="28" t="s">
        <v>39</v>
      </c>
      <c r="I2847" s="1062" t="s">
        <v>385</v>
      </c>
      <c r="J2847" s="1058"/>
      <c r="K2847" s="30" t="s">
        <v>193</v>
      </c>
      <c r="L2847" s="31" t="s">
        <v>395</v>
      </c>
      <c r="M2847" s="1062" t="s">
        <v>386</v>
      </c>
      <c r="N2847" s="1058"/>
    </row>
    <row r="2848" spans="1:15" ht="12.75" customHeight="1" x14ac:dyDescent="0.25">
      <c r="A2848" s="1063" t="s">
        <v>411</v>
      </c>
      <c r="B2848" s="1057"/>
      <c r="C2848" s="1057"/>
      <c r="D2848" s="1057"/>
      <c r="E2848" s="1057"/>
      <c r="F2848" s="1057"/>
      <c r="G2848" s="1058"/>
      <c r="H2848" s="9" t="str">
        <f>IF(A2848="","",VLOOKUP(A2848,AA_Cuadrillas,4,FALSE))</f>
        <v>Cuadrilla</v>
      </c>
      <c r="I2848" s="1059">
        <f>IF(A2848="","",VLOOKUP(A2848,AA_Cuadrillas,5,FALSE))</f>
        <v>414381</v>
      </c>
      <c r="J2848" s="1058"/>
      <c r="K2848" s="1">
        <f>IF(A2848="","",'06'!$J$3)</f>
        <v>1.7233500000000002</v>
      </c>
      <c r="L2848" s="37">
        <v>0.05</v>
      </c>
      <c r="M2848" s="1059">
        <f>IF(A2848="","",I2848*K2848*L2848)</f>
        <v>35706.174817500003</v>
      </c>
      <c r="N2848" s="1058"/>
    </row>
    <row r="2849" spans="1:14" ht="12.75" customHeight="1" x14ac:dyDescent="0.25">
      <c r="A2849" s="1063"/>
      <c r="B2849" s="1057"/>
      <c r="C2849" s="1057"/>
      <c r="D2849" s="1057"/>
      <c r="E2849" s="1057"/>
      <c r="F2849" s="1057"/>
      <c r="G2849" s="1058"/>
      <c r="H2849" s="9" t="str">
        <f>IF(A2849="","",VLOOKUP(A2849,AA_Cuadrillas,4,FALSE))</f>
        <v/>
      </c>
      <c r="I2849" s="1059" t="str">
        <f>IF(A2849="","",VLOOKUP(A2849,AA_Cuadrillas,5,FALSE))</f>
        <v/>
      </c>
      <c r="J2849" s="1058"/>
      <c r="K2849" s="1" t="str">
        <f>IF(A2849="","",'06'!$J$3)</f>
        <v/>
      </c>
      <c r="L2849" s="1"/>
      <c r="M2849" s="1059" t="str">
        <f>IF(A2849="","",I2849*K2849*L2849)</f>
        <v/>
      </c>
      <c r="N2849" s="1058"/>
    </row>
    <row r="2850" spans="1:14" ht="12.75" customHeight="1" x14ac:dyDescent="0.25">
      <c r="A2850" s="1063"/>
      <c r="B2850" s="1057"/>
      <c r="C2850" s="1057"/>
      <c r="D2850" s="1057"/>
      <c r="E2850" s="1057"/>
      <c r="F2850" s="1057"/>
      <c r="G2850" s="1058"/>
      <c r="H2850" s="9" t="str">
        <f>IF(A2850="","",VLOOKUP(A2850,AA_Cuadrillas,4,FALSE))</f>
        <v/>
      </c>
      <c r="I2850" s="1059" t="str">
        <f>IF(A2850="","",VLOOKUP(A2850,AA_Cuadrillas,5,FALSE))</f>
        <v/>
      </c>
      <c r="J2850" s="1058"/>
      <c r="K2850" s="1" t="str">
        <f>IF(A2850="","",'06'!$J$3)</f>
        <v/>
      </c>
      <c r="L2850" s="10"/>
      <c r="M2850" s="1059" t="str">
        <f>IF(A2850="","",I2850*K2850*L2850)</f>
        <v/>
      </c>
      <c r="N2850" s="1058"/>
    </row>
    <row r="2851" spans="1:14" ht="12.75" customHeight="1" x14ac:dyDescent="0.25">
      <c r="A2851" s="1063"/>
      <c r="B2851" s="1057"/>
      <c r="C2851" s="1057"/>
      <c r="D2851" s="1057"/>
      <c r="E2851" s="1057"/>
      <c r="F2851" s="1057"/>
      <c r="G2851" s="1058"/>
      <c r="H2851" s="9" t="str">
        <f>IF(A2851="","",VLOOKUP(A2851,AA_Cuadrillas,4,FALSE))</f>
        <v/>
      </c>
      <c r="I2851" s="1059" t="str">
        <f>IF(A2851="","",VLOOKUP(A2851,AA_Cuadrillas,5,FALSE))</f>
        <v/>
      </c>
      <c r="J2851" s="1058"/>
      <c r="K2851" s="1" t="str">
        <f>IF(A2851="","",'06'!$J$3)</f>
        <v/>
      </c>
      <c r="L2851" s="10"/>
      <c r="M2851" s="1059" t="str">
        <f>IF(A2851="","",I2851*K2851*L2851)</f>
        <v/>
      </c>
      <c r="N2851" s="1058"/>
    </row>
    <row r="2852" spans="1:14" ht="12.75" customHeight="1" x14ac:dyDescent="0.25">
      <c r="A2852" s="1063"/>
      <c r="B2852" s="1057"/>
      <c r="C2852" s="1057"/>
      <c r="D2852" s="1057"/>
      <c r="E2852" s="1057"/>
      <c r="F2852" s="1057"/>
      <c r="G2852" s="1058"/>
      <c r="H2852" s="9" t="str">
        <f>IF(A2852="","",VLOOKUP(A2852,AA_Cuadrillas,4,FALSE))</f>
        <v/>
      </c>
      <c r="I2852" s="1059" t="str">
        <f>IF(A2852="","",VLOOKUP(A2852,AA_Cuadrillas,5,FALSE))</f>
        <v/>
      </c>
      <c r="J2852" s="1058"/>
      <c r="K2852" s="1" t="str">
        <f>IF(A2852="","",'06'!$J$3)</f>
        <v/>
      </c>
      <c r="L2852" s="10"/>
      <c r="M2852" s="1059" t="str">
        <f>IF(A2852="","",I2852*K2852*L2852)</f>
        <v/>
      </c>
      <c r="N2852" s="1058"/>
    </row>
    <row r="2853" spans="1:14" ht="12.75" customHeight="1" x14ac:dyDescent="0.25">
      <c r="A2853" s="3"/>
      <c r="B2853" s="3"/>
      <c r="C2853" s="3"/>
      <c r="D2853" s="3"/>
      <c r="E2853" s="3"/>
      <c r="F2853" s="3"/>
      <c r="G2853" s="3"/>
      <c r="H2853" s="3"/>
      <c r="I2853" s="3"/>
      <c r="J2853" s="3"/>
      <c r="K2853" s="1066" t="s">
        <v>201</v>
      </c>
      <c r="L2853" s="1058"/>
      <c r="M2853" s="1059">
        <f>SUM(M2848:N2852)</f>
        <v>35706.174817500003</v>
      </c>
      <c r="N2853" s="1058"/>
    </row>
    <row r="2854" spans="1:14" ht="12.75" customHeight="1" x14ac:dyDescent="0.2"/>
    <row r="2855" spans="1:14" ht="12.75" customHeight="1" x14ac:dyDescent="0.2">
      <c r="A2855" s="1072" t="s">
        <v>1732</v>
      </c>
      <c r="B2855" s="1052"/>
      <c r="C2855" s="1052"/>
      <c r="D2855" s="1052"/>
      <c r="E2855" s="1052"/>
      <c r="F2855" s="1052"/>
      <c r="G2855" s="1052"/>
      <c r="H2855" s="1052"/>
      <c r="I2855" s="1052"/>
      <c r="J2855" s="1052"/>
      <c r="K2855" s="1052"/>
      <c r="L2855" s="1052"/>
      <c r="M2855" s="1052"/>
      <c r="N2855" s="1053"/>
    </row>
    <row r="2856" spans="1:14" ht="12.75" customHeight="1" x14ac:dyDescent="0.2">
      <c r="A2856" s="1031"/>
      <c r="B2856" s="1032"/>
      <c r="C2856" s="1032"/>
      <c r="D2856" s="1032"/>
      <c r="E2856" s="1032"/>
      <c r="F2856" s="1032"/>
      <c r="G2856" s="1032"/>
      <c r="H2856" s="1032"/>
      <c r="I2856" s="1032"/>
      <c r="J2856" s="1032"/>
      <c r="K2856" s="1032"/>
      <c r="L2856" s="1032"/>
      <c r="M2856" s="1032"/>
      <c r="N2856" s="1055"/>
    </row>
    <row r="2857" spans="1:14" ht="12.75" customHeight="1" x14ac:dyDescent="0.2">
      <c r="A2857" s="16"/>
      <c r="B2857" s="16"/>
      <c r="C2857" s="16"/>
      <c r="D2857" s="16"/>
      <c r="E2857" s="16"/>
      <c r="F2857" s="16"/>
      <c r="G2857" s="16"/>
      <c r="H2857" s="16"/>
      <c r="I2857" s="16"/>
      <c r="J2857" s="16"/>
      <c r="K2857" s="16"/>
      <c r="L2857" s="16"/>
      <c r="M2857" s="16"/>
      <c r="N2857" s="16"/>
    </row>
    <row r="2858" spans="1:14" ht="12.75" customHeight="1" x14ac:dyDescent="0.3">
      <c r="A2858" s="18" t="s">
        <v>357</v>
      </c>
      <c r="B2858" s="19" t="str">
        <f>A2855</f>
        <v>PASAMURO EN HD 6" E.L*E.L L=0.35m (INCLUYE INSTALACIÓN Y SUMINISTRO)</v>
      </c>
      <c r="C2858" s="20" t="s">
        <v>382</v>
      </c>
      <c r="D2858" s="127" t="s">
        <v>424</v>
      </c>
      <c r="E2858" s="22" t="s">
        <v>125</v>
      </c>
      <c r="F2858" s="26">
        <f>(H2858+J2858+L2858+N2858)*$O$2</f>
        <v>629192.91432056797</v>
      </c>
      <c r="G2858" s="22" t="s">
        <v>285</v>
      </c>
      <c r="H2858" s="26">
        <f>M2875</f>
        <v>1142.5975941600002</v>
      </c>
      <c r="I2858" s="22" t="s">
        <v>383</v>
      </c>
      <c r="J2858" s="26">
        <f>M2866</f>
        <v>460000</v>
      </c>
      <c r="K2858" s="22" t="s">
        <v>287</v>
      </c>
      <c r="L2858" s="26">
        <f>M2884</f>
        <v>0</v>
      </c>
      <c r="M2858" s="22" t="s">
        <v>288</v>
      </c>
      <c r="N2858" s="26">
        <f>M2893</f>
        <v>22851.951883200003</v>
      </c>
    </row>
    <row r="2859" spans="1:14" ht="12.75" customHeight="1" x14ac:dyDescent="0.25">
      <c r="A2859" s="27"/>
      <c r="B2859" s="27"/>
      <c r="C2859" s="27"/>
      <c r="D2859" s="27"/>
      <c r="E2859" s="27"/>
      <c r="F2859" s="27"/>
      <c r="G2859" s="27"/>
      <c r="J2859" s="27"/>
      <c r="K2859" s="27"/>
      <c r="L2859" s="27"/>
      <c r="M2859" s="27"/>
      <c r="N2859" s="27"/>
    </row>
    <row r="2860" spans="1:14" ht="12.75" customHeight="1" x14ac:dyDescent="0.2">
      <c r="A2860" s="1065" t="s">
        <v>384</v>
      </c>
      <c r="B2860" s="1057"/>
      <c r="C2860" s="1057"/>
      <c r="D2860" s="1057"/>
      <c r="E2860" s="1057"/>
      <c r="F2860" s="1057"/>
      <c r="G2860" s="1057"/>
      <c r="H2860" s="1057"/>
      <c r="I2860" s="1057"/>
      <c r="J2860" s="1057"/>
      <c r="K2860" s="1057"/>
      <c r="L2860" s="1057"/>
      <c r="M2860" s="1057"/>
      <c r="N2860" s="1058"/>
    </row>
    <row r="2861" spans="1:14" ht="12.75" customHeight="1" x14ac:dyDescent="0.2">
      <c r="A2861" s="1066" t="s">
        <v>38</v>
      </c>
      <c r="B2861" s="1057"/>
      <c r="C2861" s="1057"/>
      <c r="D2861" s="1057"/>
      <c r="E2861" s="1057"/>
      <c r="F2861" s="1057"/>
      <c r="G2861" s="1058"/>
      <c r="H2861" s="28" t="s">
        <v>39</v>
      </c>
      <c r="I2861" s="1062" t="s">
        <v>385</v>
      </c>
      <c r="J2861" s="1058"/>
      <c r="K2861" s="1062" t="s">
        <v>132</v>
      </c>
      <c r="L2861" s="1058"/>
      <c r="M2861" s="1062" t="s">
        <v>386</v>
      </c>
      <c r="N2861" s="1058"/>
    </row>
    <row r="2862" spans="1:14" ht="12.75" customHeight="1" x14ac:dyDescent="0.2">
      <c r="A2862" s="1061" t="s">
        <v>1568</v>
      </c>
      <c r="B2862" s="1057"/>
      <c r="C2862" s="1057"/>
      <c r="D2862" s="1057"/>
      <c r="E2862" s="1057"/>
      <c r="F2862" s="1057"/>
      <c r="G2862" s="1058"/>
      <c r="H2862" s="9" t="str">
        <f t="shared" ref="H2862:H2864" si="213">IF(A2862="","",VLOOKUP(A2862,AA_Materiales,7,FALSE))</f>
        <v>Unidad</v>
      </c>
      <c r="I2862" s="1059">
        <f t="shared" ref="I2862:I2864" si="214">IF(A2862="","",VLOOKUP(A2862,AA_Materiales,8,FALSE))</f>
        <v>460000</v>
      </c>
      <c r="J2862" s="1058"/>
      <c r="K2862" s="1060">
        <v>1</v>
      </c>
      <c r="L2862" s="1058"/>
      <c r="M2862" s="1059">
        <f>IF(A2862="","",I2862*K2862)</f>
        <v>460000</v>
      </c>
      <c r="N2862" s="1058"/>
    </row>
    <row r="2863" spans="1:14" ht="12.75" customHeight="1" x14ac:dyDescent="0.2">
      <c r="A2863" s="1061"/>
      <c r="B2863" s="1057"/>
      <c r="C2863" s="1057"/>
      <c r="D2863" s="1057"/>
      <c r="E2863" s="1057"/>
      <c r="F2863" s="1057"/>
      <c r="G2863" s="1058"/>
      <c r="H2863" s="9" t="str">
        <f t="shared" si="213"/>
        <v/>
      </c>
      <c r="I2863" s="1059" t="str">
        <f t="shared" si="214"/>
        <v/>
      </c>
      <c r="J2863" s="1058"/>
      <c r="K2863" s="1060"/>
      <c r="L2863" s="1058"/>
      <c r="M2863" s="1059" t="str">
        <f>IF(A2863="","",I2863*K2863)</f>
        <v/>
      </c>
      <c r="N2863" s="1058"/>
    </row>
    <row r="2864" spans="1:14" ht="12.75" customHeight="1" x14ac:dyDescent="0.2">
      <c r="A2864" s="1061"/>
      <c r="B2864" s="1057"/>
      <c r="C2864" s="1057"/>
      <c r="D2864" s="1057"/>
      <c r="E2864" s="1057"/>
      <c r="F2864" s="1057"/>
      <c r="G2864" s="1058"/>
      <c r="H2864" s="9" t="str">
        <f t="shared" si="213"/>
        <v/>
      </c>
      <c r="I2864" s="1059" t="str">
        <f t="shared" si="214"/>
        <v/>
      </c>
      <c r="J2864" s="1058"/>
      <c r="K2864" s="1060"/>
      <c r="L2864" s="1058"/>
      <c r="M2864" s="1059" t="str">
        <f>IF(A2864="","",I2864*K2864)</f>
        <v/>
      </c>
      <c r="N2864" s="1058"/>
    </row>
    <row r="2865" spans="1:15" ht="12.75" customHeight="1" x14ac:dyDescent="0.2">
      <c r="A2865" s="1061"/>
      <c r="B2865" s="1057"/>
      <c r="C2865" s="1057"/>
      <c r="D2865" s="1057"/>
      <c r="E2865" s="1057"/>
      <c r="F2865" s="1057"/>
      <c r="G2865" s="1058"/>
      <c r="H2865" s="9" t="str">
        <f>IF(A2865="","",VLOOKUP(A2865,AA_Materiales,7,FALSE))</f>
        <v/>
      </c>
      <c r="I2865" s="1059" t="str">
        <f>IF(A2865="","",VLOOKUP(A2865,AA_Materiales,8,FALSE))</f>
        <v/>
      </c>
      <c r="J2865" s="1058"/>
      <c r="K2865" s="1060"/>
      <c r="L2865" s="1058"/>
      <c r="M2865" s="1059" t="str">
        <f>IF(A2865="","",I2865*K2865)</f>
        <v/>
      </c>
      <c r="N2865" s="1058"/>
    </row>
    <row r="2866" spans="1:15" ht="12.75" customHeight="1" x14ac:dyDescent="0.25">
      <c r="A2866" s="3"/>
      <c r="B2866" s="3"/>
      <c r="C2866" s="3"/>
      <c r="D2866" s="3"/>
      <c r="E2866" s="3"/>
      <c r="F2866" s="3"/>
      <c r="G2866" s="3"/>
      <c r="H2866" s="3"/>
      <c r="I2866" s="3"/>
      <c r="J2866" s="3"/>
      <c r="K2866" s="1066" t="s">
        <v>201</v>
      </c>
      <c r="L2866" s="1058"/>
      <c r="M2866" s="1059">
        <f>SUM(M2862:N2865)</f>
        <v>460000</v>
      </c>
      <c r="N2866" s="1058"/>
    </row>
    <row r="2867" spans="1:15" ht="12.75" customHeight="1" x14ac:dyDescent="0.25">
      <c r="A2867" s="3"/>
      <c r="B2867" s="3"/>
      <c r="C2867" s="3"/>
      <c r="D2867" s="3"/>
      <c r="E2867" s="3"/>
      <c r="F2867" s="3"/>
      <c r="G2867" s="3"/>
      <c r="H2867" s="3"/>
      <c r="I2867" s="3"/>
      <c r="J2867" s="3"/>
      <c r="K2867" s="3"/>
      <c r="L2867" s="3"/>
      <c r="M2867" s="3"/>
      <c r="N2867" s="3"/>
    </row>
    <row r="2868" spans="1:15" ht="12.75" customHeight="1" x14ac:dyDescent="0.2">
      <c r="A2868" s="1065" t="s">
        <v>390</v>
      </c>
      <c r="B2868" s="1057"/>
      <c r="C2868" s="1057"/>
      <c r="D2868" s="1057"/>
      <c r="E2868" s="1057"/>
      <c r="F2868" s="1057"/>
      <c r="G2868" s="1057"/>
      <c r="H2868" s="1057"/>
      <c r="I2868" s="1057"/>
      <c r="J2868" s="1057"/>
      <c r="K2868" s="1057"/>
      <c r="L2868" s="1057"/>
      <c r="M2868" s="1057"/>
      <c r="N2868" s="1058"/>
    </row>
    <row r="2869" spans="1:15" ht="12.75" customHeight="1" x14ac:dyDescent="0.2">
      <c r="A2869" s="1066" t="s">
        <v>38</v>
      </c>
      <c r="B2869" s="1057"/>
      <c r="C2869" s="1057"/>
      <c r="D2869" s="1057"/>
      <c r="E2869" s="1057"/>
      <c r="F2869" s="1057"/>
      <c r="G2869" s="1058"/>
      <c r="H2869" s="28" t="s">
        <v>39</v>
      </c>
      <c r="I2869" s="1062" t="s">
        <v>385</v>
      </c>
      <c r="J2869" s="1058"/>
      <c r="K2869" s="1062" t="s">
        <v>132</v>
      </c>
      <c r="L2869" s="1058"/>
      <c r="M2869" s="1062" t="s">
        <v>386</v>
      </c>
      <c r="N2869" s="1058"/>
    </row>
    <row r="2870" spans="1:15" ht="12.75" customHeight="1" x14ac:dyDescent="0.2">
      <c r="A2870" s="1061" t="s">
        <v>391</v>
      </c>
      <c r="B2870" s="1057"/>
      <c r="C2870" s="1057"/>
      <c r="D2870" s="1057"/>
      <c r="E2870" s="1057"/>
      <c r="F2870" s="1057"/>
      <c r="G2870" s="1058"/>
      <c r="H2870" s="9" t="str">
        <f>IF(A2870="","",VLOOKUP(A2870,AA_Equipos,7,FALSE))</f>
        <v>% M.O.</v>
      </c>
      <c r="I2870" s="1059">
        <f>M2893</f>
        <v>22851.951883200003</v>
      </c>
      <c r="J2870" s="1058"/>
      <c r="K2870" s="1064">
        <v>0.05</v>
      </c>
      <c r="L2870" s="1058"/>
      <c r="M2870" s="1059">
        <f>IF(A2870="","",I2870*K2870)</f>
        <v>1142.5975941600002</v>
      </c>
      <c r="N2870" s="1058"/>
    </row>
    <row r="2871" spans="1:15" ht="12.75" customHeight="1" x14ac:dyDescent="0.2">
      <c r="A2871" s="1056"/>
      <c r="B2871" s="1057"/>
      <c r="C2871" s="1057"/>
      <c r="D2871" s="1057"/>
      <c r="E2871" s="1057"/>
      <c r="F2871" s="1057"/>
      <c r="G2871" s="1058"/>
      <c r="H2871" s="9" t="str">
        <f>IF(A2871="","",VLOOKUP(A2871,AA_Equipos,7,FALSE))</f>
        <v/>
      </c>
      <c r="I2871" s="1059" t="str">
        <f>IF(A2871="","",VLOOKUP(A2871,AA_Equipos,8,FALSE))</f>
        <v/>
      </c>
      <c r="J2871" s="1058"/>
      <c r="K2871" s="1067"/>
      <c r="L2871" s="1058"/>
      <c r="M2871" s="1059" t="str">
        <f>IF(A2871="","",I2871*K2871)</f>
        <v/>
      </c>
      <c r="N2871" s="1058"/>
    </row>
    <row r="2872" spans="1:15" ht="12.75" customHeight="1" x14ac:dyDescent="0.2">
      <c r="A2872" s="1061"/>
      <c r="B2872" s="1057"/>
      <c r="C2872" s="1057"/>
      <c r="D2872" s="1057"/>
      <c r="E2872" s="1057"/>
      <c r="F2872" s="1057"/>
      <c r="G2872" s="1058"/>
      <c r="H2872" s="9" t="str">
        <f>IF(A2872="","",VLOOKUP(A2872,AA_Equipos,7,FALSE))</f>
        <v/>
      </c>
      <c r="I2872" s="1059" t="str">
        <f>IF(A2872="","",VLOOKUP(A2872,AA_Equipos,8,FALSE))</f>
        <v/>
      </c>
      <c r="J2872" s="1058"/>
      <c r="K2872" s="1060"/>
      <c r="L2872" s="1058"/>
      <c r="M2872" s="1059" t="str">
        <f>IF(A2872="","",I2872*K2872)</f>
        <v/>
      </c>
      <c r="N2872" s="1058"/>
    </row>
    <row r="2873" spans="1:15" ht="12.75" customHeight="1" x14ac:dyDescent="0.2">
      <c r="A2873" s="1061"/>
      <c r="B2873" s="1057"/>
      <c r="C2873" s="1057"/>
      <c r="D2873" s="1057"/>
      <c r="E2873" s="1057"/>
      <c r="F2873" s="1057"/>
      <c r="G2873" s="1058"/>
      <c r="H2873" s="9" t="str">
        <f>IF(A2873="","",VLOOKUP(A2873,AA_Equipos,7,FALSE))</f>
        <v/>
      </c>
      <c r="I2873" s="1059" t="str">
        <f>IF(A2873="","",VLOOKUP(A2873,AA_Equipos,8,FALSE))</f>
        <v/>
      </c>
      <c r="J2873" s="1058"/>
      <c r="K2873" s="1060"/>
      <c r="L2873" s="1058"/>
      <c r="M2873" s="1059" t="str">
        <f>IF(A2873="","",I2873*K2873)</f>
        <v/>
      </c>
      <c r="N2873" s="1058"/>
    </row>
    <row r="2874" spans="1:15" ht="12.75" customHeight="1" x14ac:dyDescent="0.2">
      <c r="A2874" s="1061"/>
      <c r="B2874" s="1057"/>
      <c r="C2874" s="1057"/>
      <c r="D2874" s="1057"/>
      <c r="E2874" s="1057"/>
      <c r="F2874" s="1057"/>
      <c r="G2874" s="1058"/>
      <c r="H2874" s="9" t="str">
        <f>IF(A2874="","",VLOOKUP(A2874,AA_Equipos,7,FALSE))</f>
        <v/>
      </c>
      <c r="I2874" s="1059" t="str">
        <f>IF(A2874="","",VLOOKUP(A2874,AA_Equipos,8,FALSE))</f>
        <v/>
      </c>
      <c r="J2874" s="1058"/>
      <c r="K2874" s="1060"/>
      <c r="L2874" s="1058"/>
      <c r="M2874" s="1059" t="str">
        <f>IF(A2874="","",I2874*K2874)</f>
        <v/>
      </c>
      <c r="N2874" s="1058"/>
      <c r="O2874" s="7"/>
    </row>
    <row r="2875" spans="1:15" ht="12.75" customHeight="1" x14ac:dyDescent="0.25">
      <c r="A2875" s="3"/>
      <c r="B2875" s="3"/>
      <c r="C2875" s="3"/>
      <c r="D2875" s="3"/>
      <c r="E2875" s="3"/>
      <c r="F2875" s="3"/>
      <c r="G2875" s="3"/>
      <c r="H2875" s="3"/>
      <c r="I2875" s="3"/>
      <c r="J2875" s="3"/>
      <c r="K2875" s="1066" t="s">
        <v>201</v>
      </c>
      <c r="L2875" s="1058"/>
      <c r="M2875" s="1059">
        <f>SUM(M2870:N2874)</f>
        <v>1142.5975941600002</v>
      </c>
      <c r="N2875" s="1058"/>
      <c r="O2875" s="7"/>
    </row>
    <row r="2876" spans="1:15" ht="12.75" customHeight="1" x14ac:dyDescent="0.25">
      <c r="A2876" s="3"/>
      <c r="B2876" s="3"/>
      <c r="C2876" s="3"/>
      <c r="D2876" s="3"/>
      <c r="E2876" s="3"/>
      <c r="F2876" s="3"/>
      <c r="G2876" s="3"/>
      <c r="H2876" s="3"/>
      <c r="I2876" s="3"/>
      <c r="J2876" s="3"/>
      <c r="K2876" s="3"/>
      <c r="L2876" s="3"/>
      <c r="M2876" s="3"/>
      <c r="N2876" s="3"/>
    </row>
    <row r="2877" spans="1:15" ht="12.75" customHeight="1" x14ac:dyDescent="0.2">
      <c r="A2877" s="1065" t="s">
        <v>392</v>
      </c>
      <c r="B2877" s="1057"/>
      <c r="C2877" s="1057"/>
      <c r="D2877" s="1057"/>
      <c r="E2877" s="1057"/>
      <c r="F2877" s="1057"/>
      <c r="G2877" s="1057"/>
      <c r="H2877" s="1057"/>
      <c r="I2877" s="1057"/>
      <c r="J2877" s="1057"/>
      <c r="K2877" s="1057"/>
      <c r="L2877" s="1057"/>
      <c r="M2877" s="1057"/>
      <c r="N2877" s="1058"/>
    </row>
    <row r="2878" spans="1:15" ht="12.75" customHeight="1" x14ac:dyDescent="0.2">
      <c r="A2878" s="1066" t="s">
        <v>38</v>
      </c>
      <c r="B2878" s="1057"/>
      <c r="C2878" s="1057"/>
      <c r="D2878" s="1057"/>
      <c r="E2878" s="1057"/>
      <c r="F2878" s="1057"/>
      <c r="G2878" s="1058"/>
      <c r="H2878" s="28" t="s">
        <v>39</v>
      </c>
      <c r="I2878" s="1062" t="s">
        <v>385</v>
      </c>
      <c r="J2878" s="1058"/>
      <c r="K2878" s="1062" t="s">
        <v>132</v>
      </c>
      <c r="L2878" s="1058"/>
      <c r="M2878" s="1062" t="s">
        <v>386</v>
      </c>
      <c r="N2878" s="1058"/>
    </row>
    <row r="2879" spans="1:15" ht="12.75" customHeight="1" x14ac:dyDescent="0.2">
      <c r="A2879" s="1056"/>
      <c r="B2879" s="1057"/>
      <c r="C2879" s="1057"/>
      <c r="D2879" s="1057"/>
      <c r="E2879" s="1057"/>
      <c r="F2879" s="1057"/>
      <c r="G2879" s="1058"/>
      <c r="H2879" s="9"/>
      <c r="I2879" s="1059"/>
      <c r="J2879" s="1058"/>
      <c r="K2879" s="1064"/>
      <c r="L2879" s="1058"/>
      <c r="M2879" s="1059" t="str">
        <f>IF(A2879="","",I2879*K2879)</f>
        <v/>
      </c>
      <c r="N2879" s="1058"/>
    </row>
    <row r="2880" spans="1:15" ht="12.75" customHeight="1" x14ac:dyDescent="0.2">
      <c r="A2880" s="1056"/>
      <c r="B2880" s="1057"/>
      <c r="C2880" s="1057"/>
      <c r="D2880" s="1057"/>
      <c r="E2880" s="1057"/>
      <c r="F2880" s="1057"/>
      <c r="G2880" s="1058"/>
      <c r="H2880" s="9"/>
      <c r="I2880" s="1059"/>
      <c r="J2880" s="1058"/>
      <c r="K2880" s="1064"/>
      <c r="L2880" s="1058"/>
      <c r="M2880" s="1059" t="str">
        <f>IF(A2880="","",I2880*K2880)</f>
        <v/>
      </c>
      <c r="N2880" s="1058"/>
    </row>
    <row r="2881" spans="1:14" ht="12.75" customHeight="1" x14ac:dyDescent="0.2">
      <c r="A2881" s="1061"/>
      <c r="B2881" s="1057"/>
      <c r="C2881" s="1057"/>
      <c r="D2881" s="1057"/>
      <c r="E2881" s="1057"/>
      <c r="F2881" s="1057"/>
      <c r="G2881" s="1058"/>
      <c r="H2881" s="9"/>
      <c r="I2881" s="1059"/>
      <c r="J2881" s="1058"/>
      <c r="K2881" s="1060"/>
      <c r="L2881" s="1058"/>
      <c r="M2881" s="1059" t="str">
        <f>IF(A2881="","",I2881*K2881)</f>
        <v/>
      </c>
      <c r="N2881" s="1058"/>
    </row>
    <row r="2882" spans="1:14" ht="12.75" customHeight="1" x14ac:dyDescent="0.2">
      <c r="A2882" s="1061"/>
      <c r="B2882" s="1057"/>
      <c r="C2882" s="1057"/>
      <c r="D2882" s="1057"/>
      <c r="E2882" s="1057"/>
      <c r="F2882" s="1057"/>
      <c r="G2882" s="1058"/>
      <c r="H2882" s="9"/>
      <c r="I2882" s="1059"/>
      <c r="J2882" s="1058"/>
      <c r="K2882" s="1060"/>
      <c r="L2882" s="1058"/>
      <c r="M2882" s="1059" t="str">
        <f>IF(A2882="","",I2882*K2882)</f>
        <v/>
      </c>
      <c r="N2882" s="1058"/>
    </row>
    <row r="2883" spans="1:14" ht="12.75" customHeight="1" x14ac:dyDescent="0.2">
      <c r="A2883" s="1061"/>
      <c r="B2883" s="1057"/>
      <c r="C2883" s="1057"/>
      <c r="D2883" s="1057"/>
      <c r="E2883" s="1057"/>
      <c r="F2883" s="1057"/>
      <c r="G2883" s="1058"/>
      <c r="H2883" s="9"/>
      <c r="I2883" s="1059"/>
      <c r="J2883" s="1058"/>
      <c r="K2883" s="1060"/>
      <c r="L2883" s="1058"/>
      <c r="M2883" s="1059" t="str">
        <f>IF(A2883="","",I2883*K2883)</f>
        <v/>
      </c>
      <c r="N2883" s="1058"/>
    </row>
    <row r="2884" spans="1:14" ht="12.75" customHeight="1" x14ac:dyDescent="0.25">
      <c r="A2884" s="3"/>
      <c r="B2884" s="3"/>
      <c r="C2884" s="3"/>
      <c r="D2884" s="3"/>
      <c r="E2884" s="3"/>
      <c r="F2884" s="3"/>
      <c r="G2884" s="3"/>
      <c r="H2884" s="3"/>
      <c r="I2884" s="3"/>
      <c r="J2884" s="3"/>
      <c r="K2884" s="1066" t="s">
        <v>201</v>
      </c>
      <c r="L2884" s="1058"/>
      <c r="M2884" s="1059">
        <f>SUM(M2879:N2883)</f>
        <v>0</v>
      </c>
      <c r="N2884" s="1058"/>
    </row>
    <row r="2885" spans="1:14" ht="12.75" customHeight="1" x14ac:dyDescent="0.25">
      <c r="A2885" s="3"/>
      <c r="B2885" s="3"/>
      <c r="C2885" s="3"/>
      <c r="D2885" s="3"/>
      <c r="E2885" s="3"/>
      <c r="F2885" s="3"/>
      <c r="G2885" s="3"/>
      <c r="H2885" s="3"/>
      <c r="I2885" s="3"/>
      <c r="J2885" s="3"/>
      <c r="K2885" s="3"/>
      <c r="L2885" s="3"/>
      <c r="M2885" s="3"/>
      <c r="N2885" s="3"/>
    </row>
    <row r="2886" spans="1:14" ht="12.75" customHeight="1" x14ac:dyDescent="0.2">
      <c r="A2886" s="1065" t="s">
        <v>394</v>
      </c>
      <c r="B2886" s="1057"/>
      <c r="C2886" s="1057"/>
      <c r="D2886" s="1057"/>
      <c r="E2886" s="1057"/>
      <c r="F2886" s="1057"/>
      <c r="G2886" s="1057"/>
      <c r="H2886" s="1057"/>
      <c r="I2886" s="1057"/>
      <c r="J2886" s="1057"/>
      <c r="K2886" s="1057"/>
      <c r="L2886" s="1057"/>
      <c r="M2886" s="1057"/>
      <c r="N2886" s="1058"/>
    </row>
    <row r="2887" spans="1:14" ht="12.75" customHeight="1" x14ac:dyDescent="0.2">
      <c r="A2887" s="1066" t="s">
        <v>38</v>
      </c>
      <c r="B2887" s="1057"/>
      <c r="C2887" s="1057"/>
      <c r="D2887" s="1057"/>
      <c r="E2887" s="1057"/>
      <c r="F2887" s="1057"/>
      <c r="G2887" s="1058"/>
      <c r="H2887" s="28" t="s">
        <v>39</v>
      </c>
      <c r="I2887" s="1062" t="s">
        <v>385</v>
      </c>
      <c r="J2887" s="1058"/>
      <c r="K2887" s="30" t="s">
        <v>193</v>
      </c>
      <c r="L2887" s="31" t="s">
        <v>395</v>
      </c>
      <c r="M2887" s="1062" t="s">
        <v>386</v>
      </c>
      <c r="N2887" s="1058"/>
    </row>
    <row r="2888" spans="1:14" ht="12.75" customHeight="1" x14ac:dyDescent="0.25">
      <c r="A2888" s="1063" t="s">
        <v>411</v>
      </c>
      <c r="B2888" s="1057"/>
      <c r="C2888" s="1057"/>
      <c r="D2888" s="1057"/>
      <c r="E2888" s="1057"/>
      <c r="F2888" s="1057"/>
      <c r="G2888" s="1058"/>
      <c r="H2888" s="9" t="str">
        <f>IF(A2888="","",VLOOKUP(A2888,AA_Cuadrillas,4,FALSE))</f>
        <v>Cuadrilla</v>
      </c>
      <c r="I2888" s="1059">
        <f>IF(A2888="","",VLOOKUP(A2888,AA_Cuadrillas,5,FALSE))</f>
        <v>414381</v>
      </c>
      <c r="J2888" s="1058"/>
      <c r="K2888" s="1">
        <f>IF(A2888="","",'06'!$J$3)</f>
        <v>1.7233500000000002</v>
      </c>
      <c r="L2888" s="37">
        <v>3.2000000000000001E-2</v>
      </c>
      <c r="M2888" s="1059">
        <f>IF(A2888="","",I2888*K2888*L2888)</f>
        <v>22851.951883200003</v>
      </c>
      <c r="N2888" s="1058"/>
    </row>
    <row r="2889" spans="1:14" ht="12.75" customHeight="1" x14ac:dyDescent="0.25">
      <c r="A2889" s="1063"/>
      <c r="B2889" s="1057"/>
      <c r="C2889" s="1057"/>
      <c r="D2889" s="1057"/>
      <c r="E2889" s="1057"/>
      <c r="F2889" s="1057"/>
      <c r="G2889" s="1058"/>
      <c r="H2889" s="9" t="str">
        <f>IF(A2889="","",VLOOKUP(A2889,AA_Cuadrillas,4,FALSE))</f>
        <v/>
      </c>
      <c r="I2889" s="1059" t="str">
        <f>IF(A2889="","",VLOOKUP(A2889,AA_Cuadrillas,5,FALSE))</f>
        <v/>
      </c>
      <c r="J2889" s="1058"/>
      <c r="K2889" s="1" t="str">
        <f>IF(A2889="","",'06'!$J$3)</f>
        <v/>
      </c>
      <c r="L2889" s="1"/>
      <c r="M2889" s="1059" t="str">
        <f>IF(A2889="","",I2889*K2889*L2889)</f>
        <v/>
      </c>
      <c r="N2889" s="1058"/>
    </row>
    <row r="2890" spans="1:14" ht="12.75" customHeight="1" x14ac:dyDescent="0.25">
      <c r="A2890" s="1063"/>
      <c r="B2890" s="1057"/>
      <c r="C2890" s="1057"/>
      <c r="D2890" s="1057"/>
      <c r="E2890" s="1057"/>
      <c r="F2890" s="1057"/>
      <c r="G2890" s="1058"/>
      <c r="H2890" s="9" t="str">
        <f>IF(A2890="","",VLOOKUP(A2890,AA_Cuadrillas,4,FALSE))</f>
        <v/>
      </c>
      <c r="I2890" s="1059" t="str">
        <f>IF(A2890="","",VLOOKUP(A2890,AA_Cuadrillas,5,FALSE))</f>
        <v/>
      </c>
      <c r="J2890" s="1058"/>
      <c r="K2890" s="1" t="str">
        <f>IF(A2890="","",'06'!$J$3)</f>
        <v/>
      </c>
      <c r="L2890" s="10"/>
      <c r="M2890" s="1059" t="str">
        <f>IF(A2890="","",I2890*K2890*L2890)</f>
        <v/>
      </c>
      <c r="N2890" s="1058"/>
    </row>
    <row r="2891" spans="1:14" ht="12.75" customHeight="1" x14ac:dyDescent="0.25">
      <c r="A2891" s="1063"/>
      <c r="B2891" s="1057"/>
      <c r="C2891" s="1057"/>
      <c r="D2891" s="1057"/>
      <c r="E2891" s="1057"/>
      <c r="F2891" s="1057"/>
      <c r="G2891" s="1058"/>
      <c r="H2891" s="9" t="str">
        <f>IF(A2891="","",VLOOKUP(A2891,AA_Cuadrillas,4,FALSE))</f>
        <v/>
      </c>
      <c r="I2891" s="1059" t="str">
        <f>IF(A2891="","",VLOOKUP(A2891,AA_Cuadrillas,5,FALSE))</f>
        <v/>
      </c>
      <c r="J2891" s="1058"/>
      <c r="K2891" s="1" t="str">
        <f>IF(A2891="","",'06'!$J$3)</f>
        <v/>
      </c>
      <c r="L2891" s="10"/>
      <c r="M2891" s="1059" t="str">
        <f>IF(A2891="","",I2891*K2891*L2891)</f>
        <v/>
      </c>
      <c r="N2891" s="1058"/>
    </row>
    <row r="2892" spans="1:14" ht="12.75" customHeight="1" x14ac:dyDescent="0.25">
      <c r="A2892" s="1063"/>
      <c r="B2892" s="1057"/>
      <c r="C2892" s="1057"/>
      <c r="D2892" s="1057"/>
      <c r="E2892" s="1057"/>
      <c r="F2892" s="1057"/>
      <c r="G2892" s="1058"/>
      <c r="H2892" s="9" t="str">
        <f>IF(A2892="","",VLOOKUP(A2892,AA_Cuadrillas,4,FALSE))</f>
        <v/>
      </c>
      <c r="I2892" s="1059" t="str">
        <f>IF(A2892="","",VLOOKUP(A2892,AA_Cuadrillas,5,FALSE))</f>
        <v/>
      </c>
      <c r="J2892" s="1058"/>
      <c r="K2892" s="1" t="str">
        <f>IF(A2892="","",'06'!$J$3)</f>
        <v/>
      </c>
      <c r="L2892" s="10"/>
      <c r="M2892" s="1059" t="str">
        <f>IF(A2892="","",I2892*K2892*L2892)</f>
        <v/>
      </c>
      <c r="N2892" s="1058"/>
    </row>
    <row r="2893" spans="1:14" ht="12.75" customHeight="1" x14ac:dyDescent="0.25">
      <c r="A2893" s="3"/>
      <c r="B2893" s="3"/>
      <c r="C2893" s="3"/>
      <c r="D2893" s="3"/>
      <c r="E2893" s="3"/>
      <c r="F2893" s="3"/>
      <c r="G2893" s="3"/>
      <c r="H2893" s="3"/>
      <c r="I2893" s="3"/>
      <c r="J2893" s="3"/>
      <c r="K2893" s="1066" t="s">
        <v>201</v>
      </c>
      <c r="L2893" s="1058"/>
      <c r="M2893" s="1059">
        <f>SUM(M2888:N2892)</f>
        <v>22851.951883200003</v>
      </c>
      <c r="N2893" s="1058"/>
    </row>
    <row r="2894" spans="1:14" ht="12.75" customHeight="1" x14ac:dyDescent="0.2"/>
    <row r="2895" spans="1:14" ht="12.75" customHeight="1" x14ac:dyDescent="0.2">
      <c r="A2895" s="1072" t="s">
        <v>1733</v>
      </c>
      <c r="B2895" s="1052"/>
      <c r="C2895" s="1052"/>
      <c r="D2895" s="1052"/>
      <c r="E2895" s="1052"/>
      <c r="F2895" s="1052"/>
      <c r="G2895" s="1052"/>
      <c r="H2895" s="1052"/>
      <c r="I2895" s="1052"/>
      <c r="J2895" s="1052"/>
      <c r="K2895" s="1052"/>
      <c r="L2895" s="1052"/>
      <c r="M2895" s="1052"/>
      <c r="N2895" s="1053"/>
    </row>
    <row r="2896" spans="1:14" ht="12.75" customHeight="1" x14ac:dyDescent="0.2">
      <c r="A2896" s="1031"/>
      <c r="B2896" s="1032"/>
      <c r="C2896" s="1032"/>
      <c r="D2896" s="1032"/>
      <c r="E2896" s="1032"/>
      <c r="F2896" s="1032"/>
      <c r="G2896" s="1032"/>
      <c r="H2896" s="1032"/>
      <c r="I2896" s="1032"/>
      <c r="J2896" s="1032"/>
      <c r="K2896" s="1032"/>
      <c r="L2896" s="1032"/>
      <c r="M2896" s="1032"/>
      <c r="N2896" s="1055"/>
    </row>
    <row r="2897" spans="1:14" ht="12.75" customHeight="1" x14ac:dyDescent="0.2">
      <c r="A2897" s="16"/>
      <c r="B2897" s="16"/>
      <c r="C2897" s="16"/>
      <c r="D2897" s="16"/>
      <c r="E2897" s="16"/>
      <c r="F2897" s="16"/>
      <c r="G2897" s="16"/>
      <c r="H2897" s="16"/>
      <c r="I2897" s="16"/>
      <c r="J2897" s="16"/>
      <c r="K2897" s="16"/>
      <c r="L2897" s="16"/>
      <c r="M2897" s="16"/>
      <c r="N2897" s="16"/>
    </row>
    <row r="2898" spans="1:14" ht="12.75" customHeight="1" x14ac:dyDescent="0.3">
      <c r="A2898" s="18" t="s">
        <v>358</v>
      </c>
      <c r="B2898" s="19" t="str">
        <f>A2895</f>
        <v>TEE PVC 6" (INCLUYE INSTALACIÓN Y SUMINISTRO)</v>
      </c>
      <c r="C2898" s="20" t="s">
        <v>382</v>
      </c>
      <c r="D2898" s="127" t="s">
        <v>424</v>
      </c>
      <c r="E2898" s="22" t="s">
        <v>125</v>
      </c>
      <c r="F2898" s="26">
        <f>(H2898+J2898+L2898+N2898)*$O$2</f>
        <v>566353.68289308588</v>
      </c>
      <c r="G2898" s="22" t="s">
        <v>285</v>
      </c>
      <c r="H2898" s="26">
        <f>M2907</f>
        <v>410912.30000000005</v>
      </c>
      <c r="I2898" s="22" t="s">
        <v>383</v>
      </c>
      <c r="J2898" s="26">
        <f>M2916</f>
        <v>1178.3037689775001</v>
      </c>
      <c r="K2898" s="22" t="s">
        <v>287</v>
      </c>
      <c r="L2898" s="26">
        <f>M2925</f>
        <v>0</v>
      </c>
      <c r="M2898" s="22" t="s">
        <v>288</v>
      </c>
      <c r="N2898" s="26">
        <f>M2934</f>
        <v>23566.075379550002</v>
      </c>
    </row>
    <row r="2899" spans="1:14" ht="12.75" customHeight="1" x14ac:dyDescent="0.25">
      <c r="A2899" s="27"/>
      <c r="B2899" s="27"/>
      <c r="C2899" s="27"/>
      <c r="D2899" s="27"/>
      <c r="E2899" s="27"/>
      <c r="F2899" s="27"/>
      <c r="G2899" s="27"/>
      <c r="J2899" s="27"/>
      <c r="K2899" s="27"/>
      <c r="L2899" s="27"/>
      <c r="M2899" s="27"/>
      <c r="N2899" s="27"/>
    </row>
    <row r="2900" spans="1:14" ht="12.75" customHeight="1" x14ac:dyDescent="0.2">
      <c r="A2900" s="1065" t="s">
        <v>384</v>
      </c>
      <c r="B2900" s="1057"/>
      <c r="C2900" s="1057"/>
      <c r="D2900" s="1057"/>
      <c r="E2900" s="1057"/>
      <c r="F2900" s="1057"/>
      <c r="G2900" s="1057"/>
      <c r="H2900" s="1057"/>
      <c r="I2900" s="1057"/>
      <c r="J2900" s="1057"/>
      <c r="K2900" s="1057"/>
      <c r="L2900" s="1057"/>
      <c r="M2900" s="1057"/>
      <c r="N2900" s="1058"/>
    </row>
    <row r="2901" spans="1:14" ht="12.75" customHeight="1" x14ac:dyDescent="0.2">
      <c r="A2901" s="1066" t="s">
        <v>38</v>
      </c>
      <c r="B2901" s="1057"/>
      <c r="C2901" s="1057"/>
      <c r="D2901" s="1057"/>
      <c r="E2901" s="1057"/>
      <c r="F2901" s="1057"/>
      <c r="G2901" s="1058"/>
      <c r="H2901" s="28" t="s">
        <v>39</v>
      </c>
      <c r="I2901" s="1062" t="s">
        <v>385</v>
      </c>
      <c r="J2901" s="1058"/>
      <c r="K2901" s="1062" t="s">
        <v>132</v>
      </c>
      <c r="L2901" s="1058"/>
      <c r="M2901" s="1062" t="s">
        <v>386</v>
      </c>
      <c r="N2901" s="1058"/>
    </row>
    <row r="2902" spans="1:14" ht="12.75" customHeight="1" x14ac:dyDescent="0.2">
      <c r="A2902" s="1061" t="s">
        <v>1569</v>
      </c>
      <c r="B2902" s="1057"/>
      <c r="C2902" s="1057"/>
      <c r="D2902" s="1057"/>
      <c r="E2902" s="1057"/>
      <c r="F2902" s="1057"/>
      <c r="G2902" s="1058"/>
      <c r="H2902" s="9" t="str">
        <f t="shared" ref="H2902:H2904" si="215">IF(A2902="","",VLOOKUP(A2902,AA_Materiales,7,FALSE))</f>
        <v>Unidad</v>
      </c>
      <c r="I2902" s="1059">
        <f t="shared" ref="I2902:I2904" si="216">IF(A2902="","",VLOOKUP(A2902,AA_Materiales,8,FALSE))</f>
        <v>410550</v>
      </c>
      <c r="J2902" s="1058"/>
      <c r="K2902" s="1060">
        <v>1</v>
      </c>
      <c r="L2902" s="1058"/>
      <c r="M2902" s="1059">
        <f>IF(A2902="","",I2902*K2902)</f>
        <v>410550</v>
      </c>
      <c r="N2902" s="1058"/>
    </row>
    <row r="2903" spans="1:14" ht="12.75" customHeight="1" x14ac:dyDescent="0.2">
      <c r="A2903" s="1061" t="s">
        <v>1603</v>
      </c>
      <c r="B2903" s="1057"/>
      <c r="C2903" s="1057"/>
      <c r="D2903" s="1057"/>
      <c r="E2903" s="1057"/>
      <c r="F2903" s="1057"/>
      <c r="G2903" s="1058"/>
      <c r="H2903" s="9" t="str">
        <f t="shared" si="215"/>
        <v>(1/128) Galón</v>
      </c>
      <c r="I2903" s="1059">
        <f t="shared" si="216"/>
        <v>8539</v>
      </c>
      <c r="J2903" s="1058"/>
      <c r="K2903" s="1060">
        <v>0.02</v>
      </c>
      <c r="L2903" s="1058"/>
      <c r="M2903" s="1059">
        <f t="shared" ref="M2903:M2904" si="217">IF(A2903="","",I2903*K2903)</f>
        <v>170.78</v>
      </c>
      <c r="N2903" s="1058"/>
    </row>
    <row r="2904" spans="1:14" ht="12.75" customHeight="1" x14ac:dyDescent="0.2">
      <c r="A2904" s="1061" t="s">
        <v>1604</v>
      </c>
      <c r="B2904" s="1057"/>
      <c r="C2904" s="1057"/>
      <c r="D2904" s="1057"/>
      <c r="E2904" s="1057"/>
      <c r="F2904" s="1057"/>
      <c r="G2904" s="1058"/>
      <c r="H2904" s="9" t="str">
        <f t="shared" si="215"/>
        <v>28 gr (1/128)</v>
      </c>
      <c r="I2904" s="1059">
        <f t="shared" si="216"/>
        <v>4788</v>
      </c>
      <c r="J2904" s="1058"/>
      <c r="K2904" s="1060">
        <v>0.04</v>
      </c>
      <c r="L2904" s="1058"/>
      <c r="M2904" s="1059">
        <f t="shared" si="217"/>
        <v>191.52</v>
      </c>
      <c r="N2904" s="1058"/>
    </row>
    <row r="2905" spans="1:14" ht="12.75" customHeight="1" x14ac:dyDescent="0.2">
      <c r="A2905" s="1061"/>
      <c r="B2905" s="1057"/>
      <c r="C2905" s="1057"/>
      <c r="D2905" s="1057"/>
      <c r="E2905" s="1057"/>
      <c r="F2905" s="1057"/>
      <c r="G2905" s="1058"/>
      <c r="H2905" s="9"/>
      <c r="I2905" s="1059"/>
      <c r="J2905" s="1058"/>
      <c r="K2905" s="1060"/>
      <c r="L2905" s="1058"/>
      <c r="M2905" s="1059"/>
      <c r="N2905" s="1058"/>
    </row>
    <row r="2906" spans="1:14" ht="12.75" customHeight="1" x14ac:dyDescent="0.2">
      <c r="A2906" s="1061"/>
      <c r="B2906" s="1057"/>
      <c r="C2906" s="1057"/>
      <c r="D2906" s="1057"/>
      <c r="E2906" s="1057"/>
      <c r="F2906" s="1057"/>
      <c r="G2906" s="1058"/>
      <c r="H2906" s="9" t="str">
        <f>IF(A2906="","",VLOOKUP(A2906,AA_Materiales,7,FALSE))</f>
        <v/>
      </c>
      <c r="I2906" s="1059" t="str">
        <f>IF(A2906="","",VLOOKUP(A2906,AA_Materiales,8,FALSE))</f>
        <v/>
      </c>
      <c r="J2906" s="1058"/>
      <c r="K2906" s="1060"/>
      <c r="L2906" s="1058"/>
      <c r="M2906" s="1059" t="str">
        <f>IF(A2906="","",I2906*K2906)</f>
        <v/>
      </c>
      <c r="N2906" s="1058"/>
    </row>
    <row r="2907" spans="1:14" ht="12.75" customHeight="1" x14ac:dyDescent="0.25">
      <c r="A2907" s="3"/>
      <c r="B2907" s="3"/>
      <c r="C2907" s="3"/>
      <c r="D2907" s="3"/>
      <c r="E2907" s="3"/>
      <c r="F2907" s="3"/>
      <c r="G2907" s="3"/>
      <c r="H2907" s="3"/>
      <c r="I2907" s="3"/>
      <c r="J2907" s="3"/>
      <c r="K2907" s="1066" t="s">
        <v>201</v>
      </c>
      <c r="L2907" s="1058"/>
      <c r="M2907" s="1059">
        <f>SUM(M2902:N2906)</f>
        <v>410912.30000000005</v>
      </c>
      <c r="N2907" s="1058"/>
    </row>
    <row r="2908" spans="1:14" ht="12.75" customHeight="1" x14ac:dyDescent="0.25">
      <c r="A2908" s="3"/>
      <c r="B2908" s="3"/>
      <c r="C2908" s="3"/>
      <c r="D2908" s="3"/>
      <c r="E2908" s="3"/>
      <c r="F2908" s="3"/>
      <c r="G2908" s="3"/>
      <c r="H2908" s="3"/>
      <c r="I2908" s="3"/>
      <c r="J2908" s="3"/>
      <c r="K2908" s="3"/>
      <c r="L2908" s="3"/>
      <c r="M2908" s="3"/>
      <c r="N2908" s="3"/>
    </row>
    <row r="2909" spans="1:14" ht="12.75" customHeight="1" x14ac:dyDescent="0.2">
      <c r="A2909" s="1065" t="s">
        <v>390</v>
      </c>
      <c r="B2909" s="1057"/>
      <c r="C2909" s="1057"/>
      <c r="D2909" s="1057"/>
      <c r="E2909" s="1057"/>
      <c r="F2909" s="1057"/>
      <c r="G2909" s="1057"/>
      <c r="H2909" s="1057"/>
      <c r="I2909" s="1057"/>
      <c r="J2909" s="1057"/>
      <c r="K2909" s="1057"/>
      <c r="L2909" s="1057"/>
      <c r="M2909" s="1057"/>
      <c r="N2909" s="1058"/>
    </row>
    <row r="2910" spans="1:14" ht="12.75" customHeight="1" x14ac:dyDescent="0.2">
      <c r="A2910" s="1066" t="s">
        <v>38</v>
      </c>
      <c r="B2910" s="1057"/>
      <c r="C2910" s="1057"/>
      <c r="D2910" s="1057"/>
      <c r="E2910" s="1057"/>
      <c r="F2910" s="1057"/>
      <c r="G2910" s="1058"/>
      <c r="H2910" s="28" t="s">
        <v>39</v>
      </c>
      <c r="I2910" s="1062" t="s">
        <v>385</v>
      </c>
      <c r="J2910" s="1058"/>
      <c r="K2910" s="1062" t="s">
        <v>132</v>
      </c>
      <c r="L2910" s="1058"/>
      <c r="M2910" s="1062" t="s">
        <v>386</v>
      </c>
      <c r="N2910" s="1058"/>
    </row>
    <row r="2911" spans="1:14" ht="12.75" customHeight="1" x14ac:dyDescent="0.2">
      <c r="A2911" s="1061" t="s">
        <v>391</v>
      </c>
      <c r="B2911" s="1057"/>
      <c r="C2911" s="1057"/>
      <c r="D2911" s="1057"/>
      <c r="E2911" s="1057"/>
      <c r="F2911" s="1057"/>
      <c r="G2911" s="1058"/>
      <c r="H2911" s="9" t="str">
        <f>IF(A2911="","",VLOOKUP(A2911,AA_Equipos,7,FALSE))</f>
        <v>% M.O.</v>
      </c>
      <c r="I2911" s="1059">
        <f>M2934</f>
        <v>23566.075379550002</v>
      </c>
      <c r="J2911" s="1058"/>
      <c r="K2911" s="1064">
        <v>0.05</v>
      </c>
      <c r="L2911" s="1058"/>
      <c r="M2911" s="1059">
        <f>IF(A2911="","",I2911*K2911)</f>
        <v>1178.3037689775001</v>
      </c>
      <c r="N2911" s="1058"/>
    </row>
    <row r="2912" spans="1:14" ht="12.75" customHeight="1" x14ac:dyDescent="0.2">
      <c r="A2912" s="1056"/>
      <c r="B2912" s="1057"/>
      <c r="C2912" s="1057"/>
      <c r="D2912" s="1057"/>
      <c r="E2912" s="1057"/>
      <c r="F2912" s="1057"/>
      <c r="G2912" s="1058"/>
      <c r="H2912" s="9" t="str">
        <f>IF(A2912="","",VLOOKUP(A2912,AA_Equipos,7,FALSE))</f>
        <v/>
      </c>
      <c r="I2912" s="1059" t="str">
        <f>IF(A2912="","",VLOOKUP(A2912,AA_Equipos,8,FALSE))</f>
        <v/>
      </c>
      <c r="J2912" s="1058"/>
      <c r="K2912" s="1067"/>
      <c r="L2912" s="1058"/>
      <c r="M2912" s="1059" t="str">
        <f>IF(A2912="","",I2912*K2912)</f>
        <v/>
      </c>
      <c r="N2912" s="1058"/>
    </row>
    <row r="2913" spans="1:15" ht="12.75" customHeight="1" x14ac:dyDescent="0.2">
      <c r="A2913" s="1061"/>
      <c r="B2913" s="1057"/>
      <c r="C2913" s="1057"/>
      <c r="D2913" s="1057"/>
      <c r="E2913" s="1057"/>
      <c r="F2913" s="1057"/>
      <c r="G2913" s="1058"/>
      <c r="H2913" s="9" t="str">
        <f>IF(A2913="","",VLOOKUP(A2913,AA_Equipos,7,FALSE))</f>
        <v/>
      </c>
      <c r="I2913" s="1059" t="str">
        <f>IF(A2913="","",VLOOKUP(A2913,AA_Equipos,8,FALSE))</f>
        <v/>
      </c>
      <c r="J2913" s="1058"/>
      <c r="K2913" s="1060"/>
      <c r="L2913" s="1058"/>
      <c r="M2913" s="1059" t="str">
        <f>IF(A2913="","",I2913*K2913)</f>
        <v/>
      </c>
      <c r="N2913" s="1058"/>
    </row>
    <row r="2914" spans="1:15" ht="12.75" customHeight="1" x14ac:dyDescent="0.2">
      <c r="A2914" s="1061"/>
      <c r="B2914" s="1057"/>
      <c r="C2914" s="1057"/>
      <c r="D2914" s="1057"/>
      <c r="E2914" s="1057"/>
      <c r="F2914" s="1057"/>
      <c r="G2914" s="1058"/>
      <c r="H2914" s="9" t="str">
        <f>IF(A2914="","",VLOOKUP(A2914,AA_Equipos,7,FALSE))</f>
        <v/>
      </c>
      <c r="I2914" s="1059" t="str">
        <f>IF(A2914="","",VLOOKUP(A2914,AA_Equipos,8,FALSE))</f>
        <v/>
      </c>
      <c r="J2914" s="1058"/>
      <c r="K2914" s="1060"/>
      <c r="L2914" s="1058"/>
      <c r="M2914" s="1059" t="str">
        <f>IF(A2914="","",I2914*K2914)</f>
        <v/>
      </c>
      <c r="N2914" s="1058"/>
    </row>
    <row r="2915" spans="1:15" ht="12.75" customHeight="1" x14ac:dyDescent="0.2">
      <c r="A2915" s="1061"/>
      <c r="B2915" s="1057"/>
      <c r="C2915" s="1057"/>
      <c r="D2915" s="1057"/>
      <c r="E2915" s="1057"/>
      <c r="F2915" s="1057"/>
      <c r="G2915" s="1058"/>
      <c r="H2915" s="9" t="str">
        <f>IF(A2915="","",VLOOKUP(A2915,AA_Equipos,7,FALSE))</f>
        <v/>
      </c>
      <c r="I2915" s="1059" t="str">
        <f>IF(A2915="","",VLOOKUP(A2915,AA_Equipos,8,FALSE))</f>
        <v/>
      </c>
      <c r="J2915" s="1058"/>
      <c r="K2915" s="1060"/>
      <c r="L2915" s="1058"/>
      <c r="M2915" s="1059" t="str">
        <f>IF(A2915="","",I2915*K2915)</f>
        <v/>
      </c>
      <c r="N2915" s="1058"/>
      <c r="O2915" s="7"/>
    </row>
    <row r="2916" spans="1:15" ht="12.75" customHeight="1" x14ac:dyDescent="0.25">
      <c r="A2916" s="3"/>
      <c r="B2916" s="3"/>
      <c r="C2916" s="3"/>
      <c r="D2916" s="3"/>
      <c r="E2916" s="3"/>
      <c r="F2916" s="3"/>
      <c r="G2916" s="3"/>
      <c r="H2916" s="3"/>
      <c r="I2916" s="3"/>
      <c r="J2916" s="3"/>
      <c r="K2916" s="1066" t="s">
        <v>201</v>
      </c>
      <c r="L2916" s="1058"/>
      <c r="M2916" s="1059">
        <f>SUM(M2911:N2915)</f>
        <v>1178.3037689775001</v>
      </c>
      <c r="N2916" s="1058"/>
      <c r="O2916" s="7"/>
    </row>
    <row r="2917" spans="1:15" ht="12.75" customHeight="1" x14ac:dyDescent="0.25">
      <c r="A2917" s="3"/>
      <c r="B2917" s="3"/>
      <c r="C2917" s="3"/>
      <c r="D2917" s="3"/>
      <c r="E2917" s="3"/>
      <c r="F2917" s="3"/>
      <c r="G2917" s="3"/>
      <c r="H2917" s="3"/>
      <c r="I2917" s="3"/>
      <c r="J2917" s="3"/>
      <c r="K2917" s="3"/>
      <c r="L2917" s="3"/>
      <c r="M2917" s="3"/>
      <c r="N2917" s="3"/>
    </row>
    <row r="2918" spans="1:15" ht="12.75" customHeight="1" x14ac:dyDescent="0.2">
      <c r="A2918" s="1065" t="s">
        <v>392</v>
      </c>
      <c r="B2918" s="1057"/>
      <c r="C2918" s="1057"/>
      <c r="D2918" s="1057"/>
      <c r="E2918" s="1057"/>
      <c r="F2918" s="1057"/>
      <c r="G2918" s="1057"/>
      <c r="H2918" s="1057"/>
      <c r="I2918" s="1057"/>
      <c r="J2918" s="1057"/>
      <c r="K2918" s="1057"/>
      <c r="L2918" s="1057"/>
      <c r="M2918" s="1057"/>
      <c r="N2918" s="1058"/>
    </row>
    <row r="2919" spans="1:15" ht="12.75" customHeight="1" x14ac:dyDescent="0.2">
      <c r="A2919" s="1066" t="s">
        <v>38</v>
      </c>
      <c r="B2919" s="1057"/>
      <c r="C2919" s="1057"/>
      <c r="D2919" s="1057"/>
      <c r="E2919" s="1057"/>
      <c r="F2919" s="1057"/>
      <c r="G2919" s="1058"/>
      <c r="H2919" s="28" t="s">
        <v>39</v>
      </c>
      <c r="I2919" s="1062" t="s">
        <v>385</v>
      </c>
      <c r="J2919" s="1058"/>
      <c r="K2919" s="1062" t="s">
        <v>132</v>
      </c>
      <c r="L2919" s="1058"/>
      <c r="M2919" s="1062" t="s">
        <v>386</v>
      </c>
      <c r="N2919" s="1058"/>
    </row>
    <row r="2920" spans="1:15" ht="12.75" customHeight="1" x14ac:dyDescent="0.2">
      <c r="A2920" s="1056"/>
      <c r="B2920" s="1057"/>
      <c r="C2920" s="1057"/>
      <c r="D2920" s="1057"/>
      <c r="E2920" s="1057"/>
      <c r="F2920" s="1057"/>
      <c r="G2920" s="1058"/>
      <c r="H2920" s="9"/>
      <c r="I2920" s="1059"/>
      <c r="J2920" s="1058"/>
      <c r="K2920" s="1064"/>
      <c r="L2920" s="1058"/>
      <c r="M2920" s="1059" t="str">
        <f>IF(A2920="","",I2920*K2920)</f>
        <v/>
      </c>
      <c r="N2920" s="1058"/>
    </row>
    <row r="2921" spans="1:15" ht="12.75" customHeight="1" x14ac:dyDescent="0.2">
      <c r="A2921" s="1056"/>
      <c r="B2921" s="1057"/>
      <c r="C2921" s="1057"/>
      <c r="D2921" s="1057"/>
      <c r="E2921" s="1057"/>
      <c r="F2921" s="1057"/>
      <c r="G2921" s="1058"/>
      <c r="H2921" s="9"/>
      <c r="I2921" s="1059"/>
      <c r="J2921" s="1058"/>
      <c r="K2921" s="1064"/>
      <c r="L2921" s="1058"/>
      <c r="M2921" s="1059" t="str">
        <f>IF(A2921="","",I2921*K2921)</f>
        <v/>
      </c>
      <c r="N2921" s="1058"/>
    </row>
    <row r="2922" spans="1:15" ht="12.75" customHeight="1" x14ac:dyDescent="0.2">
      <c r="A2922" s="1061"/>
      <c r="B2922" s="1057"/>
      <c r="C2922" s="1057"/>
      <c r="D2922" s="1057"/>
      <c r="E2922" s="1057"/>
      <c r="F2922" s="1057"/>
      <c r="G2922" s="1058"/>
      <c r="H2922" s="9"/>
      <c r="I2922" s="1059"/>
      <c r="J2922" s="1058"/>
      <c r="K2922" s="1060"/>
      <c r="L2922" s="1058"/>
      <c r="M2922" s="1059" t="str">
        <f>IF(A2922="","",I2922*K2922)</f>
        <v/>
      </c>
      <c r="N2922" s="1058"/>
    </row>
    <row r="2923" spans="1:15" ht="12.75" customHeight="1" x14ac:dyDescent="0.2">
      <c r="A2923" s="1061"/>
      <c r="B2923" s="1057"/>
      <c r="C2923" s="1057"/>
      <c r="D2923" s="1057"/>
      <c r="E2923" s="1057"/>
      <c r="F2923" s="1057"/>
      <c r="G2923" s="1058"/>
      <c r="H2923" s="9"/>
      <c r="I2923" s="1059"/>
      <c r="J2923" s="1058"/>
      <c r="K2923" s="1060"/>
      <c r="L2923" s="1058"/>
      <c r="M2923" s="1059" t="str">
        <f>IF(A2923="","",I2923*K2923)</f>
        <v/>
      </c>
      <c r="N2923" s="1058"/>
    </row>
    <row r="2924" spans="1:15" ht="12.75" customHeight="1" x14ac:dyDescent="0.2">
      <c r="A2924" s="1061"/>
      <c r="B2924" s="1057"/>
      <c r="C2924" s="1057"/>
      <c r="D2924" s="1057"/>
      <c r="E2924" s="1057"/>
      <c r="F2924" s="1057"/>
      <c r="G2924" s="1058"/>
      <c r="H2924" s="9"/>
      <c r="I2924" s="1059"/>
      <c r="J2924" s="1058"/>
      <c r="K2924" s="1060"/>
      <c r="L2924" s="1058"/>
      <c r="M2924" s="1059" t="str">
        <f>IF(A2924="","",I2924*K2924)</f>
        <v/>
      </c>
      <c r="N2924" s="1058"/>
      <c r="O2924" s="7"/>
    </row>
    <row r="2925" spans="1:15" ht="12.75" customHeight="1" x14ac:dyDescent="0.25">
      <c r="A2925" s="3"/>
      <c r="B2925" s="3"/>
      <c r="C2925" s="3"/>
      <c r="D2925" s="3"/>
      <c r="E2925" s="3"/>
      <c r="F2925" s="3"/>
      <c r="G2925" s="3"/>
      <c r="H2925" s="3"/>
      <c r="I2925" s="3"/>
      <c r="J2925" s="3"/>
      <c r="K2925" s="1066" t="s">
        <v>201</v>
      </c>
      <c r="L2925" s="1058"/>
      <c r="M2925" s="1059">
        <f>SUM(M2920:N2924)</f>
        <v>0</v>
      </c>
      <c r="N2925" s="1058"/>
    </row>
    <row r="2926" spans="1:15" ht="12.75" customHeight="1" x14ac:dyDescent="0.25">
      <c r="A2926" s="3"/>
      <c r="B2926" s="3"/>
      <c r="C2926" s="3"/>
      <c r="D2926" s="3"/>
      <c r="E2926" s="3"/>
      <c r="F2926" s="3"/>
      <c r="G2926" s="3"/>
      <c r="H2926" s="3"/>
      <c r="I2926" s="3"/>
      <c r="J2926" s="3"/>
      <c r="K2926" s="3"/>
      <c r="L2926" s="3"/>
      <c r="M2926" s="3"/>
      <c r="N2926" s="3"/>
    </row>
    <row r="2927" spans="1:15" ht="12.75" customHeight="1" x14ac:dyDescent="0.2">
      <c r="A2927" s="1065" t="s">
        <v>394</v>
      </c>
      <c r="B2927" s="1057"/>
      <c r="C2927" s="1057"/>
      <c r="D2927" s="1057"/>
      <c r="E2927" s="1057"/>
      <c r="F2927" s="1057"/>
      <c r="G2927" s="1057"/>
      <c r="H2927" s="1057"/>
      <c r="I2927" s="1057"/>
      <c r="J2927" s="1057"/>
      <c r="K2927" s="1057"/>
      <c r="L2927" s="1057"/>
      <c r="M2927" s="1057"/>
      <c r="N2927" s="1058"/>
    </row>
    <row r="2928" spans="1:15" ht="12.75" customHeight="1" x14ac:dyDescent="0.2">
      <c r="A2928" s="1066" t="s">
        <v>38</v>
      </c>
      <c r="B2928" s="1057"/>
      <c r="C2928" s="1057"/>
      <c r="D2928" s="1057"/>
      <c r="E2928" s="1057"/>
      <c r="F2928" s="1057"/>
      <c r="G2928" s="1058"/>
      <c r="H2928" s="28" t="s">
        <v>39</v>
      </c>
      <c r="I2928" s="1062" t="s">
        <v>385</v>
      </c>
      <c r="J2928" s="1058"/>
      <c r="K2928" s="30" t="s">
        <v>193</v>
      </c>
      <c r="L2928" s="31" t="s">
        <v>395</v>
      </c>
      <c r="M2928" s="1062" t="s">
        <v>386</v>
      </c>
      <c r="N2928" s="1058"/>
    </row>
    <row r="2929" spans="1:14" ht="12.75" customHeight="1" x14ac:dyDescent="0.25">
      <c r="A2929" s="1063" t="s">
        <v>411</v>
      </c>
      <c r="B2929" s="1057"/>
      <c r="C2929" s="1057"/>
      <c r="D2929" s="1057"/>
      <c r="E2929" s="1057"/>
      <c r="F2929" s="1057"/>
      <c r="G2929" s="1058"/>
      <c r="H2929" s="9" t="str">
        <f>IF(A2929="","",VLOOKUP(A2929,AA_Cuadrillas,4,FALSE))</f>
        <v>Cuadrilla</v>
      </c>
      <c r="I2929" s="1059">
        <f>IF(A2929="","",VLOOKUP(A2929,AA_Cuadrillas,5,FALSE))</f>
        <v>414381</v>
      </c>
      <c r="J2929" s="1058"/>
      <c r="K2929" s="1">
        <f>IF(A2929="","",'06'!$J$3)</f>
        <v>1.7233500000000002</v>
      </c>
      <c r="L2929" s="37">
        <v>3.3000000000000002E-2</v>
      </c>
      <c r="M2929" s="1059">
        <f>IF(A2929="","",I2929*K2929*L2929)</f>
        <v>23566.075379550002</v>
      </c>
      <c r="N2929" s="1058"/>
    </row>
    <row r="2930" spans="1:14" ht="12.75" customHeight="1" x14ac:dyDescent="0.25">
      <c r="A2930" s="1063"/>
      <c r="B2930" s="1057"/>
      <c r="C2930" s="1057"/>
      <c r="D2930" s="1057"/>
      <c r="E2930" s="1057"/>
      <c r="F2930" s="1057"/>
      <c r="G2930" s="1058"/>
      <c r="H2930" s="9" t="str">
        <f>IF(A2930="","",VLOOKUP(A2930,AA_Cuadrillas,4,FALSE))</f>
        <v/>
      </c>
      <c r="I2930" s="1059" t="str">
        <f>IF(A2930="","",VLOOKUP(A2930,AA_Cuadrillas,5,FALSE))</f>
        <v/>
      </c>
      <c r="J2930" s="1058"/>
      <c r="K2930" s="1" t="str">
        <f>IF(A2930="","",'06'!$J$3)</f>
        <v/>
      </c>
      <c r="L2930" s="1"/>
      <c r="M2930" s="1059" t="str">
        <f>IF(A2930="","",I2930*K2930*L2930)</f>
        <v/>
      </c>
      <c r="N2930" s="1058"/>
    </row>
    <row r="2931" spans="1:14" ht="12.75" customHeight="1" x14ac:dyDescent="0.25">
      <c r="A2931" s="1063"/>
      <c r="B2931" s="1057"/>
      <c r="C2931" s="1057"/>
      <c r="D2931" s="1057"/>
      <c r="E2931" s="1057"/>
      <c r="F2931" s="1057"/>
      <c r="G2931" s="1058"/>
      <c r="H2931" s="9" t="str">
        <f>IF(A2931="","",VLOOKUP(A2931,AA_Cuadrillas,4,FALSE))</f>
        <v/>
      </c>
      <c r="I2931" s="1059" t="str">
        <f>IF(A2931="","",VLOOKUP(A2931,AA_Cuadrillas,5,FALSE))</f>
        <v/>
      </c>
      <c r="J2931" s="1058"/>
      <c r="K2931" s="1" t="str">
        <f>IF(A2931="","",'06'!$J$3)</f>
        <v/>
      </c>
      <c r="L2931" s="10"/>
      <c r="M2931" s="1059" t="str">
        <f>IF(A2931="","",I2931*K2931*L2931)</f>
        <v/>
      </c>
      <c r="N2931" s="1058"/>
    </row>
    <row r="2932" spans="1:14" ht="12.75" customHeight="1" x14ac:dyDescent="0.25">
      <c r="A2932" s="1063"/>
      <c r="B2932" s="1057"/>
      <c r="C2932" s="1057"/>
      <c r="D2932" s="1057"/>
      <c r="E2932" s="1057"/>
      <c r="F2932" s="1057"/>
      <c r="G2932" s="1058"/>
      <c r="H2932" s="9" t="str">
        <f>IF(A2932="","",VLOOKUP(A2932,AA_Cuadrillas,4,FALSE))</f>
        <v/>
      </c>
      <c r="I2932" s="1059" t="str">
        <f>IF(A2932="","",VLOOKUP(A2932,AA_Cuadrillas,5,FALSE))</f>
        <v/>
      </c>
      <c r="J2932" s="1058"/>
      <c r="K2932" s="1" t="str">
        <f>IF(A2932="","",'06'!$J$3)</f>
        <v/>
      </c>
      <c r="L2932" s="10"/>
      <c r="M2932" s="1059" t="str">
        <f>IF(A2932="","",I2932*K2932*L2932)</f>
        <v/>
      </c>
      <c r="N2932" s="1058"/>
    </row>
    <row r="2933" spans="1:14" ht="12.75" customHeight="1" x14ac:dyDescent="0.25">
      <c r="A2933" s="1063"/>
      <c r="B2933" s="1057"/>
      <c r="C2933" s="1057"/>
      <c r="D2933" s="1057"/>
      <c r="E2933" s="1057"/>
      <c r="F2933" s="1057"/>
      <c r="G2933" s="1058"/>
      <c r="H2933" s="9" t="str">
        <f>IF(A2933="","",VLOOKUP(A2933,AA_Cuadrillas,4,FALSE))</f>
        <v/>
      </c>
      <c r="I2933" s="1059" t="str">
        <f>IF(A2933="","",VLOOKUP(A2933,AA_Cuadrillas,5,FALSE))</f>
        <v/>
      </c>
      <c r="J2933" s="1058"/>
      <c r="K2933" s="1" t="str">
        <f>IF(A2933="","",'06'!$J$3)</f>
        <v/>
      </c>
      <c r="L2933" s="10"/>
      <c r="M2933" s="1059" t="str">
        <f>IF(A2933="","",I2933*K2933*L2933)</f>
        <v/>
      </c>
      <c r="N2933" s="1058"/>
    </row>
    <row r="2934" spans="1:14" ht="12.75" customHeight="1" x14ac:dyDescent="0.25">
      <c r="A2934" s="3"/>
      <c r="B2934" s="3"/>
      <c r="C2934" s="3"/>
      <c r="D2934" s="3"/>
      <c r="E2934" s="3"/>
      <c r="F2934" s="3"/>
      <c r="G2934" s="3"/>
      <c r="H2934" s="3"/>
      <c r="I2934" s="3"/>
      <c r="J2934" s="3"/>
      <c r="K2934" s="1066" t="s">
        <v>201</v>
      </c>
      <c r="L2934" s="1058"/>
      <c r="M2934" s="1059">
        <f>SUM(M2929:N2933)</f>
        <v>23566.075379550002</v>
      </c>
      <c r="N2934" s="1058"/>
    </row>
    <row r="2935" spans="1:14" ht="12.75" customHeight="1" x14ac:dyDescent="0.2"/>
    <row r="2936" spans="1:14" ht="12.75" customHeight="1" x14ac:dyDescent="0.2">
      <c r="A2936" s="1072" t="s">
        <v>1734</v>
      </c>
      <c r="B2936" s="1052"/>
      <c r="C2936" s="1052"/>
      <c r="D2936" s="1052"/>
      <c r="E2936" s="1052"/>
      <c r="F2936" s="1052"/>
      <c r="G2936" s="1052"/>
      <c r="H2936" s="1052"/>
      <c r="I2936" s="1052"/>
      <c r="J2936" s="1052"/>
      <c r="K2936" s="1052"/>
      <c r="L2936" s="1052"/>
      <c r="M2936" s="1052"/>
      <c r="N2936" s="1053"/>
    </row>
    <row r="2937" spans="1:14" ht="12.75" customHeight="1" x14ac:dyDescent="0.2">
      <c r="A2937" s="1031"/>
      <c r="B2937" s="1032"/>
      <c r="C2937" s="1032"/>
      <c r="D2937" s="1032"/>
      <c r="E2937" s="1032"/>
      <c r="F2937" s="1032"/>
      <c r="G2937" s="1032"/>
      <c r="H2937" s="1032"/>
      <c r="I2937" s="1032"/>
      <c r="J2937" s="1032"/>
      <c r="K2937" s="1032"/>
      <c r="L2937" s="1032"/>
      <c r="M2937" s="1032"/>
      <c r="N2937" s="1055"/>
    </row>
    <row r="2938" spans="1:14" ht="12.75" customHeight="1" x14ac:dyDescent="0.2">
      <c r="A2938" s="16"/>
      <c r="B2938" s="16"/>
      <c r="C2938" s="16"/>
      <c r="D2938" s="16"/>
      <c r="E2938" s="16"/>
      <c r="F2938" s="16"/>
      <c r="G2938" s="16"/>
      <c r="H2938" s="16"/>
      <c r="I2938" s="16"/>
      <c r="J2938" s="16"/>
      <c r="K2938" s="16"/>
      <c r="L2938" s="16"/>
      <c r="M2938" s="16"/>
      <c r="N2938" s="16"/>
    </row>
    <row r="2939" spans="1:14" ht="12.75" customHeight="1" x14ac:dyDescent="0.3">
      <c r="A2939" s="18" t="s">
        <v>359</v>
      </c>
      <c r="B2939" s="19" t="str">
        <f>A2936</f>
        <v>TUBERÍA PVC 4" RDE 21 (INCLUYE INSTALACIÓN Y SUMINISTRO)</v>
      </c>
      <c r="C2939" s="20" t="s">
        <v>382</v>
      </c>
      <c r="D2939" s="21" t="s">
        <v>419</v>
      </c>
      <c r="E2939" s="22" t="s">
        <v>125</v>
      </c>
      <c r="F2939" s="26">
        <f>(H2939+J2939+L2939+N2939)*$O$2</f>
        <v>152727.75121290918</v>
      </c>
      <c r="G2939" s="22" t="s">
        <v>285</v>
      </c>
      <c r="H2939" s="26">
        <f>M2956</f>
        <v>1110.4121372249999</v>
      </c>
      <c r="I2939" s="22" t="s">
        <v>383</v>
      </c>
      <c r="J2939" s="26">
        <f>M2947</f>
        <v>94164.23066666667</v>
      </c>
      <c r="K2939" s="22" t="s">
        <v>287</v>
      </c>
      <c r="L2939" s="26">
        <f>M2965</f>
        <v>0</v>
      </c>
      <c r="M2939" s="22" t="s">
        <v>288</v>
      </c>
      <c r="N2939" s="26">
        <f>M2974</f>
        <v>22208.242744499999</v>
      </c>
    </row>
    <row r="2940" spans="1:14" ht="12.75" customHeight="1" x14ac:dyDescent="0.25">
      <c r="A2940" s="27"/>
      <c r="B2940" s="27"/>
      <c r="C2940" s="27"/>
      <c r="D2940" s="27"/>
      <c r="E2940" s="27"/>
      <c r="F2940" s="27"/>
      <c r="G2940" s="27"/>
      <c r="J2940" s="27"/>
      <c r="K2940" s="27"/>
      <c r="L2940" s="27"/>
      <c r="M2940" s="27"/>
      <c r="N2940" s="27"/>
    </row>
    <row r="2941" spans="1:14" ht="12.75" customHeight="1" x14ac:dyDescent="0.2">
      <c r="A2941" s="1065" t="s">
        <v>384</v>
      </c>
      <c r="B2941" s="1057"/>
      <c r="C2941" s="1057"/>
      <c r="D2941" s="1057"/>
      <c r="E2941" s="1057"/>
      <c r="F2941" s="1057"/>
      <c r="G2941" s="1057"/>
      <c r="H2941" s="1057"/>
      <c r="I2941" s="1057"/>
      <c r="J2941" s="1057"/>
      <c r="K2941" s="1057"/>
      <c r="L2941" s="1057"/>
      <c r="M2941" s="1057"/>
      <c r="N2941" s="1058"/>
    </row>
    <row r="2942" spans="1:14" ht="12.75" customHeight="1" x14ac:dyDescent="0.2">
      <c r="A2942" s="1066" t="s">
        <v>38</v>
      </c>
      <c r="B2942" s="1057"/>
      <c r="C2942" s="1057"/>
      <c r="D2942" s="1057"/>
      <c r="E2942" s="1057"/>
      <c r="F2942" s="1057"/>
      <c r="G2942" s="1058"/>
      <c r="H2942" s="28" t="s">
        <v>39</v>
      </c>
      <c r="I2942" s="1062" t="s">
        <v>385</v>
      </c>
      <c r="J2942" s="1058"/>
      <c r="K2942" s="1062" t="s">
        <v>132</v>
      </c>
      <c r="L2942" s="1058"/>
      <c r="M2942" s="1062" t="s">
        <v>386</v>
      </c>
      <c r="N2942" s="1058"/>
    </row>
    <row r="2943" spans="1:14" ht="12.75" customHeight="1" x14ac:dyDescent="0.2">
      <c r="A2943" s="1061" t="s">
        <v>1570</v>
      </c>
      <c r="B2943" s="1057"/>
      <c r="C2943" s="1057"/>
      <c r="D2943" s="1057"/>
      <c r="E2943" s="1057"/>
      <c r="F2943" s="1057"/>
      <c r="G2943" s="1058"/>
      <c r="H2943" s="9" t="str">
        <f>IF(A2943="","",VLOOKUP(A2943,AA_Materiales,7,FALSE))</f>
        <v>m</v>
      </c>
      <c r="I2943" s="1059">
        <f>IF(A2943="","",VLOOKUP(A2943,AA_Materiales,8,FALSE))</f>
        <v>93801.930666666667</v>
      </c>
      <c r="J2943" s="1058"/>
      <c r="K2943" s="1060">
        <v>1</v>
      </c>
      <c r="L2943" s="1058"/>
      <c r="M2943" s="1059">
        <f>IF(A2943="","",I2943*K2943)</f>
        <v>93801.930666666667</v>
      </c>
      <c r="N2943" s="1058"/>
    </row>
    <row r="2944" spans="1:14" ht="12.75" customHeight="1" x14ac:dyDescent="0.2">
      <c r="A2944" s="1061" t="s">
        <v>1603</v>
      </c>
      <c r="B2944" s="1057"/>
      <c r="C2944" s="1057"/>
      <c r="D2944" s="1057"/>
      <c r="E2944" s="1057"/>
      <c r="F2944" s="1057"/>
      <c r="G2944" s="1058"/>
      <c r="H2944" s="9" t="str">
        <f>IF(A2944="","",VLOOKUP(A2944,AA_Materiales,7,FALSE))</f>
        <v>(1/128) Galón</v>
      </c>
      <c r="I2944" s="1059">
        <f>IF(A2944="","",VLOOKUP(A2944,AA_Materiales,8,FALSE))</f>
        <v>8539</v>
      </c>
      <c r="J2944" s="1058"/>
      <c r="K2944" s="1060">
        <v>0.02</v>
      </c>
      <c r="L2944" s="1058"/>
      <c r="M2944" s="1059">
        <f>IF(A2944="","",I2944*K2944)</f>
        <v>170.78</v>
      </c>
      <c r="N2944" s="1058"/>
    </row>
    <row r="2945" spans="1:15" ht="12.75" customHeight="1" x14ac:dyDescent="0.2">
      <c r="A2945" s="1061" t="s">
        <v>1604</v>
      </c>
      <c r="B2945" s="1057"/>
      <c r="C2945" s="1057"/>
      <c r="D2945" s="1057"/>
      <c r="E2945" s="1057"/>
      <c r="F2945" s="1057"/>
      <c r="G2945" s="1058"/>
      <c r="H2945" s="9" t="str">
        <f>IF(A2945="","",VLOOKUP(A2945,AA_Materiales,7,FALSE))</f>
        <v>28 gr (1/128)</v>
      </c>
      <c r="I2945" s="1059">
        <f>IF(A2945="","",VLOOKUP(A2945,AA_Materiales,8,FALSE))</f>
        <v>4788</v>
      </c>
      <c r="J2945" s="1058"/>
      <c r="K2945" s="1060">
        <v>0.04</v>
      </c>
      <c r="L2945" s="1058"/>
      <c r="M2945" s="1059">
        <f>IF(A2945="","",I2945*K2945)</f>
        <v>191.52</v>
      </c>
      <c r="N2945" s="1058"/>
    </row>
    <row r="2946" spans="1:15" ht="12.75" customHeight="1" x14ac:dyDescent="0.2">
      <c r="A2946" s="1061"/>
      <c r="B2946" s="1057"/>
      <c r="C2946" s="1057"/>
      <c r="D2946" s="1057"/>
      <c r="E2946" s="1057"/>
      <c r="F2946" s="1057"/>
      <c r="G2946" s="1058"/>
      <c r="H2946" s="9" t="str">
        <f>IF(A2946="","",VLOOKUP(A2946,AA_Materiales,7,FALSE))</f>
        <v/>
      </c>
      <c r="I2946" s="1059" t="str">
        <f>IF(A2946="","",VLOOKUP(A2946,AA_Materiales,8,FALSE))</f>
        <v/>
      </c>
      <c r="J2946" s="1058"/>
      <c r="K2946" s="1060"/>
      <c r="L2946" s="1058"/>
      <c r="M2946" s="1059" t="str">
        <f>IF(A2946="","",I2946*K2946)</f>
        <v/>
      </c>
      <c r="N2946" s="1058"/>
    </row>
    <row r="2947" spans="1:15" ht="12.75" customHeight="1" x14ac:dyDescent="0.25">
      <c r="A2947" s="3"/>
      <c r="B2947" s="3"/>
      <c r="C2947" s="3"/>
      <c r="D2947" s="3"/>
      <c r="E2947" s="3"/>
      <c r="F2947" s="3"/>
      <c r="G2947" s="3"/>
      <c r="H2947" s="3"/>
      <c r="I2947" s="3"/>
      <c r="J2947" s="3"/>
      <c r="K2947" s="1066" t="s">
        <v>201</v>
      </c>
      <c r="L2947" s="1058"/>
      <c r="M2947" s="1059">
        <f>SUM(M2943:N2946)</f>
        <v>94164.23066666667</v>
      </c>
      <c r="N2947" s="1058"/>
    </row>
    <row r="2948" spans="1:15" ht="12.75" customHeight="1" x14ac:dyDescent="0.25">
      <c r="A2948" s="3"/>
      <c r="B2948" s="3"/>
      <c r="C2948" s="3"/>
      <c r="D2948" s="3"/>
      <c r="E2948" s="3"/>
      <c r="F2948" s="3"/>
      <c r="G2948" s="3"/>
      <c r="H2948" s="3"/>
      <c r="I2948" s="3"/>
      <c r="J2948" s="3"/>
      <c r="K2948" s="3"/>
      <c r="L2948" s="3"/>
      <c r="M2948" s="3"/>
      <c r="N2948" s="3"/>
    </row>
    <row r="2949" spans="1:15" ht="12.75" customHeight="1" x14ac:dyDescent="0.2">
      <c r="A2949" s="1065" t="s">
        <v>390</v>
      </c>
      <c r="B2949" s="1057"/>
      <c r="C2949" s="1057"/>
      <c r="D2949" s="1057"/>
      <c r="E2949" s="1057"/>
      <c r="F2949" s="1057"/>
      <c r="G2949" s="1057"/>
      <c r="H2949" s="1057"/>
      <c r="I2949" s="1057"/>
      <c r="J2949" s="1057"/>
      <c r="K2949" s="1057"/>
      <c r="L2949" s="1057"/>
      <c r="M2949" s="1057"/>
      <c r="N2949" s="1058"/>
    </row>
    <row r="2950" spans="1:15" ht="12.75" customHeight="1" x14ac:dyDescent="0.2">
      <c r="A2950" s="1066" t="s">
        <v>38</v>
      </c>
      <c r="B2950" s="1057"/>
      <c r="C2950" s="1057"/>
      <c r="D2950" s="1057"/>
      <c r="E2950" s="1057"/>
      <c r="F2950" s="1057"/>
      <c r="G2950" s="1058"/>
      <c r="H2950" s="28" t="s">
        <v>39</v>
      </c>
      <c r="I2950" s="1062" t="s">
        <v>385</v>
      </c>
      <c r="J2950" s="1058"/>
      <c r="K2950" s="1062" t="s">
        <v>132</v>
      </c>
      <c r="L2950" s="1058"/>
      <c r="M2950" s="1062" t="s">
        <v>386</v>
      </c>
      <c r="N2950" s="1058"/>
    </row>
    <row r="2951" spans="1:15" ht="12.75" customHeight="1" x14ac:dyDescent="0.2">
      <c r="A2951" s="1061" t="s">
        <v>391</v>
      </c>
      <c r="B2951" s="1057"/>
      <c r="C2951" s="1057"/>
      <c r="D2951" s="1057"/>
      <c r="E2951" s="1057"/>
      <c r="F2951" s="1057"/>
      <c r="G2951" s="1058"/>
      <c r="H2951" s="9" t="str">
        <f>IF(A2951="","",VLOOKUP(A2951,AA_Equipos,7,FALSE))</f>
        <v>% M.O.</v>
      </c>
      <c r="I2951" s="1059">
        <f>M2974</f>
        <v>22208.242744499999</v>
      </c>
      <c r="J2951" s="1058"/>
      <c r="K2951" s="1064">
        <v>0.05</v>
      </c>
      <c r="L2951" s="1058"/>
      <c r="M2951" s="1059">
        <f>IF(A2951="","",I2951*K2951)</f>
        <v>1110.4121372249999</v>
      </c>
      <c r="N2951" s="1058"/>
    </row>
    <row r="2952" spans="1:15" ht="12.75" customHeight="1" x14ac:dyDescent="0.2">
      <c r="A2952" s="1056"/>
      <c r="B2952" s="1057"/>
      <c r="C2952" s="1057"/>
      <c r="D2952" s="1057"/>
      <c r="E2952" s="1057"/>
      <c r="F2952" s="1057"/>
      <c r="G2952" s="1058"/>
      <c r="H2952" s="9" t="str">
        <f>IF(A2952="","",VLOOKUP(A2952,AA_Equipos,7,FALSE))</f>
        <v/>
      </c>
      <c r="I2952" s="1059" t="str">
        <f>IF(A2952="","",VLOOKUP(A2952,AA_Equipos,8,FALSE))</f>
        <v/>
      </c>
      <c r="J2952" s="1058"/>
      <c r="K2952" s="1067"/>
      <c r="L2952" s="1058"/>
      <c r="M2952" s="1059" t="str">
        <f>IF(A2952="","",I2952*K2952)</f>
        <v/>
      </c>
      <c r="N2952" s="1058"/>
    </row>
    <row r="2953" spans="1:15" ht="12.75" customHeight="1" x14ac:dyDescent="0.2">
      <c r="A2953" s="1061"/>
      <c r="B2953" s="1057"/>
      <c r="C2953" s="1057"/>
      <c r="D2953" s="1057"/>
      <c r="E2953" s="1057"/>
      <c r="F2953" s="1057"/>
      <c r="G2953" s="1058"/>
      <c r="H2953" s="9" t="str">
        <f>IF(A2953="","",VLOOKUP(A2953,AA_Equipos,7,FALSE))</f>
        <v/>
      </c>
      <c r="I2953" s="1059" t="str">
        <f>IF(A2953="","",VLOOKUP(A2953,AA_Equipos,8,FALSE))</f>
        <v/>
      </c>
      <c r="J2953" s="1058"/>
      <c r="K2953" s="1060"/>
      <c r="L2953" s="1058"/>
      <c r="M2953" s="1059" t="str">
        <f>IF(A2953="","",I2953*K2953)</f>
        <v/>
      </c>
      <c r="N2953" s="1058"/>
    </row>
    <row r="2954" spans="1:15" ht="12.75" customHeight="1" x14ac:dyDescent="0.2">
      <c r="A2954" s="1061"/>
      <c r="B2954" s="1057"/>
      <c r="C2954" s="1057"/>
      <c r="D2954" s="1057"/>
      <c r="E2954" s="1057"/>
      <c r="F2954" s="1057"/>
      <c r="G2954" s="1058"/>
      <c r="H2954" s="9" t="str">
        <f>IF(A2954="","",VLOOKUP(A2954,AA_Equipos,7,FALSE))</f>
        <v/>
      </c>
      <c r="I2954" s="1059" t="str">
        <f>IF(A2954="","",VLOOKUP(A2954,AA_Equipos,8,FALSE))</f>
        <v/>
      </c>
      <c r="J2954" s="1058"/>
      <c r="K2954" s="1060"/>
      <c r="L2954" s="1058"/>
      <c r="M2954" s="1059" t="str">
        <f>IF(A2954="","",I2954*K2954)</f>
        <v/>
      </c>
      <c r="N2954" s="1058"/>
    </row>
    <row r="2955" spans="1:15" ht="12.75" customHeight="1" x14ac:dyDescent="0.2">
      <c r="A2955" s="1061"/>
      <c r="B2955" s="1057"/>
      <c r="C2955" s="1057"/>
      <c r="D2955" s="1057"/>
      <c r="E2955" s="1057"/>
      <c r="F2955" s="1057"/>
      <c r="G2955" s="1058"/>
      <c r="H2955" s="9" t="str">
        <f>IF(A2955="","",VLOOKUP(A2955,AA_Equipos,7,FALSE))</f>
        <v/>
      </c>
      <c r="I2955" s="1059" t="str">
        <f>IF(A2955="","",VLOOKUP(A2955,AA_Equipos,8,FALSE))</f>
        <v/>
      </c>
      <c r="J2955" s="1058"/>
      <c r="K2955" s="1060"/>
      <c r="L2955" s="1058"/>
      <c r="M2955" s="1059" t="str">
        <f>IF(A2955="","",I2955*K2955)</f>
        <v/>
      </c>
      <c r="N2955" s="1058"/>
      <c r="O2955" s="7"/>
    </row>
    <row r="2956" spans="1:15" ht="12.75" customHeight="1" x14ac:dyDescent="0.25">
      <c r="A2956" s="3"/>
      <c r="B2956" s="3"/>
      <c r="C2956" s="3"/>
      <c r="D2956" s="3"/>
      <c r="E2956" s="3"/>
      <c r="F2956" s="3"/>
      <c r="G2956" s="3"/>
      <c r="H2956" s="3"/>
      <c r="I2956" s="3"/>
      <c r="J2956" s="3"/>
      <c r="K2956" s="1066" t="s">
        <v>201</v>
      </c>
      <c r="L2956" s="1058"/>
      <c r="M2956" s="1059">
        <f>SUM(M2951:N2955)</f>
        <v>1110.4121372249999</v>
      </c>
      <c r="N2956" s="1058"/>
      <c r="O2956" s="7"/>
    </row>
    <row r="2957" spans="1:15" ht="12.75" customHeight="1" x14ac:dyDescent="0.25">
      <c r="A2957" s="3"/>
      <c r="B2957" s="3"/>
      <c r="C2957" s="3"/>
      <c r="D2957" s="3"/>
      <c r="E2957" s="3"/>
      <c r="F2957" s="3"/>
      <c r="G2957" s="3"/>
      <c r="H2957" s="3"/>
      <c r="I2957" s="3"/>
      <c r="J2957" s="3"/>
      <c r="K2957" s="3"/>
      <c r="L2957" s="3"/>
      <c r="M2957" s="3"/>
      <c r="N2957" s="3"/>
    </row>
    <row r="2958" spans="1:15" ht="12.75" customHeight="1" x14ac:dyDescent="0.2">
      <c r="A2958" s="1065" t="s">
        <v>392</v>
      </c>
      <c r="B2958" s="1057"/>
      <c r="C2958" s="1057"/>
      <c r="D2958" s="1057"/>
      <c r="E2958" s="1057"/>
      <c r="F2958" s="1057"/>
      <c r="G2958" s="1057"/>
      <c r="H2958" s="1057"/>
      <c r="I2958" s="1057"/>
      <c r="J2958" s="1057"/>
      <c r="K2958" s="1057"/>
      <c r="L2958" s="1057"/>
      <c r="M2958" s="1057"/>
      <c r="N2958" s="1058"/>
    </row>
    <row r="2959" spans="1:15" ht="12.75" customHeight="1" x14ac:dyDescent="0.2">
      <c r="A2959" s="1066" t="s">
        <v>38</v>
      </c>
      <c r="B2959" s="1057"/>
      <c r="C2959" s="1057"/>
      <c r="D2959" s="1057"/>
      <c r="E2959" s="1057"/>
      <c r="F2959" s="1057"/>
      <c r="G2959" s="1058"/>
      <c r="H2959" s="28" t="s">
        <v>39</v>
      </c>
      <c r="I2959" s="1062" t="s">
        <v>385</v>
      </c>
      <c r="J2959" s="1058"/>
      <c r="K2959" s="1062" t="s">
        <v>132</v>
      </c>
      <c r="L2959" s="1058"/>
      <c r="M2959" s="1062" t="s">
        <v>386</v>
      </c>
      <c r="N2959" s="1058"/>
    </row>
    <row r="2960" spans="1:15" ht="12.75" customHeight="1" x14ac:dyDescent="0.2">
      <c r="A2960" s="1056"/>
      <c r="B2960" s="1057"/>
      <c r="C2960" s="1057"/>
      <c r="D2960" s="1057"/>
      <c r="E2960" s="1057"/>
      <c r="F2960" s="1057"/>
      <c r="G2960" s="1058"/>
      <c r="H2960" s="9"/>
      <c r="I2960" s="1059"/>
      <c r="J2960" s="1058"/>
      <c r="K2960" s="1064"/>
      <c r="L2960" s="1058"/>
      <c r="M2960" s="1059" t="str">
        <f>IF(A2960="","",I2960*K2960)</f>
        <v/>
      </c>
      <c r="N2960" s="1058"/>
    </row>
    <row r="2961" spans="1:14" ht="12.75" customHeight="1" x14ac:dyDescent="0.2">
      <c r="A2961" s="1056"/>
      <c r="B2961" s="1057"/>
      <c r="C2961" s="1057"/>
      <c r="D2961" s="1057"/>
      <c r="E2961" s="1057"/>
      <c r="F2961" s="1057"/>
      <c r="G2961" s="1058"/>
      <c r="H2961" s="9"/>
      <c r="I2961" s="1059"/>
      <c r="J2961" s="1058"/>
      <c r="K2961" s="1064"/>
      <c r="L2961" s="1058"/>
      <c r="M2961" s="1059" t="str">
        <f>IF(A2961="","",I2961*K2961)</f>
        <v/>
      </c>
      <c r="N2961" s="1058"/>
    </row>
    <row r="2962" spans="1:14" ht="12.75" customHeight="1" x14ac:dyDescent="0.2">
      <c r="A2962" s="1061"/>
      <c r="B2962" s="1057"/>
      <c r="C2962" s="1057"/>
      <c r="D2962" s="1057"/>
      <c r="E2962" s="1057"/>
      <c r="F2962" s="1057"/>
      <c r="G2962" s="1058"/>
      <c r="H2962" s="9"/>
      <c r="I2962" s="1059"/>
      <c r="J2962" s="1058"/>
      <c r="K2962" s="1060"/>
      <c r="L2962" s="1058"/>
      <c r="M2962" s="1059" t="str">
        <f>IF(A2962="","",I2962*K2962)</f>
        <v/>
      </c>
      <c r="N2962" s="1058"/>
    </row>
    <row r="2963" spans="1:14" ht="12.75" customHeight="1" x14ac:dyDescent="0.2">
      <c r="A2963" s="1061"/>
      <c r="B2963" s="1057"/>
      <c r="C2963" s="1057"/>
      <c r="D2963" s="1057"/>
      <c r="E2963" s="1057"/>
      <c r="F2963" s="1057"/>
      <c r="G2963" s="1058"/>
      <c r="H2963" s="9"/>
      <c r="I2963" s="1059"/>
      <c r="J2963" s="1058"/>
      <c r="K2963" s="1060"/>
      <c r="L2963" s="1058"/>
      <c r="M2963" s="1059" t="str">
        <f>IF(A2963="","",I2963*K2963)</f>
        <v/>
      </c>
      <c r="N2963" s="1058"/>
    </row>
    <row r="2964" spans="1:14" ht="12.75" customHeight="1" x14ac:dyDescent="0.2">
      <c r="A2964" s="1061"/>
      <c r="B2964" s="1057"/>
      <c r="C2964" s="1057"/>
      <c r="D2964" s="1057"/>
      <c r="E2964" s="1057"/>
      <c r="F2964" s="1057"/>
      <c r="G2964" s="1058"/>
      <c r="H2964" s="9"/>
      <c r="I2964" s="1059"/>
      <c r="J2964" s="1058"/>
      <c r="K2964" s="1060"/>
      <c r="L2964" s="1058"/>
      <c r="M2964" s="1059" t="str">
        <f>IF(A2964="","",I2964*K2964)</f>
        <v/>
      </c>
      <c r="N2964" s="1058"/>
    </row>
    <row r="2965" spans="1:14" ht="12.75" customHeight="1" x14ac:dyDescent="0.25">
      <c r="A2965" s="3"/>
      <c r="B2965" s="3"/>
      <c r="C2965" s="3"/>
      <c r="D2965" s="3"/>
      <c r="E2965" s="3"/>
      <c r="F2965" s="3"/>
      <c r="G2965" s="3"/>
      <c r="H2965" s="3"/>
      <c r="I2965" s="3"/>
      <c r="J2965" s="3"/>
      <c r="K2965" s="1066" t="s">
        <v>201</v>
      </c>
      <c r="L2965" s="1058"/>
      <c r="M2965" s="1059">
        <f>SUM(M2960:N2964)</f>
        <v>0</v>
      </c>
      <c r="N2965" s="1058"/>
    </row>
    <row r="2966" spans="1:14" ht="12.75" customHeight="1" x14ac:dyDescent="0.25">
      <c r="A2966" s="3"/>
      <c r="B2966" s="3"/>
      <c r="C2966" s="3"/>
      <c r="D2966" s="3"/>
      <c r="E2966" s="3"/>
      <c r="F2966" s="3"/>
      <c r="G2966" s="3"/>
      <c r="H2966" s="3"/>
      <c r="I2966" s="3"/>
      <c r="J2966" s="3"/>
      <c r="K2966" s="3"/>
      <c r="L2966" s="3"/>
      <c r="M2966" s="3"/>
      <c r="N2966" s="3"/>
    </row>
    <row r="2967" spans="1:14" ht="12.75" customHeight="1" x14ac:dyDescent="0.2">
      <c r="A2967" s="1065" t="s">
        <v>394</v>
      </c>
      <c r="B2967" s="1057"/>
      <c r="C2967" s="1057"/>
      <c r="D2967" s="1057"/>
      <c r="E2967" s="1057"/>
      <c r="F2967" s="1057"/>
      <c r="G2967" s="1057"/>
      <c r="H2967" s="1057"/>
      <c r="I2967" s="1057"/>
      <c r="J2967" s="1057"/>
      <c r="K2967" s="1057"/>
      <c r="L2967" s="1057"/>
      <c r="M2967" s="1057"/>
      <c r="N2967" s="1058"/>
    </row>
    <row r="2968" spans="1:14" ht="12.75" customHeight="1" x14ac:dyDescent="0.2">
      <c r="A2968" s="1066" t="s">
        <v>38</v>
      </c>
      <c r="B2968" s="1057"/>
      <c r="C2968" s="1057"/>
      <c r="D2968" s="1057"/>
      <c r="E2968" s="1057"/>
      <c r="F2968" s="1057"/>
      <c r="G2968" s="1058"/>
      <c r="H2968" s="28" t="s">
        <v>39</v>
      </c>
      <c r="I2968" s="1062" t="s">
        <v>385</v>
      </c>
      <c r="J2968" s="1058"/>
      <c r="K2968" s="30" t="s">
        <v>193</v>
      </c>
      <c r="L2968" s="31" t="s">
        <v>395</v>
      </c>
      <c r="M2968" s="1062" t="s">
        <v>386</v>
      </c>
      <c r="N2968" s="1058"/>
    </row>
    <row r="2969" spans="1:14" ht="12.75" customHeight="1" x14ac:dyDescent="0.25">
      <c r="A2969" s="1063" t="s">
        <v>418</v>
      </c>
      <c r="B2969" s="1057"/>
      <c r="C2969" s="1057"/>
      <c r="D2969" s="1057"/>
      <c r="E2969" s="1057"/>
      <c r="F2969" s="1057"/>
      <c r="G2969" s="1058"/>
      <c r="H2969" s="9" t="str">
        <f>IF(A2969="","",VLOOKUP(A2969,AA_Cuadrillas,4,FALSE))</f>
        <v>Cuadrilla</v>
      </c>
      <c r="I2969" s="1059">
        <f>IF(A2969="","",VLOOKUP(A2969,AA_Cuadrillas,5,FALSE))</f>
        <v>280145</v>
      </c>
      <c r="J2969" s="1058"/>
      <c r="K2969" s="1">
        <f>IF(A2969="","",'06'!$J$3)</f>
        <v>1.7233500000000002</v>
      </c>
      <c r="L2969" s="32">
        <v>4.5999999999999999E-2</v>
      </c>
      <c r="M2969" s="1059">
        <f>IF(A2969="","",I2969*K2969*L2969)</f>
        <v>22208.242744499999</v>
      </c>
      <c r="N2969" s="1058"/>
    </row>
    <row r="2970" spans="1:14" ht="12.75" customHeight="1" x14ac:dyDescent="0.25">
      <c r="A2970" s="1063"/>
      <c r="B2970" s="1057"/>
      <c r="C2970" s="1057"/>
      <c r="D2970" s="1057"/>
      <c r="E2970" s="1057"/>
      <c r="F2970" s="1057"/>
      <c r="G2970" s="1058"/>
      <c r="H2970" s="9" t="str">
        <f>IF(A2970="","",VLOOKUP(A2970,AA_Cuadrillas,4,FALSE))</f>
        <v/>
      </c>
      <c r="I2970" s="1059" t="str">
        <f>IF(A2970="","",VLOOKUP(A2970,AA_Cuadrillas,5,FALSE))</f>
        <v/>
      </c>
      <c r="J2970" s="1058"/>
      <c r="K2970" s="1" t="str">
        <f>IF(A2970="","",'06'!$J$3)</f>
        <v/>
      </c>
      <c r="L2970" s="1"/>
      <c r="M2970" s="1059" t="str">
        <f>IF(A2970="","",I2970*K2970*L2970)</f>
        <v/>
      </c>
      <c r="N2970" s="1058"/>
    </row>
    <row r="2971" spans="1:14" ht="12.75" customHeight="1" x14ac:dyDescent="0.25">
      <c r="A2971" s="1063"/>
      <c r="B2971" s="1057"/>
      <c r="C2971" s="1057"/>
      <c r="D2971" s="1057"/>
      <c r="E2971" s="1057"/>
      <c r="F2971" s="1057"/>
      <c r="G2971" s="1058"/>
      <c r="H2971" s="9" t="str">
        <f>IF(A2971="","",VLOOKUP(A2971,AA_Cuadrillas,4,FALSE))</f>
        <v/>
      </c>
      <c r="I2971" s="1059" t="str">
        <f>IF(A2971="","",VLOOKUP(A2971,AA_Cuadrillas,5,FALSE))</f>
        <v/>
      </c>
      <c r="J2971" s="1058"/>
      <c r="K2971" s="1" t="str">
        <f>IF(A2971="","",'06'!$J$3)</f>
        <v/>
      </c>
      <c r="L2971" s="10"/>
      <c r="M2971" s="1059" t="str">
        <f>IF(A2971="","",I2971*K2971*L2971)</f>
        <v/>
      </c>
      <c r="N2971" s="1058"/>
    </row>
    <row r="2972" spans="1:14" ht="12.75" customHeight="1" x14ac:dyDescent="0.25">
      <c r="A2972" s="1063"/>
      <c r="B2972" s="1057"/>
      <c r="C2972" s="1057"/>
      <c r="D2972" s="1057"/>
      <c r="E2972" s="1057"/>
      <c r="F2972" s="1057"/>
      <c r="G2972" s="1058"/>
      <c r="H2972" s="9" t="str">
        <f>IF(A2972="","",VLOOKUP(A2972,AA_Cuadrillas,4,FALSE))</f>
        <v/>
      </c>
      <c r="I2972" s="1059" t="str">
        <f>IF(A2972="","",VLOOKUP(A2972,AA_Cuadrillas,5,FALSE))</f>
        <v/>
      </c>
      <c r="J2972" s="1058"/>
      <c r="K2972" s="1" t="str">
        <f>IF(A2972="","",'06'!$J$3)</f>
        <v/>
      </c>
      <c r="L2972" s="10"/>
      <c r="M2972" s="1059" t="str">
        <f>IF(A2972="","",I2972*K2972*L2972)</f>
        <v/>
      </c>
      <c r="N2972" s="1058"/>
    </row>
    <row r="2973" spans="1:14" ht="12.75" customHeight="1" x14ac:dyDescent="0.25">
      <c r="A2973" s="1063"/>
      <c r="B2973" s="1057"/>
      <c r="C2973" s="1057"/>
      <c r="D2973" s="1057"/>
      <c r="E2973" s="1057"/>
      <c r="F2973" s="1057"/>
      <c r="G2973" s="1058"/>
      <c r="H2973" s="9" t="str">
        <f>IF(A2973="","",VLOOKUP(A2973,AA_Cuadrillas,4,FALSE))</f>
        <v/>
      </c>
      <c r="I2973" s="1059" t="str">
        <f>IF(A2973="","",VLOOKUP(A2973,AA_Cuadrillas,5,FALSE))</f>
        <v/>
      </c>
      <c r="J2973" s="1058"/>
      <c r="K2973" s="1" t="str">
        <f>IF(A2973="","",'06'!$J$3)</f>
        <v/>
      </c>
      <c r="L2973" s="10"/>
      <c r="M2973" s="1059" t="str">
        <f>IF(A2973="","",I2973*K2973*L2973)</f>
        <v/>
      </c>
      <c r="N2973" s="1058"/>
    </row>
    <row r="2974" spans="1:14" ht="12.75" customHeight="1" x14ac:dyDescent="0.25">
      <c r="A2974" s="3"/>
      <c r="B2974" s="3"/>
      <c r="C2974" s="3"/>
      <c r="D2974" s="3"/>
      <c r="E2974" s="3"/>
      <c r="F2974" s="3"/>
      <c r="G2974" s="3"/>
      <c r="H2974" s="3"/>
      <c r="I2974" s="3"/>
      <c r="J2974" s="3"/>
      <c r="K2974" s="1066" t="s">
        <v>201</v>
      </c>
      <c r="L2974" s="1058"/>
      <c r="M2974" s="1059">
        <f>SUM(M2969:N2973)</f>
        <v>22208.242744499999</v>
      </c>
      <c r="N2974" s="1058"/>
    </row>
    <row r="2975" spans="1:14" ht="12.75" customHeight="1" x14ac:dyDescent="0.2"/>
    <row r="2976" spans="1:14" ht="12.75" customHeight="1" x14ac:dyDescent="0.2">
      <c r="A2976" s="1072" t="s">
        <v>1735</v>
      </c>
      <c r="B2976" s="1052"/>
      <c r="C2976" s="1052"/>
      <c r="D2976" s="1052"/>
      <c r="E2976" s="1052"/>
      <c r="F2976" s="1052"/>
      <c r="G2976" s="1052"/>
      <c r="H2976" s="1052"/>
      <c r="I2976" s="1052"/>
      <c r="J2976" s="1052"/>
      <c r="K2976" s="1052"/>
      <c r="L2976" s="1052"/>
      <c r="M2976" s="1052"/>
      <c r="N2976" s="1053"/>
    </row>
    <row r="2977" spans="1:14" ht="12.75" customHeight="1" x14ac:dyDescent="0.2">
      <c r="A2977" s="1031"/>
      <c r="B2977" s="1032"/>
      <c r="C2977" s="1032"/>
      <c r="D2977" s="1032"/>
      <c r="E2977" s="1032"/>
      <c r="F2977" s="1032"/>
      <c r="G2977" s="1032"/>
      <c r="H2977" s="1032"/>
      <c r="I2977" s="1032"/>
      <c r="J2977" s="1032"/>
      <c r="K2977" s="1032"/>
      <c r="L2977" s="1032"/>
      <c r="M2977" s="1032"/>
      <c r="N2977" s="1055"/>
    </row>
    <row r="2978" spans="1:14" ht="12.75" customHeight="1" x14ac:dyDescent="0.2">
      <c r="A2978" s="16"/>
      <c r="B2978" s="16"/>
      <c r="C2978" s="16"/>
      <c r="D2978" s="16"/>
      <c r="E2978" s="16"/>
      <c r="F2978" s="16"/>
      <c r="G2978" s="16"/>
      <c r="H2978" s="16"/>
      <c r="I2978" s="16"/>
      <c r="J2978" s="16"/>
      <c r="K2978" s="16"/>
      <c r="L2978" s="16"/>
      <c r="M2978" s="16"/>
      <c r="N2978" s="16"/>
    </row>
    <row r="2979" spans="1:14" ht="12.75" customHeight="1" x14ac:dyDescent="0.3">
      <c r="A2979" s="18" t="s">
        <v>360</v>
      </c>
      <c r="B2979" s="19" t="str">
        <f>A2976</f>
        <v>TUBERÍA PVC 6" RDE 21 (INCLUYE INSTALACIÓN Y SUMINISTRO)</v>
      </c>
      <c r="C2979" s="20" t="s">
        <v>382</v>
      </c>
      <c r="D2979" s="21" t="s">
        <v>419</v>
      </c>
      <c r="E2979" s="22" t="s">
        <v>125</v>
      </c>
      <c r="F2979" s="26">
        <f>(H2979+J2979+L2979+N2979)*$O$2</f>
        <v>290743.66387957585</v>
      </c>
      <c r="G2979" s="22" t="s">
        <v>285</v>
      </c>
      <c r="H2979" s="26">
        <f>M2988</f>
        <v>200330.31733333334</v>
      </c>
      <c r="I2979" s="22" t="s">
        <v>383</v>
      </c>
      <c r="J2979" s="26">
        <f>M2997</f>
        <v>1110.4121372249999</v>
      </c>
      <c r="K2979" s="22" t="s">
        <v>287</v>
      </c>
      <c r="L2979" s="26">
        <f>M3006</f>
        <v>0</v>
      </c>
      <c r="M2979" s="22" t="s">
        <v>288</v>
      </c>
      <c r="N2979" s="26">
        <f>M3015</f>
        <v>22208.242744499999</v>
      </c>
    </row>
    <row r="2980" spans="1:14" ht="12.75" customHeight="1" x14ac:dyDescent="0.25">
      <c r="A2980" s="27"/>
      <c r="B2980" s="27"/>
      <c r="C2980" s="27"/>
      <c r="D2980" s="27"/>
      <c r="E2980" s="27"/>
      <c r="F2980" s="27"/>
      <c r="G2980" s="27"/>
      <c r="J2980" s="27"/>
      <c r="K2980" s="27"/>
      <c r="L2980" s="27"/>
      <c r="M2980" s="27"/>
      <c r="N2980" s="27"/>
    </row>
    <row r="2981" spans="1:14" ht="12.75" customHeight="1" x14ac:dyDescent="0.2">
      <c r="A2981" s="1065" t="s">
        <v>384</v>
      </c>
      <c r="B2981" s="1057"/>
      <c r="C2981" s="1057"/>
      <c r="D2981" s="1057"/>
      <c r="E2981" s="1057"/>
      <c r="F2981" s="1057"/>
      <c r="G2981" s="1057"/>
      <c r="H2981" s="1057"/>
      <c r="I2981" s="1057"/>
      <c r="J2981" s="1057"/>
      <c r="K2981" s="1057"/>
      <c r="L2981" s="1057"/>
      <c r="M2981" s="1057"/>
      <c r="N2981" s="1058"/>
    </row>
    <row r="2982" spans="1:14" ht="12.75" customHeight="1" x14ac:dyDescent="0.2">
      <c r="A2982" s="1066" t="s">
        <v>38</v>
      </c>
      <c r="B2982" s="1057"/>
      <c r="C2982" s="1057"/>
      <c r="D2982" s="1057"/>
      <c r="E2982" s="1057"/>
      <c r="F2982" s="1057"/>
      <c r="G2982" s="1058"/>
      <c r="H2982" s="28" t="s">
        <v>39</v>
      </c>
      <c r="I2982" s="1062" t="s">
        <v>385</v>
      </c>
      <c r="J2982" s="1058"/>
      <c r="K2982" s="1062" t="s">
        <v>132</v>
      </c>
      <c r="L2982" s="1058"/>
      <c r="M2982" s="1062" t="s">
        <v>386</v>
      </c>
      <c r="N2982" s="1058"/>
    </row>
    <row r="2983" spans="1:14" ht="12.75" customHeight="1" x14ac:dyDescent="0.2">
      <c r="A2983" s="1061" t="s">
        <v>1571</v>
      </c>
      <c r="B2983" s="1057"/>
      <c r="C2983" s="1057"/>
      <c r="D2983" s="1057"/>
      <c r="E2983" s="1057"/>
      <c r="F2983" s="1057"/>
      <c r="G2983" s="1058"/>
      <c r="H2983" s="9" t="str">
        <f>IF(A2983="","",VLOOKUP(A2983,AA_Materiales,7,FALSE))</f>
        <v>m</v>
      </c>
      <c r="I2983" s="1059">
        <f>IF(A2983="","",VLOOKUP(A2983,AA_Materiales,8,FALSE))</f>
        <v>199968.01733333335</v>
      </c>
      <c r="J2983" s="1058"/>
      <c r="K2983" s="1060">
        <v>1</v>
      </c>
      <c r="L2983" s="1058"/>
      <c r="M2983" s="1059">
        <f>IF(A2983="","",I2983*K2983)</f>
        <v>199968.01733333335</v>
      </c>
      <c r="N2983" s="1058"/>
    </row>
    <row r="2984" spans="1:14" ht="12.75" customHeight="1" x14ac:dyDescent="0.2">
      <c r="A2984" s="1061" t="s">
        <v>1603</v>
      </c>
      <c r="B2984" s="1057"/>
      <c r="C2984" s="1057"/>
      <c r="D2984" s="1057"/>
      <c r="E2984" s="1057"/>
      <c r="F2984" s="1057"/>
      <c r="G2984" s="1058"/>
      <c r="H2984" s="9" t="str">
        <f>IF(A2984="","",VLOOKUP(A2984,AA_Materiales,7,FALSE))</f>
        <v>(1/128) Galón</v>
      </c>
      <c r="I2984" s="1059">
        <f>IF(A2984="","",VLOOKUP(A2984,AA_Materiales,8,FALSE))</f>
        <v>8539</v>
      </c>
      <c r="J2984" s="1058"/>
      <c r="K2984" s="1060">
        <v>0.02</v>
      </c>
      <c r="L2984" s="1058"/>
      <c r="M2984" s="1059">
        <f t="shared" ref="M2984:M2985" si="218">IF(A2984="","",I2984*K2984)</f>
        <v>170.78</v>
      </c>
      <c r="N2984" s="1058"/>
    </row>
    <row r="2985" spans="1:14" ht="12.75" customHeight="1" x14ac:dyDescent="0.2">
      <c r="A2985" s="1061" t="s">
        <v>1604</v>
      </c>
      <c r="B2985" s="1057"/>
      <c r="C2985" s="1057"/>
      <c r="D2985" s="1057"/>
      <c r="E2985" s="1057"/>
      <c r="F2985" s="1057"/>
      <c r="G2985" s="1058"/>
      <c r="H2985" s="9" t="str">
        <f>IF(A2985="","",VLOOKUP(A2985,AA_Materiales,7,FALSE))</f>
        <v>28 gr (1/128)</v>
      </c>
      <c r="I2985" s="1059">
        <f>IF(A2985="","",VLOOKUP(A2985,AA_Materiales,8,FALSE))</f>
        <v>4788</v>
      </c>
      <c r="J2985" s="1058"/>
      <c r="K2985" s="1060">
        <v>0.04</v>
      </c>
      <c r="L2985" s="1058"/>
      <c r="M2985" s="1059">
        <f t="shared" si="218"/>
        <v>191.52</v>
      </c>
      <c r="N2985" s="1058"/>
    </row>
    <row r="2986" spans="1:14" ht="12.75" customHeight="1" x14ac:dyDescent="0.2">
      <c r="A2986" s="1061"/>
      <c r="B2986" s="1057"/>
      <c r="C2986" s="1057"/>
      <c r="D2986" s="1057"/>
      <c r="E2986" s="1057"/>
      <c r="F2986" s="1057"/>
      <c r="G2986" s="1058"/>
      <c r="H2986" s="9"/>
      <c r="I2986" s="1059"/>
      <c r="J2986" s="1058"/>
      <c r="K2986" s="1060"/>
      <c r="L2986" s="1058"/>
      <c r="M2986" s="1059"/>
      <c r="N2986" s="1058"/>
    </row>
    <row r="2987" spans="1:14" ht="12.75" customHeight="1" x14ac:dyDescent="0.2">
      <c r="A2987" s="1061"/>
      <c r="B2987" s="1057"/>
      <c r="C2987" s="1057"/>
      <c r="D2987" s="1057"/>
      <c r="E2987" s="1057"/>
      <c r="F2987" s="1057"/>
      <c r="G2987" s="1058"/>
      <c r="H2987" s="9" t="str">
        <f>IF(A2987="","",VLOOKUP(A2987,AA_Materiales,7,FALSE))</f>
        <v/>
      </c>
      <c r="I2987" s="1059" t="str">
        <f>IF(A2987="","",VLOOKUP(A2987,AA_Materiales,8,FALSE))</f>
        <v/>
      </c>
      <c r="J2987" s="1058"/>
      <c r="K2987" s="1060"/>
      <c r="L2987" s="1058"/>
      <c r="M2987" s="1059" t="str">
        <f>IF(A2987="","",I2987*K2987)</f>
        <v/>
      </c>
      <c r="N2987" s="1058"/>
    </row>
    <row r="2988" spans="1:14" ht="12.75" customHeight="1" x14ac:dyDescent="0.25">
      <c r="A2988" s="3"/>
      <c r="B2988" s="3"/>
      <c r="C2988" s="3"/>
      <c r="D2988" s="3"/>
      <c r="E2988" s="3"/>
      <c r="F2988" s="3"/>
      <c r="G2988" s="3"/>
      <c r="H2988" s="3"/>
      <c r="I2988" s="3"/>
      <c r="J2988" s="3"/>
      <c r="K2988" s="1066" t="s">
        <v>201</v>
      </c>
      <c r="L2988" s="1058"/>
      <c r="M2988" s="1059">
        <f>SUM(M2983:N2987)</f>
        <v>200330.31733333334</v>
      </c>
      <c r="N2988" s="1058"/>
    </row>
    <row r="2989" spans="1:14" ht="12.75" customHeight="1" x14ac:dyDescent="0.25">
      <c r="A2989" s="3"/>
      <c r="B2989" s="3"/>
      <c r="C2989" s="3"/>
      <c r="D2989" s="3"/>
      <c r="E2989" s="3"/>
      <c r="F2989" s="3"/>
      <c r="G2989" s="3"/>
      <c r="H2989" s="3"/>
      <c r="I2989" s="3"/>
      <c r="J2989" s="3"/>
      <c r="K2989" s="3"/>
      <c r="L2989" s="3"/>
      <c r="M2989" s="3"/>
      <c r="N2989" s="3"/>
    </row>
    <row r="2990" spans="1:14" ht="12.75" customHeight="1" x14ac:dyDescent="0.2">
      <c r="A2990" s="1065" t="s">
        <v>390</v>
      </c>
      <c r="B2990" s="1057"/>
      <c r="C2990" s="1057"/>
      <c r="D2990" s="1057"/>
      <c r="E2990" s="1057"/>
      <c r="F2990" s="1057"/>
      <c r="G2990" s="1057"/>
      <c r="H2990" s="1057"/>
      <c r="I2990" s="1057"/>
      <c r="J2990" s="1057"/>
      <c r="K2990" s="1057"/>
      <c r="L2990" s="1057"/>
      <c r="M2990" s="1057"/>
      <c r="N2990" s="1058"/>
    </row>
    <row r="2991" spans="1:14" ht="12.75" customHeight="1" x14ac:dyDescent="0.2">
      <c r="A2991" s="1066" t="s">
        <v>38</v>
      </c>
      <c r="B2991" s="1057"/>
      <c r="C2991" s="1057"/>
      <c r="D2991" s="1057"/>
      <c r="E2991" s="1057"/>
      <c r="F2991" s="1057"/>
      <c r="G2991" s="1058"/>
      <c r="H2991" s="28" t="s">
        <v>39</v>
      </c>
      <c r="I2991" s="1062" t="s">
        <v>385</v>
      </c>
      <c r="J2991" s="1058"/>
      <c r="K2991" s="1062" t="s">
        <v>132</v>
      </c>
      <c r="L2991" s="1058"/>
      <c r="M2991" s="1062" t="s">
        <v>386</v>
      </c>
      <c r="N2991" s="1058"/>
    </row>
    <row r="2992" spans="1:14" ht="12.75" customHeight="1" x14ac:dyDescent="0.2">
      <c r="A2992" s="1061" t="s">
        <v>391</v>
      </c>
      <c r="B2992" s="1057"/>
      <c r="C2992" s="1057"/>
      <c r="D2992" s="1057"/>
      <c r="E2992" s="1057"/>
      <c r="F2992" s="1057"/>
      <c r="G2992" s="1058"/>
      <c r="H2992" s="9" t="str">
        <f>IF(A2992="","",VLOOKUP(A2992,AA_Equipos,7,FALSE))</f>
        <v>% M.O.</v>
      </c>
      <c r="I2992" s="1059">
        <f>M3015</f>
        <v>22208.242744499999</v>
      </c>
      <c r="J2992" s="1058"/>
      <c r="K2992" s="1064">
        <v>0.05</v>
      </c>
      <c r="L2992" s="1058"/>
      <c r="M2992" s="1059">
        <f>IF(A2992="","",I2992*K2992)</f>
        <v>1110.4121372249999</v>
      </c>
      <c r="N2992" s="1058"/>
    </row>
    <row r="2993" spans="1:15" ht="12.75" customHeight="1" x14ac:dyDescent="0.2">
      <c r="A2993" s="1056"/>
      <c r="B2993" s="1057"/>
      <c r="C2993" s="1057"/>
      <c r="D2993" s="1057"/>
      <c r="E2993" s="1057"/>
      <c r="F2993" s="1057"/>
      <c r="G2993" s="1058"/>
      <c r="H2993" s="9" t="str">
        <f>IF(A2993="","",VLOOKUP(A2993,AA_Equipos,7,FALSE))</f>
        <v/>
      </c>
      <c r="I2993" s="1059" t="str">
        <f>IF(A2993="","",VLOOKUP(A2993,AA_Equipos,8,FALSE))</f>
        <v/>
      </c>
      <c r="J2993" s="1058"/>
      <c r="K2993" s="1067"/>
      <c r="L2993" s="1058"/>
      <c r="M2993" s="1059" t="str">
        <f>IF(A2993="","",I2993*K2993)</f>
        <v/>
      </c>
      <c r="N2993" s="1058"/>
    </row>
    <row r="2994" spans="1:15" ht="12.75" customHeight="1" x14ac:dyDescent="0.2">
      <c r="A2994" s="1061"/>
      <c r="B2994" s="1057"/>
      <c r="C2994" s="1057"/>
      <c r="D2994" s="1057"/>
      <c r="E2994" s="1057"/>
      <c r="F2994" s="1057"/>
      <c r="G2994" s="1058"/>
      <c r="H2994" s="9" t="str">
        <f>IF(A2994="","",VLOOKUP(A2994,AA_Equipos,7,FALSE))</f>
        <v/>
      </c>
      <c r="I2994" s="1059" t="str">
        <f>IF(A2994="","",VLOOKUP(A2994,AA_Equipos,8,FALSE))</f>
        <v/>
      </c>
      <c r="J2994" s="1058"/>
      <c r="K2994" s="1060"/>
      <c r="L2994" s="1058"/>
      <c r="M2994" s="1059" t="str">
        <f>IF(A2994="","",I2994*K2994)</f>
        <v/>
      </c>
      <c r="N2994" s="1058"/>
    </row>
    <row r="2995" spans="1:15" ht="12.75" customHeight="1" x14ac:dyDescent="0.2">
      <c r="A2995" s="1061"/>
      <c r="B2995" s="1057"/>
      <c r="C2995" s="1057"/>
      <c r="D2995" s="1057"/>
      <c r="E2995" s="1057"/>
      <c r="F2995" s="1057"/>
      <c r="G2995" s="1058"/>
      <c r="H2995" s="9" t="str">
        <f>IF(A2995="","",VLOOKUP(A2995,AA_Equipos,7,FALSE))</f>
        <v/>
      </c>
      <c r="I2995" s="1059" t="str">
        <f>IF(A2995="","",VLOOKUP(A2995,AA_Equipos,8,FALSE))</f>
        <v/>
      </c>
      <c r="J2995" s="1058"/>
      <c r="K2995" s="1060"/>
      <c r="L2995" s="1058"/>
      <c r="M2995" s="1059" t="str">
        <f>IF(A2995="","",I2995*K2995)</f>
        <v/>
      </c>
      <c r="N2995" s="1058"/>
    </row>
    <row r="2996" spans="1:15" ht="12.75" customHeight="1" x14ac:dyDescent="0.2">
      <c r="A2996" s="1061"/>
      <c r="B2996" s="1057"/>
      <c r="C2996" s="1057"/>
      <c r="D2996" s="1057"/>
      <c r="E2996" s="1057"/>
      <c r="F2996" s="1057"/>
      <c r="G2996" s="1058"/>
      <c r="H2996" s="9" t="str">
        <f>IF(A2996="","",VLOOKUP(A2996,AA_Equipos,7,FALSE))</f>
        <v/>
      </c>
      <c r="I2996" s="1059" t="str">
        <f>IF(A2996="","",VLOOKUP(A2996,AA_Equipos,8,FALSE))</f>
        <v/>
      </c>
      <c r="J2996" s="1058"/>
      <c r="K2996" s="1060"/>
      <c r="L2996" s="1058"/>
      <c r="M2996" s="1059" t="str">
        <f>IF(A2996="","",I2996*K2996)</f>
        <v/>
      </c>
      <c r="N2996" s="1058"/>
      <c r="O2996" s="7"/>
    </row>
    <row r="2997" spans="1:15" ht="12.75" customHeight="1" x14ac:dyDescent="0.25">
      <c r="A2997" s="3"/>
      <c r="B2997" s="3"/>
      <c r="C2997" s="3"/>
      <c r="D2997" s="3"/>
      <c r="E2997" s="3"/>
      <c r="F2997" s="3"/>
      <c r="G2997" s="3"/>
      <c r="H2997" s="3"/>
      <c r="I2997" s="3"/>
      <c r="J2997" s="3"/>
      <c r="K2997" s="1066" t="s">
        <v>201</v>
      </c>
      <c r="L2997" s="1058"/>
      <c r="M2997" s="1059">
        <f>SUM(M2992:N2996)</f>
        <v>1110.4121372249999</v>
      </c>
      <c r="N2997" s="1058"/>
      <c r="O2997" s="7"/>
    </row>
    <row r="2998" spans="1:15" ht="12.75" customHeight="1" x14ac:dyDescent="0.25">
      <c r="A2998" s="3"/>
      <c r="B2998" s="3"/>
      <c r="C2998" s="3"/>
      <c r="D2998" s="3"/>
      <c r="E2998" s="3"/>
      <c r="F2998" s="3"/>
      <c r="G2998" s="3"/>
      <c r="H2998" s="3"/>
      <c r="I2998" s="3"/>
      <c r="J2998" s="3"/>
      <c r="K2998" s="3"/>
      <c r="L2998" s="3"/>
      <c r="M2998" s="3"/>
      <c r="N2998" s="3"/>
    </row>
    <row r="2999" spans="1:15" ht="12.75" customHeight="1" x14ac:dyDescent="0.2">
      <c r="A2999" s="1065" t="s">
        <v>392</v>
      </c>
      <c r="B2999" s="1057"/>
      <c r="C2999" s="1057"/>
      <c r="D2999" s="1057"/>
      <c r="E2999" s="1057"/>
      <c r="F2999" s="1057"/>
      <c r="G2999" s="1057"/>
      <c r="H2999" s="1057"/>
      <c r="I2999" s="1057"/>
      <c r="J2999" s="1057"/>
      <c r="K2999" s="1057"/>
      <c r="L2999" s="1057"/>
      <c r="M2999" s="1057"/>
      <c r="N2999" s="1058"/>
    </row>
    <row r="3000" spans="1:15" ht="12.75" customHeight="1" x14ac:dyDescent="0.2">
      <c r="A3000" s="1066" t="s">
        <v>38</v>
      </c>
      <c r="B3000" s="1057"/>
      <c r="C3000" s="1057"/>
      <c r="D3000" s="1057"/>
      <c r="E3000" s="1057"/>
      <c r="F3000" s="1057"/>
      <c r="G3000" s="1058"/>
      <c r="H3000" s="28" t="s">
        <v>39</v>
      </c>
      <c r="I3000" s="1062" t="s">
        <v>385</v>
      </c>
      <c r="J3000" s="1058"/>
      <c r="K3000" s="1062" t="s">
        <v>132</v>
      </c>
      <c r="L3000" s="1058"/>
      <c r="M3000" s="1062" t="s">
        <v>386</v>
      </c>
      <c r="N3000" s="1058"/>
    </row>
    <row r="3001" spans="1:15" ht="12.75" customHeight="1" x14ac:dyDescent="0.2">
      <c r="A3001" s="1056"/>
      <c r="B3001" s="1057"/>
      <c r="C3001" s="1057"/>
      <c r="D3001" s="1057"/>
      <c r="E3001" s="1057"/>
      <c r="F3001" s="1057"/>
      <c r="G3001" s="1058"/>
      <c r="H3001" s="9"/>
      <c r="I3001" s="1059"/>
      <c r="J3001" s="1058"/>
      <c r="K3001" s="1064"/>
      <c r="L3001" s="1058"/>
      <c r="M3001" s="1059"/>
      <c r="N3001" s="1058"/>
    </row>
    <row r="3002" spans="1:15" ht="12.75" customHeight="1" x14ac:dyDescent="0.2">
      <c r="A3002" s="1056"/>
      <c r="B3002" s="1057"/>
      <c r="C3002" s="1057"/>
      <c r="D3002" s="1057"/>
      <c r="E3002" s="1057"/>
      <c r="F3002" s="1057"/>
      <c r="G3002" s="1058"/>
      <c r="H3002" s="9"/>
      <c r="I3002" s="1059"/>
      <c r="J3002" s="1058"/>
      <c r="K3002" s="1064"/>
      <c r="L3002" s="1058"/>
      <c r="M3002" s="1059" t="str">
        <f>IF(A3002="","",I3002*K3002)</f>
        <v/>
      </c>
      <c r="N3002" s="1058"/>
    </row>
    <row r="3003" spans="1:15" ht="12.75" customHeight="1" x14ac:dyDescent="0.2">
      <c r="A3003" s="1061"/>
      <c r="B3003" s="1057"/>
      <c r="C3003" s="1057"/>
      <c r="D3003" s="1057"/>
      <c r="E3003" s="1057"/>
      <c r="F3003" s="1057"/>
      <c r="G3003" s="1058"/>
      <c r="H3003" s="9"/>
      <c r="I3003" s="1059"/>
      <c r="J3003" s="1058"/>
      <c r="K3003" s="1060"/>
      <c r="L3003" s="1058"/>
      <c r="M3003" s="1059" t="str">
        <f>IF(A3003="","",I3003*K3003)</f>
        <v/>
      </c>
      <c r="N3003" s="1058"/>
    </row>
    <row r="3004" spans="1:15" ht="12.75" customHeight="1" x14ac:dyDescent="0.2">
      <c r="A3004" s="1061"/>
      <c r="B3004" s="1057"/>
      <c r="C3004" s="1057"/>
      <c r="D3004" s="1057"/>
      <c r="E3004" s="1057"/>
      <c r="F3004" s="1057"/>
      <c r="G3004" s="1058"/>
      <c r="H3004" s="9"/>
      <c r="I3004" s="1059"/>
      <c r="J3004" s="1058"/>
      <c r="K3004" s="1060"/>
      <c r="L3004" s="1058"/>
      <c r="M3004" s="1059" t="str">
        <f>IF(A3004="","",I3004*K3004)</f>
        <v/>
      </c>
      <c r="N3004" s="1058"/>
    </row>
    <row r="3005" spans="1:15" ht="12.75" customHeight="1" x14ac:dyDescent="0.2">
      <c r="A3005" s="1061"/>
      <c r="B3005" s="1057"/>
      <c r="C3005" s="1057"/>
      <c r="D3005" s="1057"/>
      <c r="E3005" s="1057"/>
      <c r="F3005" s="1057"/>
      <c r="G3005" s="1058"/>
      <c r="H3005" s="9"/>
      <c r="I3005" s="1059"/>
      <c r="J3005" s="1058"/>
      <c r="K3005" s="1060"/>
      <c r="L3005" s="1058"/>
      <c r="M3005" s="1059" t="str">
        <f>IF(A3005="","",I3005*K3005)</f>
        <v/>
      </c>
      <c r="N3005" s="1058"/>
      <c r="O3005" s="7"/>
    </row>
    <row r="3006" spans="1:15" ht="12.75" customHeight="1" x14ac:dyDescent="0.25">
      <c r="A3006" s="3"/>
      <c r="B3006" s="3"/>
      <c r="C3006" s="3"/>
      <c r="D3006" s="3"/>
      <c r="E3006" s="3"/>
      <c r="F3006" s="3"/>
      <c r="G3006" s="3"/>
      <c r="H3006" s="3"/>
      <c r="I3006" s="3"/>
      <c r="J3006" s="3"/>
      <c r="K3006" s="1066" t="s">
        <v>201</v>
      </c>
      <c r="L3006" s="1058"/>
      <c r="M3006" s="1059">
        <f>SUM(M3001:N3005)</f>
        <v>0</v>
      </c>
      <c r="N3006" s="1058"/>
    </row>
    <row r="3007" spans="1:15" ht="12.75" customHeight="1" x14ac:dyDescent="0.25">
      <c r="A3007" s="3"/>
      <c r="B3007" s="3"/>
      <c r="C3007" s="3"/>
      <c r="D3007" s="3"/>
      <c r="E3007" s="3"/>
      <c r="F3007" s="3"/>
      <c r="G3007" s="3"/>
      <c r="H3007" s="3"/>
      <c r="I3007" s="3"/>
      <c r="J3007" s="3"/>
      <c r="K3007" s="3"/>
      <c r="L3007" s="3"/>
      <c r="M3007" s="3"/>
      <c r="N3007" s="3"/>
    </row>
    <row r="3008" spans="1:15" ht="12.75" customHeight="1" x14ac:dyDescent="0.2">
      <c r="A3008" s="1065" t="s">
        <v>394</v>
      </c>
      <c r="B3008" s="1057"/>
      <c r="C3008" s="1057"/>
      <c r="D3008" s="1057"/>
      <c r="E3008" s="1057"/>
      <c r="F3008" s="1057"/>
      <c r="G3008" s="1057"/>
      <c r="H3008" s="1057"/>
      <c r="I3008" s="1057"/>
      <c r="J3008" s="1057"/>
      <c r="K3008" s="1057"/>
      <c r="L3008" s="1057"/>
      <c r="M3008" s="1057"/>
      <c r="N3008" s="1058"/>
    </row>
    <row r="3009" spans="1:14" ht="12.75" customHeight="1" x14ac:dyDescent="0.2">
      <c r="A3009" s="1066" t="s">
        <v>38</v>
      </c>
      <c r="B3009" s="1057"/>
      <c r="C3009" s="1057"/>
      <c r="D3009" s="1057"/>
      <c r="E3009" s="1057"/>
      <c r="F3009" s="1057"/>
      <c r="G3009" s="1058"/>
      <c r="H3009" s="28" t="s">
        <v>39</v>
      </c>
      <c r="I3009" s="1062" t="s">
        <v>385</v>
      </c>
      <c r="J3009" s="1058"/>
      <c r="K3009" s="30" t="s">
        <v>193</v>
      </c>
      <c r="L3009" s="31" t="s">
        <v>395</v>
      </c>
      <c r="M3009" s="1062" t="s">
        <v>386</v>
      </c>
      <c r="N3009" s="1058"/>
    </row>
    <row r="3010" spans="1:14" ht="12.75" customHeight="1" x14ac:dyDescent="0.25">
      <c r="A3010" s="1063" t="s">
        <v>418</v>
      </c>
      <c r="B3010" s="1057"/>
      <c r="C3010" s="1057"/>
      <c r="D3010" s="1057"/>
      <c r="E3010" s="1057"/>
      <c r="F3010" s="1057"/>
      <c r="G3010" s="1058"/>
      <c r="H3010" s="9" t="str">
        <f>IF(A3010="","",VLOOKUP(A3010,AA_Cuadrillas,4,FALSE))</f>
        <v>Cuadrilla</v>
      </c>
      <c r="I3010" s="1059">
        <f>IF(A3010="","",VLOOKUP(A3010,AA_Cuadrillas,5,FALSE))</f>
        <v>280145</v>
      </c>
      <c r="J3010" s="1058"/>
      <c r="K3010" s="1">
        <f>IF(A3010="","",'06'!$J$3)</f>
        <v>1.7233500000000002</v>
      </c>
      <c r="L3010" s="32">
        <v>4.5999999999999999E-2</v>
      </c>
      <c r="M3010" s="1059">
        <f>IF(A3010="","",I3010*K3010*L3010)</f>
        <v>22208.242744499999</v>
      </c>
      <c r="N3010" s="1058"/>
    </row>
    <row r="3011" spans="1:14" ht="12.75" customHeight="1" x14ac:dyDescent="0.25">
      <c r="A3011" s="1063"/>
      <c r="B3011" s="1057"/>
      <c r="C3011" s="1057"/>
      <c r="D3011" s="1057"/>
      <c r="E3011" s="1057"/>
      <c r="F3011" s="1057"/>
      <c r="G3011" s="1058"/>
      <c r="H3011" s="9" t="str">
        <f>IF(A3011="","",VLOOKUP(A3011,AA_Cuadrillas,4,FALSE))</f>
        <v/>
      </c>
      <c r="I3011" s="1059" t="str">
        <f>IF(A3011="","",VLOOKUP(A3011,AA_Cuadrillas,5,FALSE))</f>
        <v/>
      </c>
      <c r="J3011" s="1058"/>
      <c r="K3011" s="1" t="str">
        <f>IF(A3011="","",'06'!$J$3)</f>
        <v/>
      </c>
      <c r="L3011" s="1"/>
      <c r="M3011" s="1059" t="str">
        <f>IF(A3011="","",I3011*K3011*L3011)</f>
        <v/>
      </c>
      <c r="N3011" s="1058"/>
    </row>
    <row r="3012" spans="1:14" ht="12.75" customHeight="1" x14ac:dyDescent="0.25">
      <c r="A3012" s="1063"/>
      <c r="B3012" s="1057"/>
      <c r="C3012" s="1057"/>
      <c r="D3012" s="1057"/>
      <c r="E3012" s="1057"/>
      <c r="F3012" s="1057"/>
      <c r="G3012" s="1058"/>
      <c r="H3012" s="9" t="str">
        <f>IF(A3012="","",VLOOKUP(A3012,AA_Cuadrillas,4,FALSE))</f>
        <v/>
      </c>
      <c r="I3012" s="1059" t="str">
        <f>IF(A3012="","",VLOOKUP(A3012,AA_Cuadrillas,5,FALSE))</f>
        <v/>
      </c>
      <c r="J3012" s="1058"/>
      <c r="K3012" s="1" t="str">
        <f>IF(A3012="","",'06'!$J$3)</f>
        <v/>
      </c>
      <c r="L3012" s="10"/>
      <c r="M3012" s="1059" t="str">
        <f>IF(A3012="","",I3012*K3012*L3012)</f>
        <v/>
      </c>
      <c r="N3012" s="1058"/>
    </row>
    <row r="3013" spans="1:14" ht="12.75" customHeight="1" x14ac:dyDescent="0.25">
      <c r="A3013" s="1063"/>
      <c r="B3013" s="1057"/>
      <c r="C3013" s="1057"/>
      <c r="D3013" s="1057"/>
      <c r="E3013" s="1057"/>
      <c r="F3013" s="1057"/>
      <c r="G3013" s="1058"/>
      <c r="H3013" s="9" t="str">
        <f>IF(A3013="","",VLOOKUP(A3013,AA_Cuadrillas,4,FALSE))</f>
        <v/>
      </c>
      <c r="I3013" s="1059" t="str">
        <f>IF(A3013="","",VLOOKUP(A3013,AA_Cuadrillas,5,FALSE))</f>
        <v/>
      </c>
      <c r="J3013" s="1058"/>
      <c r="K3013" s="1" t="str">
        <f>IF(A3013="","",'06'!$J$3)</f>
        <v/>
      </c>
      <c r="L3013" s="10"/>
      <c r="M3013" s="1059" t="str">
        <f>IF(A3013="","",I3013*K3013*L3013)</f>
        <v/>
      </c>
      <c r="N3013" s="1058"/>
    </row>
    <row r="3014" spans="1:14" ht="12.75" customHeight="1" x14ac:dyDescent="0.25">
      <c r="A3014" s="1063"/>
      <c r="B3014" s="1057"/>
      <c r="C3014" s="1057"/>
      <c r="D3014" s="1057"/>
      <c r="E3014" s="1057"/>
      <c r="F3014" s="1057"/>
      <c r="G3014" s="1058"/>
      <c r="H3014" s="9" t="str">
        <f>IF(A3014="","",VLOOKUP(A3014,AA_Cuadrillas,4,FALSE))</f>
        <v/>
      </c>
      <c r="I3014" s="1059" t="str">
        <f>IF(A3014="","",VLOOKUP(A3014,AA_Cuadrillas,5,FALSE))</f>
        <v/>
      </c>
      <c r="J3014" s="1058"/>
      <c r="K3014" s="1" t="str">
        <f>IF(A3014="","",'06'!$J$3)</f>
        <v/>
      </c>
      <c r="L3014" s="10"/>
      <c r="M3014" s="1059" t="str">
        <f>IF(A3014="","",I3014*K3014*L3014)</f>
        <v/>
      </c>
      <c r="N3014" s="1058"/>
    </row>
    <row r="3015" spans="1:14" ht="12.75" customHeight="1" x14ac:dyDescent="0.25">
      <c r="A3015" s="3"/>
      <c r="B3015" s="3"/>
      <c r="C3015" s="3"/>
      <c r="D3015" s="3"/>
      <c r="E3015" s="3"/>
      <c r="F3015" s="3"/>
      <c r="G3015" s="3"/>
      <c r="H3015" s="3"/>
      <c r="I3015" s="3"/>
      <c r="J3015" s="3"/>
      <c r="K3015" s="1066" t="s">
        <v>201</v>
      </c>
      <c r="L3015" s="1058"/>
      <c r="M3015" s="1059">
        <f>SUM(M3010:N3014)</f>
        <v>22208.242744499999</v>
      </c>
      <c r="N3015" s="1058"/>
    </row>
    <row r="3016" spans="1:14" ht="12.75" customHeight="1" x14ac:dyDescent="0.2"/>
    <row r="3017" spans="1:14" ht="12.75" customHeight="1" x14ac:dyDescent="0.2">
      <c r="A3017" s="1068" t="s">
        <v>1736</v>
      </c>
      <c r="B3017" s="1052"/>
      <c r="C3017" s="1052"/>
      <c r="D3017" s="1052"/>
      <c r="E3017" s="1052"/>
      <c r="F3017" s="1052"/>
      <c r="G3017" s="1052"/>
      <c r="H3017" s="1052"/>
      <c r="I3017" s="1052"/>
      <c r="J3017" s="1052"/>
      <c r="K3017" s="1052"/>
      <c r="L3017" s="1052"/>
      <c r="M3017" s="1052"/>
      <c r="N3017" s="1053"/>
    </row>
    <row r="3018" spans="1:14" ht="12.75" customHeight="1" x14ac:dyDescent="0.2">
      <c r="A3018" s="1031"/>
      <c r="B3018" s="1032"/>
      <c r="C3018" s="1032"/>
      <c r="D3018" s="1032"/>
      <c r="E3018" s="1032"/>
      <c r="F3018" s="1032"/>
      <c r="G3018" s="1032"/>
      <c r="H3018" s="1032"/>
      <c r="I3018" s="1032"/>
      <c r="J3018" s="1032"/>
      <c r="K3018" s="1032"/>
      <c r="L3018" s="1032"/>
      <c r="M3018" s="1032"/>
      <c r="N3018" s="1055"/>
    </row>
    <row r="3019" spans="1:14" ht="12.75" customHeight="1" x14ac:dyDescent="0.2">
      <c r="A3019" s="16"/>
      <c r="B3019" s="16"/>
      <c r="C3019" s="16"/>
      <c r="D3019" s="16"/>
      <c r="E3019" s="16"/>
      <c r="F3019" s="16"/>
      <c r="G3019" s="16"/>
      <c r="H3019" s="16"/>
      <c r="I3019" s="16"/>
      <c r="J3019" s="16"/>
      <c r="K3019" s="16"/>
      <c r="L3019" s="16"/>
      <c r="M3019" s="16"/>
      <c r="N3019" s="16"/>
    </row>
    <row r="3020" spans="1:14" ht="12.75" customHeight="1" x14ac:dyDescent="0.3">
      <c r="A3020" s="18" t="s">
        <v>361</v>
      </c>
      <c r="B3020" s="19" t="str">
        <f>A3017</f>
        <v>MANGUERA 1" (INCLUYE INSTALACION Y SUMINISTRO)</v>
      </c>
      <c r="C3020" s="20" t="s">
        <v>382</v>
      </c>
      <c r="D3020" s="127" t="s">
        <v>424</v>
      </c>
      <c r="E3020" s="22" t="s">
        <v>125</v>
      </c>
      <c r="F3020" s="26">
        <f>(H3020+J3020+L3020+N3020)*$O$2</f>
        <v>9706.7031156533758</v>
      </c>
      <c r="G3020" s="22" t="s">
        <v>285</v>
      </c>
      <c r="H3020" s="26">
        <f>M3037</f>
        <v>224.49636687375002</v>
      </c>
      <c r="I3020" s="22" t="s">
        <v>383</v>
      </c>
      <c r="J3020" s="26">
        <f>M3028</f>
        <v>2752.2710000000002</v>
      </c>
      <c r="K3020" s="22" t="s">
        <v>287</v>
      </c>
      <c r="L3020" s="26">
        <f>M3046</f>
        <v>0</v>
      </c>
      <c r="M3020" s="22" t="s">
        <v>288</v>
      </c>
      <c r="N3020" s="26">
        <f>M3055</f>
        <v>4489.9273374750001</v>
      </c>
    </row>
    <row r="3021" spans="1:14" ht="12.75" customHeight="1" x14ac:dyDescent="0.25">
      <c r="A3021" s="27"/>
      <c r="B3021" s="27"/>
      <c r="C3021" s="27"/>
      <c r="D3021" s="27"/>
      <c r="E3021" s="27"/>
      <c r="F3021" s="27"/>
      <c r="G3021" s="27"/>
      <c r="J3021" s="27"/>
      <c r="K3021" s="27"/>
      <c r="L3021" s="27"/>
      <c r="M3021" s="27"/>
      <c r="N3021" s="27"/>
    </row>
    <row r="3022" spans="1:14" ht="12.75" customHeight="1" x14ac:dyDescent="0.2">
      <c r="A3022" s="1065" t="s">
        <v>384</v>
      </c>
      <c r="B3022" s="1057"/>
      <c r="C3022" s="1057"/>
      <c r="D3022" s="1057"/>
      <c r="E3022" s="1057"/>
      <c r="F3022" s="1057"/>
      <c r="G3022" s="1057"/>
      <c r="H3022" s="1057"/>
      <c r="I3022" s="1057"/>
      <c r="J3022" s="1057"/>
      <c r="K3022" s="1057"/>
      <c r="L3022" s="1057"/>
      <c r="M3022" s="1057"/>
      <c r="N3022" s="1058"/>
    </row>
    <row r="3023" spans="1:14" ht="12.75" customHeight="1" x14ac:dyDescent="0.2">
      <c r="A3023" s="1066" t="s">
        <v>38</v>
      </c>
      <c r="B3023" s="1057"/>
      <c r="C3023" s="1057"/>
      <c r="D3023" s="1057"/>
      <c r="E3023" s="1057"/>
      <c r="F3023" s="1057"/>
      <c r="G3023" s="1058"/>
      <c r="H3023" s="28" t="s">
        <v>39</v>
      </c>
      <c r="I3023" s="1062" t="s">
        <v>385</v>
      </c>
      <c r="J3023" s="1058"/>
      <c r="K3023" s="1062" t="s">
        <v>132</v>
      </c>
      <c r="L3023" s="1058"/>
      <c r="M3023" s="1062" t="s">
        <v>386</v>
      </c>
      <c r="N3023" s="1058"/>
    </row>
    <row r="3024" spans="1:14" ht="12.75" customHeight="1" x14ac:dyDescent="0.2">
      <c r="A3024" s="1061" t="s">
        <v>1572</v>
      </c>
      <c r="B3024" s="1057"/>
      <c r="C3024" s="1057"/>
      <c r="D3024" s="1057"/>
      <c r="E3024" s="1057"/>
      <c r="F3024" s="1057"/>
      <c r="G3024" s="1058"/>
      <c r="H3024" s="9" t="str">
        <f>IF(A3024="","",VLOOKUP(A3024,AA_Materiales,7,FALSE))</f>
        <v>m</v>
      </c>
      <c r="I3024" s="1059">
        <f>IF(A3024="","",VLOOKUP(A3024,AA_Materiales,8,FALSE))</f>
        <v>2700</v>
      </c>
      <c r="J3024" s="1058"/>
      <c r="K3024" s="1060">
        <v>1</v>
      </c>
      <c r="L3024" s="1058"/>
      <c r="M3024" s="1059">
        <f>IF(A3024="","",I3024*K3024)</f>
        <v>2700</v>
      </c>
      <c r="N3024" s="1058"/>
    </row>
    <row r="3025" spans="1:15" ht="12.75" customHeight="1" x14ac:dyDescent="0.2">
      <c r="A3025" s="1061" t="s">
        <v>1603</v>
      </c>
      <c r="B3025" s="1057"/>
      <c r="C3025" s="1057"/>
      <c r="D3025" s="1057"/>
      <c r="E3025" s="1057"/>
      <c r="F3025" s="1057"/>
      <c r="G3025" s="1058"/>
      <c r="H3025" s="9" t="str">
        <f>IF(A3025="","",VLOOKUP(A3025,AA_Materiales,7,FALSE))</f>
        <v>(1/128) Galón</v>
      </c>
      <c r="I3025" s="1059">
        <f>IF(A3025="","",VLOOKUP(A3025,AA_Materiales,8,FALSE))</f>
        <v>8539</v>
      </c>
      <c r="J3025" s="1058"/>
      <c r="K3025" s="1070">
        <v>5.0000000000000001E-3</v>
      </c>
      <c r="L3025" s="1071"/>
      <c r="M3025" s="1059">
        <f>IF(A3025="","",I3025*K3025)</f>
        <v>42.695</v>
      </c>
      <c r="N3025" s="1058"/>
    </row>
    <row r="3026" spans="1:15" ht="12.75" customHeight="1" x14ac:dyDescent="0.2">
      <c r="A3026" s="1061" t="s">
        <v>1604</v>
      </c>
      <c r="B3026" s="1057"/>
      <c r="C3026" s="1057"/>
      <c r="D3026" s="1057"/>
      <c r="E3026" s="1057"/>
      <c r="F3026" s="1057"/>
      <c r="G3026" s="1058"/>
      <c r="H3026" s="9" t="str">
        <f>IF(A3026="","",VLOOKUP(A3026,AA_Materiales,7,FALSE))</f>
        <v>28 gr (1/128)</v>
      </c>
      <c r="I3026" s="1059">
        <f>IF(A3026="","",VLOOKUP(A3026,AA_Materiales,8,FALSE))</f>
        <v>4788</v>
      </c>
      <c r="J3026" s="1058"/>
      <c r="K3026" s="1070">
        <v>2E-3</v>
      </c>
      <c r="L3026" s="1071"/>
      <c r="M3026" s="1059">
        <f>IF(A3026="","",I3026*K3026)</f>
        <v>9.5760000000000005</v>
      </c>
      <c r="N3026" s="1058"/>
    </row>
    <row r="3027" spans="1:15" ht="12.75" customHeight="1" x14ac:dyDescent="0.2">
      <c r="A3027" s="1061"/>
      <c r="B3027" s="1057"/>
      <c r="C3027" s="1057"/>
      <c r="D3027" s="1057"/>
      <c r="E3027" s="1057"/>
      <c r="F3027" s="1057"/>
      <c r="G3027" s="1058"/>
      <c r="H3027" s="9" t="str">
        <f>IF(A3027="","",VLOOKUP(A3027,AA_Materiales,7,FALSE))</f>
        <v/>
      </c>
      <c r="I3027" s="1059" t="str">
        <f>IF(A3027="","",VLOOKUP(A3027,AA_Materiales,8,FALSE))</f>
        <v/>
      </c>
      <c r="J3027" s="1058"/>
      <c r="K3027" s="1060"/>
      <c r="L3027" s="1058"/>
      <c r="M3027" s="1059" t="str">
        <f>IF(A3027="","",I3027*K3027)</f>
        <v/>
      </c>
      <c r="N3027" s="1058"/>
    </row>
    <row r="3028" spans="1:15" ht="12.75" customHeight="1" x14ac:dyDescent="0.25">
      <c r="A3028" s="3"/>
      <c r="B3028" s="3"/>
      <c r="C3028" s="3"/>
      <c r="D3028" s="3"/>
      <c r="E3028" s="3"/>
      <c r="F3028" s="3"/>
      <c r="G3028" s="3"/>
      <c r="H3028" s="3"/>
      <c r="I3028" s="3"/>
      <c r="J3028" s="3"/>
      <c r="K3028" s="1066" t="s">
        <v>201</v>
      </c>
      <c r="L3028" s="1058"/>
      <c r="M3028" s="1059">
        <f>SUM(M3024:N3027)</f>
        <v>2752.2710000000002</v>
      </c>
      <c r="N3028" s="1058"/>
    </row>
    <row r="3029" spans="1:15" ht="12.75" customHeight="1" x14ac:dyDescent="0.25">
      <c r="A3029" s="3"/>
      <c r="B3029" s="3"/>
      <c r="C3029" s="3"/>
      <c r="D3029" s="3"/>
      <c r="E3029" s="3"/>
      <c r="F3029" s="3"/>
      <c r="G3029" s="3"/>
      <c r="H3029" s="3"/>
      <c r="I3029" s="3"/>
      <c r="J3029" s="3"/>
      <c r="K3029" s="3"/>
      <c r="L3029" s="3"/>
      <c r="M3029" s="3"/>
      <c r="N3029" s="3"/>
    </row>
    <row r="3030" spans="1:15" ht="12.75" customHeight="1" x14ac:dyDescent="0.2">
      <c r="A3030" s="1065" t="s">
        <v>390</v>
      </c>
      <c r="B3030" s="1057"/>
      <c r="C3030" s="1057"/>
      <c r="D3030" s="1057"/>
      <c r="E3030" s="1057"/>
      <c r="F3030" s="1057"/>
      <c r="G3030" s="1057"/>
      <c r="H3030" s="1057"/>
      <c r="I3030" s="1057"/>
      <c r="J3030" s="1057"/>
      <c r="K3030" s="1057"/>
      <c r="L3030" s="1057"/>
      <c r="M3030" s="1057"/>
      <c r="N3030" s="1058"/>
    </row>
    <row r="3031" spans="1:15" ht="12.75" customHeight="1" x14ac:dyDescent="0.2">
      <c r="A3031" s="1066" t="s">
        <v>38</v>
      </c>
      <c r="B3031" s="1057"/>
      <c r="C3031" s="1057"/>
      <c r="D3031" s="1057"/>
      <c r="E3031" s="1057"/>
      <c r="F3031" s="1057"/>
      <c r="G3031" s="1058"/>
      <c r="H3031" s="28" t="s">
        <v>39</v>
      </c>
      <c r="I3031" s="1062" t="s">
        <v>385</v>
      </c>
      <c r="J3031" s="1058"/>
      <c r="K3031" s="1062" t="s">
        <v>132</v>
      </c>
      <c r="L3031" s="1058"/>
      <c r="M3031" s="1062" t="s">
        <v>386</v>
      </c>
      <c r="N3031" s="1058"/>
    </row>
    <row r="3032" spans="1:15" ht="12.75" customHeight="1" x14ac:dyDescent="0.2">
      <c r="A3032" s="1061" t="s">
        <v>391</v>
      </c>
      <c r="B3032" s="1057"/>
      <c r="C3032" s="1057"/>
      <c r="D3032" s="1057"/>
      <c r="E3032" s="1057"/>
      <c r="F3032" s="1057"/>
      <c r="G3032" s="1058"/>
      <c r="H3032" s="9" t="str">
        <f>IF(A3032="","",VLOOKUP(A3032,AA_Equipos,7,FALSE))</f>
        <v>% M.O.</v>
      </c>
      <c r="I3032" s="1059">
        <f>M3055</f>
        <v>4489.9273374750001</v>
      </c>
      <c r="J3032" s="1058"/>
      <c r="K3032" s="1064">
        <v>0.05</v>
      </c>
      <c r="L3032" s="1058"/>
      <c r="M3032" s="1059">
        <f>IF(A3032="","",I3032*K3032)</f>
        <v>224.49636687375002</v>
      </c>
      <c r="N3032" s="1058"/>
    </row>
    <row r="3033" spans="1:15" ht="12.75" customHeight="1" x14ac:dyDescent="0.2">
      <c r="A3033" s="1056"/>
      <c r="B3033" s="1057"/>
      <c r="C3033" s="1057"/>
      <c r="D3033" s="1057"/>
      <c r="E3033" s="1057"/>
      <c r="F3033" s="1057"/>
      <c r="G3033" s="1058"/>
      <c r="H3033" s="9" t="str">
        <f>IF(A3033="","",VLOOKUP(A3033,AA_Equipos,7,FALSE))</f>
        <v/>
      </c>
      <c r="I3033" s="1059" t="str">
        <f>IF(A3033="","",VLOOKUP(A3033,AA_Equipos,8,FALSE))</f>
        <v/>
      </c>
      <c r="J3033" s="1058"/>
      <c r="K3033" s="1067"/>
      <c r="L3033" s="1058"/>
      <c r="M3033" s="1059" t="str">
        <f>IF(A3033="","",I3033*K3033)</f>
        <v/>
      </c>
      <c r="N3033" s="1058"/>
    </row>
    <row r="3034" spans="1:15" ht="12.75" customHeight="1" x14ac:dyDescent="0.2">
      <c r="A3034" s="1061"/>
      <c r="B3034" s="1057"/>
      <c r="C3034" s="1057"/>
      <c r="D3034" s="1057"/>
      <c r="E3034" s="1057"/>
      <c r="F3034" s="1057"/>
      <c r="G3034" s="1058"/>
      <c r="H3034" s="9" t="str">
        <f>IF(A3034="","",VLOOKUP(A3034,AA_Equipos,7,FALSE))</f>
        <v/>
      </c>
      <c r="I3034" s="1059" t="str">
        <f>IF(A3034="","",VLOOKUP(A3034,AA_Equipos,8,FALSE))</f>
        <v/>
      </c>
      <c r="J3034" s="1058"/>
      <c r="K3034" s="1060"/>
      <c r="L3034" s="1058"/>
      <c r="M3034" s="1059" t="str">
        <f>IF(A3034="","",I3034*K3034)</f>
        <v/>
      </c>
      <c r="N3034" s="1058"/>
    </row>
    <row r="3035" spans="1:15" ht="12.75" customHeight="1" x14ac:dyDescent="0.2">
      <c r="A3035" s="1061"/>
      <c r="B3035" s="1057"/>
      <c r="C3035" s="1057"/>
      <c r="D3035" s="1057"/>
      <c r="E3035" s="1057"/>
      <c r="F3035" s="1057"/>
      <c r="G3035" s="1058"/>
      <c r="H3035" s="9" t="str">
        <f>IF(A3035="","",VLOOKUP(A3035,AA_Equipos,7,FALSE))</f>
        <v/>
      </c>
      <c r="I3035" s="1059" t="str">
        <f>IF(A3035="","",VLOOKUP(A3035,AA_Equipos,8,FALSE))</f>
        <v/>
      </c>
      <c r="J3035" s="1058"/>
      <c r="K3035" s="1060"/>
      <c r="L3035" s="1058"/>
      <c r="M3035" s="1059" t="str">
        <f>IF(A3035="","",I3035*K3035)</f>
        <v/>
      </c>
      <c r="N3035" s="1058"/>
    </row>
    <row r="3036" spans="1:15" ht="12.75" customHeight="1" x14ac:dyDescent="0.2">
      <c r="A3036" s="1061"/>
      <c r="B3036" s="1057"/>
      <c r="C3036" s="1057"/>
      <c r="D3036" s="1057"/>
      <c r="E3036" s="1057"/>
      <c r="F3036" s="1057"/>
      <c r="G3036" s="1058"/>
      <c r="H3036" s="9" t="str">
        <f>IF(A3036="","",VLOOKUP(A3036,AA_Equipos,7,FALSE))</f>
        <v/>
      </c>
      <c r="I3036" s="1059" t="str">
        <f>IF(A3036="","",VLOOKUP(A3036,AA_Equipos,8,FALSE))</f>
        <v/>
      </c>
      <c r="J3036" s="1058"/>
      <c r="K3036" s="1060"/>
      <c r="L3036" s="1058"/>
      <c r="M3036" s="1059" t="str">
        <f>IF(A3036="","",I3036*K3036)</f>
        <v/>
      </c>
      <c r="N3036" s="1058"/>
      <c r="O3036" s="7"/>
    </row>
    <row r="3037" spans="1:15" ht="12.75" customHeight="1" x14ac:dyDescent="0.25">
      <c r="A3037" s="3"/>
      <c r="B3037" s="3"/>
      <c r="C3037" s="3"/>
      <c r="D3037" s="3"/>
      <c r="E3037" s="3"/>
      <c r="F3037" s="3"/>
      <c r="G3037" s="3"/>
      <c r="H3037" s="3"/>
      <c r="I3037" s="3"/>
      <c r="J3037" s="3"/>
      <c r="K3037" s="1066" t="s">
        <v>201</v>
      </c>
      <c r="L3037" s="1058"/>
      <c r="M3037" s="1059">
        <f>SUM(M3032:N3036)</f>
        <v>224.49636687375002</v>
      </c>
      <c r="N3037" s="1058"/>
      <c r="O3037" s="7"/>
    </row>
    <row r="3038" spans="1:15" ht="12.75" customHeight="1" x14ac:dyDescent="0.25">
      <c r="A3038" s="3"/>
      <c r="B3038" s="3"/>
      <c r="C3038" s="3"/>
      <c r="D3038" s="3"/>
      <c r="E3038" s="3"/>
      <c r="F3038" s="3"/>
      <c r="G3038" s="3"/>
      <c r="H3038" s="3"/>
      <c r="I3038" s="3"/>
      <c r="J3038" s="3"/>
      <c r="K3038" s="3"/>
      <c r="L3038" s="3"/>
      <c r="M3038" s="3"/>
      <c r="N3038" s="3"/>
    </row>
    <row r="3039" spans="1:15" ht="12.75" customHeight="1" x14ac:dyDescent="0.2">
      <c r="A3039" s="1065" t="s">
        <v>392</v>
      </c>
      <c r="B3039" s="1057"/>
      <c r="C3039" s="1057"/>
      <c r="D3039" s="1057"/>
      <c r="E3039" s="1057"/>
      <c r="F3039" s="1057"/>
      <c r="G3039" s="1057"/>
      <c r="H3039" s="1057"/>
      <c r="I3039" s="1057"/>
      <c r="J3039" s="1057"/>
      <c r="K3039" s="1057"/>
      <c r="L3039" s="1057"/>
      <c r="M3039" s="1057"/>
      <c r="N3039" s="1058"/>
    </row>
    <row r="3040" spans="1:15" ht="12.75" customHeight="1" x14ac:dyDescent="0.2">
      <c r="A3040" s="1066" t="s">
        <v>38</v>
      </c>
      <c r="B3040" s="1057"/>
      <c r="C3040" s="1057"/>
      <c r="D3040" s="1057"/>
      <c r="E3040" s="1057"/>
      <c r="F3040" s="1057"/>
      <c r="G3040" s="1058"/>
      <c r="H3040" s="28" t="s">
        <v>39</v>
      </c>
      <c r="I3040" s="1062" t="s">
        <v>385</v>
      </c>
      <c r="J3040" s="1058"/>
      <c r="K3040" s="1062" t="s">
        <v>132</v>
      </c>
      <c r="L3040" s="1058"/>
      <c r="M3040" s="1062" t="s">
        <v>386</v>
      </c>
      <c r="N3040" s="1058"/>
    </row>
    <row r="3041" spans="1:14" ht="12.75" customHeight="1" x14ac:dyDescent="0.2">
      <c r="A3041" s="1056"/>
      <c r="B3041" s="1057"/>
      <c r="C3041" s="1057"/>
      <c r="D3041" s="1057"/>
      <c r="E3041" s="1057"/>
      <c r="F3041" s="1057"/>
      <c r="G3041" s="1058"/>
      <c r="H3041" s="9"/>
      <c r="I3041" s="1059"/>
      <c r="J3041" s="1058"/>
      <c r="K3041" s="1064"/>
      <c r="L3041" s="1058"/>
      <c r="M3041" s="1059" t="str">
        <f>IF(A3041="","",I3041*K3041)</f>
        <v/>
      </c>
      <c r="N3041" s="1058"/>
    </row>
    <row r="3042" spans="1:14" ht="12.75" customHeight="1" x14ac:dyDescent="0.2">
      <c r="A3042" s="1056"/>
      <c r="B3042" s="1057"/>
      <c r="C3042" s="1057"/>
      <c r="D3042" s="1057"/>
      <c r="E3042" s="1057"/>
      <c r="F3042" s="1057"/>
      <c r="G3042" s="1058"/>
      <c r="H3042" s="9"/>
      <c r="I3042" s="1059"/>
      <c r="J3042" s="1058"/>
      <c r="K3042" s="1064"/>
      <c r="L3042" s="1058"/>
      <c r="M3042" s="1059" t="str">
        <f>IF(A3042="","",I3042*K3042)</f>
        <v/>
      </c>
      <c r="N3042" s="1058"/>
    </row>
    <row r="3043" spans="1:14" ht="12.75" customHeight="1" x14ac:dyDescent="0.2">
      <c r="A3043" s="1061"/>
      <c r="B3043" s="1057"/>
      <c r="C3043" s="1057"/>
      <c r="D3043" s="1057"/>
      <c r="E3043" s="1057"/>
      <c r="F3043" s="1057"/>
      <c r="G3043" s="1058"/>
      <c r="H3043" s="9"/>
      <c r="I3043" s="1059"/>
      <c r="J3043" s="1058"/>
      <c r="K3043" s="1060"/>
      <c r="L3043" s="1058"/>
      <c r="M3043" s="1059" t="str">
        <f>IF(A3043="","",I3043*K3043)</f>
        <v/>
      </c>
      <c r="N3043" s="1058"/>
    </row>
    <row r="3044" spans="1:14" ht="12.75" customHeight="1" x14ac:dyDescent="0.2">
      <c r="A3044" s="1061"/>
      <c r="B3044" s="1057"/>
      <c r="C3044" s="1057"/>
      <c r="D3044" s="1057"/>
      <c r="E3044" s="1057"/>
      <c r="F3044" s="1057"/>
      <c r="G3044" s="1058"/>
      <c r="H3044" s="9"/>
      <c r="I3044" s="1059"/>
      <c r="J3044" s="1058"/>
      <c r="K3044" s="1060"/>
      <c r="L3044" s="1058"/>
      <c r="M3044" s="1059" t="str">
        <f>IF(A3044="","",I3044*K3044)</f>
        <v/>
      </c>
      <c r="N3044" s="1058"/>
    </row>
    <row r="3045" spans="1:14" ht="12.75" customHeight="1" x14ac:dyDescent="0.2">
      <c r="A3045" s="1061"/>
      <c r="B3045" s="1057"/>
      <c r="C3045" s="1057"/>
      <c r="D3045" s="1057"/>
      <c r="E3045" s="1057"/>
      <c r="F3045" s="1057"/>
      <c r="G3045" s="1058"/>
      <c r="H3045" s="9"/>
      <c r="I3045" s="1059"/>
      <c r="J3045" s="1058"/>
      <c r="K3045" s="1060"/>
      <c r="L3045" s="1058"/>
      <c r="M3045" s="1059" t="str">
        <f>IF(A3045="","",I3045*K3045)</f>
        <v/>
      </c>
      <c r="N3045" s="1058"/>
    </row>
    <row r="3046" spans="1:14" ht="12.75" customHeight="1" x14ac:dyDescent="0.25">
      <c r="A3046" s="3"/>
      <c r="B3046" s="3"/>
      <c r="C3046" s="3"/>
      <c r="D3046" s="3"/>
      <c r="E3046" s="3"/>
      <c r="F3046" s="3"/>
      <c r="G3046" s="3"/>
      <c r="H3046" s="3"/>
      <c r="I3046" s="3"/>
      <c r="J3046" s="3"/>
      <c r="K3046" s="1066" t="s">
        <v>201</v>
      </c>
      <c r="L3046" s="1058"/>
      <c r="M3046" s="1059">
        <f>SUM(M3041:N3045)</f>
        <v>0</v>
      </c>
      <c r="N3046" s="1058"/>
    </row>
    <row r="3047" spans="1:14" ht="12.75" customHeight="1" x14ac:dyDescent="0.25">
      <c r="A3047" s="3"/>
      <c r="B3047" s="3"/>
      <c r="C3047" s="3"/>
      <c r="D3047" s="3"/>
      <c r="E3047" s="3"/>
      <c r="F3047" s="3"/>
      <c r="G3047" s="3"/>
      <c r="H3047" s="3"/>
      <c r="I3047" s="3"/>
      <c r="J3047" s="3"/>
      <c r="K3047" s="3"/>
      <c r="L3047" s="3"/>
      <c r="M3047" s="3"/>
      <c r="N3047" s="3"/>
    </row>
    <row r="3048" spans="1:14" ht="12.75" customHeight="1" x14ac:dyDescent="0.2">
      <c r="A3048" s="1065" t="s">
        <v>394</v>
      </c>
      <c r="B3048" s="1057"/>
      <c r="C3048" s="1057"/>
      <c r="D3048" s="1057"/>
      <c r="E3048" s="1057"/>
      <c r="F3048" s="1057"/>
      <c r="G3048" s="1057"/>
      <c r="H3048" s="1057"/>
      <c r="I3048" s="1057"/>
      <c r="J3048" s="1057"/>
      <c r="K3048" s="1057"/>
      <c r="L3048" s="1057"/>
      <c r="M3048" s="1057"/>
      <c r="N3048" s="1058"/>
    </row>
    <row r="3049" spans="1:14" ht="12.75" customHeight="1" x14ac:dyDescent="0.2">
      <c r="A3049" s="1066" t="s">
        <v>38</v>
      </c>
      <c r="B3049" s="1057"/>
      <c r="C3049" s="1057"/>
      <c r="D3049" s="1057"/>
      <c r="E3049" s="1057"/>
      <c r="F3049" s="1057"/>
      <c r="G3049" s="1058"/>
      <c r="H3049" s="28" t="s">
        <v>39</v>
      </c>
      <c r="I3049" s="1062" t="s">
        <v>385</v>
      </c>
      <c r="J3049" s="1058"/>
      <c r="K3049" s="30" t="s">
        <v>193</v>
      </c>
      <c r="L3049" s="31" t="s">
        <v>395</v>
      </c>
      <c r="M3049" s="1062" t="s">
        <v>386</v>
      </c>
      <c r="N3049" s="1058"/>
    </row>
    <row r="3050" spans="1:14" ht="12.75" customHeight="1" x14ac:dyDescent="0.25">
      <c r="A3050" s="1063" t="s">
        <v>418</v>
      </c>
      <c r="B3050" s="1057"/>
      <c r="C3050" s="1057"/>
      <c r="D3050" s="1057"/>
      <c r="E3050" s="1057"/>
      <c r="F3050" s="1057"/>
      <c r="G3050" s="1058"/>
      <c r="H3050" s="9" t="str">
        <f>IF(A3050="","",VLOOKUP(A3050,AA_Cuadrillas,4,FALSE))</f>
        <v>Cuadrilla</v>
      </c>
      <c r="I3050" s="1059">
        <f>IF(A3050="","",VLOOKUP(A3050,AA_Cuadrillas,5,FALSE))</f>
        <v>280145</v>
      </c>
      <c r="J3050" s="1058"/>
      <c r="K3050" s="1">
        <f>IF(A3050="","",'06'!$J$3)</f>
        <v>1.7233500000000002</v>
      </c>
      <c r="L3050" s="32">
        <v>9.2999999999999992E-3</v>
      </c>
      <c r="M3050" s="1059">
        <f>IF(A3050="","",I3050*K3050*L3050)</f>
        <v>4489.9273374750001</v>
      </c>
      <c r="N3050" s="1058"/>
    </row>
    <row r="3051" spans="1:14" ht="12.75" customHeight="1" x14ac:dyDescent="0.25">
      <c r="A3051" s="1063"/>
      <c r="B3051" s="1057"/>
      <c r="C3051" s="1057"/>
      <c r="D3051" s="1057"/>
      <c r="E3051" s="1057"/>
      <c r="F3051" s="1057"/>
      <c r="G3051" s="1058"/>
      <c r="H3051" s="9" t="str">
        <f>IF(A3051="","",VLOOKUP(A3051,AA_Cuadrillas,4,FALSE))</f>
        <v/>
      </c>
      <c r="I3051" s="1059" t="str">
        <f>IF(A3051="","",VLOOKUP(A3051,AA_Cuadrillas,5,FALSE))</f>
        <v/>
      </c>
      <c r="J3051" s="1058"/>
      <c r="K3051" s="1" t="str">
        <f>IF(A3051="","",'06'!$J$3)</f>
        <v/>
      </c>
      <c r="L3051" s="1"/>
      <c r="M3051" s="1059" t="str">
        <f>IF(A3051="","",I3051*K3051*L3051)</f>
        <v/>
      </c>
      <c r="N3051" s="1058"/>
    </row>
    <row r="3052" spans="1:14" ht="12.75" customHeight="1" x14ac:dyDescent="0.25">
      <c r="A3052" s="1063"/>
      <c r="B3052" s="1057"/>
      <c r="C3052" s="1057"/>
      <c r="D3052" s="1057"/>
      <c r="E3052" s="1057"/>
      <c r="F3052" s="1057"/>
      <c r="G3052" s="1058"/>
      <c r="H3052" s="9" t="str">
        <f>IF(A3052="","",VLOOKUP(A3052,AA_Cuadrillas,4,FALSE))</f>
        <v/>
      </c>
      <c r="I3052" s="1059" t="str">
        <f>IF(A3052="","",VLOOKUP(A3052,AA_Cuadrillas,5,FALSE))</f>
        <v/>
      </c>
      <c r="J3052" s="1058"/>
      <c r="K3052" s="1" t="str">
        <f>IF(A3052="","",'06'!$J$3)</f>
        <v/>
      </c>
      <c r="L3052" s="10"/>
      <c r="M3052" s="1059" t="str">
        <f>IF(A3052="","",I3052*K3052*L3052)</f>
        <v/>
      </c>
      <c r="N3052" s="1058"/>
    </row>
    <row r="3053" spans="1:14" ht="12.75" customHeight="1" x14ac:dyDescent="0.25">
      <c r="A3053" s="1063"/>
      <c r="B3053" s="1057"/>
      <c r="C3053" s="1057"/>
      <c r="D3053" s="1057"/>
      <c r="E3053" s="1057"/>
      <c r="F3053" s="1057"/>
      <c r="G3053" s="1058"/>
      <c r="H3053" s="9" t="str">
        <f>IF(A3053="","",VLOOKUP(A3053,AA_Cuadrillas,4,FALSE))</f>
        <v/>
      </c>
      <c r="I3053" s="1059" t="str">
        <f>IF(A3053="","",VLOOKUP(A3053,AA_Cuadrillas,5,FALSE))</f>
        <v/>
      </c>
      <c r="J3053" s="1058"/>
      <c r="K3053" s="1" t="str">
        <f>IF(A3053="","",'06'!$J$3)</f>
        <v/>
      </c>
      <c r="L3053" s="10"/>
      <c r="M3053" s="1059" t="str">
        <f>IF(A3053="","",I3053*K3053*L3053)</f>
        <v/>
      </c>
      <c r="N3053" s="1058"/>
    </row>
    <row r="3054" spans="1:14" ht="12.75" customHeight="1" x14ac:dyDescent="0.25">
      <c r="A3054" s="1063"/>
      <c r="B3054" s="1057"/>
      <c r="C3054" s="1057"/>
      <c r="D3054" s="1057"/>
      <c r="E3054" s="1057"/>
      <c r="F3054" s="1057"/>
      <c r="G3054" s="1058"/>
      <c r="H3054" s="9" t="str">
        <f>IF(A3054="","",VLOOKUP(A3054,AA_Cuadrillas,4,FALSE))</f>
        <v/>
      </c>
      <c r="I3054" s="1059" t="str">
        <f>IF(A3054="","",VLOOKUP(A3054,AA_Cuadrillas,5,FALSE))</f>
        <v/>
      </c>
      <c r="J3054" s="1058"/>
      <c r="K3054" s="1" t="str">
        <f>IF(A3054="","",'06'!$J$3)</f>
        <v/>
      </c>
      <c r="L3054" s="10"/>
      <c r="M3054" s="1059" t="str">
        <f>IF(A3054="","",I3054*K3054*L3054)</f>
        <v/>
      </c>
      <c r="N3054" s="1058"/>
    </row>
    <row r="3055" spans="1:14" ht="12.75" customHeight="1" x14ac:dyDescent="0.25">
      <c r="A3055" s="3"/>
      <c r="B3055" s="3"/>
      <c r="C3055" s="3"/>
      <c r="D3055" s="3"/>
      <c r="E3055" s="3"/>
      <c r="F3055" s="3"/>
      <c r="G3055" s="3"/>
      <c r="H3055" s="3"/>
      <c r="I3055" s="3"/>
      <c r="J3055" s="3"/>
      <c r="K3055" s="1066" t="s">
        <v>201</v>
      </c>
      <c r="L3055" s="1058"/>
      <c r="M3055" s="1059">
        <f>SUM(M3050:N3054)</f>
        <v>4489.9273374750001</v>
      </c>
      <c r="N3055" s="1058"/>
    </row>
    <row r="3056" spans="1:14" ht="12.75" customHeight="1" x14ac:dyDescent="0.2"/>
    <row r="3057" spans="1:14" ht="12.75" customHeight="1" x14ac:dyDescent="0.2">
      <c r="A3057" s="1068" t="s">
        <v>1737</v>
      </c>
      <c r="B3057" s="1052"/>
      <c r="C3057" s="1052"/>
      <c r="D3057" s="1052"/>
      <c r="E3057" s="1052"/>
      <c r="F3057" s="1052"/>
      <c r="G3057" s="1052"/>
      <c r="H3057" s="1052"/>
      <c r="I3057" s="1052"/>
      <c r="J3057" s="1052"/>
      <c r="K3057" s="1052"/>
      <c r="L3057" s="1052"/>
      <c r="M3057" s="1052"/>
      <c r="N3057" s="1053"/>
    </row>
    <row r="3058" spans="1:14" ht="12.75" customHeight="1" x14ac:dyDescent="0.2">
      <c r="A3058" s="1031"/>
      <c r="B3058" s="1032"/>
      <c r="C3058" s="1032"/>
      <c r="D3058" s="1032"/>
      <c r="E3058" s="1032"/>
      <c r="F3058" s="1032"/>
      <c r="G3058" s="1032"/>
      <c r="H3058" s="1032"/>
      <c r="I3058" s="1032"/>
      <c r="J3058" s="1032"/>
      <c r="K3058" s="1032"/>
      <c r="L3058" s="1032"/>
      <c r="M3058" s="1032"/>
      <c r="N3058" s="1055"/>
    </row>
    <row r="3059" spans="1:14" ht="12.75" customHeight="1" x14ac:dyDescent="0.2">
      <c r="A3059" s="16"/>
      <c r="B3059" s="16"/>
      <c r="C3059" s="16"/>
      <c r="D3059" s="16"/>
      <c r="E3059" s="16"/>
      <c r="F3059" s="16"/>
      <c r="G3059" s="16"/>
      <c r="H3059" s="16"/>
      <c r="I3059" s="16"/>
      <c r="J3059" s="16"/>
      <c r="K3059" s="16"/>
      <c r="L3059" s="16"/>
      <c r="M3059" s="16"/>
      <c r="N3059" s="16"/>
    </row>
    <row r="3060" spans="1:14" ht="12.75" customHeight="1" x14ac:dyDescent="0.3">
      <c r="A3060" s="18" t="s">
        <v>362</v>
      </c>
      <c r="B3060" s="19" t="str">
        <f>A3057</f>
        <v>CERRAMIENTO EN MALLA ESLABONADA C.10.5 INC. ÁNGULO (PARAL EN TUBO ESTRUCTURAL GALVANIZADO 2") INCLUYE CIMENTACIÓN</v>
      </c>
      <c r="C3060" s="20" t="s">
        <v>382</v>
      </c>
      <c r="D3060" s="127" t="s">
        <v>397</v>
      </c>
      <c r="E3060" s="22" t="s">
        <v>125</v>
      </c>
      <c r="F3060" s="26">
        <f>(H3060+J3060+L3060+N3060)*$O$2</f>
        <v>397308.63684672874</v>
      </c>
      <c r="G3060" s="22" t="s">
        <v>285</v>
      </c>
      <c r="H3060" s="26">
        <f>M3080</f>
        <v>6468.5998258875006</v>
      </c>
      <c r="I3060" s="22" t="s">
        <v>383</v>
      </c>
      <c r="J3060" s="38">
        <f>M3071</f>
        <v>169781.432</v>
      </c>
      <c r="K3060" s="22" t="s">
        <v>287</v>
      </c>
      <c r="L3060" s="26">
        <f>M3089</f>
        <v>0</v>
      </c>
      <c r="M3060" s="22" t="s">
        <v>288</v>
      </c>
      <c r="N3060" s="38">
        <f>M3098</f>
        <v>129371.99651775</v>
      </c>
    </row>
    <row r="3061" spans="1:14" ht="12.75" customHeight="1" x14ac:dyDescent="0.25">
      <c r="A3061" s="27"/>
      <c r="B3061" s="27"/>
      <c r="C3061" s="27"/>
      <c r="D3061" s="27"/>
      <c r="E3061" s="27"/>
      <c r="F3061" s="27"/>
      <c r="G3061" s="27"/>
      <c r="J3061" s="27"/>
      <c r="K3061" s="27"/>
      <c r="L3061" s="27"/>
      <c r="M3061" s="27"/>
      <c r="N3061" s="27"/>
    </row>
    <row r="3062" spans="1:14" ht="12.75" customHeight="1" x14ac:dyDescent="0.2">
      <c r="A3062" s="1065" t="s">
        <v>384</v>
      </c>
      <c r="B3062" s="1057"/>
      <c r="C3062" s="1057"/>
      <c r="D3062" s="1057"/>
      <c r="E3062" s="1057"/>
      <c r="F3062" s="1057"/>
      <c r="G3062" s="1057"/>
      <c r="H3062" s="1057"/>
      <c r="I3062" s="1057"/>
      <c r="J3062" s="1057"/>
      <c r="K3062" s="1057"/>
      <c r="L3062" s="1057"/>
      <c r="M3062" s="1057"/>
      <c r="N3062" s="1058"/>
    </row>
    <row r="3063" spans="1:14" ht="12.75" customHeight="1" x14ac:dyDescent="0.2">
      <c r="A3063" s="1066" t="s">
        <v>38</v>
      </c>
      <c r="B3063" s="1057"/>
      <c r="C3063" s="1057"/>
      <c r="D3063" s="1057"/>
      <c r="E3063" s="1057"/>
      <c r="F3063" s="1057"/>
      <c r="G3063" s="1058"/>
      <c r="H3063" s="28" t="s">
        <v>39</v>
      </c>
      <c r="I3063" s="1062" t="s">
        <v>385</v>
      </c>
      <c r="J3063" s="1058"/>
      <c r="K3063" s="1062" t="s">
        <v>132</v>
      </c>
      <c r="L3063" s="1058"/>
      <c r="M3063" s="1062" t="s">
        <v>386</v>
      </c>
      <c r="N3063" s="1058"/>
    </row>
    <row r="3064" spans="1:14" ht="12.75" customHeight="1" x14ac:dyDescent="0.2">
      <c r="A3064" s="1061" t="s">
        <v>1590</v>
      </c>
      <c r="B3064" s="1057"/>
      <c r="C3064" s="1057"/>
      <c r="D3064" s="1057"/>
      <c r="E3064" s="1057"/>
      <c r="F3064" s="1057"/>
      <c r="G3064" s="1058"/>
      <c r="H3064" s="9" t="str">
        <f t="shared" ref="H3064:H3069" si="219">IF(A3064="","",VLOOKUP(A3064,AA_Materiales,7,FALSE))</f>
        <v>m2</v>
      </c>
      <c r="I3064" s="1059">
        <f t="shared" ref="I3064:I3069" si="220">IF(A3064="","",VLOOKUP(A3064,AA_Materiales,8,FALSE))</f>
        <v>26656</v>
      </c>
      <c r="J3064" s="1058"/>
      <c r="K3064" s="1060">
        <v>1.1000000000000001</v>
      </c>
      <c r="L3064" s="1058"/>
      <c r="M3064" s="1059">
        <f t="shared" ref="M3064:M3069" si="221">IF(A3064="","",I3064*K3064)</f>
        <v>29321.600000000002</v>
      </c>
      <c r="N3064" s="1058"/>
    </row>
    <row r="3065" spans="1:14" ht="12.75" customHeight="1" x14ac:dyDescent="0.2">
      <c r="A3065" s="1061" t="s">
        <v>1591</v>
      </c>
      <c r="B3065" s="1057"/>
      <c r="C3065" s="1057"/>
      <c r="D3065" s="1057"/>
      <c r="E3065" s="1057"/>
      <c r="F3065" s="1057"/>
      <c r="G3065" s="1058"/>
      <c r="H3065" s="9" t="str">
        <f t="shared" si="219"/>
        <v>Kg</v>
      </c>
      <c r="I3065" s="1059">
        <f t="shared" si="220"/>
        <v>26596.5</v>
      </c>
      <c r="J3065" s="1058"/>
      <c r="K3065" s="1060">
        <v>0.3</v>
      </c>
      <c r="L3065" s="1058"/>
      <c r="M3065" s="1059">
        <f t="shared" si="221"/>
        <v>7978.95</v>
      </c>
      <c r="N3065" s="1058"/>
    </row>
    <row r="3066" spans="1:14" ht="12.75" customHeight="1" x14ac:dyDescent="0.2">
      <c r="A3066" s="1061" t="s">
        <v>1594</v>
      </c>
      <c r="B3066" s="1057"/>
      <c r="C3066" s="1057"/>
      <c r="D3066" s="1057"/>
      <c r="E3066" s="1057"/>
      <c r="F3066" s="1057"/>
      <c r="G3066" s="1058"/>
      <c r="H3066" s="9" t="str">
        <f t="shared" si="219"/>
        <v>ml</v>
      </c>
      <c r="I3066" s="1059">
        <f t="shared" si="220"/>
        <v>33040.35</v>
      </c>
      <c r="J3066" s="1058"/>
      <c r="K3066" s="1060">
        <v>1</v>
      </c>
      <c r="L3066" s="1058"/>
      <c r="M3066" s="1059">
        <f t="shared" si="221"/>
        <v>33040.35</v>
      </c>
      <c r="N3066" s="1058"/>
    </row>
    <row r="3067" spans="1:14" ht="12.75" customHeight="1" x14ac:dyDescent="0.2">
      <c r="A3067" s="1061" t="s">
        <v>1595</v>
      </c>
      <c r="B3067" s="1057"/>
      <c r="C3067" s="1057"/>
      <c r="D3067" s="1057"/>
      <c r="E3067" s="1057"/>
      <c r="F3067" s="1057"/>
      <c r="G3067" s="1058"/>
      <c r="H3067" s="9" t="str">
        <f t="shared" si="219"/>
        <v>ml</v>
      </c>
      <c r="I3067" s="1059">
        <f t="shared" si="220"/>
        <v>6464.08</v>
      </c>
      <c r="J3067" s="1058"/>
      <c r="K3067" s="1060">
        <v>2</v>
      </c>
      <c r="L3067" s="1058"/>
      <c r="M3067" s="1059">
        <f t="shared" si="221"/>
        <v>12928.16</v>
      </c>
      <c r="N3067" s="1058"/>
    </row>
    <row r="3068" spans="1:14" ht="12.75" customHeight="1" x14ac:dyDescent="0.2">
      <c r="A3068" s="1061" t="s">
        <v>1596</v>
      </c>
      <c r="B3068" s="1057"/>
      <c r="C3068" s="1057"/>
      <c r="D3068" s="1057"/>
      <c r="E3068" s="1057"/>
      <c r="F3068" s="1057"/>
      <c r="G3068" s="1058"/>
      <c r="H3068" s="9" t="str">
        <f t="shared" si="219"/>
        <v>ml</v>
      </c>
      <c r="I3068" s="1059">
        <f t="shared" si="220"/>
        <v>860.37</v>
      </c>
      <c r="J3068" s="1058"/>
      <c r="K3068" s="1060">
        <v>1</v>
      </c>
      <c r="L3068" s="1058"/>
      <c r="M3068" s="1059">
        <f t="shared" si="221"/>
        <v>860.37</v>
      </c>
      <c r="N3068" s="1058"/>
    </row>
    <row r="3069" spans="1:14" ht="12.75" customHeight="1" x14ac:dyDescent="0.2">
      <c r="A3069" s="1061" t="s">
        <v>1593</v>
      </c>
      <c r="B3069" s="1057"/>
      <c r="C3069" s="1057"/>
      <c r="D3069" s="1057"/>
      <c r="E3069" s="1057"/>
      <c r="F3069" s="1057"/>
      <c r="G3069" s="1058"/>
      <c r="H3069" s="9" t="str">
        <f t="shared" si="219"/>
        <v>m3</v>
      </c>
      <c r="I3069" s="1059">
        <f t="shared" si="220"/>
        <v>428260.01</v>
      </c>
      <c r="J3069" s="1058"/>
      <c r="K3069" s="1060">
        <v>0.2</v>
      </c>
      <c r="L3069" s="1058"/>
      <c r="M3069" s="1059">
        <f t="shared" si="221"/>
        <v>85652.002000000008</v>
      </c>
      <c r="N3069" s="1058"/>
    </row>
    <row r="3070" spans="1:14" ht="12.75" customHeight="1" x14ac:dyDescent="0.2">
      <c r="A3070" s="1056"/>
      <c r="B3070" s="1057"/>
      <c r="C3070" s="1057"/>
      <c r="D3070" s="1057"/>
      <c r="E3070" s="1057"/>
      <c r="F3070" s="1057"/>
      <c r="G3070" s="1058"/>
      <c r="H3070" s="9" t="str">
        <f>IF(A3070="","",VLOOKUP(A3070,AA_Materiales,7,FALSE))</f>
        <v/>
      </c>
      <c r="I3070" s="1059" t="str">
        <f>IF(A3070="","",VLOOKUP(A3070,AA_Materiales,8,FALSE))</f>
        <v/>
      </c>
      <c r="J3070" s="1058"/>
      <c r="K3070" s="1060"/>
      <c r="L3070" s="1058"/>
      <c r="M3070" s="1059" t="str">
        <f>IF(A3070="","",I3070*K3070)</f>
        <v/>
      </c>
      <c r="N3070" s="1058"/>
    </row>
    <row r="3071" spans="1:14" ht="12.75" customHeight="1" x14ac:dyDescent="0.25">
      <c r="A3071" s="3"/>
      <c r="B3071" s="3"/>
      <c r="C3071" s="3"/>
      <c r="D3071" s="3"/>
      <c r="E3071" s="3"/>
      <c r="F3071" s="3"/>
      <c r="G3071" s="3"/>
      <c r="H3071" s="3"/>
      <c r="I3071" s="3"/>
      <c r="J3071" s="3"/>
      <c r="K3071" s="1066" t="s">
        <v>201</v>
      </c>
      <c r="L3071" s="1058"/>
      <c r="M3071" s="1059">
        <f>SUM(M3064:N3070)</f>
        <v>169781.432</v>
      </c>
      <c r="N3071" s="1058"/>
    </row>
    <row r="3072" spans="1:14" ht="12.75" customHeight="1" x14ac:dyDescent="0.25">
      <c r="A3072" s="3"/>
      <c r="B3072" s="3"/>
      <c r="C3072" s="3"/>
      <c r="D3072" s="3"/>
      <c r="E3072" s="3"/>
      <c r="F3072" s="3"/>
      <c r="G3072" s="3"/>
      <c r="H3072" s="3"/>
      <c r="I3072" s="3"/>
      <c r="J3072" s="3"/>
      <c r="K3072" s="3"/>
      <c r="L3072" s="3"/>
      <c r="M3072" s="3"/>
      <c r="N3072" s="3"/>
    </row>
    <row r="3073" spans="1:15" ht="12.75" customHeight="1" x14ac:dyDescent="0.2">
      <c r="A3073" s="1065" t="s">
        <v>390</v>
      </c>
      <c r="B3073" s="1057"/>
      <c r="C3073" s="1057"/>
      <c r="D3073" s="1057"/>
      <c r="E3073" s="1057"/>
      <c r="F3073" s="1057"/>
      <c r="G3073" s="1057"/>
      <c r="H3073" s="1057"/>
      <c r="I3073" s="1057"/>
      <c r="J3073" s="1057"/>
      <c r="K3073" s="1057"/>
      <c r="L3073" s="1057"/>
      <c r="M3073" s="1057"/>
      <c r="N3073" s="1058"/>
    </row>
    <row r="3074" spans="1:15" ht="12.75" customHeight="1" x14ac:dyDescent="0.2">
      <c r="A3074" s="1066" t="s">
        <v>38</v>
      </c>
      <c r="B3074" s="1057"/>
      <c r="C3074" s="1057"/>
      <c r="D3074" s="1057"/>
      <c r="E3074" s="1057"/>
      <c r="F3074" s="1057"/>
      <c r="G3074" s="1058"/>
      <c r="H3074" s="28" t="s">
        <v>39</v>
      </c>
      <c r="I3074" s="1062" t="s">
        <v>385</v>
      </c>
      <c r="J3074" s="1058"/>
      <c r="K3074" s="1062" t="s">
        <v>132</v>
      </c>
      <c r="L3074" s="1058"/>
      <c r="M3074" s="1062" t="s">
        <v>386</v>
      </c>
      <c r="N3074" s="1058"/>
    </row>
    <row r="3075" spans="1:15" ht="12.75" customHeight="1" x14ac:dyDescent="0.2">
      <c r="A3075" s="1061" t="s">
        <v>391</v>
      </c>
      <c r="B3075" s="1057"/>
      <c r="C3075" s="1057"/>
      <c r="D3075" s="1057"/>
      <c r="E3075" s="1057"/>
      <c r="F3075" s="1057"/>
      <c r="G3075" s="1058"/>
      <c r="H3075" s="9" t="str">
        <f>IF(A3075="","",VLOOKUP(A3075,AA_Equipos,7,FALSE))</f>
        <v>% M.O.</v>
      </c>
      <c r="I3075" s="1059">
        <f>+M3098</f>
        <v>129371.99651775</v>
      </c>
      <c r="J3075" s="1058"/>
      <c r="K3075" s="1064">
        <v>0.05</v>
      </c>
      <c r="L3075" s="1058"/>
      <c r="M3075" s="1059">
        <f>IF(A3075="","",I3075*K3075)</f>
        <v>6468.5998258875006</v>
      </c>
      <c r="N3075" s="1058"/>
    </row>
    <row r="3076" spans="1:15" ht="12.75" customHeight="1" x14ac:dyDescent="0.2">
      <c r="A3076" s="1056"/>
      <c r="B3076" s="1057"/>
      <c r="C3076" s="1057"/>
      <c r="D3076" s="1057"/>
      <c r="E3076" s="1057"/>
      <c r="F3076" s="1057"/>
      <c r="G3076" s="1058"/>
      <c r="H3076" s="9" t="str">
        <f>IF(A3076="","",VLOOKUP(A3076,AA_Equipos,7,FALSE))</f>
        <v/>
      </c>
      <c r="I3076" s="1059" t="str">
        <f>IF(A3076="","",VLOOKUP(A3076,AA_Equipos,8,FALSE))</f>
        <v/>
      </c>
      <c r="J3076" s="1058"/>
      <c r="K3076" s="1067"/>
      <c r="L3076" s="1058"/>
      <c r="M3076" s="1059" t="str">
        <f>IF(A3076="","",I3076*K3076)</f>
        <v/>
      </c>
      <c r="N3076" s="1058"/>
    </row>
    <row r="3077" spans="1:15" ht="12.75" customHeight="1" x14ac:dyDescent="0.2">
      <c r="A3077" s="1061"/>
      <c r="B3077" s="1057"/>
      <c r="C3077" s="1057"/>
      <c r="D3077" s="1057"/>
      <c r="E3077" s="1057"/>
      <c r="F3077" s="1057"/>
      <c r="G3077" s="1058"/>
      <c r="H3077" s="9" t="str">
        <f>IF(A3077="","",VLOOKUP(A3077,AA_Equipos,7,FALSE))</f>
        <v/>
      </c>
      <c r="I3077" s="1059" t="str">
        <f>IF(A3077="","",VLOOKUP(A3077,AA_Equipos,8,FALSE))</f>
        <v/>
      </c>
      <c r="J3077" s="1058"/>
      <c r="K3077" s="1070"/>
      <c r="L3077" s="1058"/>
      <c r="M3077" s="1059" t="str">
        <f>IF(A3077="","",I3077*K3077)</f>
        <v/>
      </c>
      <c r="N3077" s="1058"/>
    </row>
    <row r="3078" spans="1:15" ht="12.75" customHeight="1" x14ac:dyDescent="0.2">
      <c r="A3078" s="1061"/>
      <c r="B3078" s="1057"/>
      <c r="C3078" s="1057"/>
      <c r="D3078" s="1057"/>
      <c r="E3078" s="1057"/>
      <c r="F3078" s="1057"/>
      <c r="G3078" s="1058"/>
      <c r="H3078" s="9" t="str">
        <f>IF(A3078="","",VLOOKUP(A3078,AA_Equipos,7,FALSE))</f>
        <v/>
      </c>
      <c r="I3078" s="1059" t="str">
        <f>IF(A3078="","",VLOOKUP(A3078,AA_Equipos,8,FALSE))</f>
        <v/>
      </c>
      <c r="J3078" s="1058"/>
      <c r="K3078" s="1060"/>
      <c r="L3078" s="1058"/>
      <c r="M3078" s="1059" t="str">
        <f>IF(A3078="","",I3078*K3078)</f>
        <v/>
      </c>
      <c r="N3078" s="1058"/>
    </row>
    <row r="3079" spans="1:15" ht="12.75" customHeight="1" x14ac:dyDescent="0.2">
      <c r="A3079" s="1061"/>
      <c r="B3079" s="1057"/>
      <c r="C3079" s="1057"/>
      <c r="D3079" s="1057"/>
      <c r="E3079" s="1057"/>
      <c r="F3079" s="1057"/>
      <c r="G3079" s="1058"/>
      <c r="H3079" s="9" t="str">
        <f>IF(A3079="","",VLOOKUP(A3079,AA_Equipos,7,FALSE))</f>
        <v/>
      </c>
      <c r="I3079" s="1059" t="str">
        <f>IF(A3079="","",VLOOKUP(A3079,AA_Equipos,8,FALSE))</f>
        <v/>
      </c>
      <c r="J3079" s="1058"/>
      <c r="K3079" s="1060"/>
      <c r="L3079" s="1058"/>
      <c r="M3079" s="1059" t="str">
        <f>IF(A3079="","",I3079*K3079)</f>
        <v/>
      </c>
      <c r="N3079" s="1058"/>
      <c r="O3079" s="7"/>
    </row>
    <row r="3080" spans="1:15" ht="12.75" customHeight="1" x14ac:dyDescent="0.25">
      <c r="A3080" s="3"/>
      <c r="B3080" s="3"/>
      <c r="C3080" s="3"/>
      <c r="D3080" s="3"/>
      <c r="E3080" s="3"/>
      <c r="F3080" s="3"/>
      <c r="G3080" s="3"/>
      <c r="H3080" s="3"/>
      <c r="I3080" s="3"/>
      <c r="J3080" s="3"/>
      <c r="K3080" s="1066" t="s">
        <v>201</v>
      </c>
      <c r="L3080" s="1058"/>
      <c r="M3080" s="1059">
        <f>SUM(M3075:N3079)</f>
        <v>6468.5998258875006</v>
      </c>
      <c r="N3080" s="1058"/>
      <c r="O3080" s="7"/>
    </row>
    <row r="3081" spans="1:15" ht="12.75" customHeight="1" x14ac:dyDescent="0.25">
      <c r="A3081" s="3"/>
      <c r="B3081" s="3"/>
      <c r="C3081" s="3"/>
      <c r="D3081" s="3"/>
      <c r="E3081" s="3"/>
      <c r="F3081" s="3"/>
      <c r="G3081" s="3"/>
      <c r="H3081" s="3"/>
      <c r="I3081" s="3"/>
      <c r="J3081" s="3"/>
      <c r="K3081" s="3"/>
      <c r="L3081" s="3"/>
      <c r="M3081" s="3"/>
      <c r="N3081" s="3"/>
    </row>
    <row r="3082" spans="1:15" ht="12.75" customHeight="1" x14ac:dyDescent="0.2">
      <c r="A3082" s="1065" t="s">
        <v>392</v>
      </c>
      <c r="B3082" s="1057"/>
      <c r="C3082" s="1057"/>
      <c r="D3082" s="1057"/>
      <c r="E3082" s="1057"/>
      <c r="F3082" s="1057"/>
      <c r="G3082" s="1057"/>
      <c r="H3082" s="1057"/>
      <c r="I3082" s="1057"/>
      <c r="J3082" s="1057"/>
      <c r="K3082" s="1057"/>
      <c r="L3082" s="1057"/>
      <c r="M3082" s="1057"/>
      <c r="N3082" s="1058"/>
    </row>
    <row r="3083" spans="1:15" ht="12.75" customHeight="1" x14ac:dyDescent="0.2">
      <c r="A3083" s="1066" t="s">
        <v>38</v>
      </c>
      <c r="B3083" s="1057"/>
      <c r="C3083" s="1057"/>
      <c r="D3083" s="1057"/>
      <c r="E3083" s="1057"/>
      <c r="F3083" s="1057"/>
      <c r="G3083" s="1058"/>
      <c r="H3083" s="28" t="s">
        <v>39</v>
      </c>
      <c r="I3083" s="1062" t="s">
        <v>385</v>
      </c>
      <c r="J3083" s="1058"/>
      <c r="K3083" s="1062" t="s">
        <v>132</v>
      </c>
      <c r="L3083" s="1058"/>
      <c r="M3083" s="1062" t="s">
        <v>386</v>
      </c>
      <c r="N3083" s="1058"/>
    </row>
    <row r="3084" spans="1:15" ht="12.75" customHeight="1" x14ac:dyDescent="0.2">
      <c r="A3084" s="1061"/>
      <c r="B3084" s="1057"/>
      <c r="C3084" s="1057"/>
      <c r="D3084" s="1057"/>
      <c r="E3084" s="1057"/>
      <c r="F3084" s="1057"/>
      <c r="G3084" s="1058"/>
      <c r="H3084" s="9"/>
      <c r="I3084" s="1059"/>
      <c r="J3084" s="1058"/>
      <c r="K3084" s="1064"/>
      <c r="L3084" s="1058"/>
      <c r="M3084" s="1059" t="str">
        <f>IF(A3084="","",I3084*K3084)</f>
        <v/>
      </c>
      <c r="N3084" s="1058"/>
    </row>
    <row r="3085" spans="1:15" ht="12.75" customHeight="1" x14ac:dyDescent="0.2">
      <c r="A3085" s="1056"/>
      <c r="B3085" s="1057"/>
      <c r="C3085" s="1057"/>
      <c r="D3085" s="1057"/>
      <c r="E3085" s="1057"/>
      <c r="F3085" s="1057"/>
      <c r="G3085" s="1058"/>
      <c r="H3085" s="9"/>
      <c r="I3085" s="1059"/>
      <c r="J3085" s="1058"/>
      <c r="K3085" s="1064"/>
      <c r="L3085" s="1058"/>
      <c r="M3085" s="1059" t="str">
        <f>IF(A3085="","",I3085*K3085)</f>
        <v/>
      </c>
      <c r="N3085" s="1058"/>
    </row>
    <row r="3086" spans="1:15" ht="12.75" customHeight="1" x14ac:dyDescent="0.2">
      <c r="A3086" s="1061"/>
      <c r="B3086" s="1057"/>
      <c r="C3086" s="1057"/>
      <c r="D3086" s="1057"/>
      <c r="E3086" s="1057"/>
      <c r="F3086" s="1057"/>
      <c r="G3086" s="1058"/>
      <c r="H3086" s="9"/>
      <c r="I3086" s="1059"/>
      <c r="J3086" s="1058"/>
      <c r="K3086" s="1060"/>
      <c r="L3086" s="1058"/>
      <c r="M3086" s="1059" t="str">
        <f>IF(A3086="","",I3086*K3086)</f>
        <v/>
      </c>
      <c r="N3086" s="1058"/>
    </row>
    <row r="3087" spans="1:15" ht="12.75" customHeight="1" x14ac:dyDescent="0.2">
      <c r="A3087" s="1061"/>
      <c r="B3087" s="1057"/>
      <c r="C3087" s="1057"/>
      <c r="D3087" s="1057"/>
      <c r="E3087" s="1057"/>
      <c r="F3087" s="1057"/>
      <c r="G3087" s="1058"/>
      <c r="H3087" s="9"/>
      <c r="I3087" s="1059"/>
      <c r="J3087" s="1058"/>
      <c r="K3087" s="1060"/>
      <c r="L3087" s="1058"/>
      <c r="M3087" s="1059" t="str">
        <f>IF(A3087="","",I3087*K3087)</f>
        <v/>
      </c>
      <c r="N3087" s="1058"/>
    </row>
    <row r="3088" spans="1:15" ht="12.75" customHeight="1" x14ac:dyDescent="0.2">
      <c r="A3088" s="1061"/>
      <c r="B3088" s="1057"/>
      <c r="C3088" s="1057"/>
      <c r="D3088" s="1057"/>
      <c r="E3088" s="1057"/>
      <c r="F3088" s="1057"/>
      <c r="G3088" s="1058"/>
      <c r="H3088" s="9"/>
      <c r="I3088" s="1059"/>
      <c r="J3088" s="1058"/>
      <c r="K3088" s="1060"/>
      <c r="L3088" s="1058"/>
      <c r="M3088" s="1059" t="str">
        <f>IF(A3088="","",I3088*K3088)</f>
        <v/>
      </c>
      <c r="N3088" s="1058"/>
    </row>
    <row r="3089" spans="1:14" ht="12.75" customHeight="1" x14ac:dyDescent="0.25">
      <c r="A3089" s="3"/>
      <c r="B3089" s="3"/>
      <c r="C3089" s="3"/>
      <c r="D3089" s="3"/>
      <c r="E3089" s="3"/>
      <c r="F3089" s="3"/>
      <c r="G3089" s="3"/>
      <c r="H3089" s="3"/>
      <c r="I3089" s="3"/>
      <c r="J3089" s="3"/>
      <c r="K3089" s="1066" t="s">
        <v>201</v>
      </c>
      <c r="L3089" s="1058"/>
      <c r="M3089" s="1059">
        <f>SUM(M3084:N3088)</f>
        <v>0</v>
      </c>
      <c r="N3089" s="1058"/>
    </row>
    <row r="3090" spans="1:14" ht="12.75" customHeight="1" x14ac:dyDescent="0.25">
      <c r="A3090" s="3"/>
      <c r="B3090" s="3"/>
      <c r="C3090" s="3"/>
      <c r="D3090" s="3"/>
      <c r="E3090" s="3"/>
      <c r="F3090" s="3"/>
      <c r="G3090" s="3"/>
      <c r="H3090" s="3"/>
      <c r="I3090" s="3"/>
      <c r="J3090" s="3"/>
      <c r="K3090" s="3"/>
      <c r="L3090" s="3"/>
      <c r="M3090" s="3"/>
      <c r="N3090" s="3"/>
    </row>
    <row r="3091" spans="1:14" ht="12.75" customHeight="1" x14ac:dyDescent="0.2">
      <c r="A3091" s="1065" t="s">
        <v>394</v>
      </c>
      <c r="B3091" s="1057"/>
      <c r="C3091" s="1057"/>
      <c r="D3091" s="1057"/>
      <c r="E3091" s="1057"/>
      <c r="F3091" s="1057"/>
      <c r="G3091" s="1057"/>
      <c r="H3091" s="1057"/>
      <c r="I3091" s="1057"/>
      <c r="J3091" s="1057"/>
      <c r="K3091" s="1057"/>
      <c r="L3091" s="1057"/>
      <c r="M3091" s="1057"/>
      <c r="N3091" s="1058"/>
    </row>
    <row r="3092" spans="1:14" ht="12.75" customHeight="1" x14ac:dyDescent="0.2">
      <c r="A3092" s="1066" t="s">
        <v>38</v>
      </c>
      <c r="B3092" s="1057"/>
      <c r="C3092" s="1057"/>
      <c r="D3092" s="1057"/>
      <c r="E3092" s="1057"/>
      <c r="F3092" s="1057"/>
      <c r="G3092" s="1058"/>
      <c r="H3092" s="28" t="s">
        <v>39</v>
      </c>
      <c r="I3092" s="1062" t="s">
        <v>385</v>
      </c>
      <c r="J3092" s="1058"/>
      <c r="K3092" s="30" t="s">
        <v>193</v>
      </c>
      <c r="L3092" s="31" t="s">
        <v>395</v>
      </c>
      <c r="M3092" s="1062" t="s">
        <v>386</v>
      </c>
      <c r="N3092" s="1058"/>
    </row>
    <row r="3093" spans="1:14" ht="12.75" customHeight="1" x14ac:dyDescent="0.25">
      <c r="A3093" s="1063" t="s">
        <v>536</v>
      </c>
      <c r="B3093" s="1057"/>
      <c r="C3093" s="1057"/>
      <c r="D3093" s="1057"/>
      <c r="E3093" s="1057"/>
      <c r="F3093" s="1057"/>
      <c r="G3093" s="1058"/>
      <c r="H3093" s="9" t="str">
        <f>IF(A3093="","",VLOOKUP(A3093,AA_Cuadrillas,4,FALSE))</f>
        <v>Cuadrilla</v>
      </c>
      <c r="I3093" s="1059">
        <f>IF(A3093="","",VLOOKUP(A3093,AA_Cuadrillas,5,FALSE))</f>
        <v>714953</v>
      </c>
      <c r="J3093" s="1058"/>
      <c r="K3093" s="1">
        <f>IF(A3093="","",'06'!$J$3)</f>
        <v>1.7233500000000002</v>
      </c>
      <c r="L3093" s="37">
        <v>0.105</v>
      </c>
      <c r="M3093" s="1059">
        <f>IF(A3093="","",I3093*K3093*L3093)</f>
        <v>129371.99651775</v>
      </c>
      <c r="N3093" s="1058"/>
    </row>
    <row r="3094" spans="1:14" ht="12.75" customHeight="1" x14ac:dyDescent="0.25">
      <c r="A3094" s="1063"/>
      <c r="B3094" s="1057"/>
      <c r="C3094" s="1057"/>
      <c r="D3094" s="1057"/>
      <c r="E3094" s="1057"/>
      <c r="F3094" s="1057"/>
      <c r="G3094" s="1058"/>
      <c r="H3094" s="9" t="str">
        <f>IF(A3094="","",VLOOKUP(A3094,AA_Cuadrillas,4,FALSE))</f>
        <v/>
      </c>
      <c r="I3094" s="1059" t="str">
        <f>IF(A3094="","",VLOOKUP(A3094,AA_Cuadrillas,5,FALSE))</f>
        <v/>
      </c>
      <c r="J3094" s="1058"/>
      <c r="K3094" s="1" t="str">
        <f>IF(A3094="","",'06'!$J$3)</f>
        <v/>
      </c>
      <c r="L3094" s="1"/>
      <c r="M3094" s="1059" t="str">
        <f>IF(A3094="","",I3094*K3094*L3094)</f>
        <v/>
      </c>
      <c r="N3094" s="1058"/>
    </row>
    <row r="3095" spans="1:14" ht="12.75" customHeight="1" x14ac:dyDescent="0.25">
      <c r="A3095" s="1063"/>
      <c r="B3095" s="1057"/>
      <c r="C3095" s="1057"/>
      <c r="D3095" s="1057"/>
      <c r="E3095" s="1057"/>
      <c r="F3095" s="1057"/>
      <c r="G3095" s="1058"/>
      <c r="H3095" s="9" t="str">
        <f>IF(A3095="","",VLOOKUP(A3095,AA_Cuadrillas,4,FALSE))</f>
        <v/>
      </c>
      <c r="I3095" s="1059" t="str">
        <f>IF(A3095="","",VLOOKUP(A3095,AA_Cuadrillas,5,FALSE))</f>
        <v/>
      </c>
      <c r="J3095" s="1058"/>
      <c r="K3095" s="1" t="str">
        <f>IF(A3095="","",'06'!$J$3)</f>
        <v/>
      </c>
      <c r="L3095" s="10"/>
      <c r="M3095" s="1059" t="str">
        <f>IF(A3095="","",I3095*K3095*L3095)</f>
        <v/>
      </c>
      <c r="N3095" s="1058"/>
    </row>
    <row r="3096" spans="1:14" ht="12.75" customHeight="1" x14ac:dyDescent="0.25">
      <c r="A3096" s="1063"/>
      <c r="B3096" s="1057"/>
      <c r="C3096" s="1057"/>
      <c r="D3096" s="1057"/>
      <c r="E3096" s="1057"/>
      <c r="F3096" s="1057"/>
      <c r="G3096" s="1058"/>
      <c r="H3096" s="9" t="str">
        <f>IF(A3096="","",VLOOKUP(A3096,AA_Cuadrillas,4,FALSE))</f>
        <v/>
      </c>
      <c r="I3096" s="1059" t="str">
        <f>IF(A3096="","",VLOOKUP(A3096,AA_Cuadrillas,5,FALSE))</f>
        <v/>
      </c>
      <c r="J3096" s="1058"/>
      <c r="K3096" s="1" t="str">
        <f>IF(A3096="","",'06'!$J$3)</f>
        <v/>
      </c>
      <c r="L3096" s="10"/>
      <c r="M3096" s="1059" t="str">
        <f>IF(A3096="","",I3096*K3096*L3096)</f>
        <v/>
      </c>
      <c r="N3096" s="1058"/>
    </row>
    <row r="3097" spans="1:14" ht="12.75" customHeight="1" x14ac:dyDescent="0.25">
      <c r="A3097" s="1063"/>
      <c r="B3097" s="1057"/>
      <c r="C3097" s="1057"/>
      <c r="D3097" s="1057"/>
      <c r="E3097" s="1057"/>
      <c r="F3097" s="1057"/>
      <c r="G3097" s="1058"/>
      <c r="H3097" s="9" t="str">
        <f>IF(A3097="","",VLOOKUP(A3097,AA_Cuadrillas,4,FALSE))</f>
        <v/>
      </c>
      <c r="I3097" s="1059" t="str">
        <f>IF(A3097="","",VLOOKUP(A3097,AA_Cuadrillas,5,FALSE))</f>
        <v/>
      </c>
      <c r="J3097" s="1058"/>
      <c r="K3097" s="1" t="str">
        <f>IF(A3097="","",'06'!$J$3)</f>
        <v/>
      </c>
      <c r="L3097" s="10"/>
      <c r="M3097" s="1059" t="str">
        <f>IF(A3097="","",I3097*K3097*L3097)</f>
        <v/>
      </c>
      <c r="N3097" s="1058"/>
    </row>
    <row r="3098" spans="1:14" ht="12.75" customHeight="1" x14ac:dyDescent="0.25">
      <c r="A3098" s="3"/>
      <c r="B3098" s="3"/>
      <c r="C3098" s="3"/>
      <c r="D3098" s="3"/>
      <c r="E3098" s="3"/>
      <c r="F3098" s="3"/>
      <c r="G3098" s="3"/>
      <c r="H3098" s="3"/>
      <c r="I3098" s="3"/>
      <c r="J3098" s="3"/>
      <c r="K3098" s="1066" t="s">
        <v>201</v>
      </c>
      <c r="L3098" s="1058"/>
      <c r="M3098" s="1059">
        <f>SUM(M3093:N3097)</f>
        <v>129371.99651775</v>
      </c>
      <c r="N3098" s="1058"/>
    </row>
    <row r="3099" spans="1:14" ht="12.75" customHeight="1" x14ac:dyDescent="0.2"/>
    <row r="3100" spans="1:14" ht="12.75" customHeight="1" x14ac:dyDescent="0.2">
      <c r="A3100" s="1068" t="s">
        <v>1738</v>
      </c>
      <c r="B3100" s="1052"/>
      <c r="C3100" s="1052"/>
      <c r="D3100" s="1052"/>
      <c r="E3100" s="1052"/>
      <c r="F3100" s="1052"/>
      <c r="G3100" s="1052"/>
      <c r="H3100" s="1052"/>
      <c r="I3100" s="1052"/>
      <c r="J3100" s="1052"/>
      <c r="K3100" s="1052"/>
      <c r="L3100" s="1052"/>
      <c r="M3100" s="1052"/>
      <c r="N3100" s="1053"/>
    </row>
    <row r="3101" spans="1:14" ht="12.75" customHeight="1" x14ac:dyDescent="0.2">
      <c r="A3101" s="1031"/>
      <c r="B3101" s="1032"/>
      <c r="C3101" s="1032"/>
      <c r="D3101" s="1032"/>
      <c r="E3101" s="1032"/>
      <c r="F3101" s="1032"/>
      <c r="G3101" s="1032"/>
      <c r="H3101" s="1032"/>
      <c r="I3101" s="1032"/>
      <c r="J3101" s="1032"/>
      <c r="K3101" s="1032"/>
      <c r="L3101" s="1032"/>
      <c r="M3101" s="1032"/>
      <c r="N3101" s="1055"/>
    </row>
    <row r="3102" spans="1:14" ht="12.75" customHeight="1" x14ac:dyDescent="0.2">
      <c r="A3102" s="16"/>
      <c r="B3102" s="16"/>
      <c r="C3102" s="16"/>
      <c r="D3102" s="16"/>
      <c r="E3102" s="16"/>
      <c r="F3102" s="16"/>
      <c r="G3102" s="16"/>
      <c r="H3102" s="16"/>
      <c r="I3102" s="16"/>
      <c r="J3102" s="16"/>
      <c r="K3102" s="16"/>
      <c r="L3102" s="16"/>
      <c r="M3102" s="16"/>
      <c r="N3102" s="16"/>
    </row>
    <row r="3103" spans="1:14" ht="12.75" customHeight="1" x14ac:dyDescent="0.3">
      <c r="A3103" s="18" t="s">
        <v>363</v>
      </c>
      <c r="B3103" s="19" t="str">
        <f>A3100</f>
        <v>TUBERÍA PVC Ø6"-DI 160mm RDE 21</v>
      </c>
      <c r="C3103" s="20" t="s">
        <v>382</v>
      </c>
      <c r="D3103" s="21" t="s">
        <v>419</v>
      </c>
      <c r="E3103" s="22" t="s">
        <v>125</v>
      </c>
      <c r="F3103" s="26">
        <f>(H3103+J3103+L3103+N3103)*$O$2</f>
        <v>305155.64607234247</v>
      </c>
      <c r="G3103" s="22" t="s">
        <v>285</v>
      </c>
      <c r="H3103" s="26">
        <f>M3122</f>
        <v>1655.5759538098571</v>
      </c>
      <c r="I3103" s="22" t="s">
        <v>383</v>
      </c>
      <c r="J3103" s="26">
        <f>M3113</f>
        <v>199968.01733333335</v>
      </c>
      <c r="K3103" s="22" t="s">
        <v>287</v>
      </c>
      <c r="L3103" s="26">
        <f>M3131</f>
        <v>0</v>
      </c>
      <c r="M3103" s="22" t="s">
        <v>288</v>
      </c>
      <c r="N3103" s="26">
        <f>M3139</f>
        <v>33111.519076197139</v>
      </c>
    </row>
    <row r="3104" spans="1:14" ht="12.75" customHeight="1" x14ac:dyDescent="0.25">
      <c r="A3104" s="27"/>
      <c r="B3104" s="27"/>
      <c r="C3104" s="27"/>
      <c r="D3104" s="27"/>
      <c r="E3104" s="27"/>
      <c r="F3104" s="27"/>
      <c r="G3104" s="27"/>
      <c r="J3104" s="27"/>
      <c r="K3104" s="27"/>
      <c r="L3104" s="27"/>
      <c r="M3104" s="27"/>
      <c r="N3104" s="27"/>
    </row>
    <row r="3105" spans="1:15" ht="12.75" customHeight="1" x14ac:dyDescent="0.2">
      <c r="A3105" s="1065" t="s">
        <v>384</v>
      </c>
      <c r="B3105" s="1057"/>
      <c r="C3105" s="1057"/>
      <c r="D3105" s="1057"/>
      <c r="E3105" s="1057"/>
      <c r="F3105" s="1057"/>
      <c r="G3105" s="1057"/>
      <c r="H3105" s="1057"/>
      <c r="I3105" s="1057"/>
      <c r="J3105" s="1057"/>
      <c r="K3105" s="1057"/>
      <c r="L3105" s="1057"/>
      <c r="M3105" s="1057"/>
      <c r="N3105" s="1058"/>
    </row>
    <row r="3106" spans="1:15" ht="12.75" customHeight="1" x14ac:dyDescent="0.2">
      <c r="A3106" s="1066" t="s">
        <v>38</v>
      </c>
      <c r="B3106" s="1057"/>
      <c r="C3106" s="1057"/>
      <c r="D3106" s="1057"/>
      <c r="E3106" s="1057"/>
      <c r="F3106" s="1057"/>
      <c r="G3106" s="1058"/>
      <c r="H3106" s="28" t="s">
        <v>39</v>
      </c>
      <c r="I3106" s="1062" t="s">
        <v>385</v>
      </c>
      <c r="J3106" s="1058"/>
      <c r="K3106" s="1062" t="s">
        <v>132</v>
      </c>
      <c r="L3106" s="1058"/>
      <c r="M3106" s="1062" t="s">
        <v>386</v>
      </c>
      <c r="N3106" s="1058"/>
    </row>
    <row r="3107" spans="1:15" ht="12.75" customHeight="1" x14ac:dyDescent="0.2">
      <c r="A3107" s="1061" t="s">
        <v>1571</v>
      </c>
      <c r="B3107" s="1057"/>
      <c r="C3107" s="1057"/>
      <c r="D3107" s="1057"/>
      <c r="E3107" s="1057"/>
      <c r="F3107" s="1057"/>
      <c r="G3107" s="1058"/>
      <c r="H3107" s="9" t="str">
        <f t="shared" ref="H3107" si="222">IF(A3107="","",VLOOKUP(A3107,AA_Materiales,7,FALSE))</f>
        <v>m</v>
      </c>
      <c r="I3107" s="1059">
        <f t="shared" ref="I3107" si="223">IF(A3107="","",VLOOKUP(A3107,AA_Materiales,8,FALSE))</f>
        <v>199968.01733333335</v>
      </c>
      <c r="J3107" s="1058"/>
      <c r="K3107" s="1060">
        <v>1</v>
      </c>
      <c r="L3107" s="1058"/>
      <c r="M3107" s="1059">
        <f t="shared" ref="M3107" si="224">IF(A3107="","",I3107*K3107)</f>
        <v>199968.01733333335</v>
      </c>
      <c r="N3107" s="1058"/>
    </row>
    <row r="3108" spans="1:15" ht="12.75" customHeight="1" x14ac:dyDescent="0.2">
      <c r="A3108" s="1056"/>
      <c r="B3108" s="1057"/>
      <c r="C3108" s="1057"/>
      <c r="D3108" s="1057"/>
      <c r="E3108" s="1057"/>
      <c r="F3108" s="1057"/>
      <c r="G3108" s="1058"/>
      <c r="H3108" s="9" t="str">
        <f t="shared" ref="H3108:H3112" si="225">IF(A3108="","",VLOOKUP(A3108,AA_Materiales,7,FALSE))</f>
        <v/>
      </c>
      <c r="I3108" s="1059" t="str">
        <f t="shared" ref="I3108:I3112" si="226">IF(A3108="","",VLOOKUP(A3108,AA_Materiales,8,FALSE))</f>
        <v/>
      </c>
      <c r="J3108" s="1058"/>
      <c r="K3108" s="1060"/>
      <c r="L3108" s="1058"/>
      <c r="M3108" s="1059" t="str">
        <f t="shared" ref="M3108:M3112" si="227">IF(A3108="","",I3108*K3108)</f>
        <v/>
      </c>
      <c r="N3108" s="1058"/>
    </row>
    <row r="3109" spans="1:15" ht="12.75" customHeight="1" x14ac:dyDescent="0.2">
      <c r="A3109" s="1056"/>
      <c r="B3109" s="1057"/>
      <c r="C3109" s="1057"/>
      <c r="D3109" s="1057"/>
      <c r="E3109" s="1057"/>
      <c r="F3109" s="1057"/>
      <c r="G3109" s="1058"/>
      <c r="H3109" s="9" t="str">
        <f t="shared" si="225"/>
        <v/>
      </c>
      <c r="I3109" s="1059" t="str">
        <f t="shared" si="226"/>
        <v/>
      </c>
      <c r="J3109" s="1058"/>
      <c r="K3109" s="1060"/>
      <c r="L3109" s="1058"/>
      <c r="M3109" s="1059" t="str">
        <f t="shared" si="227"/>
        <v/>
      </c>
      <c r="N3109" s="1058"/>
    </row>
    <row r="3110" spans="1:15" ht="12.75" customHeight="1" x14ac:dyDescent="0.2">
      <c r="A3110" s="1056"/>
      <c r="B3110" s="1057"/>
      <c r="C3110" s="1057"/>
      <c r="D3110" s="1057"/>
      <c r="E3110" s="1057"/>
      <c r="F3110" s="1057"/>
      <c r="G3110" s="1058"/>
      <c r="H3110" s="9" t="str">
        <f t="shared" si="225"/>
        <v/>
      </c>
      <c r="I3110" s="1059" t="str">
        <f t="shared" si="226"/>
        <v/>
      </c>
      <c r="J3110" s="1058"/>
      <c r="K3110" s="1060"/>
      <c r="L3110" s="1058"/>
      <c r="M3110" s="1059" t="str">
        <f t="shared" si="227"/>
        <v/>
      </c>
      <c r="N3110" s="1058"/>
    </row>
    <row r="3111" spans="1:15" ht="12.75" customHeight="1" x14ac:dyDescent="0.2">
      <c r="A3111" s="1056"/>
      <c r="B3111" s="1057"/>
      <c r="C3111" s="1057"/>
      <c r="D3111" s="1057"/>
      <c r="E3111" s="1057"/>
      <c r="F3111" s="1057"/>
      <c r="G3111" s="1058"/>
      <c r="H3111" s="9" t="str">
        <f t="shared" si="225"/>
        <v/>
      </c>
      <c r="I3111" s="1059" t="str">
        <f t="shared" si="226"/>
        <v/>
      </c>
      <c r="J3111" s="1058"/>
      <c r="K3111" s="1060"/>
      <c r="L3111" s="1058"/>
      <c r="M3111" s="1059" t="str">
        <f t="shared" si="227"/>
        <v/>
      </c>
      <c r="N3111" s="1058"/>
    </row>
    <row r="3112" spans="1:15" ht="12.75" customHeight="1" x14ac:dyDescent="0.2">
      <c r="A3112" s="1056"/>
      <c r="B3112" s="1057"/>
      <c r="C3112" s="1057"/>
      <c r="D3112" s="1057"/>
      <c r="E3112" s="1057"/>
      <c r="F3112" s="1057"/>
      <c r="G3112" s="1058"/>
      <c r="H3112" s="9" t="str">
        <f t="shared" si="225"/>
        <v/>
      </c>
      <c r="I3112" s="1059" t="str">
        <f t="shared" si="226"/>
        <v/>
      </c>
      <c r="J3112" s="1058"/>
      <c r="K3112" s="1060"/>
      <c r="L3112" s="1058"/>
      <c r="M3112" s="1059" t="str">
        <f t="shared" si="227"/>
        <v/>
      </c>
      <c r="N3112" s="1058"/>
    </row>
    <row r="3113" spans="1:15" ht="12.75" customHeight="1" x14ac:dyDescent="0.25">
      <c r="A3113" s="3"/>
      <c r="B3113" s="3"/>
      <c r="C3113" s="3"/>
      <c r="D3113" s="3"/>
      <c r="E3113" s="3"/>
      <c r="F3113" s="3"/>
      <c r="G3113" s="3"/>
      <c r="H3113" s="3"/>
      <c r="I3113" s="3"/>
      <c r="J3113" s="3"/>
      <c r="K3113" s="1066" t="s">
        <v>201</v>
      </c>
      <c r="L3113" s="1058"/>
      <c r="M3113" s="1059">
        <f>SUM(M3107:N3112)</f>
        <v>199968.01733333335</v>
      </c>
      <c r="N3113" s="1058"/>
    </row>
    <row r="3114" spans="1:15" ht="12.75" customHeight="1" x14ac:dyDescent="0.25">
      <c r="A3114" s="3"/>
      <c r="B3114" s="3"/>
      <c r="C3114" s="3"/>
      <c r="D3114" s="3"/>
      <c r="E3114" s="3"/>
      <c r="F3114" s="3"/>
      <c r="G3114" s="3"/>
      <c r="H3114" s="3"/>
      <c r="I3114" s="3"/>
      <c r="J3114" s="3"/>
      <c r="K3114" s="3"/>
      <c r="L3114" s="3"/>
      <c r="M3114" s="3"/>
      <c r="N3114" s="3"/>
    </row>
    <row r="3115" spans="1:15" ht="12.75" customHeight="1" x14ac:dyDescent="0.2">
      <c r="A3115" s="1065" t="s">
        <v>390</v>
      </c>
      <c r="B3115" s="1057"/>
      <c r="C3115" s="1057"/>
      <c r="D3115" s="1057"/>
      <c r="E3115" s="1057"/>
      <c r="F3115" s="1057"/>
      <c r="G3115" s="1057"/>
      <c r="H3115" s="1057"/>
      <c r="I3115" s="1057"/>
      <c r="J3115" s="1057"/>
      <c r="K3115" s="1057"/>
      <c r="L3115" s="1057"/>
      <c r="M3115" s="1057"/>
      <c r="N3115" s="1058"/>
    </row>
    <row r="3116" spans="1:15" ht="12.75" customHeight="1" x14ac:dyDescent="0.2">
      <c r="A3116" s="1066" t="s">
        <v>38</v>
      </c>
      <c r="B3116" s="1057"/>
      <c r="C3116" s="1057"/>
      <c r="D3116" s="1057"/>
      <c r="E3116" s="1057"/>
      <c r="F3116" s="1057"/>
      <c r="G3116" s="1058"/>
      <c r="H3116" s="28" t="s">
        <v>39</v>
      </c>
      <c r="I3116" s="1062" t="s">
        <v>385</v>
      </c>
      <c r="J3116" s="1058"/>
      <c r="K3116" s="1062" t="s">
        <v>132</v>
      </c>
      <c r="L3116" s="1058"/>
      <c r="M3116" s="1062" t="s">
        <v>386</v>
      </c>
      <c r="N3116" s="1058"/>
    </row>
    <row r="3117" spans="1:15" ht="12.75" customHeight="1" x14ac:dyDescent="0.2">
      <c r="A3117" s="1061" t="s">
        <v>391</v>
      </c>
      <c r="B3117" s="1057"/>
      <c r="C3117" s="1057"/>
      <c r="D3117" s="1057"/>
      <c r="E3117" s="1057"/>
      <c r="F3117" s="1057"/>
      <c r="G3117" s="1058"/>
      <c r="H3117" s="9" t="str">
        <f>IF(A3117="","",VLOOKUP(A3117,AA_Equipos,7,FALSE))</f>
        <v>% M.O.</v>
      </c>
      <c r="I3117" s="1059">
        <f>+M3139</f>
        <v>33111.519076197139</v>
      </c>
      <c r="J3117" s="1058"/>
      <c r="K3117" s="1064">
        <v>0.05</v>
      </c>
      <c r="L3117" s="1058"/>
      <c r="M3117" s="1059">
        <f>IF(A3117="","",I3117*K3117)</f>
        <v>1655.5759538098571</v>
      </c>
      <c r="N3117" s="1058"/>
    </row>
    <row r="3118" spans="1:15" ht="12.75" customHeight="1" x14ac:dyDescent="0.2">
      <c r="A3118" s="1061"/>
      <c r="B3118" s="1057"/>
      <c r="C3118" s="1057"/>
      <c r="D3118" s="1057"/>
      <c r="E3118" s="1057"/>
      <c r="F3118" s="1057"/>
      <c r="G3118" s="1058"/>
      <c r="H3118" s="9" t="str">
        <f>IF(A3118="","",VLOOKUP(A3118,AA_Equipos,7,FALSE))</f>
        <v/>
      </c>
      <c r="I3118" s="1059" t="str">
        <f>IF(A3118="","",VLOOKUP(A3118,AA_Equipos,8,FALSE))</f>
        <v/>
      </c>
      <c r="J3118" s="1058"/>
      <c r="K3118" s="1067"/>
      <c r="L3118" s="1058"/>
      <c r="M3118" s="1059" t="str">
        <f>IF(A3118="","",I3118*K3118)</f>
        <v/>
      </c>
      <c r="N3118" s="1058"/>
    </row>
    <row r="3119" spans="1:15" ht="12.75" customHeight="1" x14ac:dyDescent="0.2">
      <c r="A3119" s="1061"/>
      <c r="B3119" s="1057"/>
      <c r="C3119" s="1057"/>
      <c r="D3119" s="1057"/>
      <c r="E3119" s="1057"/>
      <c r="F3119" s="1057"/>
      <c r="G3119" s="1058"/>
      <c r="H3119" s="9" t="str">
        <f>IF(A3119="","",VLOOKUP(A3119,AA_Equipos,7,FALSE))</f>
        <v/>
      </c>
      <c r="I3119" s="1059" t="str">
        <f>IF(A3119="","",VLOOKUP(A3119,AA_Equipos,8,FALSE))</f>
        <v/>
      </c>
      <c r="J3119" s="1058"/>
      <c r="K3119" s="1067"/>
      <c r="L3119" s="1058"/>
      <c r="M3119" s="1059" t="str">
        <f>IF(A3119="","",I3119*K3119)</f>
        <v/>
      </c>
      <c r="N3119" s="1058"/>
    </row>
    <row r="3120" spans="1:15" ht="12.75" customHeight="1" x14ac:dyDescent="0.2">
      <c r="A3120" s="1061"/>
      <c r="B3120" s="1057"/>
      <c r="C3120" s="1057"/>
      <c r="D3120" s="1057"/>
      <c r="E3120" s="1057"/>
      <c r="F3120" s="1057"/>
      <c r="G3120" s="1058"/>
      <c r="H3120" s="9" t="str">
        <f>IF(A3120="","",VLOOKUP(A3120,AA_Equipos,7,FALSE))</f>
        <v/>
      </c>
      <c r="I3120" s="1059" t="str">
        <f>IF(A3120="","",VLOOKUP(A3120,AA_Equipos,8,FALSE))</f>
        <v/>
      </c>
      <c r="J3120" s="1058"/>
      <c r="K3120" s="1067"/>
      <c r="L3120" s="1058"/>
      <c r="M3120" s="1059" t="str">
        <f>IF(A3120="","",I3120*K3120)</f>
        <v/>
      </c>
      <c r="N3120" s="1058"/>
      <c r="O3120" s="7"/>
    </row>
    <row r="3121" spans="1:15" ht="12.75" customHeight="1" x14ac:dyDescent="0.2">
      <c r="A3121" s="1061"/>
      <c r="B3121" s="1057"/>
      <c r="C3121" s="1057"/>
      <c r="D3121" s="1057"/>
      <c r="E3121" s="1057"/>
      <c r="F3121" s="1057"/>
      <c r="G3121" s="1058"/>
      <c r="H3121" s="9" t="str">
        <f>IF(A3121="","",VLOOKUP(A3121,AA_Equipos,7,FALSE))</f>
        <v/>
      </c>
      <c r="I3121" s="1059" t="str">
        <f>IF(A3121="","",VLOOKUP(A3121,AA_Equipos,8,FALSE))</f>
        <v/>
      </c>
      <c r="J3121" s="1058"/>
      <c r="K3121" s="1060"/>
      <c r="L3121" s="1058"/>
      <c r="M3121" s="1059" t="str">
        <f>IF(A3121="","",I3121*K3121)</f>
        <v/>
      </c>
      <c r="N3121" s="1058"/>
      <c r="O3121" s="7"/>
    </row>
    <row r="3122" spans="1:15" ht="12.75" customHeight="1" x14ac:dyDescent="0.25">
      <c r="A3122" s="3"/>
      <c r="B3122" s="3"/>
      <c r="C3122" s="3"/>
      <c r="D3122" s="3"/>
      <c r="E3122" s="3"/>
      <c r="F3122" s="3"/>
      <c r="G3122" s="3"/>
      <c r="H3122" s="3"/>
      <c r="I3122" s="3"/>
      <c r="J3122" s="3"/>
      <c r="K3122" s="1066" t="s">
        <v>201</v>
      </c>
      <c r="L3122" s="1058"/>
      <c r="M3122" s="1059">
        <f>SUM(M3117:N3121)</f>
        <v>1655.5759538098571</v>
      </c>
      <c r="N3122" s="1058"/>
    </row>
    <row r="3123" spans="1:15" ht="12.75" customHeight="1" x14ac:dyDescent="0.25">
      <c r="A3123" s="3"/>
      <c r="B3123" s="3"/>
      <c r="C3123" s="3"/>
      <c r="D3123" s="3"/>
      <c r="E3123" s="3"/>
      <c r="F3123" s="3"/>
      <c r="G3123" s="3"/>
      <c r="H3123" s="3"/>
      <c r="I3123" s="3"/>
      <c r="J3123" s="3"/>
      <c r="K3123" s="3"/>
      <c r="L3123" s="3"/>
      <c r="M3123" s="3"/>
      <c r="N3123" s="3"/>
    </row>
    <row r="3124" spans="1:15" ht="12.75" customHeight="1" x14ac:dyDescent="0.2">
      <c r="A3124" s="1065" t="s">
        <v>392</v>
      </c>
      <c r="B3124" s="1057"/>
      <c r="C3124" s="1057"/>
      <c r="D3124" s="1057"/>
      <c r="E3124" s="1057"/>
      <c r="F3124" s="1057"/>
      <c r="G3124" s="1057"/>
      <c r="H3124" s="1057"/>
      <c r="I3124" s="1057"/>
      <c r="J3124" s="1057"/>
      <c r="K3124" s="1057"/>
      <c r="L3124" s="1057"/>
      <c r="M3124" s="1057"/>
      <c r="N3124" s="1058"/>
    </row>
    <row r="3125" spans="1:15" ht="12.75" customHeight="1" x14ac:dyDescent="0.2">
      <c r="A3125" s="1066" t="s">
        <v>38</v>
      </c>
      <c r="B3125" s="1057"/>
      <c r="C3125" s="1057"/>
      <c r="D3125" s="1057"/>
      <c r="E3125" s="1057"/>
      <c r="F3125" s="1057"/>
      <c r="G3125" s="1058"/>
      <c r="H3125" s="28" t="s">
        <v>39</v>
      </c>
      <c r="I3125" s="1062" t="s">
        <v>385</v>
      </c>
      <c r="J3125" s="1058"/>
      <c r="K3125" s="1062" t="s">
        <v>132</v>
      </c>
      <c r="L3125" s="1058"/>
      <c r="M3125" s="1062" t="s">
        <v>386</v>
      </c>
      <c r="N3125" s="1058"/>
    </row>
    <row r="3126" spans="1:15" ht="12.75" customHeight="1" x14ac:dyDescent="0.2">
      <c r="A3126" s="1061"/>
      <c r="B3126" s="1057"/>
      <c r="C3126" s="1057"/>
      <c r="D3126" s="1057"/>
      <c r="E3126" s="1057"/>
      <c r="F3126" s="1057"/>
      <c r="G3126" s="1058"/>
      <c r="H3126" s="9"/>
      <c r="I3126" s="1059"/>
      <c r="J3126" s="1058"/>
      <c r="K3126" s="1069"/>
      <c r="L3126" s="1058"/>
      <c r="M3126" s="1059" t="str">
        <f>IF(A3126="","",I3126*K3126)</f>
        <v/>
      </c>
      <c r="N3126" s="1058"/>
    </row>
    <row r="3127" spans="1:15" ht="12.75" customHeight="1" x14ac:dyDescent="0.2">
      <c r="A3127" s="1056"/>
      <c r="B3127" s="1057"/>
      <c r="C3127" s="1057"/>
      <c r="D3127" s="1057"/>
      <c r="E3127" s="1057"/>
      <c r="F3127" s="1057"/>
      <c r="G3127" s="1058"/>
      <c r="H3127" s="9"/>
      <c r="I3127" s="1059"/>
      <c r="J3127" s="1058"/>
      <c r="K3127" s="1060"/>
      <c r="L3127" s="1058"/>
      <c r="M3127" s="1059" t="str">
        <f>IF(A3127="","",I3127*K3127)</f>
        <v/>
      </c>
      <c r="N3127" s="1058"/>
    </row>
    <row r="3128" spans="1:15" ht="12.75" customHeight="1" x14ac:dyDescent="0.2">
      <c r="A3128" s="1061"/>
      <c r="B3128" s="1057"/>
      <c r="C3128" s="1057"/>
      <c r="D3128" s="1057"/>
      <c r="E3128" s="1057"/>
      <c r="F3128" s="1057"/>
      <c r="G3128" s="1058"/>
      <c r="H3128" s="9"/>
      <c r="I3128" s="1059"/>
      <c r="J3128" s="1058"/>
      <c r="K3128" s="1060"/>
      <c r="L3128" s="1058"/>
      <c r="M3128" s="1059" t="str">
        <f>IF(A3128="","",I3128*K3128)</f>
        <v/>
      </c>
      <c r="N3128" s="1058"/>
    </row>
    <row r="3129" spans="1:15" ht="12.75" customHeight="1" x14ac:dyDescent="0.2">
      <c r="A3129" s="1061"/>
      <c r="B3129" s="1057"/>
      <c r="C3129" s="1057"/>
      <c r="D3129" s="1057"/>
      <c r="E3129" s="1057"/>
      <c r="F3129" s="1057"/>
      <c r="G3129" s="1058"/>
      <c r="H3129" s="9"/>
      <c r="I3129" s="1059"/>
      <c r="J3129" s="1058"/>
      <c r="K3129" s="1060"/>
      <c r="L3129" s="1058"/>
      <c r="M3129" s="1059" t="str">
        <f>IF(A3129="","",I3129*K3129)</f>
        <v/>
      </c>
      <c r="N3129" s="1058"/>
    </row>
    <row r="3130" spans="1:15" ht="12.75" customHeight="1" x14ac:dyDescent="0.2">
      <c r="A3130" s="1061"/>
      <c r="B3130" s="1057"/>
      <c r="C3130" s="1057"/>
      <c r="D3130" s="1057"/>
      <c r="E3130" s="1057"/>
      <c r="F3130" s="1057"/>
      <c r="G3130" s="1058"/>
      <c r="H3130" s="9"/>
      <c r="I3130" s="1059"/>
      <c r="J3130" s="1058"/>
      <c r="K3130" s="1060"/>
      <c r="L3130" s="1058"/>
      <c r="M3130" s="1059" t="str">
        <f>IF(A3130="","",I3130*K3130)</f>
        <v/>
      </c>
      <c r="N3130" s="1058"/>
    </row>
    <row r="3131" spans="1:15" ht="12.75" customHeight="1" x14ac:dyDescent="0.25">
      <c r="A3131" s="3"/>
      <c r="B3131" s="3"/>
      <c r="C3131" s="3"/>
      <c r="D3131" s="3"/>
      <c r="E3131" s="3"/>
      <c r="F3131" s="3"/>
      <c r="G3131" s="3"/>
      <c r="H3131" s="3"/>
      <c r="I3131" s="3"/>
      <c r="J3131" s="3"/>
      <c r="K3131" s="1066" t="s">
        <v>201</v>
      </c>
      <c r="L3131" s="1058"/>
      <c r="M3131" s="1059">
        <f>SUM(M3126:N3130)</f>
        <v>0</v>
      </c>
      <c r="N3131" s="1058"/>
    </row>
    <row r="3132" spans="1:15" ht="12.75" customHeight="1" x14ac:dyDescent="0.25">
      <c r="A3132" s="3"/>
      <c r="B3132" s="3"/>
      <c r="C3132" s="3"/>
      <c r="D3132" s="3"/>
      <c r="E3132" s="3"/>
      <c r="F3132" s="3"/>
      <c r="G3132" s="3"/>
      <c r="H3132" s="3"/>
      <c r="I3132" s="3"/>
      <c r="J3132" s="3"/>
      <c r="K3132" s="3"/>
      <c r="L3132" s="3"/>
      <c r="M3132" s="3"/>
      <c r="N3132" s="3"/>
    </row>
    <row r="3133" spans="1:15" ht="12.75" customHeight="1" x14ac:dyDescent="0.2">
      <c r="A3133" s="1065" t="s">
        <v>394</v>
      </c>
      <c r="B3133" s="1057"/>
      <c r="C3133" s="1057"/>
      <c r="D3133" s="1057"/>
      <c r="E3133" s="1057"/>
      <c r="F3133" s="1057"/>
      <c r="G3133" s="1057"/>
      <c r="H3133" s="1057"/>
      <c r="I3133" s="1057"/>
      <c r="J3133" s="1057"/>
      <c r="K3133" s="1057"/>
      <c r="L3133" s="1057"/>
      <c r="M3133" s="1057"/>
      <c r="N3133" s="1058"/>
    </row>
    <row r="3134" spans="1:15" ht="12.75" customHeight="1" x14ac:dyDescent="0.2">
      <c r="A3134" s="1066" t="s">
        <v>38</v>
      </c>
      <c r="B3134" s="1057"/>
      <c r="C3134" s="1057"/>
      <c r="D3134" s="1057"/>
      <c r="E3134" s="1057"/>
      <c r="F3134" s="1057"/>
      <c r="G3134" s="1058"/>
      <c r="H3134" s="28" t="s">
        <v>39</v>
      </c>
      <c r="I3134" s="1062" t="s">
        <v>385</v>
      </c>
      <c r="J3134" s="1058"/>
      <c r="K3134" s="30" t="s">
        <v>193</v>
      </c>
      <c r="L3134" s="31" t="s">
        <v>395</v>
      </c>
      <c r="M3134" s="1062" t="s">
        <v>386</v>
      </c>
      <c r="N3134" s="1058"/>
    </row>
    <row r="3135" spans="1:15" ht="12.75" customHeight="1" x14ac:dyDescent="0.25">
      <c r="A3135" s="1063" t="s">
        <v>404</v>
      </c>
      <c r="B3135" s="1057"/>
      <c r="C3135" s="1057"/>
      <c r="D3135" s="1057"/>
      <c r="E3135" s="1057"/>
      <c r="F3135" s="1057"/>
      <c r="G3135" s="1058"/>
      <c r="H3135" s="9" t="str">
        <f>IF(A3135="","",VLOOKUP(A3135,AA_Cuadrillas,4,FALSE))</f>
        <v>Cuadrilla</v>
      </c>
      <c r="I3135" s="1059">
        <f>IF(A3135="","",VLOOKUP(A3135,AA_Cuadrillas,5,FALSE))</f>
        <v>213027</v>
      </c>
      <c r="J3135" s="1058"/>
      <c r="K3135" s="1">
        <f>IF(A3135="","",'06'!$J$3)</f>
        <v>1.7233500000000002</v>
      </c>
      <c r="L3135" s="32">
        <v>9.0192612279912515E-2</v>
      </c>
      <c r="M3135" s="1059">
        <f>IF(A3135="","",I3135*K3135*L3135)</f>
        <v>33111.519076197139</v>
      </c>
      <c r="N3135" s="1058"/>
    </row>
    <row r="3136" spans="1:15" ht="12.75" customHeight="1" x14ac:dyDescent="0.25">
      <c r="A3136" s="1063"/>
      <c r="B3136" s="1057"/>
      <c r="C3136" s="1057"/>
      <c r="D3136" s="1057"/>
      <c r="E3136" s="1057"/>
      <c r="F3136" s="1057"/>
      <c r="G3136" s="1058"/>
      <c r="H3136" s="9" t="str">
        <f>IF(A3136="","",VLOOKUP(A3136,AA_Cuadrillas,4,FALSE))</f>
        <v/>
      </c>
      <c r="I3136" s="1059" t="str">
        <f>IF(A3136="","",VLOOKUP(A3136,AA_Cuadrillas,5,FALSE))</f>
        <v/>
      </c>
      <c r="J3136" s="1058"/>
      <c r="K3136" s="1" t="str">
        <f>IF(A3136="","",'06'!$J$3)</f>
        <v/>
      </c>
      <c r="L3136" s="10"/>
      <c r="M3136" s="1059" t="str">
        <f>IF(A3136="","",I3136*K3136*L3136)</f>
        <v/>
      </c>
      <c r="N3136" s="1058"/>
    </row>
    <row r="3137" spans="1:14" ht="12.75" customHeight="1" x14ac:dyDescent="0.25">
      <c r="A3137" s="1063"/>
      <c r="B3137" s="1057"/>
      <c r="C3137" s="1057"/>
      <c r="D3137" s="1057"/>
      <c r="E3137" s="1057"/>
      <c r="F3137" s="1057"/>
      <c r="G3137" s="1058"/>
      <c r="H3137" s="9" t="str">
        <f>IF(A3137="","",VLOOKUP(A3137,AA_Cuadrillas,4,FALSE))</f>
        <v/>
      </c>
      <c r="I3137" s="1059" t="str">
        <f>IF(A3137="","",VLOOKUP(A3137,AA_Cuadrillas,5,FALSE))</f>
        <v/>
      </c>
      <c r="J3137" s="1058"/>
      <c r="K3137" s="1" t="str">
        <f>IF(A3137="","",'06'!$J$3)</f>
        <v/>
      </c>
      <c r="L3137" s="10"/>
      <c r="M3137" s="1059" t="str">
        <f>IF(A3137="","",I3137*K3137*L3137)</f>
        <v/>
      </c>
      <c r="N3137" s="1058"/>
    </row>
    <row r="3138" spans="1:14" ht="12.75" customHeight="1" x14ac:dyDescent="0.25">
      <c r="A3138" s="1063"/>
      <c r="B3138" s="1057"/>
      <c r="C3138" s="1057"/>
      <c r="D3138" s="1057"/>
      <c r="E3138" s="1057"/>
      <c r="F3138" s="1057"/>
      <c r="G3138" s="1058"/>
      <c r="H3138" s="9" t="str">
        <f>IF(A3138="","",VLOOKUP(A3138,AA_Cuadrillas,4,FALSE))</f>
        <v/>
      </c>
      <c r="I3138" s="1059" t="str">
        <f>IF(A3138="","",VLOOKUP(A3138,AA_Cuadrillas,5,FALSE))</f>
        <v/>
      </c>
      <c r="J3138" s="1058"/>
      <c r="K3138" s="1" t="str">
        <f>IF(A3138="","",'06'!$J$3)</f>
        <v/>
      </c>
      <c r="L3138" s="10"/>
      <c r="M3138" s="1059" t="str">
        <f>IF(A3138="","",I3138*K3138*L3138)</f>
        <v/>
      </c>
      <c r="N3138" s="1058"/>
    </row>
    <row r="3139" spans="1:14" ht="12.75" customHeight="1" x14ac:dyDescent="0.25">
      <c r="A3139" s="3"/>
      <c r="B3139" s="3"/>
      <c r="C3139" s="3"/>
      <c r="D3139" s="3"/>
      <c r="E3139" s="3"/>
      <c r="F3139" s="3"/>
      <c r="G3139" s="3"/>
      <c r="H3139" s="3"/>
      <c r="I3139" s="3"/>
      <c r="J3139" s="3"/>
      <c r="K3139" s="1066" t="s">
        <v>201</v>
      </c>
      <c r="L3139" s="1058"/>
      <c r="M3139" s="1059">
        <f>SUM(M3135:N3138)</f>
        <v>33111.519076197139</v>
      </c>
      <c r="N3139" s="1058"/>
    </row>
    <row r="3140" spans="1:14" ht="12.75" customHeight="1" x14ac:dyDescent="0.2"/>
    <row r="3141" spans="1:14" ht="12.75" customHeight="1" x14ac:dyDescent="0.2">
      <c r="A3141" s="1068" t="s">
        <v>1739</v>
      </c>
      <c r="B3141" s="1052"/>
      <c r="C3141" s="1052"/>
      <c r="D3141" s="1052"/>
      <c r="E3141" s="1052"/>
      <c r="F3141" s="1052"/>
      <c r="G3141" s="1052"/>
      <c r="H3141" s="1052"/>
      <c r="I3141" s="1052"/>
      <c r="J3141" s="1052"/>
      <c r="K3141" s="1052"/>
      <c r="L3141" s="1052"/>
      <c r="M3141" s="1052"/>
      <c r="N3141" s="1053"/>
    </row>
    <row r="3142" spans="1:14" ht="12.75" customHeight="1" x14ac:dyDescent="0.2">
      <c r="A3142" s="1031"/>
      <c r="B3142" s="1032"/>
      <c r="C3142" s="1032"/>
      <c r="D3142" s="1032"/>
      <c r="E3142" s="1032"/>
      <c r="F3142" s="1032"/>
      <c r="G3142" s="1032"/>
      <c r="H3142" s="1032"/>
      <c r="I3142" s="1032"/>
      <c r="J3142" s="1032"/>
      <c r="K3142" s="1032"/>
      <c r="L3142" s="1032"/>
      <c r="M3142" s="1032"/>
      <c r="N3142" s="1055"/>
    </row>
    <row r="3143" spans="1:14" ht="12.75" customHeight="1" x14ac:dyDescent="0.2">
      <c r="A3143" s="16"/>
      <c r="B3143" s="16"/>
      <c r="C3143" s="16"/>
      <c r="D3143" s="16"/>
      <c r="E3143" s="16"/>
      <c r="F3143" s="16"/>
      <c r="G3143" s="16"/>
      <c r="H3143" s="16"/>
      <c r="I3143" s="16"/>
      <c r="J3143" s="16"/>
      <c r="K3143" s="16"/>
      <c r="L3143" s="16"/>
      <c r="M3143" s="16"/>
      <c r="N3143" s="16"/>
    </row>
    <row r="3144" spans="1:14" ht="12.75" customHeight="1" x14ac:dyDescent="0.3">
      <c r="A3144" s="18" t="s">
        <v>364</v>
      </c>
      <c r="B3144" s="19" t="str">
        <f>A3141</f>
        <v>VÁLVULA DE CHEQUE DE BOLA EN HD Ø4"</v>
      </c>
      <c r="C3144" s="20" t="s">
        <v>382</v>
      </c>
      <c r="D3144" s="127" t="s">
        <v>424</v>
      </c>
      <c r="E3144" s="22" t="s">
        <v>125</v>
      </c>
      <c r="F3144" s="26">
        <f>(H3144+J3144+L3144+N3144)*$O$2</f>
        <v>7650934.4219399001</v>
      </c>
      <c r="G3144" s="22" t="s">
        <v>285</v>
      </c>
      <c r="H3144" s="26">
        <f>M3161</f>
        <v>35907.341463000004</v>
      </c>
      <c r="I3144" s="22" t="s">
        <v>383</v>
      </c>
      <c r="J3144" s="36">
        <f>M3152</f>
        <v>5131280</v>
      </c>
      <c r="K3144" s="22" t="s">
        <v>287</v>
      </c>
      <c r="L3144" s="26">
        <f>M3170</f>
        <v>0</v>
      </c>
      <c r="M3144" s="22" t="s">
        <v>288</v>
      </c>
      <c r="N3144" s="26">
        <f>M3178</f>
        <v>718146.82926000003</v>
      </c>
    </row>
    <row r="3145" spans="1:14" ht="12.75" customHeight="1" x14ac:dyDescent="0.25">
      <c r="A3145" s="27"/>
      <c r="B3145" s="27"/>
      <c r="C3145" s="27"/>
      <c r="D3145" s="27"/>
      <c r="E3145" s="27"/>
      <c r="F3145" s="27"/>
      <c r="G3145" s="27"/>
      <c r="J3145" s="27"/>
      <c r="K3145" s="27"/>
      <c r="L3145" s="27"/>
      <c r="M3145" s="27"/>
      <c r="N3145" s="27"/>
    </row>
    <row r="3146" spans="1:14" ht="12.75" customHeight="1" x14ac:dyDescent="0.2">
      <c r="A3146" s="1065" t="s">
        <v>384</v>
      </c>
      <c r="B3146" s="1057"/>
      <c r="C3146" s="1057"/>
      <c r="D3146" s="1057"/>
      <c r="E3146" s="1057"/>
      <c r="F3146" s="1057"/>
      <c r="G3146" s="1057"/>
      <c r="H3146" s="1057"/>
      <c r="I3146" s="1057"/>
      <c r="J3146" s="1057"/>
      <c r="K3146" s="1057"/>
      <c r="L3146" s="1057"/>
      <c r="M3146" s="1057"/>
      <c r="N3146" s="1058"/>
    </row>
    <row r="3147" spans="1:14" ht="12.75" customHeight="1" x14ac:dyDescent="0.2">
      <c r="A3147" s="1066" t="s">
        <v>38</v>
      </c>
      <c r="B3147" s="1057"/>
      <c r="C3147" s="1057"/>
      <c r="D3147" s="1057"/>
      <c r="E3147" s="1057"/>
      <c r="F3147" s="1057"/>
      <c r="G3147" s="1058"/>
      <c r="H3147" s="28" t="s">
        <v>39</v>
      </c>
      <c r="I3147" s="1062" t="s">
        <v>385</v>
      </c>
      <c r="J3147" s="1058"/>
      <c r="K3147" s="1062" t="s">
        <v>132</v>
      </c>
      <c r="L3147" s="1058"/>
      <c r="M3147" s="1062" t="s">
        <v>386</v>
      </c>
      <c r="N3147" s="1058"/>
    </row>
    <row r="3148" spans="1:14" ht="12.75" customHeight="1" x14ac:dyDescent="0.2">
      <c r="A3148" s="1061" t="s">
        <v>1573</v>
      </c>
      <c r="B3148" s="1057"/>
      <c r="C3148" s="1057"/>
      <c r="D3148" s="1057"/>
      <c r="E3148" s="1057"/>
      <c r="F3148" s="1057"/>
      <c r="G3148" s="1058"/>
      <c r="H3148" s="9" t="str">
        <f t="shared" ref="H3148" si="228">IF(A3148="","",VLOOKUP(A3148,AA_Materiales,7,FALSE))</f>
        <v>Unidad</v>
      </c>
      <c r="I3148" s="1059">
        <f t="shared" ref="I3148" si="229">IF(A3148="","",VLOOKUP(A3148,AA_Materiales,8,FALSE))</f>
        <v>5131280</v>
      </c>
      <c r="J3148" s="1058"/>
      <c r="K3148" s="1060">
        <v>1</v>
      </c>
      <c r="L3148" s="1058"/>
      <c r="M3148" s="1059">
        <f>IF(A3148="","",I3148*K3148)</f>
        <v>5131280</v>
      </c>
      <c r="N3148" s="1058"/>
    </row>
    <row r="3149" spans="1:14" ht="12.75" customHeight="1" x14ac:dyDescent="0.2">
      <c r="A3149" s="1056"/>
      <c r="B3149" s="1057"/>
      <c r="C3149" s="1057"/>
      <c r="D3149" s="1057"/>
      <c r="E3149" s="1057"/>
      <c r="F3149" s="1057"/>
      <c r="G3149" s="1058"/>
      <c r="H3149" s="9"/>
      <c r="I3149" s="1059"/>
      <c r="J3149" s="1058"/>
      <c r="K3149" s="1060"/>
      <c r="L3149" s="1058"/>
      <c r="M3149" s="1059"/>
      <c r="N3149" s="1058"/>
    </row>
    <row r="3150" spans="1:14" ht="12.75" customHeight="1" x14ac:dyDescent="0.2">
      <c r="A3150" s="1056"/>
      <c r="B3150" s="1057"/>
      <c r="C3150" s="1057"/>
      <c r="D3150" s="1057"/>
      <c r="E3150" s="1057"/>
      <c r="F3150" s="1057"/>
      <c r="G3150" s="1058"/>
      <c r="H3150" s="9" t="str">
        <f>IF(A3150="","",VLOOKUP(A3150,AA_Materiales,7,FALSE))</f>
        <v/>
      </c>
      <c r="I3150" s="1059" t="str">
        <f>IF(A3150="","",VLOOKUP(A3150,AA_Materiales,8,FALSE))</f>
        <v/>
      </c>
      <c r="J3150" s="1058"/>
      <c r="K3150" s="1060"/>
      <c r="L3150" s="1058"/>
      <c r="M3150" s="1059" t="str">
        <f>IF(A3150="","",I3150*K3150)</f>
        <v/>
      </c>
      <c r="N3150" s="1058"/>
    </row>
    <row r="3151" spans="1:14" ht="12.75" customHeight="1" x14ac:dyDescent="0.2">
      <c r="A3151" s="1056"/>
      <c r="B3151" s="1057"/>
      <c r="C3151" s="1057"/>
      <c r="D3151" s="1057"/>
      <c r="E3151" s="1057"/>
      <c r="F3151" s="1057"/>
      <c r="G3151" s="1058"/>
      <c r="H3151" s="9" t="str">
        <f>IF(A3151="","",VLOOKUP(A3151,AA_Materiales,7,FALSE))</f>
        <v/>
      </c>
      <c r="I3151" s="1059" t="str">
        <f>IF(A3151="","",VLOOKUP(A3151,AA_Materiales,8,FALSE))</f>
        <v/>
      </c>
      <c r="J3151" s="1058"/>
      <c r="K3151" s="1060"/>
      <c r="L3151" s="1058"/>
      <c r="M3151" s="1059" t="str">
        <f>IF(A3151="","",I3151*K3151)</f>
        <v/>
      </c>
      <c r="N3151" s="1058"/>
    </row>
    <row r="3152" spans="1:14" ht="12.75" customHeight="1" x14ac:dyDescent="0.25">
      <c r="A3152" s="3"/>
      <c r="B3152" s="3"/>
      <c r="C3152" s="3"/>
      <c r="D3152" s="3"/>
      <c r="E3152" s="3"/>
      <c r="F3152" s="3"/>
      <c r="G3152" s="3"/>
      <c r="H3152" s="3"/>
      <c r="I3152" s="3"/>
      <c r="J3152" s="3"/>
      <c r="K3152" s="1066" t="s">
        <v>201</v>
      </c>
      <c r="L3152" s="1058"/>
      <c r="M3152" s="1059">
        <f>SUM(M3148:N3151)</f>
        <v>5131280</v>
      </c>
      <c r="N3152" s="1058"/>
    </row>
    <row r="3153" spans="1:15" ht="12.75" customHeight="1" x14ac:dyDescent="0.25">
      <c r="A3153" s="3"/>
      <c r="B3153" s="3"/>
      <c r="C3153" s="3"/>
      <c r="D3153" s="3"/>
      <c r="E3153" s="3"/>
      <c r="F3153" s="3"/>
      <c r="G3153" s="3"/>
      <c r="H3153" s="3"/>
      <c r="I3153" s="3"/>
      <c r="J3153" s="3"/>
      <c r="K3153" s="3"/>
      <c r="L3153" s="3"/>
      <c r="M3153" s="3"/>
      <c r="N3153" s="3"/>
    </row>
    <row r="3154" spans="1:15" ht="12.75" customHeight="1" x14ac:dyDescent="0.2">
      <c r="A3154" s="1065" t="s">
        <v>390</v>
      </c>
      <c r="B3154" s="1057"/>
      <c r="C3154" s="1057"/>
      <c r="D3154" s="1057"/>
      <c r="E3154" s="1057"/>
      <c r="F3154" s="1057"/>
      <c r="G3154" s="1057"/>
      <c r="H3154" s="1057"/>
      <c r="I3154" s="1057"/>
      <c r="J3154" s="1057"/>
      <c r="K3154" s="1057"/>
      <c r="L3154" s="1057"/>
      <c r="M3154" s="1057"/>
      <c r="N3154" s="1058"/>
    </row>
    <row r="3155" spans="1:15" ht="12.75" customHeight="1" x14ac:dyDescent="0.2">
      <c r="A3155" s="1066" t="s">
        <v>38</v>
      </c>
      <c r="B3155" s="1057"/>
      <c r="C3155" s="1057"/>
      <c r="D3155" s="1057"/>
      <c r="E3155" s="1057"/>
      <c r="F3155" s="1057"/>
      <c r="G3155" s="1058"/>
      <c r="H3155" s="28" t="s">
        <v>39</v>
      </c>
      <c r="I3155" s="1062" t="s">
        <v>385</v>
      </c>
      <c r="J3155" s="1058"/>
      <c r="K3155" s="1062" t="s">
        <v>132</v>
      </c>
      <c r="L3155" s="1058"/>
      <c r="M3155" s="1062" t="s">
        <v>386</v>
      </c>
      <c r="N3155" s="1058"/>
    </row>
    <row r="3156" spans="1:15" ht="12.75" customHeight="1" x14ac:dyDescent="0.2">
      <c r="A3156" s="1061" t="s">
        <v>391</v>
      </c>
      <c r="B3156" s="1057"/>
      <c r="C3156" s="1057"/>
      <c r="D3156" s="1057"/>
      <c r="E3156" s="1057"/>
      <c r="F3156" s="1057"/>
      <c r="G3156" s="1058"/>
      <c r="H3156" s="9" t="str">
        <f>IF(A3156="","",VLOOKUP(A3156,AA_Equipos,7,FALSE))</f>
        <v>% M.O.</v>
      </c>
      <c r="I3156" s="1059">
        <f>+M3178</f>
        <v>718146.82926000003</v>
      </c>
      <c r="J3156" s="1058"/>
      <c r="K3156" s="1064">
        <v>0.05</v>
      </c>
      <c r="L3156" s="1058"/>
      <c r="M3156" s="1059">
        <f>IF(A3156="","",I3156*K3156)</f>
        <v>35907.341463000004</v>
      </c>
      <c r="N3156" s="1058"/>
    </row>
    <row r="3157" spans="1:15" ht="12.75" customHeight="1" x14ac:dyDescent="0.2">
      <c r="A3157" s="1061"/>
      <c r="B3157" s="1057"/>
      <c r="C3157" s="1057"/>
      <c r="D3157" s="1057"/>
      <c r="E3157" s="1057"/>
      <c r="F3157" s="1057"/>
      <c r="G3157" s="1058"/>
      <c r="H3157" s="9" t="str">
        <f>IF(A3157="","",VLOOKUP(A3157,AA_Equipos,7,FALSE))</f>
        <v/>
      </c>
      <c r="I3157" s="1059" t="str">
        <f>IF(A3157="","",VLOOKUP(A3157,AA_Equipos,8,FALSE))</f>
        <v/>
      </c>
      <c r="J3157" s="1058"/>
      <c r="K3157" s="1067"/>
      <c r="L3157" s="1058"/>
      <c r="M3157" s="1059" t="str">
        <f>IF(A3157="","",I3157*K3157)</f>
        <v/>
      </c>
      <c r="N3157" s="1058"/>
    </row>
    <row r="3158" spans="1:15" ht="12.75" customHeight="1" x14ac:dyDescent="0.2">
      <c r="A3158" s="1061"/>
      <c r="B3158" s="1057"/>
      <c r="C3158" s="1057"/>
      <c r="D3158" s="1057"/>
      <c r="E3158" s="1057"/>
      <c r="F3158" s="1057"/>
      <c r="G3158" s="1058"/>
      <c r="H3158" s="9" t="str">
        <f>IF(A3158="","",VLOOKUP(A3158,AA_Equipos,7,FALSE))</f>
        <v/>
      </c>
      <c r="I3158" s="1059" t="str">
        <f>IF(A3158="","",VLOOKUP(A3158,AA_Equipos,8,FALSE))</f>
        <v/>
      </c>
      <c r="J3158" s="1058"/>
      <c r="K3158" s="1067"/>
      <c r="L3158" s="1058"/>
      <c r="M3158" s="1059" t="str">
        <f>IF(A3158="","",I3158*K3158)</f>
        <v/>
      </c>
      <c r="N3158" s="1058"/>
    </row>
    <row r="3159" spans="1:15" ht="12.75" customHeight="1" x14ac:dyDescent="0.2">
      <c r="A3159" s="1061"/>
      <c r="B3159" s="1057"/>
      <c r="C3159" s="1057"/>
      <c r="D3159" s="1057"/>
      <c r="E3159" s="1057"/>
      <c r="F3159" s="1057"/>
      <c r="G3159" s="1058"/>
      <c r="H3159" s="9" t="str">
        <f>IF(A3159="","",VLOOKUP(A3159,AA_Equipos,7,FALSE))</f>
        <v/>
      </c>
      <c r="I3159" s="1059" t="str">
        <f>IF(A3159="","",VLOOKUP(A3159,AA_Equipos,8,FALSE))</f>
        <v/>
      </c>
      <c r="J3159" s="1058"/>
      <c r="K3159" s="1067"/>
      <c r="L3159" s="1058"/>
      <c r="M3159" s="1059" t="str">
        <f>IF(A3159="","",I3159*K3159)</f>
        <v/>
      </c>
      <c r="N3159" s="1058"/>
      <c r="O3159" s="7"/>
    </row>
    <row r="3160" spans="1:15" ht="12.75" customHeight="1" x14ac:dyDescent="0.2">
      <c r="A3160" s="1061"/>
      <c r="B3160" s="1057"/>
      <c r="C3160" s="1057"/>
      <c r="D3160" s="1057"/>
      <c r="E3160" s="1057"/>
      <c r="F3160" s="1057"/>
      <c r="G3160" s="1058"/>
      <c r="H3160" s="9" t="str">
        <f>IF(A3160="","",VLOOKUP(A3160,AA_Equipos,7,FALSE))</f>
        <v/>
      </c>
      <c r="I3160" s="1059" t="str">
        <f>IF(A3160="","",VLOOKUP(A3160,AA_Equipos,8,FALSE))</f>
        <v/>
      </c>
      <c r="J3160" s="1058"/>
      <c r="K3160" s="1060"/>
      <c r="L3160" s="1058"/>
      <c r="M3160" s="1059" t="str">
        <f>IF(A3160="","",I3160*K3160)</f>
        <v/>
      </c>
      <c r="N3160" s="1058"/>
      <c r="O3160" s="7"/>
    </row>
    <row r="3161" spans="1:15" ht="12.75" customHeight="1" x14ac:dyDescent="0.25">
      <c r="A3161" s="3"/>
      <c r="B3161" s="3"/>
      <c r="C3161" s="3"/>
      <c r="D3161" s="3"/>
      <c r="E3161" s="3"/>
      <c r="F3161" s="3"/>
      <c r="G3161" s="3"/>
      <c r="H3161" s="3"/>
      <c r="I3161" s="3"/>
      <c r="J3161" s="3"/>
      <c r="K3161" s="1066" t="s">
        <v>201</v>
      </c>
      <c r="L3161" s="1058"/>
      <c r="M3161" s="1059">
        <f>SUM(M3156:N3160)</f>
        <v>35907.341463000004</v>
      </c>
      <c r="N3161" s="1058"/>
    </row>
    <row r="3162" spans="1:15" ht="12.75" customHeight="1" x14ac:dyDescent="0.25">
      <c r="A3162" s="3"/>
      <c r="B3162" s="3"/>
      <c r="C3162" s="3"/>
      <c r="D3162" s="3"/>
      <c r="E3162" s="3"/>
      <c r="F3162" s="3"/>
      <c r="G3162" s="3"/>
      <c r="H3162" s="3"/>
      <c r="I3162" s="3"/>
      <c r="J3162" s="3"/>
      <c r="K3162" s="3"/>
      <c r="L3162" s="3"/>
      <c r="M3162" s="3"/>
      <c r="N3162" s="3"/>
    </row>
    <row r="3163" spans="1:15" ht="12.75" customHeight="1" x14ac:dyDescent="0.2">
      <c r="A3163" s="1065" t="s">
        <v>392</v>
      </c>
      <c r="B3163" s="1057"/>
      <c r="C3163" s="1057"/>
      <c r="D3163" s="1057"/>
      <c r="E3163" s="1057"/>
      <c r="F3163" s="1057"/>
      <c r="G3163" s="1057"/>
      <c r="H3163" s="1057"/>
      <c r="I3163" s="1057"/>
      <c r="J3163" s="1057"/>
      <c r="K3163" s="1057"/>
      <c r="L3163" s="1057"/>
      <c r="M3163" s="1057"/>
      <c r="N3163" s="1058"/>
    </row>
    <row r="3164" spans="1:15" ht="12.75" customHeight="1" x14ac:dyDescent="0.2">
      <c r="A3164" s="1066" t="s">
        <v>38</v>
      </c>
      <c r="B3164" s="1057"/>
      <c r="C3164" s="1057"/>
      <c r="D3164" s="1057"/>
      <c r="E3164" s="1057"/>
      <c r="F3164" s="1057"/>
      <c r="G3164" s="1058"/>
      <c r="H3164" s="28" t="s">
        <v>39</v>
      </c>
      <c r="I3164" s="1062" t="s">
        <v>385</v>
      </c>
      <c r="J3164" s="1058"/>
      <c r="K3164" s="1062" t="s">
        <v>132</v>
      </c>
      <c r="L3164" s="1058"/>
      <c r="M3164" s="1062" t="s">
        <v>386</v>
      </c>
      <c r="N3164" s="1058"/>
    </row>
    <row r="3165" spans="1:15" ht="12.75" customHeight="1" x14ac:dyDescent="0.2">
      <c r="A3165" s="1061"/>
      <c r="B3165" s="1057"/>
      <c r="C3165" s="1057"/>
      <c r="D3165" s="1057"/>
      <c r="E3165" s="1057"/>
      <c r="F3165" s="1057"/>
      <c r="G3165" s="1058"/>
      <c r="H3165" s="9"/>
      <c r="I3165" s="1059"/>
      <c r="J3165" s="1058"/>
      <c r="K3165" s="1060"/>
      <c r="L3165" s="1058"/>
      <c r="M3165" s="1059" t="str">
        <f>IF(A3165="","",I3165*K3165)</f>
        <v/>
      </c>
      <c r="N3165" s="1058"/>
    </row>
    <row r="3166" spans="1:15" ht="12.75" customHeight="1" x14ac:dyDescent="0.2">
      <c r="A3166" s="1056"/>
      <c r="B3166" s="1057"/>
      <c r="C3166" s="1057"/>
      <c r="D3166" s="1057"/>
      <c r="E3166" s="1057"/>
      <c r="F3166" s="1057"/>
      <c r="G3166" s="1058"/>
      <c r="H3166" s="9"/>
      <c r="I3166" s="1059"/>
      <c r="J3166" s="1058"/>
      <c r="K3166" s="1060"/>
      <c r="L3166" s="1058"/>
      <c r="M3166" s="1059" t="str">
        <f>IF(A3166="","",I3166*K3166)</f>
        <v/>
      </c>
      <c r="N3166" s="1058"/>
    </row>
    <row r="3167" spans="1:15" ht="12.75" customHeight="1" x14ac:dyDescent="0.2">
      <c r="A3167" s="1061"/>
      <c r="B3167" s="1057"/>
      <c r="C3167" s="1057"/>
      <c r="D3167" s="1057"/>
      <c r="E3167" s="1057"/>
      <c r="F3167" s="1057"/>
      <c r="G3167" s="1058"/>
      <c r="H3167" s="9"/>
      <c r="I3167" s="1059"/>
      <c r="J3167" s="1058"/>
      <c r="K3167" s="1060"/>
      <c r="L3167" s="1058"/>
      <c r="M3167" s="1059" t="str">
        <f>IF(A3167="","",I3167*K3167)</f>
        <v/>
      </c>
      <c r="N3167" s="1058"/>
    </row>
    <row r="3168" spans="1:15" ht="12.75" customHeight="1" x14ac:dyDescent="0.2">
      <c r="A3168" s="1061"/>
      <c r="B3168" s="1057"/>
      <c r="C3168" s="1057"/>
      <c r="D3168" s="1057"/>
      <c r="E3168" s="1057"/>
      <c r="F3168" s="1057"/>
      <c r="G3168" s="1058"/>
      <c r="H3168" s="9"/>
      <c r="I3168" s="1059"/>
      <c r="J3168" s="1058"/>
      <c r="K3168" s="1060"/>
      <c r="L3168" s="1058"/>
      <c r="M3168" s="1059" t="str">
        <f>IF(A3168="","",I3168*K3168)</f>
        <v/>
      </c>
      <c r="N3168" s="1058"/>
    </row>
    <row r="3169" spans="1:14" ht="12.75" customHeight="1" x14ac:dyDescent="0.2">
      <c r="A3169" s="1061"/>
      <c r="B3169" s="1057"/>
      <c r="C3169" s="1057"/>
      <c r="D3169" s="1057"/>
      <c r="E3169" s="1057"/>
      <c r="F3169" s="1057"/>
      <c r="G3169" s="1058"/>
      <c r="H3169" s="9"/>
      <c r="I3169" s="1059"/>
      <c r="J3169" s="1058"/>
      <c r="K3169" s="1060"/>
      <c r="L3169" s="1058"/>
      <c r="M3169" s="1059" t="str">
        <f>IF(A3169="","",I3169*K3169)</f>
        <v/>
      </c>
      <c r="N3169" s="1058"/>
    </row>
    <row r="3170" spans="1:14" ht="12.75" customHeight="1" x14ac:dyDescent="0.25">
      <c r="A3170" s="3"/>
      <c r="B3170" s="3"/>
      <c r="C3170" s="3"/>
      <c r="D3170" s="3"/>
      <c r="E3170" s="3"/>
      <c r="F3170" s="3"/>
      <c r="G3170" s="3"/>
      <c r="H3170" s="3"/>
      <c r="I3170" s="3"/>
      <c r="J3170" s="3"/>
      <c r="K3170" s="1066" t="s">
        <v>201</v>
      </c>
      <c r="L3170" s="1058"/>
      <c r="M3170" s="1059">
        <f>SUM(M3165:N3169)</f>
        <v>0</v>
      </c>
      <c r="N3170" s="1058"/>
    </row>
    <row r="3171" spans="1:14" ht="12.75" customHeight="1" x14ac:dyDescent="0.25">
      <c r="A3171" s="3"/>
      <c r="B3171" s="3"/>
      <c r="C3171" s="3"/>
      <c r="D3171" s="3"/>
      <c r="E3171" s="3"/>
      <c r="F3171" s="3"/>
      <c r="G3171" s="3"/>
      <c r="H3171" s="3"/>
      <c r="I3171" s="3"/>
      <c r="J3171" s="3"/>
      <c r="K3171" s="3"/>
      <c r="L3171" s="3"/>
      <c r="M3171" s="3"/>
      <c r="N3171" s="3"/>
    </row>
    <row r="3172" spans="1:14" ht="12.75" customHeight="1" x14ac:dyDescent="0.2">
      <c r="A3172" s="1065" t="s">
        <v>394</v>
      </c>
      <c r="B3172" s="1057"/>
      <c r="C3172" s="1057"/>
      <c r="D3172" s="1057"/>
      <c r="E3172" s="1057"/>
      <c r="F3172" s="1057"/>
      <c r="G3172" s="1057"/>
      <c r="H3172" s="1057"/>
      <c r="I3172" s="1057"/>
      <c r="J3172" s="1057"/>
      <c r="K3172" s="1057"/>
      <c r="L3172" s="1057"/>
      <c r="M3172" s="1057"/>
      <c r="N3172" s="1058"/>
    </row>
    <row r="3173" spans="1:14" ht="12.75" customHeight="1" x14ac:dyDescent="0.2">
      <c r="A3173" s="1066" t="s">
        <v>38</v>
      </c>
      <c r="B3173" s="1057"/>
      <c r="C3173" s="1057"/>
      <c r="D3173" s="1057"/>
      <c r="E3173" s="1057"/>
      <c r="F3173" s="1057"/>
      <c r="G3173" s="1058"/>
      <c r="H3173" s="28" t="s">
        <v>39</v>
      </c>
      <c r="I3173" s="1062" t="s">
        <v>385</v>
      </c>
      <c r="J3173" s="1058"/>
      <c r="K3173" s="30" t="s">
        <v>193</v>
      </c>
      <c r="L3173" s="31" t="s">
        <v>395</v>
      </c>
      <c r="M3173" s="1062" t="s">
        <v>386</v>
      </c>
      <c r="N3173" s="1058"/>
    </row>
    <row r="3174" spans="1:14" ht="12.75" customHeight="1" x14ac:dyDescent="0.25">
      <c r="A3174" s="1063" t="s">
        <v>530</v>
      </c>
      <c r="B3174" s="1057"/>
      <c r="C3174" s="1057"/>
      <c r="D3174" s="1057"/>
      <c r="E3174" s="1057"/>
      <c r="F3174" s="1057"/>
      <c r="G3174" s="1058"/>
      <c r="H3174" s="9" t="str">
        <f>IF(A3174="","",VLOOKUP(A3174,AA_Cuadrillas,4,FALSE))</f>
        <v>Cuadrilla</v>
      </c>
      <c r="I3174" s="1059">
        <f>IF(A3174="","",VLOOKUP(A3174,AA_Cuadrillas,5,FALSE))</f>
        <v>347263</v>
      </c>
      <c r="J3174" s="1058"/>
      <c r="K3174" s="1">
        <f>IF(A3174="","",'06'!$J$3)</f>
        <v>1.7233500000000002</v>
      </c>
      <c r="L3174" s="1">
        <v>1.2</v>
      </c>
      <c r="M3174" s="1059">
        <f>IF(A3174="","",I3174*K3174*L3174)</f>
        <v>718146.82926000003</v>
      </c>
      <c r="N3174" s="1058"/>
    </row>
    <row r="3175" spans="1:14" ht="12.75" customHeight="1" x14ac:dyDescent="0.25">
      <c r="A3175" s="1063"/>
      <c r="B3175" s="1057"/>
      <c r="C3175" s="1057"/>
      <c r="D3175" s="1057"/>
      <c r="E3175" s="1057"/>
      <c r="F3175" s="1057"/>
      <c r="G3175" s="1058"/>
      <c r="H3175" s="9" t="str">
        <f>IF(A3175="","",VLOOKUP(A3175,AA_Cuadrillas,4,FALSE))</f>
        <v/>
      </c>
      <c r="I3175" s="1059" t="str">
        <f>IF(A3175="","",VLOOKUP(A3175,AA_Cuadrillas,5,FALSE))</f>
        <v/>
      </c>
      <c r="J3175" s="1058"/>
      <c r="K3175" s="1" t="str">
        <f>IF(A3175="","",'06'!$J$3)</f>
        <v/>
      </c>
      <c r="L3175" s="10"/>
      <c r="M3175" s="1059" t="str">
        <f>IF(A3175="","",I3175*K3175*L3175)</f>
        <v/>
      </c>
      <c r="N3175" s="1058"/>
    </row>
    <row r="3176" spans="1:14" ht="12.75" customHeight="1" x14ac:dyDescent="0.25">
      <c r="A3176" s="1063"/>
      <c r="B3176" s="1057"/>
      <c r="C3176" s="1057"/>
      <c r="D3176" s="1057"/>
      <c r="E3176" s="1057"/>
      <c r="F3176" s="1057"/>
      <c r="G3176" s="1058"/>
      <c r="H3176" s="9" t="str">
        <f>IF(A3176="","",VLOOKUP(A3176,AA_Cuadrillas,4,FALSE))</f>
        <v/>
      </c>
      <c r="I3176" s="1059" t="str">
        <f>IF(A3176="","",VLOOKUP(A3176,AA_Cuadrillas,5,FALSE))</f>
        <v/>
      </c>
      <c r="J3176" s="1058"/>
      <c r="K3176" s="1" t="str">
        <f>IF(A3176="","",'06'!$J$3)</f>
        <v/>
      </c>
      <c r="L3176" s="10"/>
      <c r="M3176" s="1059" t="str">
        <f>IF(A3176="","",I3176*K3176*L3176)</f>
        <v/>
      </c>
      <c r="N3176" s="1058"/>
    </row>
    <row r="3177" spans="1:14" ht="12.75" customHeight="1" x14ac:dyDescent="0.25">
      <c r="A3177" s="1063"/>
      <c r="B3177" s="1057"/>
      <c r="C3177" s="1057"/>
      <c r="D3177" s="1057"/>
      <c r="E3177" s="1057"/>
      <c r="F3177" s="1057"/>
      <c r="G3177" s="1058"/>
      <c r="H3177" s="9" t="str">
        <f>IF(A3177="","",VLOOKUP(A3177,AA_Cuadrillas,4,FALSE))</f>
        <v/>
      </c>
      <c r="I3177" s="1059" t="str">
        <f>IF(A3177="","",VLOOKUP(A3177,AA_Cuadrillas,5,FALSE))</f>
        <v/>
      </c>
      <c r="J3177" s="1058"/>
      <c r="K3177" s="1" t="str">
        <f>IF(A3177="","",'06'!$J$3)</f>
        <v/>
      </c>
      <c r="L3177" s="10"/>
      <c r="M3177" s="1059" t="str">
        <f>IF(A3177="","",I3177*K3177*L3177)</f>
        <v/>
      </c>
      <c r="N3177" s="1058"/>
    </row>
    <row r="3178" spans="1:14" ht="12.75" customHeight="1" x14ac:dyDescent="0.25">
      <c r="A3178" s="3"/>
      <c r="B3178" s="3"/>
      <c r="C3178" s="3"/>
      <c r="D3178" s="3"/>
      <c r="E3178" s="3"/>
      <c r="F3178" s="3"/>
      <c r="G3178" s="3"/>
      <c r="H3178" s="3"/>
      <c r="I3178" s="3"/>
      <c r="J3178" s="3"/>
      <c r="K3178" s="1066" t="s">
        <v>201</v>
      </c>
      <c r="L3178" s="1058"/>
      <c r="M3178" s="1059">
        <f>SUM(M3174:N3177)</f>
        <v>718146.82926000003</v>
      </c>
      <c r="N3178" s="1058"/>
    </row>
    <row r="3179" spans="1:14" ht="12.75" customHeight="1" x14ac:dyDescent="0.2"/>
    <row r="3180" spans="1:14" ht="12.75" customHeight="1" x14ac:dyDescent="0.2">
      <c r="A3180" s="1068" t="s">
        <v>1740</v>
      </c>
      <c r="B3180" s="1052"/>
      <c r="C3180" s="1052"/>
      <c r="D3180" s="1052"/>
      <c r="E3180" s="1052"/>
      <c r="F3180" s="1052"/>
      <c r="G3180" s="1052"/>
      <c r="H3180" s="1052"/>
      <c r="I3180" s="1052"/>
      <c r="J3180" s="1052"/>
      <c r="K3180" s="1052"/>
      <c r="L3180" s="1052"/>
      <c r="M3180" s="1052"/>
      <c r="N3180" s="1053"/>
    </row>
    <row r="3181" spans="1:14" ht="12.75" customHeight="1" x14ac:dyDescent="0.2">
      <c r="A3181" s="1031"/>
      <c r="B3181" s="1032"/>
      <c r="C3181" s="1032"/>
      <c r="D3181" s="1032"/>
      <c r="E3181" s="1032"/>
      <c r="F3181" s="1032"/>
      <c r="G3181" s="1032"/>
      <c r="H3181" s="1032"/>
      <c r="I3181" s="1032"/>
      <c r="J3181" s="1032"/>
      <c r="K3181" s="1032"/>
      <c r="L3181" s="1032"/>
      <c r="M3181" s="1032"/>
      <c r="N3181" s="1055"/>
    </row>
    <row r="3182" spans="1:14" ht="12.75" customHeight="1" x14ac:dyDescent="0.2">
      <c r="A3182" s="16"/>
      <c r="B3182" s="16"/>
      <c r="C3182" s="16"/>
      <c r="D3182" s="16"/>
      <c r="E3182" s="16"/>
      <c r="F3182" s="16"/>
      <c r="G3182" s="16"/>
      <c r="H3182" s="16"/>
      <c r="I3182" s="16"/>
      <c r="J3182" s="16"/>
      <c r="K3182" s="16"/>
      <c r="L3182" s="16"/>
      <c r="M3182" s="16"/>
      <c r="N3182" s="16"/>
    </row>
    <row r="3183" spans="1:14" ht="12.75" customHeight="1" x14ac:dyDescent="0.3">
      <c r="A3183" s="18" t="s">
        <v>365</v>
      </c>
      <c r="B3183" s="19" t="str">
        <f>A3180</f>
        <v>TUBERÍA PVC Ø4"-DI 110mm RDE 21</v>
      </c>
      <c r="C3183" s="20" t="s">
        <v>382</v>
      </c>
      <c r="D3183" s="127" t="s">
        <v>419</v>
      </c>
      <c r="E3183" s="22" t="s">
        <v>125</v>
      </c>
      <c r="F3183" s="26">
        <f>(H3183+J3183+L3183+N3183)*$O$2</f>
        <v>144541.24635794284</v>
      </c>
      <c r="G3183" s="22" t="s">
        <v>285</v>
      </c>
      <c r="H3183" s="26">
        <f>M3202</f>
        <v>827.79254546799211</v>
      </c>
      <c r="I3183" s="22" t="s">
        <v>383</v>
      </c>
      <c r="J3183" s="26">
        <f>M3193</f>
        <v>93801.930666666667</v>
      </c>
      <c r="K3183" s="22" t="s">
        <v>287</v>
      </c>
      <c r="L3183" s="26">
        <f>M3211</f>
        <v>0</v>
      </c>
      <c r="M3183" s="22" t="s">
        <v>288</v>
      </c>
      <c r="N3183" s="26">
        <f>M3219</f>
        <v>16555.85090935984</v>
      </c>
    </row>
    <row r="3184" spans="1:14" ht="12.75" customHeight="1" x14ac:dyDescent="0.25">
      <c r="A3184" s="27"/>
      <c r="B3184" s="27"/>
      <c r="C3184" s="27"/>
      <c r="D3184" s="27"/>
      <c r="E3184" s="27"/>
      <c r="F3184" s="27"/>
      <c r="G3184" s="27"/>
      <c r="J3184" s="27"/>
      <c r="K3184" s="27"/>
      <c r="L3184" s="27"/>
      <c r="M3184" s="27"/>
      <c r="N3184" s="27"/>
    </row>
    <row r="3185" spans="1:15" ht="12.75" customHeight="1" x14ac:dyDescent="0.2">
      <c r="A3185" s="1065" t="s">
        <v>384</v>
      </c>
      <c r="B3185" s="1057"/>
      <c r="C3185" s="1057"/>
      <c r="D3185" s="1057"/>
      <c r="E3185" s="1057"/>
      <c r="F3185" s="1057"/>
      <c r="G3185" s="1057"/>
      <c r="H3185" s="1057"/>
      <c r="I3185" s="1057"/>
      <c r="J3185" s="1057"/>
      <c r="K3185" s="1057"/>
      <c r="L3185" s="1057"/>
      <c r="M3185" s="1057"/>
      <c r="N3185" s="1058"/>
    </row>
    <row r="3186" spans="1:15" ht="12.75" customHeight="1" x14ac:dyDescent="0.2">
      <c r="A3186" s="1066" t="s">
        <v>38</v>
      </c>
      <c r="B3186" s="1057"/>
      <c r="C3186" s="1057"/>
      <c r="D3186" s="1057"/>
      <c r="E3186" s="1057"/>
      <c r="F3186" s="1057"/>
      <c r="G3186" s="1058"/>
      <c r="H3186" s="28" t="s">
        <v>39</v>
      </c>
      <c r="I3186" s="1062" t="s">
        <v>385</v>
      </c>
      <c r="J3186" s="1058"/>
      <c r="K3186" s="1062" t="s">
        <v>132</v>
      </c>
      <c r="L3186" s="1058"/>
      <c r="M3186" s="1062" t="s">
        <v>386</v>
      </c>
      <c r="N3186" s="1058"/>
    </row>
    <row r="3187" spans="1:15" ht="12.75" customHeight="1" x14ac:dyDescent="0.2">
      <c r="A3187" s="1061" t="s">
        <v>1570</v>
      </c>
      <c r="B3187" s="1057"/>
      <c r="C3187" s="1057"/>
      <c r="D3187" s="1057"/>
      <c r="E3187" s="1057"/>
      <c r="F3187" s="1057"/>
      <c r="G3187" s="1058"/>
      <c r="H3187" s="9" t="str">
        <f t="shared" ref="H3187" si="230">IF(A3187="","",VLOOKUP(A3187,AA_Materiales,7,FALSE))</f>
        <v>m</v>
      </c>
      <c r="I3187" s="1059">
        <f t="shared" ref="I3187" si="231">IF(A3187="","",VLOOKUP(A3187,AA_Materiales,8,FALSE))</f>
        <v>93801.930666666667</v>
      </c>
      <c r="J3187" s="1058"/>
      <c r="K3187" s="1060">
        <v>1</v>
      </c>
      <c r="L3187" s="1058"/>
      <c r="M3187" s="1059">
        <f t="shared" ref="M3187:M3192" si="232">IF(A3187="","",I3187*K3187)</f>
        <v>93801.930666666667</v>
      </c>
      <c r="N3187" s="1058"/>
    </row>
    <row r="3188" spans="1:15" ht="12.75" customHeight="1" x14ac:dyDescent="0.2">
      <c r="A3188" s="1056"/>
      <c r="B3188" s="1057"/>
      <c r="C3188" s="1057"/>
      <c r="D3188" s="1057"/>
      <c r="E3188" s="1057"/>
      <c r="F3188" s="1057"/>
      <c r="G3188" s="1058"/>
      <c r="H3188" s="9" t="str">
        <f t="shared" ref="H3188:H3192" si="233">IF(A3188="","",VLOOKUP(A3188,AA_Materiales,7,FALSE))</f>
        <v/>
      </c>
      <c r="I3188" s="1059" t="str">
        <f t="shared" ref="I3188:I3192" si="234">IF(A3188="","",VLOOKUP(A3188,AA_Materiales,8,FALSE))</f>
        <v/>
      </c>
      <c r="J3188" s="1058"/>
      <c r="K3188" s="1060"/>
      <c r="L3188" s="1058"/>
      <c r="M3188" s="1059" t="str">
        <f t="shared" si="232"/>
        <v/>
      </c>
      <c r="N3188" s="1058"/>
    </row>
    <row r="3189" spans="1:15" ht="12.75" customHeight="1" x14ac:dyDescent="0.2">
      <c r="A3189" s="1056"/>
      <c r="B3189" s="1057"/>
      <c r="C3189" s="1057"/>
      <c r="D3189" s="1057"/>
      <c r="E3189" s="1057"/>
      <c r="F3189" s="1057"/>
      <c r="G3189" s="1058"/>
      <c r="H3189" s="9" t="str">
        <f t="shared" si="233"/>
        <v/>
      </c>
      <c r="I3189" s="1059" t="str">
        <f t="shared" si="234"/>
        <v/>
      </c>
      <c r="J3189" s="1058"/>
      <c r="K3189" s="1060"/>
      <c r="L3189" s="1058"/>
      <c r="M3189" s="1059" t="str">
        <f t="shared" si="232"/>
        <v/>
      </c>
      <c r="N3189" s="1058"/>
    </row>
    <row r="3190" spans="1:15" ht="12.75" customHeight="1" x14ac:dyDescent="0.2">
      <c r="A3190" s="1056"/>
      <c r="B3190" s="1057"/>
      <c r="C3190" s="1057"/>
      <c r="D3190" s="1057"/>
      <c r="E3190" s="1057"/>
      <c r="F3190" s="1057"/>
      <c r="G3190" s="1058"/>
      <c r="H3190" s="9" t="str">
        <f t="shared" si="233"/>
        <v/>
      </c>
      <c r="I3190" s="1059" t="str">
        <f t="shared" si="234"/>
        <v/>
      </c>
      <c r="J3190" s="1058"/>
      <c r="K3190" s="1060"/>
      <c r="L3190" s="1058"/>
      <c r="M3190" s="1059" t="str">
        <f t="shared" si="232"/>
        <v/>
      </c>
      <c r="N3190" s="1058"/>
    </row>
    <row r="3191" spans="1:15" ht="12.75" customHeight="1" x14ac:dyDescent="0.2">
      <c r="A3191" s="1056"/>
      <c r="B3191" s="1057"/>
      <c r="C3191" s="1057"/>
      <c r="D3191" s="1057"/>
      <c r="E3191" s="1057"/>
      <c r="F3191" s="1057"/>
      <c r="G3191" s="1058"/>
      <c r="H3191" s="9" t="str">
        <f t="shared" si="233"/>
        <v/>
      </c>
      <c r="I3191" s="1059" t="str">
        <f t="shared" si="234"/>
        <v/>
      </c>
      <c r="J3191" s="1058"/>
      <c r="K3191" s="1060"/>
      <c r="L3191" s="1058"/>
      <c r="M3191" s="1059" t="str">
        <f t="shared" si="232"/>
        <v/>
      </c>
      <c r="N3191" s="1058"/>
    </row>
    <row r="3192" spans="1:15" ht="12.75" customHeight="1" x14ac:dyDescent="0.2">
      <c r="A3192" s="1056"/>
      <c r="B3192" s="1057"/>
      <c r="C3192" s="1057"/>
      <c r="D3192" s="1057"/>
      <c r="E3192" s="1057"/>
      <c r="F3192" s="1057"/>
      <c r="G3192" s="1058"/>
      <c r="H3192" s="9" t="str">
        <f t="shared" si="233"/>
        <v/>
      </c>
      <c r="I3192" s="1059" t="str">
        <f t="shared" si="234"/>
        <v/>
      </c>
      <c r="J3192" s="1058"/>
      <c r="K3192" s="1060"/>
      <c r="L3192" s="1058"/>
      <c r="M3192" s="1059" t="str">
        <f t="shared" si="232"/>
        <v/>
      </c>
      <c r="N3192" s="1058"/>
    </row>
    <row r="3193" spans="1:15" ht="12.75" customHeight="1" x14ac:dyDescent="0.25">
      <c r="A3193" s="3"/>
      <c r="B3193" s="3"/>
      <c r="C3193" s="3"/>
      <c r="D3193" s="3"/>
      <c r="E3193" s="3"/>
      <c r="F3193" s="3"/>
      <c r="G3193" s="3"/>
      <c r="H3193" s="3"/>
      <c r="I3193" s="3"/>
      <c r="J3193" s="3"/>
      <c r="K3193" s="1066" t="s">
        <v>201</v>
      </c>
      <c r="L3193" s="1058"/>
      <c r="M3193" s="1059">
        <f>SUM(M3187:N3192)</f>
        <v>93801.930666666667</v>
      </c>
      <c r="N3193" s="1058"/>
    </row>
    <row r="3194" spans="1:15" ht="12.75" customHeight="1" x14ac:dyDescent="0.25">
      <c r="A3194" s="3"/>
      <c r="B3194" s="3"/>
      <c r="C3194" s="3"/>
      <c r="D3194" s="3"/>
      <c r="E3194" s="3"/>
      <c r="F3194" s="3"/>
      <c r="G3194" s="3"/>
      <c r="H3194" s="3"/>
      <c r="I3194" s="3"/>
      <c r="J3194" s="3"/>
      <c r="K3194" s="3"/>
      <c r="L3194" s="3"/>
      <c r="M3194" s="3"/>
      <c r="N3194" s="3"/>
    </row>
    <row r="3195" spans="1:15" ht="12.75" customHeight="1" x14ac:dyDescent="0.2">
      <c r="A3195" s="1065" t="s">
        <v>390</v>
      </c>
      <c r="B3195" s="1057"/>
      <c r="C3195" s="1057"/>
      <c r="D3195" s="1057"/>
      <c r="E3195" s="1057"/>
      <c r="F3195" s="1057"/>
      <c r="G3195" s="1057"/>
      <c r="H3195" s="1057"/>
      <c r="I3195" s="1057"/>
      <c r="J3195" s="1057"/>
      <c r="K3195" s="1057"/>
      <c r="L3195" s="1057"/>
      <c r="M3195" s="1057"/>
      <c r="N3195" s="1058"/>
    </row>
    <row r="3196" spans="1:15" ht="12.75" customHeight="1" x14ac:dyDescent="0.2">
      <c r="A3196" s="1066" t="s">
        <v>38</v>
      </c>
      <c r="B3196" s="1057"/>
      <c r="C3196" s="1057"/>
      <c r="D3196" s="1057"/>
      <c r="E3196" s="1057"/>
      <c r="F3196" s="1057"/>
      <c r="G3196" s="1058"/>
      <c r="H3196" s="28" t="s">
        <v>39</v>
      </c>
      <c r="I3196" s="1062" t="s">
        <v>385</v>
      </c>
      <c r="J3196" s="1058"/>
      <c r="K3196" s="1062" t="s">
        <v>132</v>
      </c>
      <c r="L3196" s="1058"/>
      <c r="M3196" s="1062" t="s">
        <v>386</v>
      </c>
      <c r="N3196" s="1058"/>
    </row>
    <row r="3197" spans="1:15" ht="12.75" customHeight="1" x14ac:dyDescent="0.2">
      <c r="A3197" s="1061" t="s">
        <v>391</v>
      </c>
      <c r="B3197" s="1057"/>
      <c r="C3197" s="1057"/>
      <c r="D3197" s="1057"/>
      <c r="E3197" s="1057"/>
      <c r="F3197" s="1057"/>
      <c r="G3197" s="1058"/>
      <c r="H3197" s="9" t="str">
        <f>IF(A3197="","",VLOOKUP(A3197,AA_Equipos,7,FALSE))</f>
        <v>% M.O.</v>
      </c>
      <c r="I3197" s="1059">
        <f>+M3219</f>
        <v>16555.85090935984</v>
      </c>
      <c r="J3197" s="1058"/>
      <c r="K3197" s="1064">
        <v>0.05</v>
      </c>
      <c r="L3197" s="1058"/>
      <c r="M3197" s="1059">
        <f>IF(A3197="","",I3197*K3197)</f>
        <v>827.79254546799211</v>
      </c>
      <c r="N3197" s="1058"/>
    </row>
    <row r="3198" spans="1:15" ht="12.75" customHeight="1" x14ac:dyDescent="0.2">
      <c r="A3198" s="1061"/>
      <c r="B3198" s="1057"/>
      <c r="C3198" s="1057"/>
      <c r="D3198" s="1057"/>
      <c r="E3198" s="1057"/>
      <c r="F3198" s="1057"/>
      <c r="G3198" s="1058"/>
      <c r="H3198" s="9" t="str">
        <f>IF(A3198="","",VLOOKUP(A3198,AA_Equipos,7,FALSE))</f>
        <v/>
      </c>
      <c r="I3198" s="1059" t="str">
        <f>IF(A3198="","",VLOOKUP(A3198,AA_Equipos,8,FALSE))</f>
        <v/>
      </c>
      <c r="J3198" s="1058"/>
      <c r="K3198" s="1067"/>
      <c r="L3198" s="1058"/>
      <c r="M3198" s="1059" t="str">
        <f>IF(A3198="","",I3198*K3198)</f>
        <v/>
      </c>
      <c r="N3198" s="1058"/>
    </row>
    <row r="3199" spans="1:15" ht="12.75" customHeight="1" x14ac:dyDescent="0.2">
      <c r="A3199" s="1061"/>
      <c r="B3199" s="1057"/>
      <c r="C3199" s="1057"/>
      <c r="D3199" s="1057"/>
      <c r="E3199" s="1057"/>
      <c r="F3199" s="1057"/>
      <c r="G3199" s="1058"/>
      <c r="H3199" s="9" t="str">
        <f>IF(A3199="","",VLOOKUP(A3199,AA_Equipos,7,FALSE))</f>
        <v/>
      </c>
      <c r="I3199" s="1059" t="str">
        <f>IF(A3199="","",VLOOKUP(A3199,AA_Equipos,8,FALSE))</f>
        <v/>
      </c>
      <c r="J3199" s="1058"/>
      <c r="K3199" s="1067"/>
      <c r="L3199" s="1058"/>
      <c r="M3199" s="1059" t="str">
        <f>IF(A3199="","",I3199*K3199)</f>
        <v/>
      </c>
      <c r="N3199" s="1058"/>
    </row>
    <row r="3200" spans="1:15" ht="12.75" customHeight="1" x14ac:dyDescent="0.2">
      <c r="A3200" s="1061"/>
      <c r="B3200" s="1057"/>
      <c r="C3200" s="1057"/>
      <c r="D3200" s="1057"/>
      <c r="E3200" s="1057"/>
      <c r="F3200" s="1057"/>
      <c r="G3200" s="1058"/>
      <c r="H3200" s="9" t="str">
        <f>IF(A3200="","",VLOOKUP(A3200,AA_Equipos,7,FALSE))</f>
        <v/>
      </c>
      <c r="I3200" s="1059" t="str">
        <f>IF(A3200="","",VLOOKUP(A3200,AA_Equipos,8,FALSE))</f>
        <v/>
      </c>
      <c r="J3200" s="1058"/>
      <c r="K3200" s="1067"/>
      <c r="L3200" s="1058"/>
      <c r="M3200" s="1059" t="str">
        <f>IF(A3200="","",I3200*K3200)</f>
        <v/>
      </c>
      <c r="N3200" s="1058"/>
      <c r="O3200" s="7"/>
    </row>
    <row r="3201" spans="1:15" ht="12.75" customHeight="1" x14ac:dyDescent="0.2">
      <c r="A3201" s="1061"/>
      <c r="B3201" s="1057"/>
      <c r="C3201" s="1057"/>
      <c r="D3201" s="1057"/>
      <c r="E3201" s="1057"/>
      <c r="F3201" s="1057"/>
      <c r="G3201" s="1058"/>
      <c r="H3201" s="9" t="str">
        <f>IF(A3201="","",VLOOKUP(A3201,AA_Equipos,7,FALSE))</f>
        <v/>
      </c>
      <c r="I3201" s="1059" t="str">
        <f>IF(A3201="","",VLOOKUP(A3201,AA_Equipos,8,FALSE))</f>
        <v/>
      </c>
      <c r="J3201" s="1058"/>
      <c r="K3201" s="1060"/>
      <c r="L3201" s="1058"/>
      <c r="M3201" s="1059" t="str">
        <f>IF(A3201="","",I3201*K3201)</f>
        <v/>
      </c>
      <c r="N3201" s="1058"/>
      <c r="O3201" s="7"/>
    </row>
    <row r="3202" spans="1:15" ht="12.75" customHeight="1" x14ac:dyDescent="0.25">
      <c r="A3202" s="3"/>
      <c r="B3202" s="3"/>
      <c r="C3202" s="3"/>
      <c r="D3202" s="3"/>
      <c r="E3202" s="3"/>
      <c r="F3202" s="3"/>
      <c r="G3202" s="3"/>
      <c r="H3202" s="3"/>
      <c r="I3202" s="3"/>
      <c r="J3202" s="3"/>
      <c r="K3202" s="1066" t="s">
        <v>201</v>
      </c>
      <c r="L3202" s="1058"/>
      <c r="M3202" s="1059">
        <f>SUM(M3197:N3201)</f>
        <v>827.79254546799211</v>
      </c>
      <c r="N3202" s="1058"/>
    </row>
    <row r="3203" spans="1:15" ht="12.75" customHeight="1" x14ac:dyDescent="0.25">
      <c r="A3203" s="3"/>
      <c r="B3203" s="3"/>
      <c r="C3203" s="3"/>
      <c r="D3203" s="3"/>
      <c r="E3203" s="3"/>
      <c r="F3203" s="3"/>
      <c r="G3203" s="3"/>
      <c r="H3203" s="3"/>
      <c r="I3203" s="3"/>
      <c r="J3203" s="3"/>
      <c r="K3203" s="3"/>
      <c r="L3203" s="3"/>
      <c r="M3203" s="3"/>
      <c r="N3203" s="3"/>
    </row>
    <row r="3204" spans="1:15" ht="12.75" customHeight="1" x14ac:dyDescent="0.2">
      <c r="A3204" s="1065" t="s">
        <v>392</v>
      </c>
      <c r="B3204" s="1057"/>
      <c r="C3204" s="1057"/>
      <c r="D3204" s="1057"/>
      <c r="E3204" s="1057"/>
      <c r="F3204" s="1057"/>
      <c r="G3204" s="1057"/>
      <c r="H3204" s="1057"/>
      <c r="I3204" s="1057"/>
      <c r="J3204" s="1057"/>
      <c r="K3204" s="1057"/>
      <c r="L3204" s="1057"/>
      <c r="M3204" s="1057"/>
      <c r="N3204" s="1058"/>
    </row>
    <row r="3205" spans="1:15" ht="12.75" customHeight="1" x14ac:dyDescent="0.2">
      <c r="A3205" s="1066" t="s">
        <v>38</v>
      </c>
      <c r="B3205" s="1057"/>
      <c r="C3205" s="1057"/>
      <c r="D3205" s="1057"/>
      <c r="E3205" s="1057"/>
      <c r="F3205" s="1057"/>
      <c r="G3205" s="1058"/>
      <c r="H3205" s="28" t="s">
        <v>39</v>
      </c>
      <c r="I3205" s="1062" t="s">
        <v>385</v>
      </c>
      <c r="J3205" s="1058"/>
      <c r="K3205" s="1062" t="s">
        <v>132</v>
      </c>
      <c r="L3205" s="1058"/>
      <c r="M3205" s="1062" t="s">
        <v>386</v>
      </c>
      <c r="N3205" s="1058"/>
    </row>
    <row r="3206" spans="1:15" ht="12.75" customHeight="1" x14ac:dyDescent="0.2">
      <c r="A3206" s="1061"/>
      <c r="B3206" s="1057"/>
      <c r="C3206" s="1057"/>
      <c r="D3206" s="1057"/>
      <c r="E3206" s="1057"/>
      <c r="F3206" s="1057"/>
      <c r="G3206" s="1058"/>
      <c r="H3206" s="9"/>
      <c r="I3206" s="1059"/>
      <c r="J3206" s="1058"/>
      <c r="K3206" s="1064"/>
      <c r="L3206" s="1058"/>
      <c r="M3206" s="1059" t="str">
        <f>IF(A3206="","",I3206*K3206)</f>
        <v/>
      </c>
      <c r="N3206" s="1058"/>
    </row>
    <row r="3207" spans="1:15" ht="12.75" customHeight="1" x14ac:dyDescent="0.2">
      <c r="A3207" s="1056"/>
      <c r="B3207" s="1057"/>
      <c r="C3207" s="1057"/>
      <c r="D3207" s="1057"/>
      <c r="E3207" s="1057"/>
      <c r="F3207" s="1057"/>
      <c r="G3207" s="1058"/>
      <c r="H3207" s="9"/>
      <c r="I3207" s="1059"/>
      <c r="J3207" s="1058"/>
      <c r="K3207" s="1064"/>
      <c r="L3207" s="1058"/>
      <c r="M3207" s="1059" t="str">
        <f>IF(A3207="","",I3207*K3207)</f>
        <v/>
      </c>
      <c r="N3207" s="1058"/>
    </row>
    <row r="3208" spans="1:15" ht="12.75" customHeight="1" x14ac:dyDescent="0.2">
      <c r="A3208" s="1061"/>
      <c r="B3208" s="1057"/>
      <c r="C3208" s="1057"/>
      <c r="D3208" s="1057"/>
      <c r="E3208" s="1057"/>
      <c r="F3208" s="1057"/>
      <c r="G3208" s="1058"/>
      <c r="H3208" s="9"/>
      <c r="I3208" s="1059"/>
      <c r="J3208" s="1058"/>
      <c r="K3208" s="1060"/>
      <c r="L3208" s="1058"/>
      <c r="M3208" s="1059" t="str">
        <f>IF(A3208="","",I3208*K3208)</f>
        <v/>
      </c>
      <c r="N3208" s="1058"/>
    </row>
    <row r="3209" spans="1:15" ht="12.75" customHeight="1" x14ac:dyDescent="0.2">
      <c r="A3209" s="1061"/>
      <c r="B3209" s="1057"/>
      <c r="C3209" s="1057"/>
      <c r="D3209" s="1057"/>
      <c r="E3209" s="1057"/>
      <c r="F3209" s="1057"/>
      <c r="G3209" s="1058"/>
      <c r="H3209" s="9"/>
      <c r="I3209" s="1059"/>
      <c r="J3209" s="1058"/>
      <c r="K3209" s="1060"/>
      <c r="L3209" s="1058"/>
      <c r="M3209" s="1059" t="str">
        <f>IF(A3209="","",I3209*K3209)</f>
        <v/>
      </c>
      <c r="N3209" s="1058"/>
    </row>
    <row r="3210" spans="1:15" ht="12.75" customHeight="1" x14ac:dyDescent="0.2">
      <c r="A3210" s="1061"/>
      <c r="B3210" s="1057"/>
      <c r="C3210" s="1057"/>
      <c r="D3210" s="1057"/>
      <c r="E3210" s="1057"/>
      <c r="F3210" s="1057"/>
      <c r="G3210" s="1058"/>
      <c r="H3210" s="9"/>
      <c r="I3210" s="1059"/>
      <c r="J3210" s="1058"/>
      <c r="K3210" s="1060"/>
      <c r="L3210" s="1058"/>
      <c r="M3210" s="1059" t="str">
        <f>IF(A3210="","",I3210*K3210)</f>
        <v/>
      </c>
      <c r="N3210" s="1058"/>
    </row>
    <row r="3211" spans="1:15" ht="12.75" customHeight="1" x14ac:dyDescent="0.25">
      <c r="A3211" s="3"/>
      <c r="B3211" s="3"/>
      <c r="C3211" s="3"/>
      <c r="D3211" s="3"/>
      <c r="E3211" s="3"/>
      <c r="F3211" s="3"/>
      <c r="G3211" s="3"/>
      <c r="H3211" s="3"/>
      <c r="I3211" s="3"/>
      <c r="J3211" s="3"/>
      <c r="K3211" s="1066" t="s">
        <v>201</v>
      </c>
      <c r="L3211" s="1058"/>
      <c r="M3211" s="1059">
        <f>SUM(M3206:N3210)</f>
        <v>0</v>
      </c>
      <c r="N3211" s="1058"/>
    </row>
    <row r="3212" spans="1:15" ht="12.75" customHeight="1" x14ac:dyDescent="0.25">
      <c r="A3212" s="3"/>
      <c r="B3212" s="3"/>
      <c r="C3212" s="3"/>
      <c r="D3212" s="3"/>
      <c r="E3212" s="3"/>
      <c r="F3212" s="3"/>
      <c r="G3212" s="3"/>
      <c r="H3212" s="3"/>
      <c r="I3212" s="3"/>
      <c r="J3212" s="3"/>
      <c r="K3212" s="3"/>
      <c r="L3212" s="3"/>
      <c r="M3212" s="3"/>
      <c r="N3212" s="3"/>
    </row>
    <row r="3213" spans="1:15" ht="12.75" customHeight="1" x14ac:dyDescent="0.2">
      <c r="A3213" s="1065" t="s">
        <v>394</v>
      </c>
      <c r="B3213" s="1057"/>
      <c r="C3213" s="1057"/>
      <c r="D3213" s="1057"/>
      <c r="E3213" s="1057"/>
      <c r="F3213" s="1057"/>
      <c r="G3213" s="1057"/>
      <c r="H3213" s="1057"/>
      <c r="I3213" s="1057"/>
      <c r="J3213" s="1057"/>
      <c r="K3213" s="1057"/>
      <c r="L3213" s="1057"/>
      <c r="M3213" s="1057"/>
      <c r="N3213" s="1058"/>
    </row>
    <row r="3214" spans="1:15" ht="12.75" customHeight="1" x14ac:dyDescent="0.2">
      <c r="A3214" s="1066" t="s">
        <v>38</v>
      </c>
      <c r="B3214" s="1057"/>
      <c r="C3214" s="1057"/>
      <c r="D3214" s="1057"/>
      <c r="E3214" s="1057"/>
      <c r="F3214" s="1057"/>
      <c r="G3214" s="1058"/>
      <c r="H3214" s="28" t="s">
        <v>39</v>
      </c>
      <c r="I3214" s="1062" t="s">
        <v>385</v>
      </c>
      <c r="J3214" s="1058"/>
      <c r="K3214" s="30" t="s">
        <v>193</v>
      </c>
      <c r="L3214" s="31" t="s">
        <v>395</v>
      </c>
      <c r="M3214" s="1062" t="s">
        <v>386</v>
      </c>
      <c r="N3214" s="1058"/>
    </row>
    <row r="3215" spans="1:15" ht="12.75" customHeight="1" x14ac:dyDescent="0.25">
      <c r="A3215" s="1063" t="s">
        <v>404</v>
      </c>
      <c r="B3215" s="1057"/>
      <c r="C3215" s="1057"/>
      <c r="D3215" s="1057"/>
      <c r="E3215" s="1057"/>
      <c r="F3215" s="1057"/>
      <c r="G3215" s="1058"/>
      <c r="H3215" s="9" t="str">
        <f>IF(A3215="","",VLOOKUP(A3215,AA_Cuadrillas,4,FALSE))</f>
        <v>Cuadrilla</v>
      </c>
      <c r="I3215" s="1059">
        <f>IF(A3215="","",VLOOKUP(A3215,AA_Cuadrillas,5,FALSE))</f>
        <v>213027</v>
      </c>
      <c r="J3215" s="1058"/>
      <c r="K3215" s="1">
        <f>IF(A3215="","",'06'!$J$3)</f>
        <v>1.7233500000000002</v>
      </c>
      <c r="L3215" s="1">
        <v>4.5096555026536249E-2</v>
      </c>
      <c r="M3215" s="1059">
        <f>IF(A3215="","",I3215*K3215*L3215)</f>
        <v>16555.85090935984</v>
      </c>
      <c r="N3215" s="1058"/>
    </row>
    <row r="3216" spans="1:15" ht="12.75" customHeight="1" x14ac:dyDescent="0.25">
      <c r="A3216" s="1063"/>
      <c r="B3216" s="1057"/>
      <c r="C3216" s="1057"/>
      <c r="D3216" s="1057"/>
      <c r="E3216" s="1057"/>
      <c r="F3216" s="1057"/>
      <c r="G3216" s="1058"/>
      <c r="H3216" s="9" t="str">
        <f>IF(A3216="","",VLOOKUP(A3216,AA_Cuadrillas,4,FALSE))</f>
        <v/>
      </c>
      <c r="I3216" s="1059" t="str">
        <f>IF(A3216="","",VLOOKUP(A3216,AA_Cuadrillas,5,FALSE))</f>
        <v/>
      </c>
      <c r="J3216" s="1058"/>
      <c r="K3216" s="1" t="str">
        <f>IF(A3216="","",'06'!$J$3)</f>
        <v/>
      </c>
      <c r="L3216" s="10"/>
      <c r="M3216" s="1059" t="str">
        <f>IF(A3216="","",I3216*K3216*L3216)</f>
        <v/>
      </c>
      <c r="N3216" s="1058"/>
    </row>
    <row r="3217" spans="1:14" ht="12.75" customHeight="1" x14ac:dyDescent="0.25">
      <c r="A3217" s="1063"/>
      <c r="B3217" s="1057"/>
      <c r="C3217" s="1057"/>
      <c r="D3217" s="1057"/>
      <c r="E3217" s="1057"/>
      <c r="F3217" s="1057"/>
      <c r="G3217" s="1058"/>
      <c r="H3217" s="9" t="str">
        <f>IF(A3217="","",VLOOKUP(A3217,AA_Cuadrillas,4,FALSE))</f>
        <v/>
      </c>
      <c r="I3217" s="1059" t="str">
        <f>IF(A3217="","",VLOOKUP(A3217,AA_Cuadrillas,5,FALSE))</f>
        <v/>
      </c>
      <c r="J3217" s="1058"/>
      <c r="K3217" s="1" t="str">
        <f>IF(A3217="","",'06'!$J$3)</f>
        <v/>
      </c>
      <c r="L3217" s="10"/>
      <c r="M3217" s="1059" t="str">
        <f>IF(A3217="","",I3217*K3217*L3217)</f>
        <v/>
      </c>
      <c r="N3217" s="1058"/>
    </row>
    <row r="3218" spans="1:14" ht="12.75" customHeight="1" x14ac:dyDescent="0.25">
      <c r="A3218" s="1063"/>
      <c r="B3218" s="1057"/>
      <c r="C3218" s="1057"/>
      <c r="D3218" s="1057"/>
      <c r="E3218" s="1057"/>
      <c r="F3218" s="1057"/>
      <c r="G3218" s="1058"/>
      <c r="H3218" s="9" t="str">
        <f>IF(A3218="","",VLOOKUP(A3218,AA_Cuadrillas,4,FALSE))</f>
        <v/>
      </c>
      <c r="I3218" s="1059" t="str">
        <f>IF(A3218="","",VLOOKUP(A3218,AA_Cuadrillas,5,FALSE))</f>
        <v/>
      </c>
      <c r="J3218" s="1058"/>
      <c r="K3218" s="1" t="str">
        <f>IF(A3218="","",'06'!$J$3)</f>
        <v/>
      </c>
      <c r="L3218" s="10"/>
      <c r="M3218" s="1059" t="str">
        <f>IF(A3218="","",I3218*K3218*L3218)</f>
        <v/>
      </c>
      <c r="N3218" s="1058"/>
    </row>
    <row r="3219" spans="1:14" ht="12.75" customHeight="1" x14ac:dyDescent="0.25">
      <c r="A3219" s="3"/>
      <c r="B3219" s="3"/>
      <c r="C3219" s="3"/>
      <c r="D3219" s="3"/>
      <c r="E3219" s="3"/>
      <c r="F3219" s="3"/>
      <c r="G3219" s="3"/>
      <c r="H3219" s="3"/>
      <c r="I3219" s="3"/>
      <c r="J3219" s="3"/>
      <c r="K3219" s="1066" t="s">
        <v>201</v>
      </c>
      <c r="L3219" s="1058"/>
      <c r="M3219" s="1059">
        <f>SUM(M3215:N3218)</f>
        <v>16555.85090935984</v>
      </c>
      <c r="N3219" s="1058"/>
    </row>
    <row r="3220" spans="1:14" ht="12.75" customHeight="1" x14ac:dyDescent="0.2"/>
    <row r="3221" spans="1:14" ht="12.75" customHeight="1" x14ac:dyDescent="0.2">
      <c r="A3221" s="1068" t="s">
        <v>1741</v>
      </c>
      <c r="B3221" s="1052"/>
      <c r="C3221" s="1052"/>
      <c r="D3221" s="1052"/>
      <c r="E3221" s="1052"/>
      <c r="F3221" s="1052"/>
      <c r="G3221" s="1052"/>
      <c r="H3221" s="1052"/>
      <c r="I3221" s="1052"/>
      <c r="J3221" s="1052"/>
      <c r="K3221" s="1052"/>
      <c r="L3221" s="1052"/>
      <c r="M3221" s="1052"/>
      <c r="N3221" s="1053"/>
    </row>
    <row r="3222" spans="1:14" ht="12.75" customHeight="1" x14ac:dyDescent="0.2">
      <c r="A3222" s="1031"/>
      <c r="B3222" s="1032"/>
      <c r="C3222" s="1032"/>
      <c r="D3222" s="1032"/>
      <c r="E3222" s="1032"/>
      <c r="F3222" s="1032"/>
      <c r="G3222" s="1032"/>
      <c r="H3222" s="1032"/>
      <c r="I3222" s="1032"/>
      <c r="J3222" s="1032"/>
      <c r="K3222" s="1032"/>
      <c r="L3222" s="1032"/>
      <c r="M3222" s="1032"/>
      <c r="N3222" s="1055"/>
    </row>
    <row r="3223" spans="1:14" ht="12.75" customHeight="1" x14ac:dyDescent="0.2">
      <c r="A3223" s="16"/>
      <c r="B3223" s="16"/>
      <c r="C3223" s="16"/>
      <c r="D3223" s="16"/>
      <c r="E3223" s="16"/>
      <c r="F3223" s="16"/>
      <c r="G3223" s="16"/>
      <c r="H3223" s="16"/>
      <c r="I3223" s="16"/>
      <c r="J3223" s="16"/>
      <c r="K3223" s="16"/>
      <c r="L3223" s="16"/>
      <c r="M3223" s="16"/>
      <c r="N3223" s="16"/>
    </row>
    <row r="3224" spans="1:14" ht="12.75" customHeight="1" x14ac:dyDescent="0.3">
      <c r="A3224" s="18" t="s">
        <v>366</v>
      </c>
      <c r="B3224" s="19" t="str">
        <f>A3221</f>
        <v>CODO 90° Ø4" PVC</v>
      </c>
      <c r="C3224" s="20" t="s">
        <v>382</v>
      </c>
      <c r="D3224" s="127" t="s">
        <v>424</v>
      </c>
      <c r="E3224" s="22" t="s">
        <v>125</v>
      </c>
      <c r="F3224" s="26">
        <f>(H3224+J3224+L3224+N3224)*$O$2</f>
        <v>152562.54549071251</v>
      </c>
      <c r="G3224" s="22" t="s">
        <v>285</v>
      </c>
      <c r="H3224" s="26">
        <f>M3243</f>
        <v>917.80020112500006</v>
      </c>
      <c r="I3224" s="22" t="s">
        <v>383</v>
      </c>
      <c r="J3224" s="26">
        <f>M3234</f>
        <v>98082</v>
      </c>
      <c r="K3224" s="22" t="s">
        <v>287</v>
      </c>
      <c r="L3224" s="26">
        <f>M3252</f>
        <v>0</v>
      </c>
      <c r="M3224" s="22" t="s">
        <v>288</v>
      </c>
      <c r="N3224" s="26">
        <f>M3260</f>
        <v>18356.004022500001</v>
      </c>
    </row>
    <row r="3225" spans="1:14" ht="12.75" customHeight="1" x14ac:dyDescent="0.25">
      <c r="A3225" s="27"/>
      <c r="B3225" s="27"/>
      <c r="C3225" s="27"/>
      <c r="D3225" s="27"/>
      <c r="E3225" s="27"/>
      <c r="F3225" s="27"/>
      <c r="G3225" s="27"/>
      <c r="J3225" s="27"/>
      <c r="K3225" s="27"/>
      <c r="L3225" s="27"/>
      <c r="M3225" s="27"/>
      <c r="N3225" s="27"/>
    </row>
    <row r="3226" spans="1:14" ht="12.75" customHeight="1" x14ac:dyDescent="0.2">
      <c r="A3226" s="1065" t="s">
        <v>384</v>
      </c>
      <c r="B3226" s="1057"/>
      <c r="C3226" s="1057"/>
      <c r="D3226" s="1057"/>
      <c r="E3226" s="1057"/>
      <c r="F3226" s="1057"/>
      <c r="G3226" s="1057"/>
      <c r="H3226" s="1057"/>
      <c r="I3226" s="1057"/>
      <c r="J3226" s="1057"/>
      <c r="K3226" s="1057"/>
      <c r="L3226" s="1057"/>
      <c r="M3226" s="1057"/>
      <c r="N3226" s="1058"/>
    </row>
    <row r="3227" spans="1:14" ht="12.75" customHeight="1" x14ac:dyDescent="0.2">
      <c r="A3227" s="1066" t="s">
        <v>38</v>
      </c>
      <c r="B3227" s="1057"/>
      <c r="C3227" s="1057"/>
      <c r="D3227" s="1057"/>
      <c r="E3227" s="1057"/>
      <c r="F3227" s="1057"/>
      <c r="G3227" s="1058"/>
      <c r="H3227" s="28" t="s">
        <v>39</v>
      </c>
      <c r="I3227" s="1062" t="s">
        <v>385</v>
      </c>
      <c r="J3227" s="1058"/>
      <c r="K3227" s="1062" t="s">
        <v>132</v>
      </c>
      <c r="L3227" s="1058"/>
      <c r="M3227" s="1062" t="s">
        <v>386</v>
      </c>
      <c r="N3227" s="1058"/>
    </row>
    <row r="3228" spans="1:14" ht="12.75" customHeight="1" x14ac:dyDescent="0.2">
      <c r="A3228" s="1061" t="s">
        <v>1564</v>
      </c>
      <c r="B3228" s="1057"/>
      <c r="C3228" s="1057"/>
      <c r="D3228" s="1057"/>
      <c r="E3228" s="1057"/>
      <c r="F3228" s="1057"/>
      <c r="G3228" s="1058"/>
      <c r="H3228" s="9" t="str">
        <f t="shared" ref="H3228" si="235">IF(A3228="","",VLOOKUP(A3228,AA_Materiales,7,FALSE))</f>
        <v>Unidad</v>
      </c>
      <c r="I3228" s="1059">
        <f t="shared" ref="I3228" si="236">IF(A3228="","",VLOOKUP(A3228,AA_Materiales,8,FALSE))</f>
        <v>98082</v>
      </c>
      <c r="J3228" s="1058"/>
      <c r="K3228" s="1060">
        <v>1</v>
      </c>
      <c r="L3228" s="1058"/>
      <c r="M3228" s="1059">
        <f t="shared" ref="M3228:M3233" si="237">IF(A3228="","",I3228*K3228)</f>
        <v>98082</v>
      </c>
      <c r="N3228" s="1058"/>
    </row>
    <row r="3229" spans="1:14" ht="12.75" customHeight="1" x14ac:dyDescent="0.2">
      <c r="A3229" s="1056"/>
      <c r="B3229" s="1057"/>
      <c r="C3229" s="1057"/>
      <c r="D3229" s="1057"/>
      <c r="E3229" s="1057"/>
      <c r="F3229" s="1057"/>
      <c r="G3229" s="1058"/>
      <c r="H3229" s="9"/>
      <c r="I3229" s="1059"/>
      <c r="J3229" s="1058"/>
      <c r="K3229" s="1060"/>
      <c r="L3229" s="1058"/>
      <c r="M3229" s="1059" t="str">
        <f t="shared" si="237"/>
        <v/>
      </c>
      <c r="N3229" s="1058"/>
    </row>
    <row r="3230" spans="1:14" ht="12.75" customHeight="1" x14ac:dyDescent="0.2">
      <c r="A3230" s="1056"/>
      <c r="B3230" s="1057"/>
      <c r="C3230" s="1057"/>
      <c r="D3230" s="1057"/>
      <c r="E3230" s="1057"/>
      <c r="F3230" s="1057"/>
      <c r="G3230" s="1058"/>
      <c r="H3230" s="9"/>
      <c r="I3230" s="1059"/>
      <c r="J3230" s="1058"/>
      <c r="K3230" s="1060"/>
      <c r="L3230" s="1058"/>
      <c r="M3230" s="1059" t="str">
        <f t="shared" si="237"/>
        <v/>
      </c>
      <c r="N3230" s="1058"/>
    </row>
    <row r="3231" spans="1:14" ht="12.75" customHeight="1" x14ac:dyDescent="0.2">
      <c r="A3231" s="1056"/>
      <c r="B3231" s="1057"/>
      <c r="C3231" s="1057"/>
      <c r="D3231" s="1057"/>
      <c r="E3231" s="1057"/>
      <c r="F3231" s="1057"/>
      <c r="G3231" s="1058"/>
      <c r="H3231" s="9"/>
      <c r="I3231" s="1059"/>
      <c r="J3231" s="1058"/>
      <c r="K3231" s="1060"/>
      <c r="L3231" s="1058"/>
      <c r="M3231" s="1059" t="str">
        <f t="shared" si="237"/>
        <v/>
      </c>
      <c r="N3231" s="1058"/>
    </row>
    <row r="3232" spans="1:14" ht="12.75" customHeight="1" x14ac:dyDescent="0.2">
      <c r="A3232" s="1056"/>
      <c r="B3232" s="1057"/>
      <c r="C3232" s="1057"/>
      <c r="D3232" s="1057"/>
      <c r="E3232" s="1057"/>
      <c r="F3232" s="1057"/>
      <c r="G3232" s="1058"/>
      <c r="H3232" s="9" t="str">
        <f t="shared" ref="H3232:H3233" si="238">IF(A3232="","",VLOOKUP(A3232,AA_Materiales,7,FALSE))</f>
        <v/>
      </c>
      <c r="I3232" s="1059" t="str">
        <f t="shared" ref="I3232:I3233" si="239">IF(A3232="","",VLOOKUP(A3232,AA_Materiales,8,FALSE))</f>
        <v/>
      </c>
      <c r="J3232" s="1058"/>
      <c r="K3232" s="1060"/>
      <c r="L3232" s="1058"/>
      <c r="M3232" s="1059" t="str">
        <f t="shared" si="237"/>
        <v/>
      </c>
      <c r="N3232" s="1058"/>
    </row>
    <row r="3233" spans="1:15" ht="12.75" customHeight="1" x14ac:dyDescent="0.2">
      <c r="A3233" s="1056"/>
      <c r="B3233" s="1057"/>
      <c r="C3233" s="1057"/>
      <c r="D3233" s="1057"/>
      <c r="E3233" s="1057"/>
      <c r="F3233" s="1057"/>
      <c r="G3233" s="1058"/>
      <c r="H3233" s="9" t="str">
        <f t="shared" si="238"/>
        <v/>
      </c>
      <c r="I3233" s="1059" t="str">
        <f t="shared" si="239"/>
        <v/>
      </c>
      <c r="J3233" s="1058"/>
      <c r="K3233" s="1060"/>
      <c r="L3233" s="1058"/>
      <c r="M3233" s="1059" t="str">
        <f t="shared" si="237"/>
        <v/>
      </c>
      <c r="N3233" s="1058"/>
    </row>
    <row r="3234" spans="1:15" ht="12.75" customHeight="1" x14ac:dyDescent="0.25">
      <c r="A3234" s="3"/>
      <c r="B3234" s="3"/>
      <c r="C3234" s="3"/>
      <c r="D3234" s="3"/>
      <c r="E3234" s="3"/>
      <c r="F3234" s="3"/>
      <c r="G3234" s="3"/>
      <c r="H3234" s="3"/>
      <c r="I3234" s="3"/>
      <c r="J3234" s="3"/>
      <c r="K3234" s="1066" t="s">
        <v>201</v>
      </c>
      <c r="L3234" s="1058"/>
      <c r="M3234" s="1059">
        <f>SUM(M3228:N3233)</f>
        <v>98082</v>
      </c>
      <c r="N3234" s="1058"/>
    </row>
    <row r="3235" spans="1:15" ht="12.75" customHeight="1" x14ac:dyDescent="0.25">
      <c r="A3235" s="3"/>
      <c r="B3235" s="3"/>
      <c r="C3235" s="3"/>
      <c r="D3235" s="3"/>
      <c r="E3235" s="3"/>
      <c r="F3235" s="3"/>
      <c r="G3235" s="3"/>
      <c r="H3235" s="3"/>
      <c r="I3235" s="3"/>
      <c r="J3235" s="3"/>
      <c r="K3235" s="3"/>
      <c r="L3235" s="3"/>
      <c r="M3235" s="3"/>
      <c r="N3235" s="3"/>
    </row>
    <row r="3236" spans="1:15" ht="12.75" customHeight="1" x14ac:dyDescent="0.2">
      <c r="A3236" s="1065" t="s">
        <v>390</v>
      </c>
      <c r="B3236" s="1057"/>
      <c r="C3236" s="1057"/>
      <c r="D3236" s="1057"/>
      <c r="E3236" s="1057"/>
      <c r="F3236" s="1057"/>
      <c r="G3236" s="1057"/>
      <c r="H3236" s="1057"/>
      <c r="I3236" s="1057"/>
      <c r="J3236" s="1057"/>
      <c r="K3236" s="1057"/>
      <c r="L3236" s="1057"/>
      <c r="M3236" s="1057"/>
      <c r="N3236" s="1058"/>
    </row>
    <row r="3237" spans="1:15" ht="12.75" customHeight="1" x14ac:dyDescent="0.2">
      <c r="A3237" s="1066" t="s">
        <v>38</v>
      </c>
      <c r="B3237" s="1057"/>
      <c r="C3237" s="1057"/>
      <c r="D3237" s="1057"/>
      <c r="E3237" s="1057"/>
      <c r="F3237" s="1057"/>
      <c r="G3237" s="1058"/>
      <c r="H3237" s="28" t="s">
        <v>39</v>
      </c>
      <c r="I3237" s="1062" t="s">
        <v>385</v>
      </c>
      <c r="J3237" s="1058"/>
      <c r="K3237" s="1062" t="s">
        <v>132</v>
      </c>
      <c r="L3237" s="1058"/>
      <c r="M3237" s="1062" t="s">
        <v>386</v>
      </c>
      <c r="N3237" s="1058"/>
    </row>
    <row r="3238" spans="1:15" ht="12.75" customHeight="1" x14ac:dyDescent="0.2">
      <c r="A3238" s="1061" t="s">
        <v>391</v>
      </c>
      <c r="B3238" s="1057"/>
      <c r="C3238" s="1057"/>
      <c r="D3238" s="1057"/>
      <c r="E3238" s="1057"/>
      <c r="F3238" s="1057"/>
      <c r="G3238" s="1058"/>
      <c r="H3238" s="9" t="str">
        <f>IF(A3238="","",VLOOKUP(A3238,AA_Equipos,7,FALSE))</f>
        <v>% M.O.</v>
      </c>
      <c r="I3238" s="1059">
        <f>+M3260</f>
        <v>18356.004022500001</v>
      </c>
      <c r="J3238" s="1058"/>
      <c r="K3238" s="1064">
        <v>0.05</v>
      </c>
      <c r="L3238" s="1058"/>
      <c r="M3238" s="1059">
        <f>IF(A3238="","",I3238*K3238)</f>
        <v>917.80020112500006</v>
      </c>
      <c r="N3238" s="1058"/>
    </row>
    <row r="3239" spans="1:15" ht="12.75" customHeight="1" x14ac:dyDescent="0.2">
      <c r="A3239" s="1061"/>
      <c r="B3239" s="1057"/>
      <c r="C3239" s="1057"/>
      <c r="D3239" s="1057"/>
      <c r="E3239" s="1057"/>
      <c r="F3239" s="1057"/>
      <c r="G3239" s="1058"/>
      <c r="H3239" s="9"/>
      <c r="I3239" s="1059"/>
      <c r="J3239" s="1058"/>
      <c r="K3239" s="1067"/>
      <c r="L3239" s="1058"/>
      <c r="M3239" s="1059" t="str">
        <f>IF(A3239="","",I3239*K3239)</f>
        <v/>
      </c>
      <c r="N3239" s="1058"/>
    </row>
    <row r="3240" spans="1:15" ht="12.75" customHeight="1" x14ac:dyDescent="0.2">
      <c r="A3240" s="1061"/>
      <c r="B3240" s="1057"/>
      <c r="C3240" s="1057"/>
      <c r="D3240" s="1057"/>
      <c r="E3240" s="1057"/>
      <c r="F3240" s="1057"/>
      <c r="G3240" s="1058"/>
      <c r="H3240" s="9" t="str">
        <f>IF(A3240="","",VLOOKUP(A3240,AA_Equipos,7,FALSE))</f>
        <v/>
      </c>
      <c r="I3240" s="1059" t="str">
        <f>IF(A3240="","",VLOOKUP(A3240,AA_Equipos,8,FALSE))</f>
        <v/>
      </c>
      <c r="J3240" s="1058"/>
      <c r="K3240" s="1067"/>
      <c r="L3240" s="1058"/>
      <c r="M3240" s="1059" t="str">
        <f>IF(A3240="","",I3240*K3240)</f>
        <v/>
      </c>
      <c r="N3240" s="1058"/>
    </row>
    <row r="3241" spans="1:15" ht="12.75" customHeight="1" x14ac:dyDescent="0.2">
      <c r="A3241" s="1061"/>
      <c r="B3241" s="1057"/>
      <c r="C3241" s="1057"/>
      <c r="D3241" s="1057"/>
      <c r="E3241" s="1057"/>
      <c r="F3241" s="1057"/>
      <c r="G3241" s="1058"/>
      <c r="H3241" s="9" t="str">
        <f>IF(A3241="","",VLOOKUP(A3241,AA_Equipos,7,FALSE))</f>
        <v/>
      </c>
      <c r="I3241" s="1059" t="str">
        <f>IF(A3241="","",VLOOKUP(A3241,AA_Equipos,8,FALSE))</f>
        <v/>
      </c>
      <c r="J3241" s="1058"/>
      <c r="K3241" s="1067"/>
      <c r="L3241" s="1058"/>
      <c r="M3241" s="1059" t="str">
        <f>IF(A3241="","",I3241*K3241)</f>
        <v/>
      </c>
      <c r="N3241" s="1058"/>
      <c r="O3241" s="7"/>
    </row>
    <row r="3242" spans="1:15" ht="12.75" customHeight="1" x14ac:dyDescent="0.2">
      <c r="A3242" s="1061"/>
      <c r="B3242" s="1057"/>
      <c r="C3242" s="1057"/>
      <c r="D3242" s="1057"/>
      <c r="E3242" s="1057"/>
      <c r="F3242" s="1057"/>
      <c r="G3242" s="1058"/>
      <c r="H3242" s="9" t="str">
        <f>IF(A3242="","",VLOOKUP(A3242,AA_Equipos,7,FALSE))</f>
        <v/>
      </c>
      <c r="I3242" s="1059" t="str">
        <f>IF(A3242="","",VLOOKUP(A3242,AA_Equipos,8,FALSE))</f>
        <v/>
      </c>
      <c r="J3242" s="1058"/>
      <c r="K3242" s="1060"/>
      <c r="L3242" s="1058"/>
      <c r="M3242" s="1059" t="str">
        <f>IF(A3242="","",I3242*K3242)</f>
        <v/>
      </c>
      <c r="N3242" s="1058"/>
      <c r="O3242" s="7"/>
    </row>
    <row r="3243" spans="1:15" ht="12.75" customHeight="1" x14ac:dyDescent="0.25">
      <c r="A3243" s="3"/>
      <c r="B3243" s="3"/>
      <c r="C3243" s="3"/>
      <c r="D3243" s="3"/>
      <c r="E3243" s="3"/>
      <c r="F3243" s="3"/>
      <c r="G3243" s="3"/>
      <c r="H3243" s="3"/>
      <c r="I3243" s="3"/>
      <c r="J3243" s="3"/>
      <c r="K3243" s="1066" t="s">
        <v>201</v>
      </c>
      <c r="L3243" s="1058"/>
      <c r="M3243" s="1059">
        <f>SUM(M3238:N3242)</f>
        <v>917.80020112500006</v>
      </c>
      <c r="N3243" s="1058"/>
    </row>
    <row r="3244" spans="1:15" ht="12.75" customHeight="1" x14ac:dyDescent="0.25">
      <c r="A3244" s="3"/>
      <c r="B3244" s="3"/>
      <c r="C3244" s="3"/>
      <c r="D3244" s="3"/>
      <c r="E3244" s="3"/>
      <c r="F3244" s="3"/>
      <c r="G3244" s="3"/>
      <c r="H3244" s="3"/>
      <c r="I3244" s="3"/>
      <c r="J3244" s="3"/>
      <c r="K3244" s="3"/>
      <c r="L3244" s="3"/>
      <c r="M3244" s="3"/>
      <c r="N3244" s="3"/>
    </row>
    <row r="3245" spans="1:15" ht="12.75" customHeight="1" x14ac:dyDescent="0.2">
      <c r="A3245" s="1065" t="s">
        <v>392</v>
      </c>
      <c r="B3245" s="1057"/>
      <c r="C3245" s="1057"/>
      <c r="D3245" s="1057"/>
      <c r="E3245" s="1057"/>
      <c r="F3245" s="1057"/>
      <c r="G3245" s="1057"/>
      <c r="H3245" s="1057"/>
      <c r="I3245" s="1057"/>
      <c r="J3245" s="1057"/>
      <c r="K3245" s="1057"/>
      <c r="L3245" s="1057"/>
      <c r="M3245" s="1057"/>
      <c r="N3245" s="1058"/>
    </row>
    <row r="3246" spans="1:15" ht="12.75" customHeight="1" x14ac:dyDescent="0.2">
      <c r="A3246" s="1066" t="s">
        <v>38</v>
      </c>
      <c r="B3246" s="1057"/>
      <c r="C3246" s="1057"/>
      <c r="D3246" s="1057"/>
      <c r="E3246" s="1057"/>
      <c r="F3246" s="1057"/>
      <c r="G3246" s="1058"/>
      <c r="H3246" s="28" t="s">
        <v>39</v>
      </c>
      <c r="I3246" s="1062" t="s">
        <v>385</v>
      </c>
      <c r="J3246" s="1058"/>
      <c r="K3246" s="1062" t="s">
        <v>132</v>
      </c>
      <c r="L3246" s="1058"/>
      <c r="M3246" s="1062" t="s">
        <v>386</v>
      </c>
      <c r="N3246" s="1058"/>
    </row>
    <row r="3247" spans="1:15" ht="12.75" customHeight="1" x14ac:dyDescent="0.2">
      <c r="A3247" s="1061"/>
      <c r="B3247" s="1057"/>
      <c r="C3247" s="1057"/>
      <c r="D3247" s="1057"/>
      <c r="E3247" s="1057"/>
      <c r="F3247" s="1057"/>
      <c r="G3247" s="1058"/>
      <c r="H3247" s="9"/>
      <c r="I3247" s="1059"/>
      <c r="J3247" s="1058"/>
      <c r="K3247" s="1069"/>
      <c r="L3247" s="1058"/>
      <c r="M3247" s="1059" t="str">
        <f>IF(A3247="","",I3247*K3247)</f>
        <v/>
      </c>
      <c r="N3247" s="1058"/>
    </row>
    <row r="3248" spans="1:15" ht="12.75" customHeight="1" x14ac:dyDescent="0.2">
      <c r="A3248" s="1056"/>
      <c r="B3248" s="1057"/>
      <c r="C3248" s="1057"/>
      <c r="D3248" s="1057"/>
      <c r="E3248" s="1057"/>
      <c r="F3248" s="1057"/>
      <c r="G3248" s="1058"/>
      <c r="H3248" s="9"/>
      <c r="I3248" s="1059"/>
      <c r="J3248" s="1058"/>
      <c r="K3248" s="1060"/>
      <c r="L3248" s="1058"/>
      <c r="M3248" s="1059" t="str">
        <f>IF(A3248="","",I3248*K3248)</f>
        <v/>
      </c>
      <c r="N3248" s="1058"/>
    </row>
    <row r="3249" spans="1:14" ht="12.75" customHeight="1" x14ac:dyDescent="0.2">
      <c r="A3249" s="1061"/>
      <c r="B3249" s="1057"/>
      <c r="C3249" s="1057"/>
      <c r="D3249" s="1057"/>
      <c r="E3249" s="1057"/>
      <c r="F3249" s="1057"/>
      <c r="G3249" s="1058"/>
      <c r="H3249" s="9"/>
      <c r="I3249" s="1059"/>
      <c r="J3249" s="1058"/>
      <c r="K3249" s="1060"/>
      <c r="L3249" s="1058"/>
      <c r="M3249" s="1059" t="str">
        <f>IF(A3249="","",I3249*K3249)</f>
        <v/>
      </c>
      <c r="N3249" s="1058"/>
    </row>
    <row r="3250" spans="1:14" ht="12.75" customHeight="1" x14ac:dyDescent="0.2">
      <c r="A3250" s="1061"/>
      <c r="B3250" s="1057"/>
      <c r="C3250" s="1057"/>
      <c r="D3250" s="1057"/>
      <c r="E3250" s="1057"/>
      <c r="F3250" s="1057"/>
      <c r="G3250" s="1058"/>
      <c r="H3250" s="9"/>
      <c r="I3250" s="1059"/>
      <c r="J3250" s="1058"/>
      <c r="K3250" s="1060"/>
      <c r="L3250" s="1058"/>
      <c r="M3250" s="1059" t="str">
        <f>IF(A3250="","",I3250*K3250)</f>
        <v/>
      </c>
      <c r="N3250" s="1058"/>
    </row>
    <row r="3251" spans="1:14" ht="12.75" customHeight="1" x14ac:dyDescent="0.2">
      <c r="A3251" s="1061"/>
      <c r="B3251" s="1057"/>
      <c r="C3251" s="1057"/>
      <c r="D3251" s="1057"/>
      <c r="E3251" s="1057"/>
      <c r="F3251" s="1057"/>
      <c r="G3251" s="1058"/>
      <c r="H3251" s="9"/>
      <c r="I3251" s="1059"/>
      <c r="J3251" s="1058"/>
      <c r="K3251" s="1060"/>
      <c r="L3251" s="1058"/>
      <c r="M3251" s="1059" t="str">
        <f>IF(A3251="","",I3251*K3251)</f>
        <v/>
      </c>
      <c r="N3251" s="1058"/>
    </row>
    <row r="3252" spans="1:14" ht="12.75" customHeight="1" x14ac:dyDescent="0.25">
      <c r="A3252" s="3"/>
      <c r="B3252" s="3"/>
      <c r="C3252" s="3"/>
      <c r="D3252" s="3"/>
      <c r="E3252" s="3"/>
      <c r="F3252" s="3"/>
      <c r="G3252" s="3"/>
      <c r="H3252" s="3"/>
      <c r="I3252" s="3"/>
      <c r="J3252" s="3"/>
      <c r="K3252" s="1066" t="s">
        <v>201</v>
      </c>
      <c r="L3252" s="1058"/>
      <c r="M3252" s="1059">
        <f>SUM(M3247:N3251)</f>
        <v>0</v>
      </c>
      <c r="N3252" s="1058"/>
    </row>
    <row r="3253" spans="1:14" ht="12.75" customHeight="1" x14ac:dyDescent="0.25">
      <c r="A3253" s="3"/>
      <c r="B3253" s="3"/>
      <c r="C3253" s="3"/>
      <c r="D3253" s="3"/>
      <c r="E3253" s="3"/>
      <c r="F3253" s="3"/>
      <c r="G3253" s="3"/>
      <c r="H3253" s="3"/>
      <c r="I3253" s="3"/>
      <c r="J3253" s="3"/>
      <c r="K3253" s="3"/>
      <c r="L3253" s="3"/>
      <c r="M3253" s="3"/>
      <c r="N3253" s="3"/>
    </row>
    <row r="3254" spans="1:14" ht="12.75" customHeight="1" x14ac:dyDescent="0.2">
      <c r="A3254" s="1065" t="s">
        <v>394</v>
      </c>
      <c r="B3254" s="1057"/>
      <c r="C3254" s="1057"/>
      <c r="D3254" s="1057"/>
      <c r="E3254" s="1057"/>
      <c r="F3254" s="1057"/>
      <c r="G3254" s="1057"/>
      <c r="H3254" s="1057"/>
      <c r="I3254" s="1057"/>
      <c r="J3254" s="1057"/>
      <c r="K3254" s="1057"/>
      <c r="L3254" s="1057"/>
      <c r="M3254" s="1057"/>
      <c r="N3254" s="1058"/>
    </row>
    <row r="3255" spans="1:14" ht="12.75" customHeight="1" x14ac:dyDescent="0.2">
      <c r="A3255" s="1066" t="s">
        <v>38</v>
      </c>
      <c r="B3255" s="1057"/>
      <c r="C3255" s="1057"/>
      <c r="D3255" s="1057"/>
      <c r="E3255" s="1057"/>
      <c r="F3255" s="1057"/>
      <c r="G3255" s="1058"/>
      <c r="H3255" s="28" t="s">
        <v>39</v>
      </c>
      <c r="I3255" s="1062" t="s">
        <v>385</v>
      </c>
      <c r="J3255" s="1058"/>
      <c r="K3255" s="30" t="s">
        <v>193</v>
      </c>
      <c r="L3255" s="31" t="s">
        <v>395</v>
      </c>
      <c r="M3255" s="1062" t="s">
        <v>386</v>
      </c>
      <c r="N3255" s="1058"/>
    </row>
    <row r="3256" spans="1:14" ht="12.75" customHeight="1" x14ac:dyDescent="0.25">
      <c r="A3256" s="1063" t="s">
        <v>404</v>
      </c>
      <c r="B3256" s="1057"/>
      <c r="C3256" s="1057"/>
      <c r="D3256" s="1057"/>
      <c r="E3256" s="1057"/>
      <c r="F3256" s="1057"/>
      <c r="G3256" s="1058"/>
      <c r="H3256" s="9" t="str">
        <f>IF(A3256="","",VLOOKUP(A3256,AA_Cuadrillas,4,FALSE))</f>
        <v>Cuadrilla</v>
      </c>
      <c r="I3256" s="1059">
        <f>IF(A3256="","",VLOOKUP(A3256,AA_Cuadrillas,5,FALSE))</f>
        <v>213027</v>
      </c>
      <c r="J3256" s="1058"/>
      <c r="K3256" s="1">
        <f>IF(A3256="","",'06'!$J$3)</f>
        <v>1.7233500000000002</v>
      </c>
      <c r="L3256" s="1">
        <v>0.05</v>
      </c>
      <c r="M3256" s="1059">
        <f>IF(A3256="","",I3256*K3256*L3256)</f>
        <v>18356.004022500001</v>
      </c>
      <c r="N3256" s="1058"/>
    </row>
    <row r="3257" spans="1:14" ht="12.75" customHeight="1" x14ac:dyDescent="0.25">
      <c r="A3257" s="1063"/>
      <c r="B3257" s="1057"/>
      <c r="C3257" s="1057"/>
      <c r="D3257" s="1057"/>
      <c r="E3257" s="1057"/>
      <c r="F3257" s="1057"/>
      <c r="G3257" s="1058"/>
      <c r="H3257" s="9" t="str">
        <f>IF(A3257="","",VLOOKUP(A3257,AA_Cuadrillas,4,FALSE))</f>
        <v/>
      </c>
      <c r="I3257" s="1059" t="str">
        <f>IF(A3257="","",VLOOKUP(A3257,AA_Cuadrillas,5,FALSE))</f>
        <v/>
      </c>
      <c r="J3257" s="1058"/>
      <c r="K3257" s="1" t="str">
        <f>IF(A3257="","",'06'!$J$3)</f>
        <v/>
      </c>
      <c r="L3257" s="1"/>
      <c r="M3257" s="1059" t="str">
        <f>IF(A3257="","",I3257*K3257*L3257)</f>
        <v/>
      </c>
      <c r="N3257" s="1058"/>
    </row>
    <row r="3258" spans="1:14" ht="12.75" customHeight="1" x14ac:dyDescent="0.25">
      <c r="A3258" s="1063"/>
      <c r="B3258" s="1057"/>
      <c r="C3258" s="1057"/>
      <c r="D3258" s="1057"/>
      <c r="E3258" s="1057"/>
      <c r="F3258" s="1057"/>
      <c r="G3258" s="1058"/>
      <c r="H3258" s="9" t="str">
        <f>IF(A3258="","",VLOOKUP(A3258,AA_Cuadrillas,4,FALSE))</f>
        <v/>
      </c>
      <c r="I3258" s="1059" t="str">
        <f>IF(A3258="","",VLOOKUP(A3258,AA_Cuadrillas,5,FALSE))</f>
        <v/>
      </c>
      <c r="J3258" s="1058"/>
      <c r="K3258" s="1" t="str">
        <f>IF(A3258="","",'06'!$J$3)</f>
        <v/>
      </c>
      <c r="L3258" s="10"/>
      <c r="M3258" s="1059" t="str">
        <f>IF(A3258="","",I3258*K3258*L3258)</f>
        <v/>
      </c>
      <c r="N3258" s="1058"/>
    </row>
    <row r="3259" spans="1:14" ht="12.75" customHeight="1" x14ac:dyDescent="0.25">
      <c r="A3259" s="1063"/>
      <c r="B3259" s="1057"/>
      <c r="C3259" s="1057"/>
      <c r="D3259" s="1057"/>
      <c r="E3259" s="1057"/>
      <c r="F3259" s="1057"/>
      <c r="G3259" s="1058"/>
      <c r="H3259" s="9" t="str">
        <f>IF(A3259="","",VLOOKUP(A3259,AA_Cuadrillas,4,FALSE))</f>
        <v/>
      </c>
      <c r="I3259" s="1059" t="str">
        <f>IF(A3259="","",VLOOKUP(A3259,AA_Cuadrillas,5,FALSE))</f>
        <v/>
      </c>
      <c r="J3259" s="1058"/>
      <c r="K3259" s="1" t="str">
        <f>IF(A3259="","",'06'!$J$3)</f>
        <v/>
      </c>
      <c r="L3259" s="10"/>
      <c r="M3259" s="1059" t="str">
        <f>IF(A3259="","",I3259*K3259*L3259)</f>
        <v/>
      </c>
      <c r="N3259" s="1058"/>
    </row>
    <row r="3260" spans="1:14" ht="12.75" customHeight="1" x14ac:dyDescent="0.25">
      <c r="A3260" s="3"/>
      <c r="B3260" s="3"/>
      <c r="C3260" s="3"/>
      <c r="D3260" s="3"/>
      <c r="E3260" s="3"/>
      <c r="F3260" s="3"/>
      <c r="G3260" s="3"/>
      <c r="H3260" s="3"/>
      <c r="I3260" s="3"/>
      <c r="J3260" s="3"/>
      <c r="K3260" s="1066" t="s">
        <v>201</v>
      </c>
      <c r="L3260" s="1058"/>
      <c r="M3260" s="1059">
        <f>SUM(M3256:N3259)</f>
        <v>18356.004022500001</v>
      </c>
      <c r="N3260" s="1058"/>
    </row>
    <row r="3261" spans="1:14" ht="12.75" customHeight="1" x14ac:dyDescent="0.2"/>
    <row r="3262" spans="1:14" ht="12.75" customHeight="1" x14ac:dyDescent="0.2">
      <c r="A3262" s="1068" t="s">
        <v>1742</v>
      </c>
      <c r="B3262" s="1052"/>
      <c r="C3262" s="1052"/>
      <c r="D3262" s="1052"/>
      <c r="E3262" s="1052"/>
      <c r="F3262" s="1052"/>
      <c r="G3262" s="1052"/>
      <c r="H3262" s="1052"/>
      <c r="I3262" s="1052"/>
      <c r="J3262" s="1052"/>
      <c r="K3262" s="1052"/>
      <c r="L3262" s="1052"/>
      <c r="M3262" s="1052"/>
      <c r="N3262" s="1053"/>
    </row>
    <row r="3263" spans="1:14" ht="12.75" customHeight="1" x14ac:dyDescent="0.2">
      <c r="A3263" s="1031"/>
      <c r="B3263" s="1032"/>
      <c r="C3263" s="1032"/>
      <c r="D3263" s="1032"/>
      <c r="E3263" s="1032"/>
      <c r="F3263" s="1032"/>
      <c r="G3263" s="1032"/>
      <c r="H3263" s="1032"/>
      <c r="I3263" s="1032"/>
      <c r="J3263" s="1032"/>
      <c r="K3263" s="1032"/>
      <c r="L3263" s="1032"/>
      <c r="M3263" s="1032"/>
      <c r="N3263" s="1055"/>
    </row>
    <row r="3264" spans="1:14" ht="12.75" customHeight="1" x14ac:dyDescent="0.2">
      <c r="A3264" s="16"/>
      <c r="B3264" s="16"/>
      <c r="C3264" s="16"/>
      <c r="D3264" s="16"/>
      <c r="E3264" s="16"/>
      <c r="F3264" s="16"/>
      <c r="G3264" s="16"/>
      <c r="H3264" s="16"/>
      <c r="I3264" s="16"/>
      <c r="J3264" s="16"/>
      <c r="K3264" s="16"/>
      <c r="L3264" s="16"/>
      <c r="M3264" s="16"/>
      <c r="N3264" s="16"/>
    </row>
    <row r="3265" spans="1:14" ht="12.75" customHeight="1" x14ac:dyDescent="0.3">
      <c r="A3265" s="18" t="s">
        <v>367</v>
      </c>
      <c r="B3265" s="19" t="str">
        <f>A3262</f>
        <v>TEE Ø4" PVC</v>
      </c>
      <c r="C3265" s="20" t="s">
        <v>382</v>
      </c>
      <c r="D3265" s="127" t="s">
        <v>424</v>
      </c>
      <c r="E3265" s="22" t="s">
        <v>125</v>
      </c>
      <c r="F3265" s="26">
        <f>(H3265+J3265+L3265+N3265)*$O$2</f>
        <v>263683.94549071253</v>
      </c>
      <c r="G3265" s="22" t="s">
        <v>285</v>
      </c>
      <c r="H3265" s="26">
        <f>M3284</f>
        <v>917.80020112500006</v>
      </c>
      <c r="I3265" s="22" t="s">
        <v>383</v>
      </c>
      <c r="J3265" s="36">
        <f>M3275</f>
        <v>183560</v>
      </c>
      <c r="K3265" s="22" t="s">
        <v>287</v>
      </c>
      <c r="L3265" s="26">
        <f>M3293</f>
        <v>0</v>
      </c>
      <c r="M3265" s="22" t="s">
        <v>288</v>
      </c>
      <c r="N3265" s="26">
        <f>M3302</f>
        <v>18356.004022500001</v>
      </c>
    </row>
    <row r="3266" spans="1:14" ht="12.75" customHeight="1" x14ac:dyDescent="0.25">
      <c r="A3266" s="27"/>
      <c r="B3266" s="27"/>
      <c r="C3266" s="27"/>
      <c r="D3266" s="27"/>
      <c r="E3266" s="27"/>
      <c r="F3266" s="27"/>
      <c r="G3266" s="27"/>
      <c r="J3266" s="27"/>
      <c r="K3266" s="27"/>
      <c r="L3266" s="27"/>
      <c r="M3266" s="27"/>
      <c r="N3266" s="27"/>
    </row>
    <row r="3267" spans="1:14" ht="12.75" customHeight="1" x14ac:dyDescent="0.2">
      <c r="A3267" s="1065" t="s">
        <v>384</v>
      </c>
      <c r="B3267" s="1057"/>
      <c r="C3267" s="1057"/>
      <c r="D3267" s="1057"/>
      <c r="E3267" s="1057"/>
      <c r="F3267" s="1057"/>
      <c r="G3267" s="1057"/>
      <c r="H3267" s="1057"/>
      <c r="I3267" s="1057"/>
      <c r="J3267" s="1057"/>
      <c r="K3267" s="1057"/>
      <c r="L3267" s="1057"/>
      <c r="M3267" s="1057"/>
      <c r="N3267" s="1058"/>
    </row>
    <row r="3268" spans="1:14" ht="12.75" customHeight="1" x14ac:dyDescent="0.2">
      <c r="A3268" s="1066" t="s">
        <v>38</v>
      </c>
      <c r="B3268" s="1057"/>
      <c r="C3268" s="1057"/>
      <c r="D3268" s="1057"/>
      <c r="E3268" s="1057"/>
      <c r="F3268" s="1057"/>
      <c r="G3268" s="1058"/>
      <c r="H3268" s="28" t="s">
        <v>39</v>
      </c>
      <c r="I3268" s="1062" t="s">
        <v>385</v>
      </c>
      <c r="J3268" s="1058"/>
      <c r="K3268" s="1062" t="s">
        <v>132</v>
      </c>
      <c r="L3268" s="1058"/>
      <c r="M3268" s="1062" t="s">
        <v>386</v>
      </c>
      <c r="N3268" s="1058"/>
    </row>
    <row r="3269" spans="1:14" ht="12.75" customHeight="1" x14ac:dyDescent="0.2">
      <c r="A3269" s="1061" t="s">
        <v>1574</v>
      </c>
      <c r="B3269" s="1057"/>
      <c r="C3269" s="1057"/>
      <c r="D3269" s="1057"/>
      <c r="E3269" s="1057"/>
      <c r="F3269" s="1057"/>
      <c r="G3269" s="1058"/>
      <c r="H3269" s="9" t="str">
        <f t="shared" ref="H3269" si="240">IF(A3269="","",VLOOKUP(A3269,AA_Materiales,7,FALSE))</f>
        <v>Unidad</v>
      </c>
      <c r="I3269" s="1059">
        <f t="shared" ref="I3269" si="241">IF(A3269="","",VLOOKUP(A3269,AA_Materiales,8,FALSE))</f>
        <v>183560</v>
      </c>
      <c r="J3269" s="1058"/>
      <c r="K3269" s="1060">
        <v>1</v>
      </c>
      <c r="L3269" s="1058"/>
      <c r="M3269" s="1059">
        <f t="shared" ref="M3269:M3274" si="242">IF(A3269="","",I3269*K3269)</f>
        <v>183560</v>
      </c>
      <c r="N3269" s="1058"/>
    </row>
    <row r="3270" spans="1:14" ht="12.75" customHeight="1" x14ac:dyDescent="0.2">
      <c r="A3270" s="1061"/>
      <c r="B3270" s="1057"/>
      <c r="C3270" s="1057"/>
      <c r="D3270" s="1057"/>
      <c r="E3270" s="1057"/>
      <c r="F3270" s="1057"/>
      <c r="G3270" s="1058"/>
      <c r="H3270" s="9"/>
      <c r="I3270" s="1059"/>
      <c r="J3270" s="1058"/>
      <c r="K3270" s="1060"/>
      <c r="L3270" s="1058"/>
      <c r="M3270" s="1059" t="str">
        <f t="shared" si="242"/>
        <v/>
      </c>
      <c r="N3270" s="1058"/>
    </row>
    <row r="3271" spans="1:14" ht="12.75" customHeight="1" x14ac:dyDescent="0.2">
      <c r="A3271" s="1061"/>
      <c r="B3271" s="1057"/>
      <c r="C3271" s="1057"/>
      <c r="D3271" s="1057"/>
      <c r="E3271" s="1057"/>
      <c r="F3271" s="1057"/>
      <c r="G3271" s="1058"/>
      <c r="H3271" s="9"/>
      <c r="I3271" s="1059"/>
      <c r="J3271" s="1058"/>
      <c r="K3271" s="1060"/>
      <c r="L3271" s="1058"/>
      <c r="M3271" s="1059" t="str">
        <f t="shared" si="242"/>
        <v/>
      </c>
      <c r="N3271" s="1058"/>
    </row>
    <row r="3272" spans="1:14" ht="12.75" customHeight="1" x14ac:dyDescent="0.2">
      <c r="A3272" s="1061"/>
      <c r="B3272" s="1057"/>
      <c r="C3272" s="1057"/>
      <c r="D3272" s="1057"/>
      <c r="E3272" s="1057"/>
      <c r="F3272" s="1057"/>
      <c r="G3272" s="1058"/>
      <c r="H3272" s="9"/>
      <c r="I3272" s="1059"/>
      <c r="J3272" s="1058"/>
      <c r="K3272" s="1060"/>
      <c r="L3272" s="1058"/>
      <c r="M3272" s="1059" t="str">
        <f t="shared" si="242"/>
        <v/>
      </c>
      <c r="N3272" s="1058"/>
    </row>
    <row r="3273" spans="1:14" ht="12.75" customHeight="1" x14ac:dyDescent="0.2">
      <c r="A3273" s="1061"/>
      <c r="B3273" s="1057"/>
      <c r="C3273" s="1057"/>
      <c r="D3273" s="1057"/>
      <c r="E3273" s="1057"/>
      <c r="F3273" s="1057"/>
      <c r="G3273" s="1058"/>
      <c r="H3273" s="9"/>
      <c r="I3273" s="1059"/>
      <c r="J3273" s="1058"/>
      <c r="K3273" s="1060"/>
      <c r="L3273" s="1058"/>
      <c r="M3273" s="1059" t="str">
        <f t="shared" si="242"/>
        <v/>
      </c>
      <c r="N3273" s="1058"/>
    </row>
    <row r="3274" spans="1:14" ht="12.75" customHeight="1" x14ac:dyDescent="0.2">
      <c r="A3274" s="1061"/>
      <c r="B3274" s="1057"/>
      <c r="C3274" s="1057"/>
      <c r="D3274" s="1057"/>
      <c r="E3274" s="1057"/>
      <c r="F3274" s="1057"/>
      <c r="G3274" s="1058"/>
      <c r="H3274" s="9"/>
      <c r="I3274" s="1059"/>
      <c r="J3274" s="1058"/>
      <c r="K3274" s="1060"/>
      <c r="L3274" s="1058"/>
      <c r="M3274" s="1059" t="str">
        <f t="shared" si="242"/>
        <v/>
      </c>
      <c r="N3274" s="1058"/>
    </row>
    <row r="3275" spans="1:14" ht="12.75" customHeight="1" x14ac:dyDescent="0.25">
      <c r="A3275" s="3"/>
      <c r="B3275" s="3"/>
      <c r="C3275" s="3"/>
      <c r="D3275" s="3"/>
      <c r="E3275" s="3"/>
      <c r="F3275" s="3"/>
      <c r="G3275" s="3"/>
      <c r="H3275" s="3"/>
      <c r="I3275" s="3"/>
      <c r="J3275" s="3"/>
      <c r="K3275" s="1066" t="s">
        <v>201</v>
      </c>
      <c r="L3275" s="1058"/>
      <c r="M3275" s="1059">
        <f>SUM(M3269:N3274)</f>
        <v>183560</v>
      </c>
      <c r="N3275" s="1058"/>
    </row>
    <row r="3276" spans="1:14" ht="12.75" customHeight="1" x14ac:dyDescent="0.25">
      <c r="A3276" s="3"/>
      <c r="B3276" s="3"/>
      <c r="C3276" s="3"/>
      <c r="D3276" s="3"/>
      <c r="E3276" s="3"/>
      <c r="F3276" s="3"/>
      <c r="G3276" s="3"/>
      <c r="H3276" s="3"/>
      <c r="I3276" s="3"/>
      <c r="J3276" s="3"/>
      <c r="K3276" s="3"/>
      <c r="L3276" s="3"/>
      <c r="M3276" s="3"/>
      <c r="N3276" s="3"/>
    </row>
    <row r="3277" spans="1:14" ht="12.75" customHeight="1" x14ac:dyDescent="0.2">
      <c r="A3277" s="1065" t="s">
        <v>390</v>
      </c>
      <c r="B3277" s="1057"/>
      <c r="C3277" s="1057"/>
      <c r="D3277" s="1057"/>
      <c r="E3277" s="1057"/>
      <c r="F3277" s="1057"/>
      <c r="G3277" s="1057"/>
      <c r="H3277" s="1057"/>
      <c r="I3277" s="1057"/>
      <c r="J3277" s="1057"/>
      <c r="K3277" s="1057"/>
      <c r="L3277" s="1057"/>
      <c r="M3277" s="1057"/>
      <c r="N3277" s="1058"/>
    </row>
    <row r="3278" spans="1:14" ht="12.75" customHeight="1" x14ac:dyDescent="0.2">
      <c r="A3278" s="1066" t="s">
        <v>38</v>
      </c>
      <c r="B3278" s="1057"/>
      <c r="C3278" s="1057"/>
      <c r="D3278" s="1057"/>
      <c r="E3278" s="1057"/>
      <c r="F3278" s="1057"/>
      <c r="G3278" s="1058"/>
      <c r="H3278" s="28" t="s">
        <v>39</v>
      </c>
      <c r="I3278" s="1062" t="s">
        <v>385</v>
      </c>
      <c r="J3278" s="1058"/>
      <c r="K3278" s="1062" t="s">
        <v>132</v>
      </c>
      <c r="L3278" s="1058"/>
      <c r="M3278" s="1062" t="s">
        <v>386</v>
      </c>
      <c r="N3278" s="1058"/>
    </row>
    <row r="3279" spans="1:14" ht="12.75" customHeight="1" x14ac:dyDescent="0.2">
      <c r="A3279" s="1061" t="s">
        <v>391</v>
      </c>
      <c r="B3279" s="1057"/>
      <c r="C3279" s="1057"/>
      <c r="D3279" s="1057"/>
      <c r="E3279" s="1057"/>
      <c r="F3279" s="1057"/>
      <c r="G3279" s="1058"/>
      <c r="H3279" s="9" t="str">
        <f>IF(A3279="","",VLOOKUP(A3279,AA_Equipos,7,FALSE))</f>
        <v>% M.O.</v>
      </c>
      <c r="I3279" s="1059">
        <f>M3302</f>
        <v>18356.004022500001</v>
      </c>
      <c r="J3279" s="1058"/>
      <c r="K3279" s="1064">
        <v>0.05</v>
      </c>
      <c r="L3279" s="1058"/>
      <c r="M3279" s="1059">
        <f>IF(A3279="","",I3279*K3279)</f>
        <v>917.80020112500006</v>
      </c>
      <c r="N3279" s="1058"/>
    </row>
    <row r="3280" spans="1:14" ht="12.75" customHeight="1" x14ac:dyDescent="0.2">
      <c r="A3280" s="1056"/>
      <c r="B3280" s="1057"/>
      <c r="C3280" s="1057"/>
      <c r="D3280" s="1057"/>
      <c r="E3280" s="1057"/>
      <c r="F3280" s="1057"/>
      <c r="G3280" s="1058"/>
      <c r="H3280" s="9" t="str">
        <f>IF(A3280="","",VLOOKUP(A3280,AA_Equipos,7,FALSE))</f>
        <v/>
      </c>
      <c r="I3280" s="1059" t="str">
        <f>IF(A3280="","",VLOOKUP(A3280,AA_Equipos,8,FALSE))</f>
        <v/>
      </c>
      <c r="J3280" s="1058"/>
      <c r="K3280" s="1067"/>
      <c r="L3280" s="1058"/>
      <c r="M3280" s="1059" t="str">
        <f>IF(A3280="","",I3280*K3280)</f>
        <v/>
      </c>
      <c r="N3280" s="1058"/>
    </row>
    <row r="3281" spans="1:15" ht="12.75" customHeight="1" x14ac:dyDescent="0.2">
      <c r="A3281" s="1061"/>
      <c r="B3281" s="1057"/>
      <c r="C3281" s="1057"/>
      <c r="D3281" s="1057"/>
      <c r="E3281" s="1057"/>
      <c r="F3281" s="1057"/>
      <c r="G3281" s="1058"/>
      <c r="H3281" s="9" t="str">
        <f>IF(A3281="","",VLOOKUP(A3281,AA_Equipos,7,FALSE))</f>
        <v/>
      </c>
      <c r="I3281" s="1059" t="str">
        <f>IF(A3281="","",VLOOKUP(A3281,AA_Equipos,8,FALSE))</f>
        <v/>
      </c>
      <c r="J3281" s="1058"/>
      <c r="K3281" s="1060"/>
      <c r="L3281" s="1058"/>
      <c r="M3281" s="1059" t="str">
        <f>IF(A3281="","",I3281*K3281)</f>
        <v/>
      </c>
      <c r="N3281" s="1058"/>
    </row>
    <row r="3282" spans="1:15" ht="12.75" customHeight="1" x14ac:dyDescent="0.2">
      <c r="A3282" s="1061"/>
      <c r="B3282" s="1057"/>
      <c r="C3282" s="1057"/>
      <c r="D3282" s="1057"/>
      <c r="E3282" s="1057"/>
      <c r="F3282" s="1057"/>
      <c r="G3282" s="1058"/>
      <c r="H3282" s="9" t="str">
        <f>IF(A3282="","",VLOOKUP(A3282,AA_Equipos,7,FALSE))</f>
        <v/>
      </c>
      <c r="I3282" s="1059" t="str">
        <f>IF(A3282="","",VLOOKUP(A3282,AA_Equipos,8,FALSE))</f>
        <v/>
      </c>
      <c r="J3282" s="1058"/>
      <c r="K3282" s="1060"/>
      <c r="L3282" s="1058"/>
      <c r="M3282" s="1059" t="str">
        <f>IF(A3282="","",I3282*K3282)</f>
        <v/>
      </c>
      <c r="N3282" s="1058"/>
    </row>
    <row r="3283" spans="1:15" ht="12.75" customHeight="1" x14ac:dyDescent="0.2">
      <c r="A3283" s="1061"/>
      <c r="B3283" s="1057"/>
      <c r="C3283" s="1057"/>
      <c r="D3283" s="1057"/>
      <c r="E3283" s="1057"/>
      <c r="F3283" s="1057"/>
      <c r="G3283" s="1058"/>
      <c r="H3283" s="9" t="str">
        <f>IF(A3283="","",VLOOKUP(A3283,AA_Equipos,7,FALSE))</f>
        <v/>
      </c>
      <c r="I3283" s="1059" t="str">
        <f>IF(A3283="","",VLOOKUP(A3283,AA_Equipos,8,FALSE))</f>
        <v/>
      </c>
      <c r="J3283" s="1058"/>
      <c r="K3283" s="1060"/>
      <c r="L3283" s="1058"/>
      <c r="M3283" s="1059" t="str">
        <f>IF(A3283="","",I3283*K3283)</f>
        <v/>
      </c>
      <c r="N3283" s="1058"/>
      <c r="O3283" s="7"/>
    </row>
    <row r="3284" spans="1:15" ht="12.75" customHeight="1" x14ac:dyDescent="0.25">
      <c r="A3284" s="3"/>
      <c r="B3284" s="3"/>
      <c r="C3284" s="3"/>
      <c r="D3284" s="3"/>
      <c r="E3284" s="3"/>
      <c r="F3284" s="3"/>
      <c r="G3284" s="3"/>
      <c r="H3284" s="3"/>
      <c r="I3284" s="3"/>
      <c r="J3284" s="3"/>
      <c r="K3284" s="1066" t="s">
        <v>201</v>
      </c>
      <c r="L3284" s="1058"/>
      <c r="M3284" s="1059">
        <f>SUM(M3279:N3283)</f>
        <v>917.80020112500006</v>
      </c>
      <c r="N3284" s="1058"/>
      <c r="O3284" s="7"/>
    </row>
    <row r="3285" spans="1:15" ht="12.75" customHeight="1" x14ac:dyDescent="0.25">
      <c r="A3285" s="3"/>
      <c r="B3285" s="3"/>
      <c r="C3285" s="3"/>
      <c r="D3285" s="3"/>
      <c r="E3285" s="3"/>
      <c r="F3285" s="3"/>
      <c r="G3285" s="3"/>
      <c r="H3285" s="3"/>
      <c r="I3285" s="3"/>
      <c r="J3285" s="3"/>
      <c r="K3285" s="3"/>
      <c r="L3285" s="3"/>
      <c r="M3285" s="3"/>
      <c r="N3285" s="3"/>
    </row>
    <row r="3286" spans="1:15" ht="12.75" customHeight="1" x14ac:dyDescent="0.2">
      <c r="A3286" s="1065" t="s">
        <v>392</v>
      </c>
      <c r="B3286" s="1057"/>
      <c r="C3286" s="1057"/>
      <c r="D3286" s="1057"/>
      <c r="E3286" s="1057"/>
      <c r="F3286" s="1057"/>
      <c r="G3286" s="1057"/>
      <c r="H3286" s="1057"/>
      <c r="I3286" s="1057"/>
      <c r="J3286" s="1057"/>
      <c r="K3286" s="1057"/>
      <c r="L3286" s="1057"/>
      <c r="M3286" s="1057"/>
      <c r="N3286" s="1058"/>
    </row>
    <row r="3287" spans="1:15" ht="12.75" customHeight="1" x14ac:dyDescent="0.2">
      <c r="A3287" s="1066" t="s">
        <v>38</v>
      </c>
      <c r="B3287" s="1057"/>
      <c r="C3287" s="1057"/>
      <c r="D3287" s="1057"/>
      <c r="E3287" s="1057"/>
      <c r="F3287" s="1057"/>
      <c r="G3287" s="1058"/>
      <c r="H3287" s="28" t="s">
        <v>39</v>
      </c>
      <c r="I3287" s="1062" t="s">
        <v>385</v>
      </c>
      <c r="J3287" s="1058"/>
      <c r="K3287" s="1062" t="s">
        <v>132</v>
      </c>
      <c r="L3287" s="1058"/>
      <c r="M3287" s="1062" t="s">
        <v>386</v>
      </c>
      <c r="N3287" s="1058"/>
    </row>
    <row r="3288" spans="1:15" ht="12.75" customHeight="1" x14ac:dyDescent="0.2">
      <c r="A3288" s="1061"/>
      <c r="B3288" s="1057"/>
      <c r="C3288" s="1057"/>
      <c r="D3288" s="1057"/>
      <c r="E3288" s="1057"/>
      <c r="F3288" s="1057"/>
      <c r="G3288" s="1058"/>
      <c r="H3288" s="9"/>
      <c r="I3288" s="1059"/>
      <c r="J3288" s="1058"/>
      <c r="K3288" s="1064"/>
      <c r="L3288" s="1058"/>
      <c r="M3288" s="1059" t="str">
        <f>IF(A3288="","",I3288*K3288)</f>
        <v/>
      </c>
      <c r="N3288" s="1058"/>
    </row>
    <row r="3289" spans="1:15" ht="12.75" customHeight="1" x14ac:dyDescent="0.2">
      <c r="A3289" s="1056"/>
      <c r="B3289" s="1057"/>
      <c r="C3289" s="1057"/>
      <c r="D3289" s="1057"/>
      <c r="E3289" s="1057"/>
      <c r="F3289" s="1057"/>
      <c r="G3289" s="1058"/>
      <c r="H3289" s="9"/>
      <c r="I3289" s="1059"/>
      <c r="J3289" s="1058"/>
      <c r="K3289" s="1060"/>
      <c r="L3289" s="1058"/>
      <c r="M3289" s="1059" t="str">
        <f>IF(A3289="","",I3289*K3289)</f>
        <v/>
      </c>
      <c r="N3289" s="1058"/>
    </row>
    <row r="3290" spans="1:15" ht="12.75" customHeight="1" x14ac:dyDescent="0.2">
      <c r="A3290" s="1061"/>
      <c r="B3290" s="1057"/>
      <c r="C3290" s="1057"/>
      <c r="D3290" s="1057"/>
      <c r="E3290" s="1057"/>
      <c r="F3290" s="1057"/>
      <c r="G3290" s="1058"/>
      <c r="H3290" s="9"/>
      <c r="I3290" s="1059"/>
      <c r="J3290" s="1058"/>
      <c r="K3290" s="1060"/>
      <c r="L3290" s="1058"/>
      <c r="M3290" s="1059" t="str">
        <f>IF(A3290="","",I3290*K3290)</f>
        <v/>
      </c>
      <c r="N3290" s="1058"/>
    </row>
    <row r="3291" spans="1:15" ht="12.75" customHeight="1" x14ac:dyDescent="0.2">
      <c r="A3291" s="1061"/>
      <c r="B3291" s="1057"/>
      <c r="C3291" s="1057"/>
      <c r="D3291" s="1057"/>
      <c r="E3291" s="1057"/>
      <c r="F3291" s="1057"/>
      <c r="G3291" s="1058"/>
      <c r="H3291" s="9"/>
      <c r="I3291" s="1059"/>
      <c r="J3291" s="1058"/>
      <c r="K3291" s="1060"/>
      <c r="L3291" s="1058"/>
      <c r="M3291" s="1059" t="str">
        <f>IF(A3291="","",I3291*K3291)</f>
        <v/>
      </c>
      <c r="N3291" s="1058"/>
    </row>
    <row r="3292" spans="1:15" ht="12.75" customHeight="1" x14ac:dyDescent="0.2">
      <c r="A3292" s="1061"/>
      <c r="B3292" s="1057"/>
      <c r="C3292" s="1057"/>
      <c r="D3292" s="1057"/>
      <c r="E3292" s="1057"/>
      <c r="F3292" s="1057"/>
      <c r="G3292" s="1058"/>
      <c r="H3292" s="9"/>
      <c r="I3292" s="1059"/>
      <c r="J3292" s="1058"/>
      <c r="K3292" s="1060"/>
      <c r="L3292" s="1058"/>
      <c r="M3292" s="1059" t="str">
        <f>IF(A3292="","",I3292*K3292)</f>
        <v/>
      </c>
      <c r="N3292" s="1058"/>
    </row>
    <row r="3293" spans="1:15" ht="12.75" customHeight="1" x14ac:dyDescent="0.25">
      <c r="A3293" s="3"/>
      <c r="B3293" s="3"/>
      <c r="C3293" s="3"/>
      <c r="D3293" s="3"/>
      <c r="E3293" s="3"/>
      <c r="F3293" s="3"/>
      <c r="G3293" s="3"/>
      <c r="H3293" s="3"/>
      <c r="I3293" s="3"/>
      <c r="J3293" s="3"/>
      <c r="K3293" s="1066" t="s">
        <v>201</v>
      </c>
      <c r="L3293" s="1058"/>
      <c r="M3293" s="1059">
        <f>SUM(M3288:N3292)</f>
        <v>0</v>
      </c>
      <c r="N3293" s="1058"/>
    </row>
    <row r="3294" spans="1:15" ht="12.75" customHeight="1" x14ac:dyDescent="0.25">
      <c r="A3294" s="3"/>
      <c r="B3294" s="3"/>
      <c r="C3294" s="3"/>
      <c r="D3294" s="3"/>
      <c r="E3294" s="3"/>
      <c r="F3294" s="3"/>
      <c r="G3294" s="3"/>
      <c r="H3294" s="3"/>
      <c r="I3294" s="3"/>
      <c r="J3294" s="3"/>
      <c r="K3294" s="3"/>
      <c r="L3294" s="3"/>
      <c r="M3294" s="3"/>
      <c r="N3294" s="3"/>
    </row>
    <row r="3295" spans="1:15" ht="12.75" customHeight="1" x14ac:dyDescent="0.2">
      <c r="A3295" s="1065" t="s">
        <v>394</v>
      </c>
      <c r="B3295" s="1057"/>
      <c r="C3295" s="1057"/>
      <c r="D3295" s="1057"/>
      <c r="E3295" s="1057"/>
      <c r="F3295" s="1057"/>
      <c r="G3295" s="1057"/>
      <c r="H3295" s="1057"/>
      <c r="I3295" s="1057"/>
      <c r="J3295" s="1057"/>
      <c r="K3295" s="1057"/>
      <c r="L3295" s="1057"/>
      <c r="M3295" s="1057"/>
      <c r="N3295" s="1058"/>
    </row>
    <row r="3296" spans="1:15" ht="12.75" customHeight="1" x14ac:dyDescent="0.2">
      <c r="A3296" s="1066" t="s">
        <v>38</v>
      </c>
      <c r="B3296" s="1057"/>
      <c r="C3296" s="1057"/>
      <c r="D3296" s="1057"/>
      <c r="E3296" s="1057"/>
      <c r="F3296" s="1057"/>
      <c r="G3296" s="1058"/>
      <c r="H3296" s="28" t="s">
        <v>39</v>
      </c>
      <c r="I3296" s="1062" t="s">
        <v>385</v>
      </c>
      <c r="J3296" s="1058"/>
      <c r="K3296" s="30" t="s">
        <v>193</v>
      </c>
      <c r="L3296" s="31" t="s">
        <v>395</v>
      </c>
      <c r="M3296" s="1062" t="s">
        <v>386</v>
      </c>
      <c r="N3296" s="1058"/>
    </row>
    <row r="3297" spans="1:14" ht="12.75" customHeight="1" x14ac:dyDescent="0.25">
      <c r="A3297" s="1063" t="s">
        <v>404</v>
      </c>
      <c r="B3297" s="1057"/>
      <c r="C3297" s="1057"/>
      <c r="D3297" s="1057"/>
      <c r="E3297" s="1057"/>
      <c r="F3297" s="1057"/>
      <c r="G3297" s="1058"/>
      <c r="H3297" s="9" t="str">
        <f>IF(A3297="","",VLOOKUP(A3297,AA_Cuadrillas,4,FALSE))</f>
        <v>Cuadrilla</v>
      </c>
      <c r="I3297" s="1059">
        <f>IF(A3297="","",VLOOKUP(A3297,AA_Cuadrillas,5,FALSE))</f>
        <v>213027</v>
      </c>
      <c r="J3297" s="1058"/>
      <c r="K3297" s="1">
        <f>IF(A3297="","",'06'!$J$3)</f>
        <v>1.7233500000000002</v>
      </c>
      <c r="L3297" s="1">
        <v>0.05</v>
      </c>
      <c r="M3297" s="1059">
        <f>IF(A3297="","",I3297*K3297*L3297)</f>
        <v>18356.004022500001</v>
      </c>
      <c r="N3297" s="1058"/>
    </row>
    <row r="3298" spans="1:14" ht="12.75" customHeight="1" x14ac:dyDescent="0.25">
      <c r="A3298" s="1063"/>
      <c r="B3298" s="1057"/>
      <c r="C3298" s="1057"/>
      <c r="D3298" s="1057"/>
      <c r="E3298" s="1057"/>
      <c r="F3298" s="1057"/>
      <c r="G3298" s="1058"/>
      <c r="H3298" s="9" t="str">
        <f>IF(A3298="","",VLOOKUP(A3298,AA_Cuadrillas,4,FALSE))</f>
        <v/>
      </c>
      <c r="I3298" s="1059" t="str">
        <f>IF(A3298="","",VLOOKUP(A3298,AA_Cuadrillas,5,FALSE))</f>
        <v/>
      </c>
      <c r="J3298" s="1058"/>
      <c r="K3298" s="1" t="str">
        <f>IF(A3298="","",'06'!$J$3)</f>
        <v/>
      </c>
      <c r="L3298" s="1"/>
      <c r="M3298" s="1059" t="str">
        <f>IF(A3298="","",I3298*K3298*L3298)</f>
        <v/>
      </c>
      <c r="N3298" s="1058"/>
    </row>
    <row r="3299" spans="1:14" ht="12.75" customHeight="1" x14ac:dyDescent="0.25">
      <c r="A3299" s="1063"/>
      <c r="B3299" s="1057"/>
      <c r="C3299" s="1057"/>
      <c r="D3299" s="1057"/>
      <c r="E3299" s="1057"/>
      <c r="F3299" s="1057"/>
      <c r="G3299" s="1058"/>
      <c r="H3299" s="9" t="str">
        <f>IF(A3299="","",VLOOKUP(A3299,AA_Cuadrillas,4,FALSE))</f>
        <v/>
      </c>
      <c r="I3299" s="1059" t="str">
        <f>IF(A3299="","",VLOOKUP(A3299,AA_Cuadrillas,5,FALSE))</f>
        <v/>
      </c>
      <c r="J3299" s="1058"/>
      <c r="K3299" s="1" t="str">
        <f>IF(A3299="","",'06'!$J$3)</f>
        <v/>
      </c>
      <c r="L3299" s="10"/>
      <c r="M3299" s="1059" t="str">
        <f>IF(A3299="","",I3299*K3299*L3299)</f>
        <v/>
      </c>
      <c r="N3299" s="1058"/>
    </row>
    <row r="3300" spans="1:14" ht="12.75" customHeight="1" x14ac:dyDescent="0.25">
      <c r="A3300" s="1063"/>
      <c r="B3300" s="1057"/>
      <c r="C3300" s="1057"/>
      <c r="D3300" s="1057"/>
      <c r="E3300" s="1057"/>
      <c r="F3300" s="1057"/>
      <c r="G3300" s="1058"/>
      <c r="H3300" s="9" t="str">
        <f>IF(A3300="","",VLOOKUP(A3300,AA_Cuadrillas,4,FALSE))</f>
        <v/>
      </c>
      <c r="I3300" s="1059" t="str">
        <f>IF(A3300="","",VLOOKUP(A3300,AA_Cuadrillas,5,FALSE))</f>
        <v/>
      </c>
      <c r="J3300" s="1058"/>
      <c r="K3300" s="1" t="str">
        <f>IF(A3300="","",'06'!$J$3)</f>
        <v/>
      </c>
      <c r="L3300" s="10"/>
      <c r="M3300" s="1059" t="str">
        <f>IF(A3300="","",I3300*K3300*L3300)</f>
        <v/>
      </c>
      <c r="N3300" s="1058"/>
    </row>
    <row r="3301" spans="1:14" ht="12.75" customHeight="1" x14ac:dyDescent="0.25">
      <c r="A3301" s="1063"/>
      <c r="B3301" s="1057"/>
      <c r="C3301" s="1057"/>
      <c r="D3301" s="1057"/>
      <c r="E3301" s="1057"/>
      <c r="F3301" s="1057"/>
      <c r="G3301" s="1058"/>
      <c r="H3301" s="9" t="str">
        <f>IF(A3301="","",VLOOKUP(A3301,AA_Cuadrillas,4,FALSE))</f>
        <v/>
      </c>
      <c r="I3301" s="1059" t="str">
        <f>IF(A3301="","",VLOOKUP(A3301,AA_Cuadrillas,5,FALSE))</f>
        <v/>
      </c>
      <c r="J3301" s="1058"/>
      <c r="K3301" s="1" t="str">
        <f>IF(A3301="","",'06'!$J$3)</f>
        <v/>
      </c>
      <c r="L3301" s="10"/>
      <c r="M3301" s="1059" t="str">
        <f>IF(A3301="","",I3301*K3301*L3301)</f>
        <v/>
      </c>
      <c r="N3301" s="1058"/>
    </row>
    <row r="3302" spans="1:14" ht="12.75" customHeight="1" x14ac:dyDescent="0.25">
      <c r="A3302" s="3"/>
      <c r="B3302" s="3"/>
      <c r="C3302" s="3"/>
      <c r="D3302" s="3"/>
      <c r="E3302" s="3"/>
      <c r="F3302" s="3"/>
      <c r="G3302" s="3"/>
      <c r="H3302" s="3"/>
      <c r="I3302" s="3"/>
      <c r="J3302" s="3"/>
      <c r="K3302" s="1066" t="s">
        <v>201</v>
      </c>
      <c r="L3302" s="1058"/>
      <c r="M3302" s="1059">
        <f>SUM(M3297:N3301)</f>
        <v>18356.004022500001</v>
      </c>
      <c r="N3302" s="1058"/>
    </row>
    <row r="3303" spans="1:14" ht="12.75" customHeight="1" x14ac:dyDescent="0.2"/>
    <row r="3304" spans="1:14" ht="12.75" customHeight="1" x14ac:dyDescent="0.2">
      <c r="A3304" s="1068" t="s">
        <v>1743</v>
      </c>
      <c r="B3304" s="1052"/>
      <c r="C3304" s="1052"/>
      <c r="D3304" s="1052"/>
      <c r="E3304" s="1052"/>
      <c r="F3304" s="1052"/>
      <c r="G3304" s="1052"/>
      <c r="H3304" s="1052"/>
      <c r="I3304" s="1052"/>
      <c r="J3304" s="1052"/>
      <c r="K3304" s="1052"/>
      <c r="L3304" s="1052"/>
      <c r="M3304" s="1052"/>
      <c r="N3304" s="1053"/>
    </row>
    <row r="3305" spans="1:14" ht="12.75" customHeight="1" x14ac:dyDescent="0.2">
      <c r="A3305" s="1031"/>
      <c r="B3305" s="1032"/>
      <c r="C3305" s="1032"/>
      <c r="D3305" s="1032"/>
      <c r="E3305" s="1032"/>
      <c r="F3305" s="1032"/>
      <c r="G3305" s="1032"/>
      <c r="H3305" s="1032"/>
      <c r="I3305" s="1032"/>
      <c r="J3305" s="1032"/>
      <c r="K3305" s="1032"/>
      <c r="L3305" s="1032"/>
      <c r="M3305" s="1032"/>
      <c r="N3305" s="1055"/>
    </row>
    <row r="3306" spans="1:14" ht="12.75" customHeight="1" x14ac:dyDescent="0.2">
      <c r="A3306" s="16"/>
      <c r="B3306" s="16"/>
      <c r="C3306" s="16"/>
      <c r="D3306" s="16"/>
      <c r="E3306" s="16"/>
      <c r="F3306" s="16"/>
      <c r="G3306" s="16"/>
      <c r="H3306" s="16"/>
      <c r="I3306" s="16"/>
      <c r="J3306" s="16"/>
      <c r="K3306" s="16"/>
      <c r="L3306" s="16"/>
      <c r="M3306" s="16"/>
      <c r="N3306" s="16"/>
    </row>
    <row r="3307" spans="1:14" ht="12.75" customHeight="1" x14ac:dyDescent="0.3">
      <c r="A3307" s="18" t="s">
        <v>368</v>
      </c>
      <c r="B3307" s="19" t="str">
        <f>A3304</f>
        <v>GRAVA PARA FILTRO 2-4mm (1/8″ a malla 10).</v>
      </c>
      <c r="C3307" s="20" t="s">
        <v>382</v>
      </c>
      <c r="D3307" s="21" t="s">
        <v>399</v>
      </c>
      <c r="E3307" s="22" t="s">
        <v>125</v>
      </c>
      <c r="F3307" s="26">
        <f>(H3307+J3307+L3307+N3307)*$O$2</f>
        <v>16057308.868535351</v>
      </c>
      <c r="G3307" s="22" t="s">
        <v>285</v>
      </c>
      <c r="H3307" s="26">
        <f>M3325</f>
        <v>587280.28822473809</v>
      </c>
      <c r="I3307" s="22" t="s">
        <v>383</v>
      </c>
      <c r="J3307" s="36">
        <f>M3316</f>
        <v>18890</v>
      </c>
      <c r="K3307" s="22" t="s">
        <v>287</v>
      </c>
      <c r="L3307" s="26">
        <f>M3334</f>
        <v>0</v>
      </c>
      <c r="M3307" s="22" t="s">
        <v>288</v>
      </c>
      <c r="N3307" s="26">
        <f>M3343</f>
        <v>11745605.764494762</v>
      </c>
    </row>
    <row r="3308" spans="1:14" ht="12.75" customHeight="1" x14ac:dyDescent="0.25">
      <c r="A3308" s="27"/>
      <c r="B3308" s="27"/>
      <c r="C3308" s="27"/>
      <c r="D3308" s="27"/>
      <c r="E3308" s="27"/>
      <c r="F3308" s="27"/>
      <c r="G3308" s="27"/>
      <c r="J3308" s="27"/>
      <c r="K3308" s="27"/>
      <c r="L3308" s="27"/>
      <c r="M3308" s="27"/>
      <c r="N3308" s="27"/>
    </row>
    <row r="3309" spans="1:14" ht="12.75" customHeight="1" x14ac:dyDescent="0.2">
      <c r="A3309" s="1065" t="s">
        <v>384</v>
      </c>
      <c r="B3309" s="1057"/>
      <c r="C3309" s="1057"/>
      <c r="D3309" s="1057"/>
      <c r="E3309" s="1057"/>
      <c r="F3309" s="1057"/>
      <c r="G3309" s="1057"/>
      <c r="H3309" s="1057"/>
      <c r="I3309" s="1057"/>
      <c r="J3309" s="1057"/>
      <c r="K3309" s="1057"/>
      <c r="L3309" s="1057"/>
      <c r="M3309" s="1057"/>
      <c r="N3309" s="1058"/>
    </row>
    <row r="3310" spans="1:14" ht="12.75" customHeight="1" x14ac:dyDescent="0.2">
      <c r="A3310" s="1066" t="s">
        <v>38</v>
      </c>
      <c r="B3310" s="1057"/>
      <c r="C3310" s="1057"/>
      <c r="D3310" s="1057"/>
      <c r="E3310" s="1057"/>
      <c r="F3310" s="1057"/>
      <c r="G3310" s="1058"/>
      <c r="H3310" s="28" t="s">
        <v>39</v>
      </c>
      <c r="I3310" s="1062" t="s">
        <v>385</v>
      </c>
      <c r="J3310" s="1058"/>
      <c r="K3310" s="1062" t="s">
        <v>132</v>
      </c>
      <c r="L3310" s="1058"/>
      <c r="M3310" s="1062" t="s">
        <v>386</v>
      </c>
      <c r="N3310" s="1058"/>
    </row>
    <row r="3311" spans="1:14" ht="12.75" customHeight="1" x14ac:dyDescent="0.2">
      <c r="A3311" s="1061" t="s">
        <v>1576</v>
      </c>
      <c r="B3311" s="1057"/>
      <c r="C3311" s="1057"/>
      <c r="D3311" s="1057"/>
      <c r="E3311" s="1057"/>
      <c r="F3311" s="1057"/>
      <c r="G3311" s="1058"/>
      <c r="H3311" s="9" t="str">
        <f t="shared" ref="H3311" si="243">IF(A3311="","",VLOOKUP(A3311,AA_Materiales,7,FALSE))</f>
        <v>Kg</v>
      </c>
      <c r="I3311" s="1059">
        <f t="shared" ref="I3311" si="244">IF(A3311="","",VLOOKUP(A3311,AA_Materiales,8,FALSE))</f>
        <v>18890</v>
      </c>
      <c r="J3311" s="1058"/>
      <c r="K3311" s="1060">
        <v>1</v>
      </c>
      <c r="L3311" s="1058"/>
      <c r="M3311" s="1059">
        <f>IF(A3311="","",I3311*K3311)</f>
        <v>18890</v>
      </c>
      <c r="N3311" s="1058"/>
    </row>
    <row r="3312" spans="1:14" ht="12.75" customHeight="1" x14ac:dyDescent="0.2">
      <c r="A3312" s="1061"/>
      <c r="B3312" s="1057"/>
      <c r="C3312" s="1057"/>
      <c r="D3312" s="1057"/>
      <c r="E3312" s="1057"/>
      <c r="F3312" s="1057"/>
      <c r="G3312" s="1058"/>
      <c r="H3312" s="9" t="str">
        <f>IF(A3312="","",VLOOKUP(A3312,AA_Materiales,7,FALSE))</f>
        <v/>
      </c>
      <c r="I3312" s="1059" t="str">
        <f>IF(A3312="","",VLOOKUP(A3312,AA_Materiales,8,FALSE))</f>
        <v/>
      </c>
      <c r="J3312" s="1058"/>
      <c r="K3312" s="1060"/>
      <c r="L3312" s="1058"/>
      <c r="M3312" s="1059" t="str">
        <f>IF(A3312="","",I3312*K3312)</f>
        <v/>
      </c>
      <c r="N3312" s="1058"/>
    </row>
    <row r="3313" spans="1:15" ht="12.75" customHeight="1" x14ac:dyDescent="0.2">
      <c r="A3313" s="1061"/>
      <c r="B3313" s="1057"/>
      <c r="C3313" s="1057"/>
      <c r="D3313" s="1057"/>
      <c r="E3313" s="1057"/>
      <c r="F3313" s="1057"/>
      <c r="G3313" s="1058"/>
      <c r="H3313" s="9" t="str">
        <f>IF(A3313="","",VLOOKUP(A3313,AA_Materiales,7,FALSE))</f>
        <v/>
      </c>
      <c r="I3313" s="1059" t="str">
        <f>IF(A3313="","",VLOOKUP(A3313,AA_Materiales,8,FALSE))</f>
        <v/>
      </c>
      <c r="J3313" s="1058"/>
      <c r="K3313" s="1060"/>
      <c r="L3313" s="1058"/>
      <c r="M3313" s="1059" t="str">
        <f>IF(A3313="","",I3313*K3313)</f>
        <v/>
      </c>
      <c r="N3313" s="1058"/>
    </row>
    <row r="3314" spans="1:15" ht="12.75" customHeight="1" x14ac:dyDescent="0.2">
      <c r="A3314" s="1061"/>
      <c r="B3314" s="1057"/>
      <c r="C3314" s="1057"/>
      <c r="D3314" s="1057"/>
      <c r="E3314" s="1057"/>
      <c r="F3314" s="1057"/>
      <c r="G3314" s="1058"/>
      <c r="H3314" s="9" t="str">
        <f>IF(A3314="","",VLOOKUP(A3314,AA_Materiales,7,FALSE))</f>
        <v/>
      </c>
      <c r="I3314" s="1059" t="str">
        <f>IF(A3314="","",VLOOKUP(A3314,AA_Materiales,8,FALSE))</f>
        <v/>
      </c>
      <c r="J3314" s="1058"/>
      <c r="K3314" s="1060"/>
      <c r="L3314" s="1058"/>
      <c r="M3314" s="1059" t="str">
        <f>IF(A3314="","",I3314*K3314)</f>
        <v/>
      </c>
      <c r="N3314" s="1058"/>
    </row>
    <row r="3315" spans="1:15" ht="12.75" customHeight="1" x14ac:dyDescent="0.2">
      <c r="A3315" s="1061"/>
      <c r="B3315" s="1057"/>
      <c r="C3315" s="1057"/>
      <c r="D3315" s="1057"/>
      <c r="E3315" s="1057"/>
      <c r="F3315" s="1057"/>
      <c r="G3315" s="1058"/>
      <c r="H3315" s="9" t="str">
        <f>IF(A3315="","",VLOOKUP(A3315,AA_Materiales,7,FALSE))</f>
        <v/>
      </c>
      <c r="I3315" s="1059" t="str">
        <f>IF(A3315="","",VLOOKUP(A3315,AA_Materiales,8,FALSE))</f>
        <v/>
      </c>
      <c r="J3315" s="1058"/>
      <c r="K3315" s="1060"/>
      <c r="L3315" s="1058"/>
      <c r="M3315" s="1059" t="str">
        <f>IF(A3315="","",I3315*K3315)</f>
        <v/>
      </c>
      <c r="N3315" s="1058"/>
    </row>
    <row r="3316" spans="1:15" ht="12.75" customHeight="1" x14ac:dyDescent="0.25">
      <c r="A3316" s="3"/>
      <c r="B3316" s="3"/>
      <c r="C3316" s="3"/>
      <c r="D3316" s="3"/>
      <c r="E3316" s="3"/>
      <c r="F3316" s="3"/>
      <c r="G3316" s="3"/>
      <c r="H3316" s="3"/>
      <c r="I3316" s="3"/>
      <c r="J3316" s="3"/>
      <c r="K3316" s="1066" t="s">
        <v>201</v>
      </c>
      <c r="L3316" s="1058"/>
      <c r="M3316" s="1059">
        <f>SUM(M3311:N3315)</f>
        <v>18890</v>
      </c>
      <c r="N3316" s="1058"/>
    </row>
    <row r="3317" spans="1:15" ht="12.75" customHeight="1" x14ac:dyDescent="0.25">
      <c r="A3317" s="3"/>
      <c r="B3317" s="3"/>
      <c r="C3317" s="3"/>
      <c r="D3317" s="3"/>
      <c r="E3317" s="3"/>
      <c r="F3317" s="3"/>
      <c r="G3317" s="3"/>
      <c r="H3317" s="3"/>
      <c r="I3317" s="3"/>
      <c r="J3317" s="3"/>
      <c r="K3317" s="3"/>
      <c r="L3317" s="3"/>
      <c r="M3317" s="3"/>
      <c r="N3317" s="3"/>
    </row>
    <row r="3318" spans="1:15" ht="12.75" customHeight="1" x14ac:dyDescent="0.2">
      <c r="A3318" s="1065" t="s">
        <v>390</v>
      </c>
      <c r="B3318" s="1057"/>
      <c r="C3318" s="1057"/>
      <c r="D3318" s="1057"/>
      <c r="E3318" s="1057"/>
      <c r="F3318" s="1057"/>
      <c r="G3318" s="1057"/>
      <c r="H3318" s="1057"/>
      <c r="I3318" s="1057"/>
      <c r="J3318" s="1057"/>
      <c r="K3318" s="1057"/>
      <c r="L3318" s="1057"/>
      <c r="M3318" s="1057"/>
      <c r="N3318" s="1058"/>
    </row>
    <row r="3319" spans="1:15" ht="12.75" customHeight="1" x14ac:dyDescent="0.2">
      <c r="A3319" s="1066" t="s">
        <v>38</v>
      </c>
      <c r="B3319" s="1057"/>
      <c r="C3319" s="1057"/>
      <c r="D3319" s="1057"/>
      <c r="E3319" s="1057"/>
      <c r="F3319" s="1057"/>
      <c r="G3319" s="1058"/>
      <c r="H3319" s="28" t="s">
        <v>39</v>
      </c>
      <c r="I3319" s="1062" t="s">
        <v>385</v>
      </c>
      <c r="J3319" s="1058"/>
      <c r="K3319" s="1062" t="s">
        <v>132</v>
      </c>
      <c r="L3319" s="1058"/>
      <c r="M3319" s="1062" t="s">
        <v>386</v>
      </c>
      <c r="N3319" s="1058"/>
    </row>
    <row r="3320" spans="1:15" ht="12.75" customHeight="1" x14ac:dyDescent="0.2">
      <c r="A3320" s="1061" t="s">
        <v>391</v>
      </c>
      <c r="B3320" s="1057"/>
      <c r="C3320" s="1057"/>
      <c r="D3320" s="1057"/>
      <c r="E3320" s="1057"/>
      <c r="F3320" s="1057"/>
      <c r="G3320" s="1058"/>
      <c r="H3320" s="9" t="str">
        <f>IF(A3320="","",VLOOKUP(A3320,AA_Equipos,7,FALSE))</f>
        <v>% M.O.</v>
      </c>
      <c r="I3320" s="1059">
        <f>M3343</f>
        <v>11745605.764494762</v>
      </c>
      <c r="J3320" s="1058"/>
      <c r="K3320" s="1064">
        <v>0.05</v>
      </c>
      <c r="L3320" s="1058"/>
      <c r="M3320" s="1059">
        <f>IF(A3320="","",I3320*K3320)</f>
        <v>587280.28822473809</v>
      </c>
      <c r="N3320" s="1058"/>
    </row>
    <row r="3321" spans="1:15" ht="12.75" customHeight="1" x14ac:dyDescent="0.2">
      <c r="A3321" s="1056"/>
      <c r="B3321" s="1057"/>
      <c r="C3321" s="1057"/>
      <c r="D3321" s="1057"/>
      <c r="E3321" s="1057"/>
      <c r="F3321" s="1057"/>
      <c r="G3321" s="1058"/>
      <c r="H3321" s="9" t="str">
        <f>IF(A3321="","",VLOOKUP(A3321,AA_Equipos,7,FALSE))</f>
        <v/>
      </c>
      <c r="I3321" s="1059" t="str">
        <f>IF(A3321="","",VLOOKUP(A3321,AA_Equipos,8,FALSE))</f>
        <v/>
      </c>
      <c r="J3321" s="1058"/>
      <c r="K3321" s="1067"/>
      <c r="L3321" s="1058"/>
      <c r="M3321" s="1059" t="str">
        <f>IF(A3321="","",I3321*K3321)</f>
        <v/>
      </c>
      <c r="N3321" s="1058"/>
    </row>
    <row r="3322" spans="1:15" ht="12.75" customHeight="1" x14ac:dyDescent="0.2">
      <c r="A3322" s="1061"/>
      <c r="B3322" s="1057"/>
      <c r="C3322" s="1057"/>
      <c r="D3322" s="1057"/>
      <c r="E3322" s="1057"/>
      <c r="F3322" s="1057"/>
      <c r="G3322" s="1058"/>
      <c r="H3322" s="9" t="str">
        <f>IF(A3322="","",VLOOKUP(A3322,AA_Equipos,7,FALSE))</f>
        <v/>
      </c>
      <c r="I3322" s="1059" t="str">
        <f>IF(A3322="","",VLOOKUP(A3322,AA_Equipos,8,FALSE))</f>
        <v/>
      </c>
      <c r="J3322" s="1058"/>
      <c r="K3322" s="1060"/>
      <c r="L3322" s="1058"/>
      <c r="M3322" s="1059" t="str">
        <f>IF(A3322="","",I3322*K3322)</f>
        <v/>
      </c>
      <c r="N3322" s="1058"/>
    </row>
    <row r="3323" spans="1:15" ht="12.75" customHeight="1" x14ac:dyDescent="0.2">
      <c r="A3323" s="1061"/>
      <c r="B3323" s="1057"/>
      <c r="C3323" s="1057"/>
      <c r="D3323" s="1057"/>
      <c r="E3323" s="1057"/>
      <c r="F3323" s="1057"/>
      <c r="G3323" s="1058"/>
      <c r="H3323" s="9" t="str">
        <f>IF(A3323="","",VLOOKUP(A3323,AA_Equipos,7,FALSE))</f>
        <v/>
      </c>
      <c r="I3323" s="1059" t="str">
        <f>IF(A3323="","",VLOOKUP(A3323,AA_Equipos,8,FALSE))</f>
        <v/>
      </c>
      <c r="J3323" s="1058"/>
      <c r="K3323" s="1060"/>
      <c r="L3323" s="1058"/>
      <c r="M3323" s="1059" t="str">
        <f>IF(A3323="","",I3323*K3323)</f>
        <v/>
      </c>
      <c r="N3323" s="1058"/>
    </row>
    <row r="3324" spans="1:15" ht="12.75" customHeight="1" x14ac:dyDescent="0.2">
      <c r="A3324" s="1061"/>
      <c r="B3324" s="1057"/>
      <c r="C3324" s="1057"/>
      <c r="D3324" s="1057"/>
      <c r="E3324" s="1057"/>
      <c r="F3324" s="1057"/>
      <c r="G3324" s="1058"/>
      <c r="H3324" s="9" t="str">
        <f>IF(A3324="","",VLOOKUP(A3324,AA_Equipos,7,FALSE))</f>
        <v/>
      </c>
      <c r="I3324" s="1059" t="str">
        <f>IF(A3324="","",VLOOKUP(A3324,AA_Equipos,8,FALSE))</f>
        <v/>
      </c>
      <c r="J3324" s="1058"/>
      <c r="K3324" s="1060"/>
      <c r="L3324" s="1058"/>
      <c r="M3324" s="1059" t="str">
        <f>IF(A3324="","",I3324*K3324)</f>
        <v/>
      </c>
      <c r="N3324" s="1058"/>
      <c r="O3324" s="7"/>
    </row>
    <row r="3325" spans="1:15" ht="12.75" customHeight="1" x14ac:dyDescent="0.25">
      <c r="A3325" s="3"/>
      <c r="B3325" s="3"/>
      <c r="C3325" s="3"/>
      <c r="D3325" s="3"/>
      <c r="E3325" s="3"/>
      <c r="F3325" s="3"/>
      <c r="G3325" s="3"/>
      <c r="H3325" s="3"/>
      <c r="I3325" s="3"/>
      <c r="J3325" s="3"/>
      <c r="K3325" s="1066" t="s">
        <v>201</v>
      </c>
      <c r="L3325" s="1058"/>
      <c r="M3325" s="1059">
        <f>SUM(M3320:N3324)</f>
        <v>587280.28822473809</v>
      </c>
      <c r="N3325" s="1058"/>
      <c r="O3325" s="7"/>
    </row>
    <row r="3326" spans="1:15" ht="12.75" customHeight="1" x14ac:dyDescent="0.25">
      <c r="A3326" s="3"/>
      <c r="B3326" s="3"/>
      <c r="C3326" s="3"/>
      <c r="D3326" s="3"/>
      <c r="E3326" s="3"/>
      <c r="F3326" s="3"/>
      <c r="G3326" s="3"/>
      <c r="H3326" s="3"/>
      <c r="I3326" s="3"/>
      <c r="J3326" s="3"/>
      <c r="K3326" s="3"/>
      <c r="L3326" s="3"/>
      <c r="M3326" s="3"/>
      <c r="N3326" s="3"/>
    </row>
    <row r="3327" spans="1:15" ht="12.75" customHeight="1" x14ac:dyDescent="0.2">
      <c r="A3327" s="1065" t="s">
        <v>392</v>
      </c>
      <c r="B3327" s="1057"/>
      <c r="C3327" s="1057"/>
      <c r="D3327" s="1057"/>
      <c r="E3327" s="1057"/>
      <c r="F3327" s="1057"/>
      <c r="G3327" s="1057"/>
      <c r="H3327" s="1057"/>
      <c r="I3327" s="1057"/>
      <c r="J3327" s="1057"/>
      <c r="K3327" s="1057"/>
      <c r="L3327" s="1057"/>
      <c r="M3327" s="1057"/>
      <c r="N3327" s="1058"/>
    </row>
    <row r="3328" spans="1:15" ht="12.75" customHeight="1" x14ac:dyDescent="0.2">
      <c r="A3328" s="1066" t="s">
        <v>38</v>
      </c>
      <c r="B3328" s="1057"/>
      <c r="C3328" s="1057"/>
      <c r="D3328" s="1057"/>
      <c r="E3328" s="1057"/>
      <c r="F3328" s="1057"/>
      <c r="G3328" s="1058"/>
      <c r="H3328" s="28" t="s">
        <v>39</v>
      </c>
      <c r="I3328" s="1062" t="s">
        <v>385</v>
      </c>
      <c r="J3328" s="1058"/>
      <c r="K3328" s="1062" t="s">
        <v>132</v>
      </c>
      <c r="L3328" s="1058"/>
      <c r="M3328" s="1062" t="s">
        <v>386</v>
      </c>
      <c r="N3328" s="1058"/>
    </row>
    <row r="3329" spans="1:14" ht="12.75" customHeight="1" x14ac:dyDescent="0.2">
      <c r="A3329" s="1061"/>
      <c r="B3329" s="1057"/>
      <c r="C3329" s="1057"/>
      <c r="D3329" s="1057"/>
      <c r="E3329" s="1057"/>
      <c r="F3329" s="1057"/>
      <c r="G3329" s="1058"/>
      <c r="H3329" s="110"/>
      <c r="I3329" s="1059"/>
      <c r="J3329" s="1058"/>
      <c r="K3329" s="1060"/>
      <c r="L3329" s="1058"/>
      <c r="M3329" s="1059" t="str">
        <f>IF(A3329="","",I3329*K3329)</f>
        <v/>
      </c>
      <c r="N3329" s="1058"/>
    </row>
    <row r="3330" spans="1:14" ht="12.75" customHeight="1" x14ac:dyDescent="0.2">
      <c r="A3330" s="1056"/>
      <c r="B3330" s="1057"/>
      <c r="C3330" s="1057"/>
      <c r="D3330" s="1057"/>
      <c r="E3330" s="1057"/>
      <c r="F3330" s="1057"/>
      <c r="G3330" s="1058"/>
      <c r="H3330" s="9"/>
      <c r="I3330" s="1059"/>
      <c r="J3330" s="1058"/>
      <c r="K3330" s="1067"/>
      <c r="L3330" s="1058"/>
      <c r="M3330" s="1059" t="str">
        <f>IF(A3330="","",I3330*K3330)</f>
        <v/>
      </c>
      <c r="N3330" s="1058"/>
    </row>
    <row r="3331" spans="1:14" ht="12.75" customHeight="1" x14ac:dyDescent="0.2">
      <c r="A3331" s="1061"/>
      <c r="B3331" s="1057"/>
      <c r="C3331" s="1057"/>
      <c r="D3331" s="1057"/>
      <c r="E3331" s="1057"/>
      <c r="F3331" s="1057"/>
      <c r="G3331" s="1058"/>
      <c r="H3331" s="9"/>
      <c r="I3331" s="1059"/>
      <c r="J3331" s="1058"/>
      <c r="K3331" s="1060"/>
      <c r="L3331" s="1058"/>
      <c r="M3331" s="1059" t="str">
        <f>IF(A3331="","",I3331*K3331)</f>
        <v/>
      </c>
      <c r="N3331" s="1058"/>
    </row>
    <row r="3332" spans="1:14" ht="12.75" customHeight="1" x14ac:dyDescent="0.2">
      <c r="A3332" s="1061"/>
      <c r="B3332" s="1057"/>
      <c r="C3332" s="1057"/>
      <c r="D3332" s="1057"/>
      <c r="E3332" s="1057"/>
      <c r="F3332" s="1057"/>
      <c r="G3332" s="1058"/>
      <c r="H3332" s="9"/>
      <c r="I3332" s="1059"/>
      <c r="J3332" s="1058"/>
      <c r="K3332" s="1060"/>
      <c r="L3332" s="1058"/>
      <c r="M3332" s="1059" t="str">
        <f>IF(A3332="","",I3332*K3332)</f>
        <v/>
      </c>
      <c r="N3332" s="1058"/>
    </row>
    <row r="3333" spans="1:14" ht="12.75" customHeight="1" x14ac:dyDescent="0.2">
      <c r="A3333" s="1061"/>
      <c r="B3333" s="1057"/>
      <c r="C3333" s="1057"/>
      <c r="D3333" s="1057"/>
      <c r="E3333" s="1057"/>
      <c r="F3333" s="1057"/>
      <c r="G3333" s="1058"/>
      <c r="H3333" s="9"/>
      <c r="I3333" s="1059"/>
      <c r="J3333" s="1058"/>
      <c r="K3333" s="1060"/>
      <c r="L3333" s="1058"/>
      <c r="M3333" s="1059" t="str">
        <f>IF(A3333="","",I3333*K3333)</f>
        <v/>
      </c>
      <c r="N3333" s="1058"/>
    </row>
    <row r="3334" spans="1:14" ht="12.75" customHeight="1" x14ac:dyDescent="0.25">
      <c r="A3334" s="3"/>
      <c r="B3334" s="3"/>
      <c r="C3334" s="3"/>
      <c r="D3334" s="3"/>
      <c r="E3334" s="3"/>
      <c r="F3334" s="3"/>
      <c r="G3334" s="3"/>
      <c r="H3334" s="3"/>
      <c r="I3334" s="3"/>
      <c r="J3334" s="3"/>
      <c r="K3334" s="1066" t="s">
        <v>201</v>
      </c>
      <c r="L3334" s="1058"/>
      <c r="M3334" s="1059">
        <f>SUM(M3329:N3333)</f>
        <v>0</v>
      </c>
      <c r="N3334" s="1058"/>
    </row>
    <row r="3335" spans="1:14" ht="12.75" customHeight="1" x14ac:dyDescent="0.25">
      <c r="A3335" s="3"/>
      <c r="B3335" s="3"/>
      <c r="C3335" s="3"/>
      <c r="D3335" s="3"/>
      <c r="E3335" s="3"/>
      <c r="F3335" s="3"/>
      <c r="G3335" s="3"/>
      <c r="H3335" s="3"/>
      <c r="I3335" s="3"/>
      <c r="J3335" s="3"/>
      <c r="K3335" s="3"/>
      <c r="L3335" s="3"/>
      <c r="M3335" s="3"/>
      <c r="N3335" s="3"/>
    </row>
    <row r="3336" spans="1:14" ht="12.75" customHeight="1" x14ac:dyDescent="0.2">
      <c r="A3336" s="1065" t="s">
        <v>394</v>
      </c>
      <c r="B3336" s="1057"/>
      <c r="C3336" s="1057"/>
      <c r="D3336" s="1057"/>
      <c r="E3336" s="1057"/>
      <c r="F3336" s="1057"/>
      <c r="G3336" s="1057"/>
      <c r="H3336" s="1057"/>
      <c r="I3336" s="1057"/>
      <c r="J3336" s="1057"/>
      <c r="K3336" s="1057"/>
      <c r="L3336" s="1057"/>
      <c r="M3336" s="1057"/>
      <c r="N3336" s="1058"/>
    </row>
    <row r="3337" spans="1:14" ht="12.75" customHeight="1" x14ac:dyDescent="0.2">
      <c r="A3337" s="1066" t="s">
        <v>38</v>
      </c>
      <c r="B3337" s="1057"/>
      <c r="C3337" s="1057"/>
      <c r="D3337" s="1057"/>
      <c r="E3337" s="1057"/>
      <c r="F3337" s="1057"/>
      <c r="G3337" s="1058"/>
      <c r="H3337" s="28" t="s">
        <v>39</v>
      </c>
      <c r="I3337" s="1062" t="s">
        <v>385</v>
      </c>
      <c r="J3337" s="1058"/>
      <c r="K3337" s="30" t="s">
        <v>193</v>
      </c>
      <c r="L3337" s="31" t="s">
        <v>395</v>
      </c>
      <c r="M3337" s="1062" t="s">
        <v>386</v>
      </c>
      <c r="N3337" s="1058"/>
    </row>
    <row r="3338" spans="1:14" ht="12.75" customHeight="1" x14ac:dyDescent="0.25">
      <c r="A3338" s="1063" t="s">
        <v>536</v>
      </c>
      <c r="B3338" s="1057"/>
      <c r="C3338" s="1057"/>
      <c r="D3338" s="1057"/>
      <c r="E3338" s="1057"/>
      <c r="F3338" s="1057"/>
      <c r="G3338" s="1058"/>
      <c r="H3338" s="9" t="str">
        <f>IF(A3338="","",VLOOKUP(A3338,AA_Cuadrillas,4,FALSE))</f>
        <v>Cuadrilla</v>
      </c>
      <c r="I3338" s="1059">
        <f>IF(A3338="","",VLOOKUP(A3338,AA_Cuadrillas,5,FALSE))</f>
        <v>714953</v>
      </c>
      <c r="J3338" s="1058"/>
      <c r="K3338" s="1">
        <f>IF(A3338="","",'06'!$J$3)</f>
        <v>1.7233500000000002</v>
      </c>
      <c r="L3338" s="32">
        <v>9.5328868570312366</v>
      </c>
      <c r="M3338" s="1059">
        <f>IF(A3338="","",I3338*K3338*L3338)</f>
        <v>11745605.764494762</v>
      </c>
      <c r="N3338" s="1058"/>
    </row>
    <row r="3339" spans="1:14" ht="12.75" customHeight="1" x14ac:dyDescent="0.25">
      <c r="A3339" s="1063"/>
      <c r="B3339" s="1057"/>
      <c r="C3339" s="1057"/>
      <c r="D3339" s="1057"/>
      <c r="E3339" s="1057"/>
      <c r="F3339" s="1057"/>
      <c r="G3339" s="1058"/>
      <c r="H3339" s="9" t="str">
        <f>IF(A3339="","",VLOOKUP(A3339,AA_Cuadrillas,4,FALSE))</f>
        <v/>
      </c>
      <c r="I3339" s="1059" t="str">
        <f>IF(A3339="","",VLOOKUP(A3339,AA_Cuadrillas,5,FALSE))</f>
        <v/>
      </c>
      <c r="J3339" s="1058"/>
      <c r="K3339" s="1" t="str">
        <f>IF(A3339="","",'06'!$J$3)</f>
        <v/>
      </c>
      <c r="L3339" s="1"/>
      <c r="M3339" s="1059" t="str">
        <f>IF(A3339="","",I3339*K3339*L3339)</f>
        <v/>
      </c>
      <c r="N3339" s="1058"/>
    </row>
    <row r="3340" spans="1:14" ht="12.75" customHeight="1" x14ac:dyDescent="0.25">
      <c r="A3340" s="1063"/>
      <c r="B3340" s="1057"/>
      <c r="C3340" s="1057"/>
      <c r="D3340" s="1057"/>
      <c r="E3340" s="1057"/>
      <c r="F3340" s="1057"/>
      <c r="G3340" s="1058"/>
      <c r="H3340" s="9" t="str">
        <f>IF(A3340="","",VLOOKUP(A3340,AA_Cuadrillas,4,FALSE))</f>
        <v/>
      </c>
      <c r="I3340" s="1059" t="str">
        <f>IF(A3340="","",VLOOKUP(A3340,AA_Cuadrillas,5,FALSE))</f>
        <v/>
      </c>
      <c r="J3340" s="1058"/>
      <c r="K3340" s="1" t="str">
        <f>IF(A3340="","",'06'!$J$3)</f>
        <v/>
      </c>
      <c r="L3340" s="10"/>
      <c r="M3340" s="1059" t="str">
        <f>IF(A3340="","",I3340*K3340*L3340)</f>
        <v/>
      </c>
      <c r="N3340" s="1058"/>
    </row>
    <row r="3341" spans="1:14" ht="12.75" customHeight="1" x14ac:dyDescent="0.25">
      <c r="A3341" s="1063"/>
      <c r="B3341" s="1057"/>
      <c r="C3341" s="1057"/>
      <c r="D3341" s="1057"/>
      <c r="E3341" s="1057"/>
      <c r="F3341" s="1057"/>
      <c r="G3341" s="1058"/>
      <c r="H3341" s="9" t="str">
        <f>IF(A3341="","",VLOOKUP(A3341,AA_Cuadrillas,4,FALSE))</f>
        <v/>
      </c>
      <c r="I3341" s="1059" t="str">
        <f>IF(A3341="","",VLOOKUP(A3341,AA_Cuadrillas,5,FALSE))</f>
        <v/>
      </c>
      <c r="J3341" s="1058"/>
      <c r="K3341" s="1" t="str">
        <f>IF(A3341="","",'06'!$J$3)</f>
        <v/>
      </c>
      <c r="L3341" s="10"/>
      <c r="M3341" s="1059" t="str">
        <f>IF(A3341="","",I3341*K3341*L3341)</f>
        <v/>
      </c>
      <c r="N3341" s="1058"/>
    </row>
    <row r="3342" spans="1:14" ht="12.75" customHeight="1" x14ac:dyDescent="0.25">
      <c r="A3342" s="1063"/>
      <c r="B3342" s="1057"/>
      <c r="C3342" s="1057"/>
      <c r="D3342" s="1057"/>
      <c r="E3342" s="1057"/>
      <c r="F3342" s="1057"/>
      <c r="G3342" s="1058"/>
      <c r="H3342" s="9" t="str">
        <f>IF(A3342="","",VLOOKUP(A3342,AA_Cuadrillas,4,FALSE))</f>
        <v/>
      </c>
      <c r="I3342" s="1059" t="str">
        <f>IF(A3342="","",VLOOKUP(A3342,AA_Cuadrillas,5,FALSE))</f>
        <v/>
      </c>
      <c r="J3342" s="1058"/>
      <c r="K3342" s="1" t="str">
        <f>IF(A3342="","",'06'!$J$3)</f>
        <v/>
      </c>
      <c r="L3342" s="10"/>
      <c r="M3342" s="1059" t="str">
        <f>IF(A3342="","",I3342*K3342*L3342)</f>
        <v/>
      </c>
      <c r="N3342" s="1058"/>
    </row>
    <row r="3343" spans="1:14" ht="12.75" customHeight="1" x14ac:dyDescent="0.25">
      <c r="A3343" s="3"/>
      <c r="B3343" s="3"/>
      <c r="C3343" s="3"/>
      <c r="D3343" s="3"/>
      <c r="E3343" s="3"/>
      <c r="F3343" s="3"/>
      <c r="G3343" s="3"/>
      <c r="H3343" s="3"/>
      <c r="I3343" s="3"/>
      <c r="J3343" s="3"/>
      <c r="K3343" s="1066" t="s">
        <v>201</v>
      </c>
      <c r="L3343" s="1058"/>
      <c r="M3343" s="1059">
        <f>SUM(M3338:N3342)</f>
        <v>11745605.764494762</v>
      </c>
      <c r="N3343" s="1058"/>
    </row>
    <row r="3344" spans="1:14" ht="12.75" customHeight="1" x14ac:dyDescent="0.2"/>
    <row r="3345" spans="1:14" ht="12.75" customHeight="1" x14ac:dyDescent="0.2">
      <c r="A3345" s="1068" t="s">
        <v>1744</v>
      </c>
      <c r="B3345" s="1052"/>
      <c r="C3345" s="1052"/>
      <c r="D3345" s="1052"/>
      <c r="E3345" s="1052"/>
      <c r="F3345" s="1052"/>
      <c r="G3345" s="1052"/>
      <c r="H3345" s="1052"/>
      <c r="I3345" s="1052"/>
      <c r="J3345" s="1052"/>
      <c r="K3345" s="1052"/>
      <c r="L3345" s="1052"/>
      <c r="M3345" s="1052"/>
      <c r="N3345" s="1053"/>
    </row>
    <row r="3346" spans="1:14" ht="12.75" customHeight="1" x14ac:dyDescent="0.2">
      <c r="A3346" s="1031"/>
      <c r="B3346" s="1032"/>
      <c r="C3346" s="1032"/>
      <c r="D3346" s="1032"/>
      <c r="E3346" s="1032"/>
      <c r="F3346" s="1032"/>
      <c r="G3346" s="1032"/>
      <c r="H3346" s="1032"/>
      <c r="I3346" s="1032"/>
      <c r="J3346" s="1032"/>
      <c r="K3346" s="1032"/>
      <c r="L3346" s="1032"/>
      <c r="M3346" s="1032"/>
      <c r="N3346" s="1055"/>
    </row>
    <row r="3347" spans="1:14" ht="12.75" customHeight="1" x14ac:dyDescent="0.2">
      <c r="A3347" s="16"/>
      <c r="B3347" s="16"/>
      <c r="C3347" s="16"/>
      <c r="D3347" s="16"/>
      <c r="E3347" s="16"/>
      <c r="F3347" s="16"/>
      <c r="G3347" s="16"/>
      <c r="H3347" s="16"/>
      <c r="I3347" s="16"/>
      <c r="J3347" s="16"/>
      <c r="K3347" s="16"/>
      <c r="L3347" s="16"/>
      <c r="M3347" s="16"/>
      <c r="N3347" s="16"/>
    </row>
    <row r="3348" spans="1:14" ht="12.75" customHeight="1" x14ac:dyDescent="0.3">
      <c r="A3348" s="18" t="s">
        <v>369</v>
      </c>
      <c r="B3348" s="19" t="str">
        <f>A3345</f>
        <v>CAJA DE INSPECCIÓN 40X40 (INCLUYE TAPA)</v>
      </c>
      <c r="C3348" s="20" t="s">
        <v>382</v>
      </c>
      <c r="D3348" s="21" t="s">
        <v>424</v>
      </c>
      <c r="E3348" s="22" t="s">
        <v>125</v>
      </c>
      <c r="F3348" s="26">
        <f>(H3348+J3348+L3348+N3348)*$O$2</f>
        <v>974641.9176221001</v>
      </c>
      <c r="G3348" s="22" t="s">
        <v>285</v>
      </c>
      <c r="H3348" s="26">
        <f>M3370</f>
        <v>10410.102477</v>
      </c>
      <c r="I3348" s="22" t="s">
        <v>383</v>
      </c>
      <c r="J3348" s="38">
        <f>M3361</f>
        <v>531112.4</v>
      </c>
      <c r="K3348" s="22" t="s">
        <v>287</v>
      </c>
      <c r="L3348" s="36">
        <f>M3379</f>
        <v>0</v>
      </c>
      <c r="M3348" s="22" t="s">
        <v>288</v>
      </c>
      <c r="N3348" s="36">
        <f>M3388</f>
        <v>208202.04954000001</v>
      </c>
    </row>
    <row r="3349" spans="1:14" ht="12.75" customHeight="1" x14ac:dyDescent="0.25">
      <c r="A3349" s="27"/>
      <c r="B3349" s="27"/>
      <c r="C3349" s="27"/>
      <c r="D3349" s="27"/>
      <c r="E3349" s="27"/>
      <c r="F3349" s="27"/>
      <c r="G3349" s="27"/>
      <c r="J3349" s="27"/>
      <c r="K3349" s="27"/>
      <c r="L3349" s="27"/>
      <c r="M3349" s="27"/>
      <c r="N3349" s="27"/>
    </row>
    <row r="3350" spans="1:14" ht="12.75" customHeight="1" x14ac:dyDescent="0.2">
      <c r="A3350" s="1065" t="s">
        <v>384</v>
      </c>
      <c r="B3350" s="1057"/>
      <c r="C3350" s="1057"/>
      <c r="D3350" s="1057"/>
      <c r="E3350" s="1057"/>
      <c r="F3350" s="1057"/>
      <c r="G3350" s="1057"/>
      <c r="H3350" s="1057"/>
      <c r="I3350" s="1057"/>
      <c r="J3350" s="1057"/>
      <c r="K3350" s="1057"/>
      <c r="L3350" s="1057"/>
      <c r="M3350" s="1057"/>
      <c r="N3350" s="1058"/>
    </row>
    <row r="3351" spans="1:14" ht="12.75" customHeight="1" x14ac:dyDescent="0.2">
      <c r="A3351" s="1066" t="s">
        <v>38</v>
      </c>
      <c r="B3351" s="1057"/>
      <c r="C3351" s="1057"/>
      <c r="D3351" s="1057"/>
      <c r="E3351" s="1057"/>
      <c r="F3351" s="1057"/>
      <c r="G3351" s="1058"/>
      <c r="H3351" s="28" t="s">
        <v>39</v>
      </c>
      <c r="I3351" s="1062" t="s">
        <v>385</v>
      </c>
      <c r="J3351" s="1058"/>
      <c r="K3351" s="1062" t="s">
        <v>132</v>
      </c>
      <c r="L3351" s="1058"/>
      <c r="M3351" s="1062" t="s">
        <v>386</v>
      </c>
      <c r="N3351" s="1058"/>
    </row>
    <row r="3352" spans="1:14" ht="12.75" customHeight="1" x14ac:dyDescent="0.2">
      <c r="A3352" s="1061" t="s">
        <v>1540</v>
      </c>
      <c r="B3352" s="1057"/>
      <c r="C3352" s="1057"/>
      <c r="D3352" s="1057"/>
      <c r="E3352" s="1057"/>
      <c r="F3352" s="1057"/>
      <c r="G3352" s="1058"/>
      <c r="H3352" s="9" t="str">
        <f t="shared" ref="H3352:H3359" si="245">IF(A3352="","",VLOOKUP(A3352,AA_Materiales,7,FALSE))</f>
        <v>Kg</v>
      </c>
      <c r="I3352" s="1059">
        <f t="shared" ref="I3352:I3357" si="246">IF(A3352="","",VLOOKUP(A3352,AA_Materiales,8,FALSE))</f>
        <v>5300</v>
      </c>
      <c r="J3352" s="1058"/>
      <c r="K3352" s="1060">
        <v>0.6</v>
      </c>
      <c r="L3352" s="1058"/>
      <c r="M3352" s="1059">
        <f t="shared" ref="M3352:M3357" si="247">IF(A3352="","",I3352*K3352)</f>
        <v>3180</v>
      </c>
      <c r="N3352" s="1058"/>
    </row>
    <row r="3353" spans="1:14" ht="12.75" customHeight="1" x14ac:dyDescent="0.2">
      <c r="A3353" s="1061" t="s">
        <v>1522</v>
      </c>
      <c r="B3353" s="1057"/>
      <c r="C3353" s="1057"/>
      <c r="D3353" s="1057"/>
      <c r="E3353" s="1057"/>
      <c r="F3353" s="1057"/>
      <c r="G3353" s="1058"/>
      <c r="H3353" s="9" t="str">
        <f t="shared" si="245"/>
        <v>Kg</v>
      </c>
      <c r="I3353" s="1059">
        <f t="shared" si="246"/>
        <v>8500</v>
      </c>
      <c r="J3353" s="1058"/>
      <c r="K3353" s="1060">
        <v>0.01</v>
      </c>
      <c r="L3353" s="1058"/>
      <c r="M3353" s="1059">
        <f t="shared" si="247"/>
        <v>85</v>
      </c>
      <c r="N3353" s="1058"/>
    </row>
    <row r="3354" spans="1:14" ht="12.75" customHeight="1" x14ac:dyDescent="0.2">
      <c r="A3354" s="1061" t="s">
        <v>1523</v>
      </c>
      <c r="B3354" s="1057"/>
      <c r="C3354" s="1057"/>
      <c r="D3354" s="1057"/>
      <c r="E3354" s="1057"/>
      <c r="F3354" s="1057"/>
      <c r="G3354" s="1058"/>
      <c r="H3354" s="9" t="str">
        <f t="shared" si="245"/>
        <v>m3</v>
      </c>
      <c r="I3354" s="1059">
        <f t="shared" si="246"/>
        <v>71400</v>
      </c>
      <c r="J3354" s="1058"/>
      <c r="K3354" s="1060">
        <v>0.05</v>
      </c>
      <c r="L3354" s="1058"/>
      <c r="M3354" s="1059">
        <f t="shared" si="247"/>
        <v>3570</v>
      </c>
      <c r="N3354" s="1058"/>
    </row>
    <row r="3355" spans="1:14" ht="12.75" customHeight="1" x14ac:dyDescent="0.2">
      <c r="A3355" s="1061" t="s">
        <v>1524</v>
      </c>
      <c r="B3355" s="1057"/>
      <c r="C3355" s="1057"/>
      <c r="D3355" s="1057"/>
      <c r="E3355" s="1057"/>
      <c r="F3355" s="1057"/>
      <c r="G3355" s="1058"/>
      <c r="H3355" s="9" t="str">
        <f t="shared" si="245"/>
        <v>m3</v>
      </c>
      <c r="I3355" s="1059">
        <f t="shared" si="246"/>
        <v>71400</v>
      </c>
      <c r="J3355" s="1058"/>
      <c r="K3355" s="1060">
        <v>0.02</v>
      </c>
      <c r="L3355" s="1058"/>
      <c r="M3355" s="1059">
        <f t="shared" si="247"/>
        <v>1428</v>
      </c>
      <c r="N3355" s="1058"/>
    </row>
    <row r="3356" spans="1:14" ht="12.75" customHeight="1" x14ac:dyDescent="0.2">
      <c r="A3356" s="1061" t="s">
        <v>405</v>
      </c>
      <c r="B3356" s="1057"/>
      <c r="C3356" s="1057"/>
      <c r="D3356" s="1057"/>
      <c r="E3356" s="1057"/>
      <c r="F3356" s="1057"/>
      <c r="G3356" s="1058"/>
      <c r="H3356" s="9" t="str">
        <f t="shared" si="245"/>
        <v>Kg</v>
      </c>
      <c r="I3356" s="1059">
        <f t="shared" si="246"/>
        <v>646</v>
      </c>
      <c r="J3356" s="1058"/>
      <c r="K3356" s="1060">
        <v>86.4</v>
      </c>
      <c r="L3356" s="1058"/>
      <c r="M3356" s="1059">
        <f t="shared" si="247"/>
        <v>55814.400000000001</v>
      </c>
      <c r="N3356" s="1058"/>
    </row>
    <row r="3357" spans="1:14" ht="12.75" customHeight="1" x14ac:dyDescent="0.2">
      <c r="A3357" s="1061" t="s">
        <v>1525</v>
      </c>
      <c r="B3357" s="1057"/>
      <c r="C3357" s="1057"/>
      <c r="D3357" s="1057"/>
      <c r="E3357" s="1057"/>
      <c r="F3357" s="1057"/>
      <c r="G3357" s="1058"/>
      <c r="H3357" s="9" t="str">
        <f t="shared" si="245"/>
        <v>m3</v>
      </c>
      <c r="I3357" s="1059">
        <f t="shared" si="246"/>
        <v>83300</v>
      </c>
      <c r="J3357" s="1058"/>
      <c r="K3357" s="1060">
        <v>0.11</v>
      </c>
      <c r="L3357" s="1058"/>
      <c r="M3357" s="1059">
        <f t="shared" si="247"/>
        <v>9163</v>
      </c>
      <c r="N3357" s="1058"/>
    </row>
    <row r="3358" spans="1:14" ht="12.75" customHeight="1" x14ac:dyDescent="0.2">
      <c r="A3358" s="1061" t="s">
        <v>1526</v>
      </c>
      <c r="B3358" s="1057"/>
      <c r="C3358" s="1057"/>
      <c r="D3358" s="1057"/>
      <c r="E3358" s="1057"/>
      <c r="F3358" s="1057"/>
      <c r="G3358" s="1058"/>
      <c r="H3358" s="9" t="str">
        <f t="shared" si="245"/>
        <v>Unidad</v>
      </c>
      <c r="I3358" s="1059">
        <f t="shared" ref="I3358:I3360" si="248">IF(A3358="","",VLOOKUP(A3358,AA_Materiales,8,FALSE))</f>
        <v>800</v>
      </c>
      <c r="J3358" s="1058"/>
      <c r="K3358" s="1060">
        <v>113</v>
      </c>
      <c r="L3358" s="1058"/>
      <c r="M3358" s="1059">
        <f t="shared" ref="M3358" si="249">IF(A3358="","",I3358*K3358)</f>
        <v>90400</v>
      </c>
      <c r="N3358" s="1058"/>
    </row>
    <row r="3359" spans="1:14" ht="12.75" customHeight="1" x14ac:dyDescent="0.2">
      <c r="A3359" s="1061" t="s">
        <v>422</v>
      </c>
      <c r="B3359" s="1057"/>
      <c r="C3359" s="1057"/>
      <c r="D3359" s="1057"/>
      <c r="E3359" s="1057"/>
      <c r="F3359" s="1057"/>
      <c r="G3359" s="1058"/>
      <c r="H3359" s="9" t="str">
        <f t="shared" si="245"/>
        <v>m3</v>
      </c>
      <c r="I3359" s="1059">
        <f t="shared" si="248"/>
        <v>47600</v>
      </c>
      <c r="J3359" s="1058"/>
      <c r="K3359" s="1060">
        <v>7.0000000000000007E-2</v>
      </c>
      <c r="L3359" s="1058"/>
      <c r="M3359" s="1059">
        <f t="shared" ref="M3359" si="250">IF(A3359="","",I3359*K3359)</f>
        <v>3332.0000000000005</v>
      </c>
      <c r="N3359" s="1058"/>
    </row>
    <row r="3360" spans="1:14" ht="12.75" customHeight="1" x14ac:dyDescent="0.2">
      <c r="A3360" s="1061" t="s">
        <v>1538</v>
      </c>
      <c r="B3360" s="1057"/>
      <c r="C3360" s="1057"/>
      <c r="D3360" s="1057"/>
      <c r="E3360" s="1057"/>
      <c r="F3360" s="1057"/>
      <c r="G3360" s="1058"/>
      <c r="H3360" s="9" t="str">
        <f t="shared" ref="H3360" si="251">IF(A3360="","",VLOOKUP(A3360,AA_Materiales,7,FALSE))</f>
        <v>Unidad</v>
      </c>
      <c r="I3360" s="1059">
        <f t="shared" si="248"/>
        <v>364140</v>
      </c>
      <c r="J3360" s="1058"/>
      <c r="K3360" s="1060">
        <v>1</v>
      </c>
      <c r="L3360" s="1058"/>
      <c r="M3360" s="1059">
        <f t="shared" ref="M3360" si="252">IF(A3360="","",I3360*K3360)</f>
        <v>364140</v>
      </c>
      <c r="N3360" s="1058"/>
    </row>
    <row r="3361" spans="1:15" ht="12.75" customHeight="1" x14ac:dyDescent="0.25">
      <c r="A3361" s="3"/>
      <c r="B3361" s="3"/>
      <c r="C3361" s="3"/>
      <c r="D3361" s="3"/>
      <c r="E3361" s="3"/>
      <c r="F3361" s="3"/>
      <c r="G3361" s="3"/>
      <c r="H3361" s="3"/>
      <c r="I3361" s="3"/>
      <c r="J3361" s="3"/>
      <c r="K3361" s="1066" t="s">
        <v>201</v>
      </c>
      <c r="L3361" s="1058"/>
      <c r="M3361" s="1059">
        <f>SUM(M3352:N3360)</f>
        <v>531112.4</v>
      </c>
      <c r="N3361" s="1058"/>
    </row>
    <row r="3362" spans="1:15" ht="12.75" customHeight="1" x14ac:dyDescent="0.25">
      <c r="A3362" s="3"/>
      <c r="B3362" s="3"/>
      <c r="C3362" s="3"/>
      <c r="D3362" s="3"/>
      <c r="E3362" s="3"/>
      <c r="F3362" s="3"/>
      <c r="G3362" s="3"/>
      <c r="H3362" s="3"/>
      <c r="I3362" s="3"/>
      <c r="J3362" s="3"/>
      <c r="K3362" s="3"/>
      <c r="L3362" s="3"/>
      <c r="M3362" s="3"/>
      <c r="N3362" s="3"/>
    </row>
    <row r="3363" spans="1:15" ht="12.75" customHeight="1" x14ac:dyDescent="0.2">
      <c r="A3363" s="1065" t="s">
        <v>390</v>
      </c>
      <c r="B3363" s="1057"/>
      <c r="C3363" s="1057"/>
      <c r="D3363" s="1057"/>
      <c r="E3363" s="1057"/>
      <c r="F3363" s="1057"/>
      <c r="G3363" s="1057"/>
      <c r="H3363" s="1057"/>
      <c r="I3363" s="1057"/>
      <c r="J3363" s="1057"/>
      <c r="K3363" s="1057"/>
      <c r="L3363" s="1057"/>
      <c r="M3363" s="1057"/>
      <c r="N3363" s="1058"/>
    </row>
    <row r="3364" spans="1:15" ht="12.75" customHeight="1" x14ac:dyDescent="0.2">
      <c r="A3364" s="1066" t="s">
        <v>38</v>
      </c>
      <c r="B3364" s="1057"/>
      <c r="C3364" s="1057"/>
      <c r="D3364" s="1057"/>
      <c r="E3364" s="1057"/>
      <c r="F3364" s="1057"/>
      <c r="G3364" s="1058"/>
      <c r="H3364" s="28" t="s">
        <v>39</v>
      </c>
      <c r="I3364" s="1062" t="s">
        <v>385</v>
      </c>
      <c r="J3364" s="1058"/>
      <c r="K3364" s="1062" t="s">
        <v>132</v>
      </c>
      <c r="L3364" s="1058"/>
      <c r="M3364" s="1062" t="s">
        <v>386</v>
      </c>
      <c r="N3364" s="1058"/>
    </row>
    <row r="3365" spans="1:15" ht="12.75" customHeight="1" x14ac:dyDescent="0.2">
      <c r="A3365" s="1061" t="s">
        <v>391</v>
      </c>
      <c r="B3365" s="1057"/>
      <c r="C3365" s="1057"/>
      <c r="D3365" s="1057"/>
      <c r="E3365" s="1057"/>
      <c r="F3365" s="1057"/>
      <c r="G3365" s="1058"/>
      <c r="H3365" s="9" t="str">
        <f>IF(A3365="","",VLOOKUP(A3365,AA_Equipos,7,FALSE))</f>
        <v>% M.O.</v>
      </c>
      <c r="I3365" s="1059">
        <f>+M3388</f>
        <v>208202.04954000001</v>
      </c>
      <c r="J3365" s="1058"/>
      <c r="K3365" s="1064">
        <v>0.05</v>
      </c>
      <c r="L3365" s="1058"/>
      <c r="M3365" s="1059">
        <f>IF(A3365="","",I3365*K3365)</f>
        <v>10410.102477</v>
      </c>
      <c r="N3365" s="1058"/>
    </row>
    <row r="3366" spans="1:15" ht="12.75" customHeight="1" x14ac:dyDescent="0.2">
      <c r="A3366" s="1056"/>
      <c r="B3366" s="1057"/>
      <c r="C3366" s="1057"/>
      <c r="D3366" s="1057"/>
      <c r="E3366" s="1057"/>
      <c r="F3366" s="1057"/>
      <c r="G3366" s="1058"/>
      <c r="H3366" s="9" t="str">
        <f>IF(A3366="","",VLOOKUP(A3366,AA_Equipos,7,FALSE))</f>
        <v/>
      </c>
      <c r="I3366" s="1059" t="str">
        <f>IF(A3366="","",VLOOKUP(A3366,AA_Equipos,8,FALSE))</f>
        <v/>
      </c>
      <c r="J3366" s="1058"/>
      <c r="K3366" s="1067"/>
      <c r="L3366" s="1058"/>
      <c r="M3366" s="1059" t="str">
        <f>IF(A3366="","",I3366*K3366)</f>
        <v/>
      </c>
      <c r="N3366" s="1058"/>
    </row>
    <row r="3367" spans="1:15" ht="12.75" customHeight="1" x14ac:dyDescent="0.2">
      <c r="A3367" s="1061"/>
      <c r="B3367" s="1057"/>
      <c r="C3367" s="1057"/>
      <c r="D3367" s="1057"/>
      <c r="E3367" s="1057"/>
      <c r="F3367" s="1057"/>
      <c r="G3367" s="1058"/>
      <c r="H3367" s="9" t="str">
        <f>IF(A3367="","",VLOOKUP(A3367,AA_Equipos,7,FALSE))</f>
        <v/>
      </c>
      <c r="I3367" s="1059" t="str">
        <f>IF(A3367="","",VLOOKUP(A3367,AA_Equipos,8,FALSE))</f>
        <v/>
      </c>
      <c r="J3367" s="1058"/>
      <c r="K3367" s="1070"/>
      <c r="L3367" s="1058"/>
      <c r="M3367" s="1059" t="str">
        <f>IF(A3367="","",I3367*K3367)</f>
        <v/>
      </c>
      <c r="N3367" s="1058"/>
    </row>
    <row r="3368" spans="1:15" ht="12.75" customHeight="1" x14ac:dyDescent="0.2">
      <c r="A3368" s="1061"/>
      <c r="B3368" s="1057"/>
      <c r="C3368" s="1057"/>
      <c r="D3368" s="1057"/>
      <c r="E3368" s="1057"/>
      <c r="F3368" s="1057"/>
      <c r="G3368" s="1058"/>
      <c r="H3368" s="9" t="str">
        <f>IF(A3368="","",VLOOKUP(A3368,AA_Equipos,7,FALSE))</f>
        <v/>
      </c>
      <c r="I3368" s="1059" t="str">
        <f>IF(A3368="","",VLOOKUP(A3368,AA_Equipos,8,FALSE))</f>
        <v/>
      </c>
      <c r="J3368" s="1058"/>
      <c r="K3368" s="1060"/>
      <c r="L3368" s="1058"/>
      <c r="M3368" s="1059" t="str">
        <f>IF(A3368="","",I3368*K3368)</f>
        <v/>
      </c>
      <c r="N3368" s="1058"/>
    </row>
    <row r="3369" spans="1:15" ht="12.75" customHeight="1" x14ac:dyDescent="0.2">
      <c r="A3369" s="1061"/>
      <c r="B3369" s="1057"/>
      <c r="C3369" s="1057"/>
      <c r="D3369" s="1057"/>
      <c r="E3369" s="1057"/>
      <c r="F3369" s="1057"/>
      <c r="G3369" s="1058"/>
      <c r="H3369" s="9" t="str">
        <f>IF(A3369="","",VLOOKUP(A3369,AA_Equipos,7,FALSE))</f>
        <v/>
      </c>
      <c r="I3369" s="1059" t="str">
        <f>IF(A3369="","",VLOOKUP(A3369,AA_Equipos,8,FALSE))</f>
        <v/>
      </c>
      <c r="J3369" s="1058"/>
      <c r="K3369" s="1060"/>
      <c r="L3369" s="1058"/>
      <c r="M3369" s="1059" t="str">
        <f>IF(A3369="","",I3369*K3369)</f>
        <v/>
      </c>
      <c r="N3369" s="1058"/>
      <c r="O3369" s="7"/>
    </row>
    <row r="3370" spans="1:15" ht="12.75" customHeight="1" x14ac:dyDescent="0.25">
      <c r="A3370" s="3"/>
      <c r="B3370" s="3"/>
      <c r="C3370" s="3"/>
      <c r="D3370" s="3"/>
      <c r="E3370" s="3"/>
      <c r="F3370" s="3"/>
      <c r="G3370" s="3"/>
      <c r="H3370" s="3"/>
      <c r="I3370" s="3"/>
      <c r="J3370" s="3"/>
      <c r="K3370" s="1066" t="s">
        <v>201</v>
      </c>
      <c r="L3370" s="1058"/>
      <c r="M3370" s="1059">
        <f>SUM(M3365:N3369)</f>
        <v>10410.102477</v>
      </c>
      <c r="N3370" s="1058"/>
      <c r="O3370" s="7"/>
    </row>
    <row r="3371" spans="1:15" ht="12.75" customHeight="1" x14ac:dyDescent="0.25">
      <c r="A3371" s="3"/>
      <c r="B3371" s="3"/>
      <c r="C3371" s="3"/>
      <c r="D3371" s="3"/>
      <c r="E3371" s="3"/>
      <c r="F3371" s="3"/>
      <c r="G3371" s="3"/>
      <c r="H3371" s="3"/>
      <c r="I3371" s="3"/>
      <c r="J3371" s="3"/>
      <c r="K3371" s="3"/>
      <c r="L3371" s="3"/>
      <c r="M3371" s="3"/>
      <c r="N3371" s="3"/>
    </row>
    <row r="3372" spans="1:15" ht="12.75" customHeight="1" x14ac:dyDescent="0.2">
      <c r="A3372" s="1065" t="s">
        <v>392</v>
      </c>
      <c r="B3372" s="1057"/>
      <c r="C3372" s="1057"/>
      <c r="D3372" s="1057"/>
      <c r="E3372" s="1057"/>
      <c r="F3372" s="1057"/>
      <c r="G3372" s="1057"/>
      <c r="H3372" s="1057"/>
      <c r="I3372" s="1057"/>
      <c r="J3372" s="1057"/>
      <c r="K3372" s="1057"/>
      <c r="L3372" s="1057"/>
      <c r="M3372" s="1057"/>
      <c r="N3372" s="1058"/>
    </row>
    <row r="3373" spans="1:15" ht="12.75" customHeight="1" x14ac:dyDescent="0.2">
      <c r="A3373" s="1066" t="s">
        <v>38</v>
      </c>
      <c r="B3373" s="1057"/>
      <c r="C3373" s="1057"/>
      <c r="D3373" s="1057"/>
      <c r="E3373" s="1057"/>
      <c r="F3373" s="1057"/>
      <c r="G3373" s="1058"/>
      <c r="H3373" s="28" t="s">
        <v>39</v>
      </c>
      <c r="I3373" s="1062" t="s">
        <v>385</v>
      </c>
      <c r="J3373" s="1058"/>
      <c r="K3373" s="1062" t="s">
        <v>132</v>
      </c>
      <c r="L3373" s="1058"/>
      <c r="M3373" s="1062" t="s">
        <v>386</v>
      </c>
      <c r="N3373" s="1058"/>
    </row>
    <row r="3374" spans="1:15" ht="12.75" customHeight="1" x14ac:dyDescent="0.2">
      <c r="A3374" s="1061"/>
      <c r="B3374" s="1057"/>
      <c r="C3374" s="1057"/>
      <c r="D3374" s="1057"/>
      <c r="E3374" s="1057"/>
      <c r="F3374" s="1057"/>
      <c r="G3374" s="1058"/>
      <c r="H3374" s="9"/>
      <c r="I3374" s="1059"/>
      <c r="J3374" s="1058"/>
      <c r="K3374" s="1064"/>
      <c r="L3374" s="1058"/>
      <c r="M3374" s="1059" t="str">
        <f>IF(A3374="","",I3374*K3374)</f>
        <v/>
      </c>
      <c r="N3374" s="1058"/>
    </row>
    <row r="3375" spans="1:15" ht="12.75" customHeight="1" x14ac:dyDescent="0.2">
      <c r="A3375" s="1056"/>
      <c r="B3375" s="1057"/>
      <c r="C3375" s="1057"/>
      <c r="D3375" s="1057"/>
      <c r="E3375" s="1057"/>
      <c r="F3375" s="1057"/>
      <c r="G3375" s="1058"/>
      <c r="H3375" s="9"/>
      <c r="I3375" s="1059"/>
      <c r="J3375" s="1058"/>
      <c r="K3375" s="1064"/>
      <c r="L3375" s="1058"/>
      <c r="M3375" s="1059" t="str">
        <f>IF(A3375="","",I3375*K3375)</f>
        <v/>
      </c>
      <c r="N3375" s="1058"/>
    </row>
    <row r="3376" spans="1:15" ht="12.75" customHeight="1" x14ac:dyDescent="0.2">
      <c r="A3376" s="1061"/>
      <c r="B3376" s="1057"/>
      <c r="C3376" s="1057"/>
      <c r="D3376" s="1057"/>
      <c r="E3376" s="1057"/>
      <c r="F3376" s="1057"/>
      <c r="G3376" s="1058"/>
      <c r="H3376" s="9"/>
      <c r="I3376" s="1059"/>
      <c r="J3376" s="1058"/>
      <c r="K3376" s="1060"/>
      <c r="L3376" s="1058"/>
      <c r="M3376" s="1059" t="str">
        <f>IF(A3376="","",I3376*K3376)</f>
        <v/>
      </c>
      <c r="N3376" s="1058"/>
    </row>
    <row r="3377" spans="1:14" ht="12.75" customHeight="1" x14ac:dyDescent="0.2">
      <c r="A3377" s="1061"/>
      <c r="B3377" s="1057"/>
      <c r="C3377" s="1057"/>
      <c r="D3377" s="1057"/>
      <c r="E3377" s="1057"/>
      <c r="F3377" s="1057"/>
      <c r="G3377" s="1058"/>
      <c r="H3377" s="9"/>
      <c r="I3377" s="1059"/>
      <c r="J3377" s="1058"/>
      <c r="K3377" s="1060"/>
      <c r="L3377" s="1058"/>
      <c r="M3377" s="1059" t="str">
        <f>IF(A3377="","",I3377*K3377)</f>
        <v/>
      </c>
      <c r="N3377" s="1058"/>
    </row>
    <row r="3378" spans="1:14" ht="12.75" customHeight="1" x14ac:dyDescent="0.2">
      <c r="A3378" s="1061"/>
      <c r="B3378" s="1057"/>
      <c r="C3378" s="1057"/>
      <c r="D3378" s="1057"/>
      <c r="E3378" s="1057"/>
      <c r="F3378" s="1057"/>
      <c r="G3378" s="1058"/>
      <c r="H3378" s="9"/>
      <c r="I3378" s="1059"/>
      <c r="J3378" s="1058"/>
      <c r="K3378" s="1060"/>
      <c r="L3378" s="1058"/>
      <c r="M3378" s="1059" t="str">
        <f>IF(A3378="","",I3378*K3378)</f>
        <v/>
      </c>
      <c r="N3378" s="1058"/>
    </row>
    <row r="3379" spans="1:14" ht="12.75" customHeight="1" x14ac:dyDescent="0.25">
      <c r="A3379" s="3"/>
      <c r="B3379" s="3"/>
      <c r="C3379" s="3"/>
      <c r="D3379" s="3"/>
      <c r="E3379" s="3"/>
      <c r="F3379" s="3"/>
      <c r="G3379" s="3"/>
      <c r="H3379" s="3"/>
      <c r="I3379" s="3"/>
      <c r="J3379" s="3"/>
      <c r="K3379" s="1066" t="s">
        <v>201</v>
      </c>
      <c r="L3379" s="1058"/>
      <c r="M3379" s="1059">
        <f>SUM(M3374:N3378)</f>
        <v>0</v>
      </c>
      <c r="N3379" s="1058"/>
    </row>
    <row r="3380" spans="1:14" ht="12.75" customHeight="1" x14ac:dyDescent="0.25">
      <c r="A3380" s="3"/>
      <c r="B3380" s="3"/>
      <c r="C3380" s="3"/>
      <c r="D3380" s="3"/>
      <c r="E3380" s="3"/>
      <c r="F3380" s="3"/>
      <c r="G3380" s="3"/>
      <c r="H3380" s="3"/>
      <c r="I3380" s="3"/>
      <c r="J3380" s="3"/>
      <c r="K3380" s="3"/>
      <c r="L3380" s="3"/>
      <c r="M3380" s="3"/>
      <c r="N3380" s="3"/>
    </row>
    <row r="3381" spans="1:14" ht="12.75" customHeight="1" x14ac:dyDescent="0.2">
      <c r="A3381" s="1065" t="s">
        <v>394</v>
      </c>
      <c r="B3381" s="1057"/>
      <c r="C3381" s="1057"/>
      <c r="D3381" s="1057"/>
      <c r="E3381" s="1057"/>
      <c r="F3381" s="1057"/>
      <c r="G3381" s="1057"/>
      <c r="H3381" s="1057"/>
      <c r="I3381" s="1057"/>
      <c r="J3381" s="1057"/>
      <c r="K3381" s="1057"/>
      <c r="L3381" s="1057"/>
      <c r="M3381" s="1057"/>
      <c r="N3381" s="1058"/>
    </row>
    <row r="3382" spans="1:14" ht="12.75" customHeight="1" x14ac:dyDescent="0.2">
      <c r="A3382" s="1066" t="s">
        <v>38</v>
      </c>
      <c r="B3382" s="1057"/>
      <c r="C3382" s="1057"/>
      <c r="D3382" s="1057"/>
      <c r="E3382" s="1057"/>
      <c r="F3382" s="1057"/>
      <c r="G3382" s="1058"/>
      <c r="H3382" s="28" t="s">
        <v>39</v>
      </c>
      <c r="I3382" s="1062" t="s">
        <v>385</v>
      </c>
      <c r="J3382" s="1058"/>
      <c r="K3382" s="30" t="s">
        <v>193</v>
      </c>
      <c r="L3382" s="31" t="s">
        <v>395</v>
      </c>
      <c r="M3382" s="1062" t="s">
        <v>386</v>
      </c>
      <c r="N3382" s="1058"/>
    </row>
    <row r="3383" spans="1:14" ht="12.75" customHeight="1" x14ac:dyDescent="0.25">
      <c r="A3383" s="1063" t="s">
        <v>423</v>
      </c>
      <c r="B3383" s="1057"/>
      <c r="C3383" s="1057"/>
      <c r="D3383" s="1057"/>
      <c r="E3383" s="1057"/>
      <c r="F3383" s="1057"/>
      <c r="G3383" s="1058"/>
      <c r="H3383" s="9" t="str">
        <f>IF(A3383="","",VLOOKUP(A3383,AA_Cuadrillas,4,FALSE))</f>
        <v>Cuadrilla</v>
      </c>
      <c r="I3383" s="1059">
        <f>IF(A3383="","",VLOOKUP(A3383,AA_Cuadrillas,5,FALSE))</f>
        <v>134236</v>
      </c>
      <c r="J3383" s="1058"/>
      <c r="K3383" s="1">
        <f>IF(A3383="","",'06'!$J$3)</f>
        <v>1.7233500000000002</v>
      </c>
      <c r="L3383" s="37">
        <v>0.9</v>
      </c>
      <c r="M3383" s="1059">
        <f>IF(A3383="","",I3383*K3383*L3383)</f>
        <v>208202.04954000001</v>
      </c>
      <c r="N3383" s="1058"/>
    </row>
    <row r="3384" spans="1:14" ht="12.75" customHeight="1" x14ac:dyDescent="0.25">
      <c r="A3384" s="1063"/>
      <c r="B3384" s="1057"/>
      <c r="C3384" s="1057"/>
      <c r="D3384" s="1057"/>
      <c r="E3384" s="1057"/>
      <c r="F3384" s="1057"/>
      <c r="G3384" s="1058"/>
      <c r="H3384" s="9" t="str">
        <f>IF(A3384="","",VLOOKUP(A3384,AA_Cuadrillas,4,FALSE))</f>
        <v/>
      </c>
      <c r="I3384" s="1059" t="str">
        <f>IF(A3384="","",VLOOKUP(A3384,AA_Cuadrillas,5,FALSE))</f>
        <v/>
      </c>
      <c r="J3384" s="1058"/>
      <c r="K3384" s="1" t="str">
        <f>IF(A3384="","",'06'!$J$3)</f>
        <v/>
      </c>
      <c r="L3384" s="1"/>
      <c r="M3384" s="1059" t="str">
        <f>IF(A3384="","",I3384*K3384*L3384)</f>
        <v/>
      </c>
      <c r="N3384" s="1058"/>
    </row>
    <row r="3385" spans="1:14" ht="12.75" customHeight="1" x14ac:dyDescent="0.25">
      <c r="A3385" s="1063"/>
      <c r="B3385" s="1057"/>
      <c r="C3385" s="1057"/>
      <c r="D3385" s="1057"/>
      <c r="E3385" s="1057"/>
      <c r="F3385" s="1057"/>
      <c r="G3385" s="1058"/>
      <c r="H3385" s="9" t="str">
        <f>IF(A3385="","",VLOOKUP(A3385,AA_Cuadrillas,4,FALSE))</f>
        <v/>
      </c>
      <c r="I3385" s="1059" t="str">
        <f>IF(A3385="","",VLOOKUP(A3385,AA_Cuadrillas,5,FALSE))</f>
        <v/>
      </c>
      <c r="J3385" s="1058"/>
      <c r="K3385" s="1" t="str">
        <f>IF(A3385="","",'06'!$J$3)</f>
        <v/>
      </c>
      <c r="L3385" s="10"/>
      <c r="M3385" s="1059" t="str">
        <f>IF(A3385="","",I3385*K3385*L3385)</f>
        <v/>
      </c>
      <c r="N3385" s="1058"/>
    </row>
    <row r="3386" spans="1:14" ht="12.75" customHeight="1" x14ac:dyDescent="0.25">
      <c r="A3386" s="1063"/>
      <c r="B3386" s="1057"/>
      <c r="C3386" s="1057"/>
      <c r="D3386" s="1057"/>
      <c r="E3386" s="1057"/>
      <c r="F3386" s="1057"/>
      <c r="G3386" s="1058"/>
      <c r="H3386" s="9" t="str">
        <f>IF(A3386="","",VLOOKUP(A3386,AA_Cuadrillas,4,FALSE))</f>
        <v/>
      </c>
      <c r="I3386" s="1059" t="str">
        <f>IF(A3386="","",VLOOKUP(A3386,AA_Cuadrillas,5,FALSE))</f>
        <v/>
      </c>
      <c r="J3386" s="1058"/>
      <c r="K3386" s="1" t="str">
        <f>IF(A3386="","",'06'!$J$3)</f>
        <v/>
      </c>
      <c r="L3386" s="10"/>
      <c r="M3386" s="1059" t="str">
        <f>IF(A3386="","",I3386*K3386*L3386)</f>
        <v/>
      </c>
      <c r="N3386" s="1058"/>
    </row>
    <row r="3387" spans="1:14" ht="12.75" customHeight="1" x14ac:dyDescent="0.25">
      <c r="A3387" s="1063"/>
      <c r="B3387" s="1057"/>
      <c r="C3387" s="1057"/>
      <c r="D3387" s="1057"/>
      <c r="E3387" s="1057"/>
      <c r="F3387" s="1057"/>
      <c r="G3387" s="1058"/>
      <c r="H3387" s="9" t="str">
        <f>IF(A3387="","",VLOOKUP(A3387,AA_Cuadrillas,4,FALSE))</f>
        <v/>
      </c>
      <c r="I3387" s="1059" t="str">
        <f>IF(A3387="","",VLOOKUP(A3387,AA_Cuadrillas,5,FALSE))</f>
        <v/>
      </c>
      <c r="J3387" s="1058"/>
      <c r="K3387" s="1" t="str">
        <f>IF(A3387="","",'06'!$J$3)</f>
        <v/>
      </c>
      <c r="L3387" s="10"/>
      <c r="M3387" s="1059" t="str">
        <f>IF(A3387="","",I3387*K3387*L3387)</f>
        <v/>
      </c>
      <c r="N3387" s="1058"/>
    </row>
    <row r="3388" spans="1:14" ht="12.75" customHeight="1" x14ac:dyDescent="0.25">
      <c r="A3388" s="3"/>
      <c r="B3388" s="3"/>
      <c r="C3388" s="3"/>
      <c r="D3388" s="3"/>
      <c r="E3388" s="3"/>
      <c r="F3388" s="3"/>
      <c r="G3388" s="3"/>
      <c r="H3388" s="3"/>
      <c r="I3388" s="3"/>
      <c r="J3388" s="3"/>
      <c r="K3388" s="1066" t="s">
        <v>201</v>
      </c>
      <c r="L3388" s="1058"/>
      <c r="M3388" s="1059">
        <f>SUM(M3383:N3387)</f>
        <v>208202.04954000001</v>
      </c>
      <c r="N3388" s="1058"/>
    </row>
    <row r="3389" spans="1:14" ht="12.75" customHeight="1" x14ac:dyDescent="0.2"/>
    <row r="3390" spans="1:14" ht="12.75" customHeight="1" x14ac:dyDescent="0.2">
      <c r="A3390" s="1068" t="s">
        <v>1745</v>
      </c>
      <c r="B3390" s="1052"/>
      <c r="C3390" s="1052"/>
      <c r="D3390" s="1052"/>
      <c r="E3390" s="1052"/>
      <c r="F3390" s="1052"/>
      <c r="G3390" s="1052"/>
      <c r="H3390" s="1052"/>
      <c r="I3390" s="1052"/>
      <c r="J3390" s="1052"/>
      <c r="K3390" s="1052"/>
      <c r="L3390" s="1052"/>
      <c r="M3390" s="1052"/>
      <c r="N3390" s="1053"/>
    </row>
    <row r="3391" spans="1:14" ht="12.75" customHeight="1" x14ac:dyDescent="0.2">
      <c r="A3391" s="1031"/>
      <c r="B3391" s="1032"/>
      <c r="C3391" s="1032"/>
      <c r="D3391" s="1032"/>
      <c r="E3391" s="1032"/>
      <c r="F3391" s="1032"/>
      <c r="G3391" s="1032"/>
      <c r="H3391" s="1032"/>
      <c r="I3391" s="1032"/>
      <c r="J3391" s="1032"/>
      <c r="K3391" s="1032"/>
      <c r="L3391" s="1032"/>
      <c r="M3391" s="1032"/>
      <c r="N3391" s="1055"/>
    </row>
    <row r="3392" spans="1:14" ht="12.75" customHeight="1" x14ac:dyDescent="0.2">
      <c r="A3392" s="16"/>
      <c r="B3392" s="16"/>
      <c r="C3392" s="16"/>
      <c r="D3392" s="16"/>
      <c r="E3392" s="16"/>
      <c r="F3392" s="16"/>
      <c r="G3392" s="16"/>
      <c r="H3392" s="16"/>
      <c r="I3392" s="16"/>
      <c r="J3392" s="16"/>
      <c r="K3392" s="16"/>
      <c r="L3392" s="16"/>
      <c r="M3392" s="16"/>
      <c r="N3392" s="16"/>
    </row>
    <row r="3393" spans="1:14" ht="12.75" customHeight="1" x14ac:dyDescent="0.3">
      <c r="A3393" s="18" t="s">
        <v>370</v>
      </c>
      <c r="B3393" s="19" t="str">
        <f>A3390</f>
        <v>TEJA PLÁSTICA INCLUYE CERCHA METÁLICA</v>
      </c>
      <c r="C3393" s="20" t="s">
        <v>382</v>
      </c>
      <c r="D3393" s="21" t="s">
        <v>424</v>
      </c>
      <c r="E3393" s="22" t="s">
        <v>125</v>
      </c>
      <c r="F3393" s="26">
        <f>(H3393+J3393+L3393+N3393)*$O$2</f>
        <v>3105394.3896579505</v>
      </c>
      <c r="G3393" s="22" t="s">
        <v>285</v>
      </c>
      <c r="H3393" s="26">
        <f>M3412</f>
        <v>6361.7292915000016</v>
      </c>
      <c r="I3393" s="22" t="s">
        <v>383</v>
      </c>
      <c r="J3393" s="36">
        <f>M3403</f>
        <v>2255168.6</v>
      </c>
      <c r="K3393" s="22" t="s">
        <v>287</v>
      </c>
      <c r="L3393" s="26">
        <f>M3421</f>
        <v>0</v>
      </c>
      <c r="M3393" s="22" t="s">
        <v>288</v>
      </c>
      <c r="N3393" s="26">
        <f>M3430</f>
        <v>127234.58583000003</v>
      </c>
    </row>
    <row r="3394" spans="1:14" ht="12.75" customHeight="1" x14ac:dyDescent="0.25">
      <c r="A3394" s="27"/>
      <c r="B3394" s="27"/>
      <c r="C3394" s="27"/>
      <c r="D3394" s="27"/>
      <c r="E3394" s="27"/>
      <c r="F3394" s="27"/>
      <c r="G3394" s="27"/>
      <c r="J3394" s="27"/>
      <c r="K3394" s="27"/>
      <c r="L3394" s="27"/>
      <c r="M3394" s="27"/>
      <c r="N3394" s="27"/>
    </row>
    <row r="3395" spans="1:14" ht="12.75" customHeight="1" x14ac:dyDescent="0.2">
      <c r="A3395" s="1065" t="s">
        <v>384</v>
      </c>
      <c r="B3395" s="1057"/>
      <c r="C3395" s="1057"/>
      <c r="D3395" s="1057"/>
      <c r="E3395" s="1057"/>
      <c r="F3395" s="1057"/>
      <c r="G3395" s="1057"/>
      <c r="H3395" s="1057"/>
      <c r="I3395" s="1057"/>
      <c r="J3395" s="1057"/>
      <c r="K3395" s="1057"/>
      <c r="L3395" s="1057"/>
      <c r="M3395" s="1057"/>
      <c r="N3395" s="1058"/>
    </row>
    <row r="3396" spans="1:14" ht="12.75" customHeight="1" x14ac:dyDescent="0.2">
      <c r="A3396" s="1066" t="s">
        <v>38</v>
      </c>
      <c r="B3396" s="1057"/>
      <c r="C3396" s="1057"/>
      <c r="D3396" s="1057"/>
      <c r="E3396" s="1057"/>
      <c r="F3396" s="1057"/>
      <c r="G3396" s="1058"/>
      <c r="H3396" s="28" t="s">
        <v>39</v>
      </c>
      <c r="I3396" s="1062" t="s">
        <v>385</v>
      </c>
      <c r="J3396" s="1058"/>
      <c r="K3396" s="1062" t="s">
        <v>132</v>
      </c>
      <c r="L3396" s="1058"/>
      <c r="M3396" s="1062" t="s">
        <v>386</v>
      </c>
      <c r="N3396" s="1058"/>
    </row>
    <row r="3397" spans="1:14" ht="12.75" customHeight="1" x14ac:dyDescent="0.2">
      <c r="A3397" s="1061" t="s">
        <v>1601</v>
      </c>
      <c r="B3397" s="1057"/>
      <c r="C3397" s="1057"/>
      <c r="D3397" s="1057"/>
      <c r="E3397" s="1057"/>
      <c r="F3397" s="1057"/>
      <c r="G3397" s="1058"/>
      <c r="H3397" s="9" t="str">
        <f t="shared" ref="H3397" si="253">IF(A3397="","",VLOOKUP(A3397,AA_Materiales,7,FALSE))</f>
        <v>m</v>
      </c>
      <c r="I3397" s="1059">
        <f t="shared" ref="I3397" si="254">IF(A3397="","",VLOOKUP(A3397,AA_Materiales,8,FALSE))</f>
        <v>140000</v>
      </c>
      <c r="J3397" s="1058"/>
      <c r="K3397" s="1060">
        <v>3.3</v>
      </c>
      <c r="L3397" s="1058"/>
      <c r="M3397" s="1059">
        <f t="shared" ref="M3397:M3402" si="255">IF(A3397="","",I3397*K3397)</f>
        <v>462000</v>
      </c>
      <c r="N3397" s="1058"/>
    </row>
    <row r="3398" spans="1:14" ht="12.75" customHeight="1" x14ac:dyDescent="0.2">
      <c r="A3398" s="1061" t="s">
        <v>1582</v>
      </c>
      <c r="B3398" s="1057"/>
      <c r="C3398" s="1057"/>
      <c r="D3398" s="1057"/>
      <c r="E3398" s="1057"/>
      <c r="F3398" s="1057"/>
      <c r="G3398" s="1058"/>
      <c r="H3398" s="9" t="str">
        <f t="shared" ref="H3398:H3402" si="256">IF(A3398="","",VLOOKUP(A3398,AA_Materiales,7,FALSE))</f>
        <v>Unidad</v>
      </c>
      <c r="I3398" s="1059">
        <f t="shared" ref="I3398:I3402" si="257">IF(A3398="","",VLOOKUP(A3398,AA_Materiales,8,FALSE))</f>
        <v>708.6</v>
      </c>
      <c r="J3398" s="1058"/>
      <c r="K3398" s="1070">
        <v>1</v>
      </c>
      <c r="L3398" s="1058"/>
      <c r="M3398" s="1059">
        <f t="shared" si="255"/>
        <v>708.6</v>
      </c>
      <c r="N3398" s="1058"/>
    </row>
    <row r="3399" spans="1:14" ht="12.75" customHeight="1" x14ac:dyDescent="0.2">
      <c r="A3399" s="1061" t="s">
        <v>1575</v>
      </c>
      <c r="B3399" s="1057"/>
      <c r="C3399" s="1057"/>
      <c r="D3399" s="1057"/>
      <c r="E3399" s="1057"/>
      <c r="F3399" s="1057"/>
      <c r="G3399" s="1058"/>
      <c r="H3399" s="9" t="str">
        <f t="shared" si="256"/>
        <v>m2</v>
      </c>
      <c r="I3399" s="1059">
        <f t="shared" si="257"/>
        <v>33820</v>
      </c>
      <c r="J3399" s="1058"/>
      <c r="K3399" s="1060">
        <v>53</v>
      </c>
      <c r="L3399" s="1058"/>
      <c r="M3399" s="1059">
        <f t="shared" si="255"/>
        <v>1792460</v>
      </c>
      <c r="N3399" s="1058"/>
    </row>
    <row r="3400" spans="1:14" ht="12.75" customHeight="1" x14ac:dyDescent="0.2">
      <c r="A3400" s="1061"/>
      <c r="B3400" s="1057"/>
      <c r="C3400" s="1057"/>
      <c r="D3400" s="1057"/>
      <c r="E3400" s="1057"/>
      <c r="F3400" s="1057"/>
      <c r="G3400" s="1058"/>
      <c r="H3400" s="9" t="str">
        <f t="shared" si="256"/>
        <v/>
      </c>
      <c r="I3400" s="1059" t="str">
        <f t="shared" si="257"/>
        <v/>
      </c>
      <c r="J3400" s="1058"/>
      <c r="K3400" s="1060"/>
      <c r="L3400" s="1058"/>
      <c r="M3400" s="1059" t="str">
        <f t="shared" si="255"/>
        <v/>
      </c>
      <c r="N3400" s="1058"/>
    </row>
    <row r="3401" spans="1:14" ht="12.75" customHeight="1" x14ac:dyDescent="0.2">
      <c r="A3401" s="1061"/>
      <c r="B3401" s="1057"/>
      <c r="C3401" s="1057"/>
      <c r="D3401" s="1057"/>
      <c r="E3401" s="1057"/>
      <c r="F3401" s="1057"/>
      <c r="G3401" s="1058"/>
      <c r="H3401" s="9" t="str">
        <f t="shared" si="256"/>
        <v/>
      </c>
      <c r="I3401" s="1059" t="str">
        <f t="shared" si="257"/>
        <v/>
      </c>
      <c r="J3401" s="1058"/>
      <c r="K3401" s="1060"/>
      <c r="L3401" s="1058"/>
      <c r="M3401" s="1059" t="str">
        <f t="shared" si="255"/>
        <v/>
      </c>
      <c r="N3401" s="1058"/>
    </row>
    <row r="3402" spans="1:14" ht="12.75" customHeight="1" x14ac:dyDescent="0.2">
      <c r="A3402" s="1061"/>
      <c r="B3402" s="1057"/>
      <c r="C3402" s="1057"/>
      <c r="D3402" s="1057"/>
      <c r="E3402" s="1057"/>
      <c r="F3402" s="1057"/>
      <c r="G3402" s="1058"/>
      <c r="H3402" s="9" t="str">
        <f t="shared" si="256"/>
        <v/>
      </c>
      <c r="I3402" s="1059" t="str">
        <f t="shared" si="257"/>
        <v/>
      </c>
      <c r="J3402" s="1058"/>
      <c r="K3402" s="1060"/>
      <c r="L3402" s="1058"/>
      <c r="M3402" s="1059" t="str">
        <f t="shared" si="255"/>
        <v/>
      </c>
      <c r="N3402" s="1058"/>
    </row>
    <row r="3403" spans="1:14" ht="12.75" customHeight="1" x14ac:dyDescent="0.25">
      <c r="A3403" s="3"/>
      <c r="B3403" s="3"/>
      <c r="C3403" s="3"/>
      <c r="D3403" s="3"/>
      <c r="E3403" s="3"/>
      <c r="F3403" s="3"/>
      <c r="G3403" s="3"/>
      <c r="H3403" s="3"/>
      <c r="I3403" s="3"/>
      <c r="J3403" s="3"/>
      <c r="K3403" s="1066" t="s">
        <v>201</v>
      </c>
      <c r="L3403" s="1058"/>
      <c r="M3403" s="1059">
        <f>SUM(M3397:N3402)</f>
        <v>2255168.6</v>
      </c>
      <c r="N3403" s="1058"/>
    </row>
    <row r="3404" spans="1:14" ht="12.75" customHeight="1" x14ac:dyDescent="0.25">
      <c r="A3404" s="3"/>
      <c r="B3404" s="3"/>
      <c r="C3404" s="3"/>
      <c r="D3404" s="3"/>
      <c r="E3404" s="3"/>
      <c r="F3404" s="3"/>
      <c r="G3404" s="3"/>
      <c r="H3404" s="3"/>
      <c r="I3404" s="3"/>
      <c r="J3404" s="3"/>
      <c r="K3404" s="3"/>
      <c r="L3404" s="3"/>
      <c r="M3404" s="3"/>
      <c r="N3404" s="3"/>
    </row>
    <row r="3405" spans="1:14" ht="12.75" customHeight="1" x14ac:dyDescent="0.2">
      <c r="A3405" s="1065" t="s">
        <v>390</v>
      </c>
      <c r="B3405" s="1057"/>
      <c r="C3405" s="1057"/>
      <c r="D3405" s="1057"/>
      <c r="E3405" s="1057"/>
      <c r="F3405" s="1057"/>
      <c r="G3405" s="1057"/>
      <c r="H3405" s="1057"/>
      <c r="I3405" s="1057"/>
      <c r="J3405" s="1057"/>
      <c r="K3405" s="1057"/>
      <c r="L3405" s="1057"/>
      <c r="M3405" s="1057"/>
      <c r="N3405" s="1058"/>
    </row>
    <row r="3406" spans="1:14" ht="12.75" customHeight="1" x14ac:dyDescent="0.2">
      <c r="A3406" s="1066" t="s">
        <v>38</v>
      </c>
      <c r="B3406" s="1057"/>
      <c r="C3406" s="1057"/>
      <c r="D3406" s="1057"/>
      <c r="E3406" s="1057"/>
      <c r="F3406" s="1057"/>
      <c r="G3406" s="1058"/>
      <c r="H3406" s="28" t="s">
        <v>39</v>
      </c>
      <c r="I3406" s="1062" t="s">
        <v>385</v>
      </c>
      <c r="J3406" s="1058"/>
      <c r="K3406" s="1062" t="s">
        <v>132</v>
      </c>
      <c r="L3406" s="1058"/>
      <c r="M3406" s="1062" t="s">
        <v>386</v>
      </c>
      <c r="N3406" s="1058"/>
    </row>
    <row r="3407" spans="1:14" ht="12.75" customHeight="1" x14ac:dyDescent="0.2">
      <c r="A3407" s="1061" t="s">
        <v>391</v>
      </c>
      <c r="B3407" s="1057"/>
      <c r="C3407" s="1057"/>
      <c r="D3407" s="1057"/>
      <c r="E3407" s="1057"/>
      <c r="F3407" s="1057"/>
      <c r="G3407" s="1058"/>
      <c r="H3407" s="9" t="str">
        <f>IF(A3407="","",VLOOKUP(A3407,AA_Equipos,7,FALSE))</f>
        <v>% M.O.</v>
      </c>
      <c r="I3407" s="1059">
        <f>+M3430</f>
        <v>127234.58583000003</v>
      </c>
      <c r="J3407" s="1058"/>
      <c r="K3407" s="1064">
        <v>0.05</v>
      </c>
      <c r="L3407" s="1058"/>
      <c r="M3407" s="1059">
        <f>IF(A3407="","",I3407*K3407)</f>
        <v>6361.7292915000016</v>
      </c>
      <c r="N3407" s="1058"/>
    </row>
    <row r="3408" spans="1:14" ht="12.75" customHeight="1" x14ac:dyDescent="0.2">
      <c r="A3408" s="1056"/>
      <c r="B3408" s="1057"/>
      <c r="C3408" s="1057"/>
      <c r="D3408" s="1057"/>
      <c r="E3408" s="1057"/>
      <c r="F3408" s="1057"/>
      <c r="G3408" s="1058"/>
      <c r="H3408" s="9" t="str">
        <f>IF(A3408="","",VLOOKUP(A3408,AA_Equipos,7,FALSE))</f>
        <v/>
      </c>
      <c r="I3408" s="1059" t="str">
        <f>IF(A3408="","",VLOOKUP(A3408,AA_Equipos,8,FALSE))</f>
        <v/>
      </c>
      <c r="J3408" s="1058"/>
      <c r="K3408" s="1067"/>
      <c r="L3408" s="1058"/>
      <c r="M3408" s="1059" t="str">
        <f>IF(A3408="","",I3408*K3408)</f>
        <v/>
      </c>
      <c r="N3408" s="1058"/>
    </row>
    <row r="3409" spans="1:15" ht="12.75" customHeight="1" x14ac:dyDescent="0.2">
      <c r="A3409" s="1061"/>
      <c r="B3409" s="1057"/>
      <c r="C3409" s="1057"/>
      <c r="D3409" s="1057"/>
      <c r="E3409" s="1057"/>
      <c r="F3409" s="1057"/>
      <c r="G3409" s="1058"/>
      <c r="H3409" s="9" t="str">
        <f>IF(A3409="","",VLOOKUP(A3409,AA_Equipos,7,FALSE))</f>
        <v/>
      </c>
      <c r="I3409" s="1059" t="str">
        <f>IF(A3409="","",VLOOKUP(A3409,AA_Equipos,8,FALSE))</f>
        <v/>
      </c>
      <c r="J3409" s="1058"/>
      <c r="K3409" s="1070"/>
      <c r="L3409" s="1058"/>
      <c r="M3409" s="1059" t="str">
        <f>IF(A3409="","",I3409*K3409)</f>
        <v/>
      </c>
      <c r="N3409" s="1058"/>
    </row>
    <row r="3410" spans="1:15" ht="12.75" customHeight="1" x14ac:dyDescent="0.2">
      <c r="A3410" s="1061"/>
      <c r="B3410" s="1057"/>
      <c r="C3410" s="1057"/>
      <c r="D3410" s="1057"/>
      <c r="E3410" s="1057"/>
      <c r="F3410" s="1057"/>
      <c r="G3410" s="1058"/>
      <c r="H3410" s="9" t="str">
        <f>IF(A3410="","",VLOOKUP(A3410,AA_Equipos,7,FALSE))</f>
        <v/>
      </c>
      <c r="I3410" s="1059" t="str">
        <f>IF(A3410="","",VLOOKUP(A3410,AA_Equipos,8,FALSE))</f>
        <v/>
      </c>
      <c r="J3410" s="1058"/>
      <c r="K3410" s="1060"/>
      <c r="L3410" s="1058"/>
      <c r="M3410" s="1059" t="str">
        <f>IF(A3410="","",I3410*K3410)</f>
        <v/>
      </c>
      <c r="N3410" s="1058"/>
    </row>
    <row r="3411" spans="1:15" ht="12.75" customHeight="1" x14ac:dyDescent="0.2">
      <c r="A3411" s="1061"/>
      <c r="B3411" s="1057"/>
      <c r="C3411" s="1057"/>
      <c r="D3411" s="1057"/>
      <c r="E3411" s="1057"/>
      <c r="F3411" s="1057"/>
      <c r="G3411" s="1058"/>
      <c r="H3411" s="9" t="str">
        <f>IF(A3411="","",VLOOKUP(A3411,AA_Equipos,7,FALSE))</f>
        <v/>
      </c>
      <c r="I3411" s="1059" t="str">
        <f>IF(A3411="","",VLOOKUP(A3411,AA_Equipos,8,FALSE))</f>
        <v/>
      </c>
      <c r="J3411" s="1058"/>
      <c r="K3411" s="1060"/>
      <c r="L3411" s="1058"/>
      <c r="M3411" s="1059" t="str">
        <f>IF(A3411="","",I3411*K3411)</f>
        <v/>
      </c>
      <c r="N3411" s="1058"/>
      <c r="O3411" s="7"/>
    </row>
    <row r="3412" spans="1:15" ht="12.75" customHeight="1" x14ac:dyDescent="0.25">
      <c r="A3412" s="3"/>
      <c r="B3412" s="3"/>
      <c r="C3412" s="3"/>
      <c r="D3412" s="3"/>
      <c r="E3412" s="3"/>
      <c r="F3412" s="3"/>
      <c r="G3412" s="3"/>
      <c r="H3412" s="3"/>
      <c r="I3412" s="3"/>
      <c r="J3412" s="3"/>
      <c r="K3412" s="1066" t="s">
        <v>201</v>
      </c>
      <c r="L3412" s="1058"/>
      <c r="M3412" s="1059">
        <f>SUM(M3407:N3411)</f>
        <v>6361.7292915000016</v>
      </c>
      <c r="N3412" s="1058"/>
      <c r="O3412" s="7"/>
    </row>
    <row r="3413" spans="1:15" ht="12.75" customHeight="1" x14ac:dyDescent="0.25">
      <c r="A3413" s="3"/>
      <c r="B3413" s="3"/>
      <c r="C3413" s="3"/>
      <c r="D3413" s="3"/>
      <c r="E3413" s="3"/>
      <c r="F3413" s="3"/>
      <c r="G3413" s="3"/>
      <c r="H3413" s="3"/>
      <c r="I3413" s="3"/>
      <c r="J3413" s="3"/>
      <c r="K3413" s="3"/>
      <c r="L3413" s="3"/>
      <c r="M3413" s="3"/>
      <c r="N3413" s="3"/>
    </row>
    <row r="3414" spans="1:15" ht="12.75" customHeight="1" x14ac:dyDescent="0.2">
      <c r="A3414" s="1065" t="s">
        <v>392</v>
      </c>
      <c r="B3414" s="1057"/>
      <c r="C3414" s="1057"/>
      <c r="D3414" s="1057"/>
      <c r="E3414" s="1057"/>
      <c r="F3414" s="1057"/>
      <c r="G3414" s="1057"/>
      <c r="H3414" s="1057"/>
      <c r="I3414" s="1057"/>
      <c r="J3414" s="1057"/>
      <c r="K3414" s="1057"/>
      <c r="L3414" s="1057"/>
      <c r="M3414" s="1057"/>
      <c r="N3414" s="1058"/>
    </row>
    <row r="3415" spans="1:15" ht="12.75" customHeight="1" x14ac:dyDescent="0.2">
      <c r="A3415" s="1066" t="s">
        <v>38</v>
      </c>
      <c r="B3415" s="1057"/>
      <c r="C3415" s="1057"/>
      <c r="D3415" s="1057"/>
      <c r="E3415" s="1057"/>
      <c r="F3415" s="1057"/>
      <c r="G3415" s="1058"/>
      <c r="H3415" s="28" t="s">
        <v>39</v>
      </c>
      <c r="I3415" s="1062" t="s">
        <v>385</v>
      </c>
      <c r="J3415" s="1058"/>
      <c r="K3415" s="1062" t="s">
        <v>132</v>
      </c>
      <c r="L3415" s="1058"/>
      <c r="M3415" s="1062" t="s">
        <v>386</v>
      </c>
      <c r="N3415" s="1058"/>
    </row>
    <row r="3416" spans="1:15" ht="12.75" customHeight="1" x14ac:dyDescent="0.2">
      <c r="A3416" s="1061"/>
      <c r="B3416" s="1057"/>
      <c r="C3416" s="1057"/>
      <c r="D3416" s="1057"/>
      <c r="E3416" s="1057"/>
      <c r="F3416" s="1057"/>
      <c r="G3416" s="1058"/>
      <c r="H3416" s="9"/>
      <c r="I3416" s="1059"/>
      <c r="J3416" s="1058"/>
      <c r="K3416" s="1064"/>
      <c r="L3416" s="1058"/>
      <c r="M3416" s="1059" t="str">
        <f>IF(A3416="","",I3416*K3416)</f>
        <v/>
      </c>
      <c r="N3416" s="1058"/>
    </row>
    <row r="3417" spans="1:15" ht="12.75" customHeight="1" x14ac:dyDescent="0.2">
      <c r="A3417" s="1056"/>
      <c r="B3417" s="1057"/>
      <c r="C3417" s="1057"/>
      <c r="D3417" s="1057"/>
      <c r="E3417" s="1057"/>
      <c r="F3417" s="1057"/>
      <c r="G3417" s="1058"/>
      <c r="H3417" s="9"/>
      <c r="I3417" s="1059"/>
      <c r="J3417" s="1058"/>
      <c r="K3417" s="1064"/>
      <c r="L3417" s="1058"/>
      <c r="M3417" s="1059" t="str">
        <f>IF(A3417="","",I3417*K3417)</f>
        <v/>
      </c>
      <c r="N3417" s="1058"/>
    </row>
    <row r="3418" spans="1:15" ht="12.75" customHeight="1" x14ac:dyDescent="0.2">
      <c r="A3418" s="1061"/>
      <c r="B3418" s="1057"/>
      <c r="C3418" s="1057"/>
      <c r="D3418" s="1057"/>
      <c r="E3418" s="1057"/>
      <c r="F3418" s="1057"/>
      <c r="G3418" s="1058"/>
      <c r="H3418" s="9"/>
      <c r="I3418" s="1059"/>
      <c r="J3418" s="1058"/>
      <c r="K3418" s="1060"/>
      <c r="L3418" s="1058"/>
      <c r="M3418" s="1059" t="str">
        <f>IF(A3418="","",I3418*K3418)</f>
        <v/>
      </c>
      <c r="N3418" s="1058"/>
    </row>
    <row r="3419" spans="1:15" ht="12.75" customHeight="1" x14ac:dyDescent="0.2">
      <c r="A3419" s="1061"/>
      <c r="B3419" s="1057"/>
      <c r="C3419" s="1057"/>
      <c r="D3419" s="1057"/>
      <c r="E3419" s="1057"/>
      <c r="F3419" s="1057"/>
      <c r="G3419" s="1058"/>
      <c r="H3419" s="9"/>
      <c r="I3419" s="1059"/>
      <c r="J3419" s="1058"/>
      <c r="K3419" s="1060"/>
      <c r="L3419" s="1058"/>
      <c r="M3419" s="1059" t="str">
        <f>IF(A3419="","",I3419*K3419)</f>
        <v/>
      </c>
      <c r="N3419" s="1058"/>
    </row>
    <row r="3420" spans="1:15" ht="12.75" customHeight="1" x14ac:dyDescent="0.2">
      <c r="A3420" s="1061"/>
      <c r="B3420" s="1057"/>
      <c r="C3420" s="1057"/>
      <c r="D3420" s="1057"/>
      <c r="E3420" s="1057"/>
      <c r="F3420" s="1057"/>
      <c r="G3420" s="1058"/>
      <c r="H3420" s="9"/>
      <c r="I3420" s="1059"/>
      <c r="J3420" s="1058"/>
      <c r="K3420" s="1060"/>
      <c r="L3420" s="1058"/>
      <c r="M3420" s="1059" t="str">
        <f>IF(A3420="","",I3420*K3420)</f>
        <v/>
      </c>
      <c r="N3420" s="1058"/>
    </row>
    <row r="3421" spans="1:15" ht="12.75" customHeight="1" x14ac:dyDescent="0.25">
      <c r="A3421" s="3"/>
      <c r="B3421" s="3"/>
      <c r="C3421" s="3"/>
      <c r="D3421" s="3"/>
      <c r="E3421" s="3"/>
      <c r="F3421" s="3"/>
      <c r="G3421" s="3"/>
      <c r="H3421" s="3"/>
      <c r="I3421" s="3"/>
      <c r="J3421" s="3"/>
      <c r="K3421" s="1066" t="s">
        <v>201</v>
      </c>
      <c r="L3421" s="1058"/>
      <c r="M3421" s="1059">
        <f>SUM(M3416:N3420)</f>
        <v>0</v>
      </c>
      <c r="N3421" s="1058"/>
    </row>
    <row r="3422" spans="1:15" ht="12.75" customHeight="1" x14ac:dyDescent="0.25">
      <c r="A3422" s="3"/>
      <c r="B3422" s="3"/>
      <c r="C3422" s="3"/>
      <c r="D3422" s="3"/>
      <c r="E3422" s="3"/>
      <c r="F3422" s="3"/>
      <c r="G3422" s="3"/>
      <c r="H3422" s="3"/>
      <c r="I3422" s="3"/>
      <c r="J3422" s="3"/>
      <c r="K3422" s="3"/>
      <c r="L3422" s="3"/>
      <c r="M3422" s="3"/>
      <c r="N3422" s="3"/>
    </row>
    <row r="3423" spans="1:15" ht="12.75" customHeight="1" x14ac:dyDescent="0.2">
      <c r="A3423" s="1065" t="s">
        <v>394</v>
      </c>
      <c r="B3423" s="1057"/>
      <c r="C3423" s="1057"/>
      <c r="D3423" s="1057"/>
      <c r="E3423" s="1057"/>
      <c r="F3423" s="1057"/>
      <c r="G3423" s="1057"/>
      <c r="H3423" s="1057"/>
      <c r="I3423" s="1057"/>
      <c r="J3423" s="1057"/>
      <c r="K3423" s="1057"/>
      <c r="L3423" s="1057"/>
      <c r="M3423" s="1057"/>
      <c r="N3423" s="1058"/>
    </row>
    <row r="3424" spans="1:15" ht="12.75" customHeight="1" x14ac:dyDescent="0.2">
      <c r="A3424" s="1066" t="s">
        <v>38</v>
      </c>
      <c r="B3424" s="1057"/>
      <c r="C3424" s="1057"/>
      <c r="D3424" s="1057"/>
      <c r="E3424" s="1057"/>
      <c r="F3424" s="1057"/>
      <c r="G3424" s="1058"/>
      <c r="H3424" s="28" t="s">
        <v>39</v>
      </c>
      <c r="I3424" s="1062" t="s">
        <v>385</v>
      </c>
      <c r="J3424" s="1058"/>
      <c r="K3424" s="30" t="s">
        <v>193</v>
      </c>
      <c r="L3424" s="31" t="s">
        <v>395</v>
      </c>
      <c r="M3424" s="1062" t="s">
        <v>386</v>
      </c>
      <c r="N3424" s="1058"/>
    </row>
    <row r="3425" spans="1:14" ht="12.75" customHeight="1" x14ac:dyDescent="0.25">
      <c r="A3425" s="1063" t="s">
        <v>423</v>
      </c>
      <c r="B3425" s="1057"/>
      <c r="C3425" s="1057"/>
      <c r="D3425" s="1057"/>
      <c r="E3425" s="1057"/>
      <c r="F3425" s="1057"/>
      <c r="G3425" s="1058"/>
      <c r="H3425" s="9" t="str">
        <f>IF(A3425="","",VLOOKUP(A3425,AA_Cuadrillas,4,FALSE))</f>
        <v>Cuadrilla</v>
      </c>
      <c r="I3425" s="1059">
        <f>IF(A3425="","",VLOOKUP(A3425,AA_Cuadrillas,5,FALSE))</f>
        <v>134236</v>
      </c>
      <c r="J3425" s="1058"/>
      <c r="K3425" s="1">
        <f>IF(A3425="","",'06'!$J$3)</f>
        <v>1.7233500000000002</v>
      </c>
      <c r="L3425" s="37">
        <v>0.55000000000000004</v>
      </c>
      <c r="M3425" s="1059">
        <f>IF(A3425="","",I3425*K3425*L3425)</f>
        <v>127234.58583000003</v>
      </c>
      <c r="N3425" s="1058"/>
    </row>
    <row r="3426" spans="1:14" ht="12.75" customHeight="1" x14ac:dyDescent="0.25">
      <c r="A3426" s="1063"/>
      <c r="B3426" s="1057"/>
      <c r="C3426" s="1057"/>
      <c r="D3426" s="1057"/>
      <c r="E3426" s="1057"/>
      <c r="F3426" s="1057"/>
      <c r="G3426" s="1058"/>
      <c r="H3426" s="9" t="str">
        <f>IF(A3426="","",VLOOKUP(A3426,AA_Cuadrillas,4,FALSE))</f>
        <v/>
      </c>
      <c r="I3426" s="1059" t="str">
        <f>IF(A3426="","",VLOOKUP(A3426,AA_Cuadrillas,5,FALSE))</f>
        <v/>
      </c>
      <c r="J3426" s="1058"/>
      <c r="K3426" s="1" t="str">
        <f>IF(A3426="","",'06'!$J$3)</f>
        <v/>
      </c>
      <c r="L3426" s="1"/>
      <c r="M3426" s="1059" t="str">
        <f>IF(A3426="","",I3426*K3426*L3426)</f>
        <v/>
      </c>
      <c r="N3426" s="1058"/>
    </row>
    <row r="3427" spans="1:14" ht="12.75" customHeight="1" x14ac:dyDescent="0.25">
      <c r="A3427" s="1063"/>
      <c r="B3427" s="1057"/>
      <c r="C3427" s="1057"/>
      <c r="D3427" s="1057"/>
      <c r="E3427" s="1057"/>
      <c r="F3427" s="1057"/>
      <c r="G3427" s="1058"/>
      <c r="H3427" s="9" t="str">
        <f>IF(A3427="","",VLOOKUP(A3427,AA_Cuadrillas,4,FALSE))</f>
        <v/>
      </c>
      <c r="I3427" s="1059" t="str">
        <f>IF(A3427="","",VLOOKUP(A3427,AA_Cuadrillas,5,FALSE))</f>
        <v/>
      </c>
      <c r="J3427" s="1058"/>
      <c r="K3427" s="1" t="str">
        <f>IF(A3427="","",'06'!$J$3)</f>
        <v/>
      </c>
      <c r="L3427" s="10"/>
      <c r="M3427" s="1059" t="str">
        <f>IF(A3427="","",I3427*K3427*L3427)</f>
        <v/>
      </c>
      <c r="N3427" s="1058"/>
    </row>
    <row r="3428" spans="1:14" ht="12.75" customHeight="1" x14ac:dyDescent="0.25">
      <c r="A3428" s="1063"/>
      <c r="B3428" s="1057"/>
      <c r="C3428" s="1057"/>
      <c r="D3428" s="1057"/>
      <c r="E3428" s="1057"/>
      <c r="F3428" s="1057"/>
      <c r="G3428" s="1058"/>
      <c r="H3428" s="9" t="str">
        <f>IF(A3428="","",VLOOKUP(A3428,AA_Cuadrillas,4,FALSE))</f>
        <v/>
      </c>
      <c r="I3428" s="1059" t="str">
        <f>IF(A3428="","",VLOOKUP(A3428,AA_Cuadrillas,5,FALSE))</f>
        <v/>
      </c>
      <c r="J3428" s="1058"/>
      <c r="K3428" s="1" t="str">
        <f>IF(A3428="","",'06'!$J$3)</f>
        <v/>
      </c>
      <c r="L3428" s="10"/>
      <c r="M3428" s="1059" t="str">
        <f>IF(A3428="","",I3428*K3428*L3428)</f>
        <v/>
      </c>
      <c r="N3428" s="1058"/>
    </row>
    <row r="3429" spans="1:14" ht="12.75" customHeight="1" x14ac:dyDescent="0.25">
      <c r="A3429" s="1063"/>
      <c r="B3429" s="1057"/>
      <c r="C3429" s="1057"/>
      <c r="D3429" s="1057"/>
      <c r="E3429" s="1057"/>
      <c r="F3429" s="1057"/>
      <c r="G3429" s="1058"/>
      <c r="H3429" s="9" t="str">
        <f>IF(A3429="","",VLOOKUP(A3429,AA_Cuadrillas,4,FALSE))</f>
        <v/>
      </c>
      <c r="I3429" s="1059" t="str">
        <f>IF(A3429="","",VLOOKUP(A3429,AA_Cuadrillas,5,FALSE))</f>
        <v/>
      </c>
      <c r="J3429" s="1058"/>
      <c r="K3429" s="1" t="str">
        <f>IF(A3429="","",'06'!$J$3)</f>
        <v/>
      </c>
      <c r="L3429" s="10"/>
      <c r="M3429" s="1059" t="str">
        <f>IF(A3429="","",I3429*K3429*L3429)</f>
        <v/>
      </c>
      <c r="N3429" s="1058"/>
    </row>
    <row r="3430" spans="1:14" ht="12.75" customHeight="1" x14ac:dyDescent="0.25">
      <c r="A3430" s="3"/>
      <c r="B3430" s="3"/>
      <c r="C3430" s="3"/>
      <c r="D3430" s="3"/>
      <c r="E3430" s="3"/>
      <c r="F3430" s="3"/>
      <c r="G3430" s="3"/>
      <c r="H3430" s="3"/>
      <c r="I3430" s="3"/>
      <c r="J3430" s="3"/>
      <c r="K3430" s="1066" t="s">
        <v>201</v>
      </c>
      <c r="L3430" s="1058"/>
      <c r="M3430" s="1059">
        <f>SUM(M3425:N3429)</f>
        <v>127234.58583000003</v>
      </c>
      <c r="N3430" s="1058"/>
    </row>
    <row r="3431" spans="1:14" ht="12.75" customHeight="1" x14ac:dyDescent="0.2"/>
    <row r="3432" spans="1:14" ht="12.75" customHeight="1" x14ac:dyDescent="0.2">
      <c r="A3432" s="1068" t="s">
        <v>1746</v>
      </c>
      <c r="B3432" s="1052"/>
      <c r="C3432" s="1052"/>
      <c r="D3432" s="1052"/>
      <c r="E3432" s="1052"/>
      <c r="F3432" s="1052"/>
      <c r="G3432" s="1052"/>
      <c r="H3432" s="1052"/>
      <c r="I3432" s="1052"/>
      <c r="J3432" s="1052"/>
      <c r="K3432" s="1052"/>
      <c r="L3432" s="1052"/>
      <c r="M3432" s="1052"/>
      <c r="N3432" s="1053"/>
    </row>
    <row r="3433" spans="1:14" ht="12.75" customHeight="1" x14ac:dyDescent="0.2">
      <c r="A3433" s="1031"/>
      <c r="B3433" s="1032"/>
      <c r="C3433" s="1032"/>
      <c r="D3433" s="1032"/>
      <c r="E3433" s="1032"/>
      <c r="F3433" s="1032"/>
      <c r="G3433" s="1032"/>
      <c r="H3433" s="1032"/>
      <c r="I3433" s="1032"/>
      <c r="J3433" s="1032"/>
      <c r="K3433" s="1032"/>
      <c r="L3433" s="1032"/>
      <c r="M3433" s="1032"/>
      <c r="N3433" s="1055"/>
    </row>
    <row r="3434" spans="1:14" ht="12.75" customHeight="1" x14ac:dyDescent="0.2">
      <c r="A3434" s="16"/>
      <c r="B3434" s="16"/>
      <c r="C3434" s="16"/>
      <c r="D3434" s="16"/>
      <c r="E3434" s="16"/>
      <c r="F3434" s="16"/>
      <c r="G3434" s="16"/>
      <c r="H3434" s="16"/>
      <c r="I3434" s="16"/>
      <c r="J3434" s="16"/>
      <c r="K3434" s="16"/>
      <c r="L3434" s="16"/>
      <c r="M3434" s="16"/>
      <c r="N3434" s="16"/>
    </row>
    <row r="3435" spans="1:14" ht="12.75" customHeight="1" x14ac:dyDescent="0.3">
      <c r="A3435" s="18" t="s">
        <v>371</v>
      </c>
      <c r="B3435" s="19" t="str">
        <f>A3432</f>
        <v>GRAVA PARA OPTIMIZACIÓN DE FILTROS 1/8"</v>
      </c>
      <c r="C3435" s="20" t="s">
        <v>382</v>
      </c>
      <c r="D3435" s="127" t="s">
        <v>399</v>
      </c>
      <c r="E3435" s="22" t="s">
        <v>125</v>
      </c>
      <c r="F3435" s="26">
        <f>(H3435+J3435+L3435+N3435)*$O$2</f>
        <v>27487.939052191756</v>
      </c>
      <c r="G3435" s="22" t="s">
        <v>285</v>
      </c>
      <c r="H3435" s="26">
        <f>M3453</f>
        <v>107.36040484218877</v>
      </c>
      <c r="I3435" s="22" t="s">
        <v>383</v>
      </c>
      <c r="J3435" s="36">
        <f>M3444</f>
        <v>18890</v>
      </c>
      <c r="K3435" s="22" t="s">
        <v>287</v>
      </c>
      <c r="L3435" s="26">
        <f>M3462</f>
        <v>0</v>
      </c>
      <c r="M3435" s="22" t="s">
        <v>288</v>
      </c>
      <c r="N3435" s="26">
        <f>M3471</f>
        <v>2147.2080968437754</v>
      </c>
    </row>
    <row r="3436" spans="1:14" ht="12.75" customHeight="1" x14ac:dyDescent="0.25">
      <c r="A3436" s="27"/>
      <c r="B3436" s="27"/>
      <c r="C3436" s="27"/>
      <c r="D3436" s="27"/>
      <c r="E3436" s="27"/>
      <c r="F3436" s="27"/>
      <c r="G3436" s="27"/>
      <c r="J3436" s="27"/>
      <c r="K3436" s="27"/>
      <c r="L3436" s="27"/>
      <c r="M3436" s="27"/>
      <c r="N3436" s="27"/>
    </row>
    <row r="3437" spans="1:14" ht="12.75" customHeight="1" x14ac:dyDescent="0.2">
      <c r="A3437" s="1065" t="s">
        <v>384</v>
      </c>
      <c r="B3437" s="1057"/>
      <c r="C3437" s="1057"/>
      <c r="D3437" s="1057"/>
      <c r="E3437" s="1057"/>
      <c r="F3437" s="1057"/>
      <c r="G3437" s="1057"/>
      <c r="H3437" s="1057"/>
      <c r="I3437" s="1057"/>
      <c r="J3437" s="1057"/>
      <c r="K3437" s="1057"/>
      <c r="L3437" s="1057"/>
      <c r="M3437" s="1057"/>
      <c r="N3437" s="1058"/>
    </row>
    <row r="3438" spans="1:14" ht="12.75" customHeight="1" x14ac:dyDescent="0.2">
      <c r="A3438" s="1066" t="s">
        <v>38</v>
      </c>
      <c r="B3438" s="1057"/>
      <c r="C3438" s="1057"/>
      <c r="D3438" s="1057"/>
      <c r="E3438" s="1057"/>
      <c r="F3438" s="1057"/>
      <c r="G3438" s="1058"/>
      <c r="H3438" s="28" t="s">
        <v>39</v>
      </c>
      <c r="I3438" s="1062" t="s">
        <v>385</v>
      </c>
      <c r="J3438" s="1058"/>
      <c r="K3438" s="1062" t="s">
        <v>132</v>
      </c>
      <c r="L3438" s="1058"/>
      <c r="M3438" s="1062" t="s">
        <v>386</v>
      </c>
      <c r="N3438" s="1058"/>
    </row>
    <row r="3439" spans="1:14" ht="12.75" customHeight="1" x14ac:dyDescent="0.2">
      <c r="A3439" s="1061" t="s">
        <v>1576</v>
      </c>
      <c r="B3439" s="1057"/>
      <c r="C3439" s="1057"/>
      <c r="D3439" s="1057"/>
      <c r="E3439" s="1057"/>
      <c r="F3439" s="1057"/>
      <c r="G3439" s="1058"/>
      <c r="H3439" s="9" t="str">
        <f t="shared" ref="H3439" si="258">IF(A3439="","",VLOOKUP(A3439,AA_Materiales,7,FALSE))</f>
        <v>Kg</v>
      </c>
      <c r="I3439" s="1059">
        <f t="shared" ref="I3439" si="259">IF(A3439="","",VLOOKUP(A3439,AA_Materiales,8,FALSE))</f>
        <v>18890</v>
      </c>
      <c r="J3439" s="1058"/>
      <c r="K3439" s="1060">
        <v>1</v>
      </c>
      <c r="L3439" s="1058"/>
      <c r="M3439" s="1059">
        <f>IF(A3439="","",I3439*K3439)</f>
        <v>18890</v>
      </c>
      <c r="N3439" s="1058"/>
    </row>
    <row r="3440" spans="1:14" ht="12.75" customHeight="1" x14ac:dyDescent="0.2">
      <c r="A3440" s="1056"/>
      <c r="B3440" s="1057"/>
      <c r="C3440" s="1057"/>
      <c r="D3440" s="1057"/>
      <c r="E3440" s="1057"/>
      <c r="F3440" s="1057"/>
      <c r="G3440" s="1058"/>
      <c r="H3440" s="9" t="str">
        <f>IF(A3440="","",VLOOKUP(A3440,AA_Materiales,7,FALSE))</f>
        <v/>
      </c>
      <c r="I3440" s="1059" t="str">
        <f>IF(A3440="","",VLOOKUP(A3440,AA_Materiales,8,FALSE))</f>
        <v/>
      </c>
      <c r="J3440" s="1058"/>
      <c r="K3440" s="1060"/>
      <c r="L3440" s="1058"/>
      <c r="M3440" s="1059" t="str">
        <f>IF(A3440="","",I3440*K3440)</f>
        <v/>
      </c>
      <c r="N3440" s="1058"/>
    </row>
    <row r="3441" spans="1:15" ht="12.75" customHeight="1" x14ac:dyDescent="0.2">
      <c r="A3441" s="1056"/>
      <c r="B3441" s="1057"/>
      <c r="C3441" s="1057"/>
      <c r="D3441" s="1057"/>
      <c r="E3441" s="1057"/>
      <c r="F3441" s="1057"/>
      <c r="G3441" s="1058"/>
      <c r="H3441" s="9" t="str">
        <f>IF(A3441="","",VLOOKUP(A3441,AA_Materiales,7,FALSE))</f>
        <v/>
      </c>
      <c r="I3441" s="1059" t="str">
        <f>IF(A3441="","",VLOOKUP(A3441,AA_Materiales,8,FALSE))</f>
        <v/>
      </c>
      <c r="J3441" s="1058"/>
      <c r="K3441" s="1060"/>
      <c r="L3441" s="1058"/>
      <c r="M3441" s="1059" t="str">
        <f>IF(A3441="","",I3441*K3441)</f>
        <v/>
      </c>
      <c r="N3441" s="1058"/>
    </row>
    <row r="3442" spans="1:15" ht="12.75" customHeight="1" x14ac:dyDescent="0.2">
      <c r="A3442" s="1056"/>
      <c r="B3442" s="1057"/>
      <c r="C3442" s="1057"/>
      <c r="D3442" s="1057"/>
      <c r="E3442" s="1057"/>
      <c r="F3442" s="1057"/>
      <c r="G3442" s="1058"/>
      <c r="H3442" s="9" t="str">
        <f>IF(A3442="","",VLOOKUP(A3442,AA_Materiales,7,FALSE))</f>
        <v/>
      </c>
      <c r="I3442" s="1059" t="str">
        <f>IF(A3442="","",VLOOKUP(A3442,AA_Materiales,8,FALSE))</f>
        <v/>
      </c>
      <c r="J3442" s="1058"/>
      <c r="K3442" s="1060"/>
      <c r="L3442" s="1058"/>
      <c r="M3442" s="1059" t="str">
        <f>IF(A3442="","",I3442*K3442)</f>
        <v/>
      </c>
      <c r="N3442" s="1058"/>
    </row>
    <row r="3443" spans="1:15" ht="12.75" customHeight="1" x14ac:dyDescent="0.2">
      <c r="A3443" s="1056"/>
      <c r="B3443" s="1057"/>
      <c r="C3443" s="1057"/>
      <c r="D3443" s="1057"/>
      <c r="E3443" s="1057"/>
      <c r="F3443" s="1057"/>
      <c r="G3443" s="1058"/>
      <c r="H3443" s="9" t="str">
        <f>IF(A3443="","",VLOOKUP(A3443,AA_Materiales,7,FALSE))</f>
        <v/>
      </c>
      <c r="I3443" s="1059" t="str">
        <f>IF(A3443="","",VLOOKUP(A3443,AA_Materiales,8,FALSE))</f>
        <v/>
      </c>
      <c r="J3443" s="1058"/>
      <c r="K3443" s="1060"/>
      <c r="L3443" s="1058"/>
      <c r="M3443" s="1059" t="str">
        <f>IF(A3443="","",I3443*K3443)</f>
        <v/>
      </c>
      <c r="N3443" s="1058"/>
    </row>
    <row r="3444" spans="1:15" ht="12.75" customHeight="1" x14ac:dyDescent="0.25">
      <c r="A3444" s="3"/>
      <c r="B3444" s="3"/>
      <c r="C3444" s="3"/>
      <c r="D3444" s="3"/>
      <c r="E3444" s="3"/>
      <c r="F3444" s="3"/>
      <c r="G3444" s="3"/>
      <c r="H3444" s="3"/>
      <c r="I3444" s="3"/>
      <c r="J3444" s="3"/>
      <c r="K3444" s="1066" t="s">
        <v>201</v>
      </c>
      <c r="L3444" s="1058"/>
      <c r="M3444" s="1059">
        <f>SUM(M3439:N3443)</f>
        <v>18890</v>
      </c>
      <c r="N3444" s="1058"/>
    </row>
    <row r="3445" spans="1:15" ht="12.75" customHeight="1" x14ac:dyDescent="0.25">
      <c r="A3445" s="3"/>
      <c r="B3445" s="3"/>
      <c r="C3445" s="3"/>
      <c r="D3445" s="3"/>
      <c r="E3445" s="3"/>
      <c r="F3445" s="3"/>
      <c r="G3445" s="3"/>
      <c r="H3445" s="3"/>
      <c r="I3445" s="3"/>
      <c r="J3445" s="3"/>
      <c r="K3445" s="3"/>
      <c r="L3445" s="3"/>
      <c r="M3445" s="3"/>
      <c r="N3445" s="3"/>
    </row>
    <row r="3446" spans="1:15" ht="12.75" customHeight="1" x14ac:dyDescent="0.2">
      <c r="A3446" s="1065" t="s">
        <v>390</v>
      </c>
      <c r="B3446" s="1057"/>
      <c r="C3446" s="1057"/>
      <c r="D3446" s="1057"/>
      <c r="E3446" s="1057"/>
      <c r="F3446" s="1057"/>
      <c r="G3446" s="1057"/>
      <c r="H3446" s="1057"/>
      <c r="I3446" s="1057"/>
      <c r="J3446" s="1057"/>
      <c r="K3446" s="1057"/>
      <c r="L3446" s="1057"/>
      <c r="M3446" s="1057"/>
      <c r="N3446" s="1058"/>
    </row>
    <row r="3447" spans="1:15" ht="12.75" customHeight="1" x14ac:dyDescent="0.2">
      <c r="A3447" s="1066" t="s">
        <v>38</v>
      </c>
      <c r="B3447" s="1057"/>
      <c r="C3447" s="1057"/>
      <c r="D3447" s="1057"/>
      <c r="E3447" s="1057"/>
      <c r="F3447" s="1057"/>
      <c r="G3447" s="1058"/>
      <c r="H3447" s="28" t="s">
        <v>39</v>
      </c>
      <c r="I3447" s="1062" t="s">
        <v>385</v>
      </c>
      <c r="J3447" s="1058"/>
      <c r="K3447" s="1062" t="s">
        <v>132</v>
      </c>
      <c r="L3447" s="1058"/>
      <c r="M3447" s="1062" t="s">
        <v>386</v>
      </c>
      <c r="N3447" s="1058"/>
    </row>
    <row r="3448" spans="1:15" ht="12.75" customHeight="1" x14ac:dyDescent="0.2">
      <c r="A3448" s="1061" t="s">
        <v>391</v>
      </c>
      <c r="B3448" s="1057"/>
      <c r="C3448" s="1057"/>
      <c r="D3448" s="1057"/>
      <c r="E3448" s="1057"/>
      <c r="F3448" s="1057"/>
      <c r="G3448" s="1058"/>
      <c r="H3448" s="9" t="str">
        <f>IF(A3448="","",VLOOKUP(A3448,AA_Equipos,7,FALSE))</f>
        <v>% M.O.</v>
      </c>
      <c r="I3448" s="1059">
        <f>+M3471</f>
        <v>2147.2080968437754</v>
      </c>
      <c r="J3448" s="1058"/>
      <c r="K3448" s="1064">
        <v>0.05</v>
      </c>
      <c r="L3448" s="1058"/>
      <c r="M3448" s="1059">
        <f>IF(A3448="","",I3448*K3448)</f>
        <v>107.36040484218877</v>
      </c>
      <c r="N3448" s="1058"/>
    </row>
    <row r="3449" spans="1:15" ht="12.75" customHeight="1" x14ac:dyDescent="0.2">
      <c r="A3449" s="1056"/>
      <c r="B3449" s="1057"/>
      <c r="C3449" s="1057"/>
      <c r="D3449" s="1057"/>
      <c r="E3449" s="1057"/>
      <c r="F3449" s="1057"/>
      <c r="G3449" s="1058"/>
      <c r="H3449" s="9" t="str">
        <f>IF(A3449="","",VLOOKUP(A3449,AA_Equipos,7,FALSE))</f>
        <v/>
      </c>
      <c r="I3449" s="1059" t="str">
        <f>IF(A3449="","",VLOOKUP(A3449,AA_Equipos,8,FALSE))</f>
        <v/>
      </c>
      <c r="J3449" s="1058"/>
      <c r="K3449" s="1067"/>
      <c r="L3449" s="1058"/>
      <c r="M3449" s="1059" t="str">
        <f>IF(A3449="","",I3449*K3449)</f>
        <v/>
      </c>
      <c r="N3449" s="1058"/>
    </row>
    <row r="3450" spans="1:15" ht="12.75" customHeight="1" x14ac:dyDescent="0.2">
      <c r="A3450" s="1061"/>
      <c r="B3450" s="1057"/>
      <c r="C3450" s="1057"/>
      <c r="D3450" s="1057"/>
      <c r="E3450" s="1057"/>
      <c r="F3450" s="1057"/>
      <c r="G3450" s="1058"/>
      <c r="H3450" s="9" t="str">
        <f>IF(A3450="","",VLOOKUP(A3450,AA_Equipos,7,FALSE))</f>
        <v/>
      </c>
      <c r="I3450" s="1059" t="str">
        <f>IF(A3450="","",VLOOKUP(A3450,AA_Equipos,8,FALSE))</f>
        <v/>
      </c>
      <c r="J3450" s="1058"/>
      <c r="K3450" s="1070"/>
      <c r="L3450" s="1058"/>
      <c r="M3450" s="1059" t="str">
        <f>IF(A3450="","",I3450*K3450)</f>
        <v/>
      </c>
      <c r="N3450" s="1058"/>
    </row>
    <row r="3451" spans="1:15" ht="12.75" customHeight="1" x14ac:dyDescent="0.2">
      <c r="A3451" s="1061"/>
      <c r="B3451" s="1057"/>
      <c r="C3451" s="1057"/>
      <c r="D3451" s="1057"/>
      <c r="E3451" s="1057"/>
      <c r="F3451" s="1057"/>
      <c r="G3451" s="1058"/>
      <c r="H3451" s="9" t="str">
        <f>IF(A3451="","",VLOOKUP(A3451,AA_Equipos,7,FALSE))</f>
        <v/>
      </c>
      <c r="I3451" s="1059" t="str">
        <f>IF(A3451="","",VLOOKUP(A3451,AA_Equipos,8,FALSE))</f>
        <v/>
      </c>
      <c r="J3451" s="1058"/>
      <c r="K3451" s="1060"/>
      <c r="L3451" s="1058"/>
      <c r="M3451" s="1059" t="str">
        <f>IF(A3451="","",I3451*K3451)</f>
        <v/>
      </c>
      <c r="N3451" s="1058"/>
    </row>
    <row r="3452" spans="1:15" ht="12.75" customHeight="1" x14ac:dyDescent="0.2">
      <c r="A3452" s="1061"/>
      <c r="B3452" s="1057"/>
      <c r="C3452" s="1057"/>
      <c r="D3452" s="1057"/>
      <c r="E3452" s="1057"/>
      <c r="F3452" s="1057"/>
      <c r="G3452" s="1058"/>
      <c r="H3452" s="9" t="str">
        <f>IF(A3452="","",VLOOKUP(A3452,AA_Equipos,7,FALSE))</f>
        <v/>
      </c>
      <c r="I3452" s="1059" t="str">
        <f>IF(A3452="","",VLOOKUP(A3452,AA_Equipos,8,FALSE))</f>
        <v/>
      </c>
      <c r="J3452" s="1058"/>
      <c r="K3452" s="1060"/>
      <c r="L3452" s="1058"/>
      <c r="M3452" s="1059" t="str">
        <f>IF(A3452="","",I3452*K3452)</f>
        <v/>
      </c>
      <c r="N3452" s="1058"/>
      <c r="O3452" s="7"/>
    </row>
    <row r="3453" spans="1:15" ht="12.75" customHeight="1" x14ac:dyDescent="0.25">
      <c r="A3453" s="3"/>
      <c r="B3453" s="3"/>
      <c r="C3453" s="3"/>
      <c r="D3453" s="3"/>
      <c r="E3453" s="3"/>
      <c r="F3453" s="3"/>
      <c r="G3453" s="3"/>
      <c r="H3453" s="3"/>
      <c r="I3453" s="3"/>
      <c r="J3453" s="3"/>
      <c r="K3453" s="1066" t="s">
        <v>201</v>
      </c>
      <c r="L3453" s="1058"/>
      <c r="M3453" s="1059">
        <f>SUM(M3448:N3452)</f>
        <v>107.36040484218877</v>
      </c>
      <c r="N3453" s="1058"/>
      <c r="O3453" s="7"/>
    </row>
    <row r="3454" spans="1:15" ht="12.75" customHeight="1" x14ac:dyDescent="0.25">
      <c r="A3454" s="3"/>
      <c r="B3454" s="3"/>
      <c r="C3454" s="3"/>
      <c r="D3454" s="3"/>
      <c r="E3454" s="3"/>
      <c r="F3454" s="3"/>
      <c r="G3454" s="3"/>
      <c r="H3454" s="3"/>
      <c r="I3454" s="3"/>
      <c r="J3454" s="3"/>
      <c r="K3454" s="3"/>
      <c r="L3454" s="3"/>
      <c r="M3454" s="3"/>
      <c r="N3454" s="3"/>
    </row>
    <row r="3455" spans="1:15" ht="12.75" customHeight="1" x14ac:dyDescent="0.2">
      <c r="A3455" s="1065" t="s">
        <v>392</v>
      </c>
      <c r="B3455" s="1057"/>
      <c r="C3455" s="1057"/>
      <c r="D3455" s="1057"/>
      <c r="E3455" s="1057"/>
      <c r="F3455" s="1057"/>
      <c r="G3455" s="1057"/>
      <c r="H3455" s="1057"/>
      <c r="I3455" s="1057"/>
      <c r="J3455" s="1057"/>
      <c r="K3455" s="1057"/>
      <c r="L3455" s="1057"/>
      <c r="M3455" s="1057"/>
      <c r="N3455" s="1058"/>
    </row>
    <row r="3456" spans="1:15" ht="12.75" customHeight="1" x14ac:dyDescent="0.2">
      <c r="A3456" s="1066" t="s">
        <v>38</v>
      </c>
      <c r="B3456" s="1057"/>
      <c r="C3456" s="1057"/>
      <c r="D3456" s="1057"/>
      <c r="E3456" s="1057"/>
      <c r="F3456" s="1057"/>
      <c r="G3456" s="1058"/>
      <c r="H3456" s="28" t="s">
        <v>39</v>
      </c>
      <c r="I3456" s="1062" t="s">
        <v>385</v>
      </c>
      <c r="J3456" s="1058"/>
      <c r="K3456" s="1062" t="s">
        <v>132</v>
      </c>
      <c r="L3456" s="1058"/>
      <c r="M3456" s="1062" t="s">
        <v>386</v>
      </c>
      <c r="N3456" s="1058"/>
    </row>
    <row r="3457" spans="1:14" ht="12.75" customHeight="1" x14ac:dyDescent="0.2">
      <c r="A3457" s="1061"/>
      <c r="B3457" s="1057"/>
      <c r="C3457" s="1057"/>
      <c r="D3457" s="1057"/>
      <c r="E3457" s="1057"/>
      <c r="F3457" s="1057"/>
      <c r="G3457" s="1058"/>
      <c r="H3457" s="9"/>
      <c r="I3457" s="1059"/>
      <c r="J3457" s="1058"/>
      <c r="K3457" s="1064"/>
      <c r="L3457" s="1058"/>
      <c r="M3457" s="1059" t="str">
        <f>IF(A3457="","",I3457*K3457)</f>
        <v/>
      </c>
      <c r="N3457" s="1058"/>
    </row>
    <row r="3458" spans="1:14" ht="12.75" customHeight="1" x14ac:dyDescent="0.2">
      <c r="A3458" s="1056"/>
      <c r="B3458" s="1057"/>
      <c r="C3458" s="1057"/>
      <c r="D3458" s="1057"/>
      <c r="E3458" s="1057"/>
      <c r="F3458" s="1057"/>
      <c r="G3458" s="1058"/>
      <c r="H3458" s="9"/>
      <c r="I3458" s="1059"/>
      <c r="J3458" s="1058"/>
      <c r="K3458" s="1064"/>
      <c r="L3458" s="1058"/>
      <c r="M3458" s="1059" t="str">
        <f>IF(A3458="","",I3458*K3458)</f>
        <v/>
      </c>
      <c r="N3458" s="1058"/>
    </row>
    <row r="3459" spans="1:14" ht="12.75" customHeight="1" x14ac:dyDescent="0.2">
      <c r="A3459" s="1061"/>
      <c r="B3459" s="1057"/>
      <c r="C3459" s="1057"/>
      <c r="D3459" s="1057"/>
      <c r="E3459" s="1057"/>
      <c r="F3459" s="1057"/>
      <c r="G3459" s="1058"/>
      <c r="H3459" s="9"/>
      <c r="I3459" s="1059"/>
      <c r="J3459" s="1058"/>
      <c r="K3459" s="1060"/>
      <c r="L3459" s="1058"/>
      <c r="M3459" s="1059" t="str">
        <f>IF(A3459="","",I3459*K3459)</f>
        <v/>
      </c>
      <c r="N3459" s="1058"/>
    </row>
    <row r="3460" spans="1:14" ht="12.75" customHeight="1" x14ac:dyDescent="0.2">
      <c r="A3460" s="1061"/>
      <c r="B3460" s="1057"/>
      <c r="C3460" s="1057"/>
      <c r="D3460" s="1057"/>
      <c r="E3460" s="1057"/>
      <c r="F3460" s="1057"/>
      <c r="G3460" s="1058"/>
      <c r="H3460" s="9"/>
      <c r="I3460" s="1059"/>
      <c r="J3460" s="1058"/>
      <c r="K3460" s="1060"/>
      <c r="L3460" s="1058"/>
      <c r="M3460" s="1059" t="str">
        <f>IF(A3460="","",I3460*K3460)</f>
        <v/>
      </c>
      <c r="N3460" s="1058"/>
    </row>
    <row r="3461" spans="1:14" ht="12.75" customHeight="1" x14ac:dyDescent="0.2">
      <c r="A3461" s="1061"/>
      <c r="B3461" s="1057"/>
      <c r="C3461" s="1057"/>
      <c r="D3461" s="1057"/>
      <c r="E3461" s="1057"/>
      <c r="F3461" s="1057"/>
      <c r="G3461" s="1058"/>
      <c r="H3461" s="9"/>
      <c r="I3461" s="1059"/>
      <c r="J3461" s="1058"/>
      <c r="K3461" s="1060"/>
      <c r="L3461" s="1058"/>
      <c r="M3461" s="1059" t="str">
        <f>IF(A3461="","",I3461*K3461)</f>
        <v/>
      </c>
      <c r="N3461" s="1058"/>
    </row>
    <row r="3462" spans="1:14" ht="12.75" customHeight="1" x14ac:dyDescent="0.25">
      <c r="A3462" s="3"/>
      <c r="B3462" s="3"/>
      <c r="C3462" s="3"/>
      <c r="D3462" s="3"/>
      <c r="E3462" s="3"/>
      <c r="F3462" s="3"/>
      <c r="G3462" s="3"/>
      <c r="H3462" s="3"/>
      <c r="I3462" s="3"/>
      <c r="J3462" s="3"/>
      <c r="K3462" s="1066" t="s">
        <v>201</v>
      </c>
      <c r="L3462" s="1058"/>
      <c r="M3462" s="1059">
        <f>SUM(M3457:N3461)</f>
        <v>0</v>
      </c>
      <c r="N3462" s="1058"/>
    </row>
    <row r="3463" spans="1:14" ht="12.75" customHeight="1" x14ac:dyDescent="0.25">
      <c r="A3463" s="3"/>
      <c r="B3463" s="3"/>
      <c r="C3463" s="3"/>
      <c r="D3463" s="3"/>
      <c r="E3463" s="3"/>
      <c r="F3463" s="3"/>
      <c r="G3463" s="3"/>
      <c r="H3463" s="3"/>
      <c r="I3463" s="3"/>
      <c r="J3463" s="3"/>
      <c r="K3463" s="3"/>
      <c r="L3463" s="3"/>
      <c r="M3463" s="3"/>
      <c r="N3463" s="3"/>
    </row>
    <row r="3464" spans="1:14" ht="12.75" customHeight="1" x14ac:dyDescent="0.2">
      <c r="A3464" s="1065" t="s">
        <v>394</v>
      </c>
      <c r="B3464" s="1057"/>
      <c r="C3464" s="1057"/>
      <c r="D3464" s="1057"/>
      <c r="E3464" s="1057"/>
      <c r="F3464" s="1057"/>
      <c r="G3464" s="1057"/>
      <c r="H3464" s="1057"/>
      <c r="I3464" s="1057"/>
      <c r="J3464" s="1057"/>
      <c r="K3464" s="1057"/>
      <c r="L3464" s="1057"/>
      <c r="M3464" s="1057"/>
      <c r="N3464" s="1058"/>
    </row>
    <row r="3465" spans="1:14" ht="12.75" customHeight="1" x14ac:dyDescent="0.2">
      <c r="A3465" s="1066" t="s">
        <v>38</v>
      </c>
      <c r="B3465" s="1057"/>
      <c r="C3465" s="1057"/>
      <c r="D3465" s="1057"/>
      <c r="E3465" s="1057"/>
      <c r="F3465" s="1057"/>
      <c r="G3465" s="1058"/>
      <c r="H3465" s="28" t="s">
        <v>39</v>
      </c>
      <c r="I3465" s="1062" t="s">
        <v>385</v>
      </c>
      <c r="J3465" s="1058"/>
      <c r="K3465" s="30" t="s">
        <v>193</v>
      </c>
      <c r="L3465" s="31" t="s">
        <v>395</v>
      </c>
      <c r="M3465" s="1062" t="s">
        <v>386</v>
      </c>
      <c r="N3465" s="1058"/>
    </row>
    <row r="3466" spans="1:14" ht="12.75" customHeight="1" x14ac:dyDescent="0.25">
      <c r="A3466" s="1063" t="s">
        <v>423</v>
      </c>
      <c r="B3466" s="1057"/>
      <c r="C3466" s="1057"/>
      <c r="D3466" s="1057"/>
      <c r="E3466" s="1057"/>
      <c r="F3466" s="1057"/>
      <c r="G3466" s="1058"/>
      <c r="H3466" s="9" t="str">
        <f>IF(A3466="","",VLOOKUP(A3466,AA_Cuadrillas,4,FALSE))</f>
        <v>Cuadrilla</v>
      </c>
      <c r="I3466" s="1059">
        <f>IF(A3466="","",VLOOKUP(A3466,AA_Cuadrillas,5,FALSE))</f>
        <v>134236</v>
      </c>
      <c r="J3466" s="1058"/>
      <c r="K3466" s="1">
        <f>IF(A3466="","",'06'!$J$3)</f>
        <v>1.7233500000000002</v>
      </c>
      <c r="L3466" s="37">
        <v>9.2817880103919261E-3</v>
      </c>
      <c r="M3466" s="1059">
        <f>IF(A3466="","",I3466*K3466*L3466)</f>
        <v>2147.2080968437754</v>
      </c>
      <c r="N3466" s="1058"/>
    </row>
    <row r="3467" spans="1:14" ht="12.75" customHeight="1" x14ac:dyDescent="0.25">
      <c r="A3467" s="1063"/>
      <c r="B3467" s="1057"/>
      <c r="C3467" s="1057"/>
      <c r="D3467" s="1057"/>
      <c r="E3467" s="1057"/>
      <c r="F3467" s="1057"/>
      <c r="G3467" s="1058"/>
      <c r="H3467" s="9" t="str">
        <f>IF(A3467="","",VLOOKUP(A3467,AA_Cuadrillas,4,FALSE))</f>
        <v/>
      </c>
      <c r="I3467" s="1059" t="str">
        <f>IF(A3467="","",VLOOKUP(A3467,AA_Cuadrillas,5,FALSE))</f>
        <v/>
      </c>
      <c r="J3467" s="1058"/>
      <c r="K3467" s="1" t="str">
        <f>IF(A3467="","",'06'!$J$3)</f>
        <v/>
      </c>
      <c r="L3467" s="1"/>
      <c r="M3467" s="1059" t="str">
        <f>IF(A3467="","",I3467*K3467*L3467)</f>
        <v/>
      </c>
      <c r="N3467" s="1058"/>
    </row>
    <row r="3468" spans="1:14" ht="12.75" customHeight="1" x14ac:dyDescent="0.25">
      <c r="A3468" s="1063"/>
      <c r="B3468" s="1057"/>
      <c r="C3468" s="1057"/>
      <c r="D3468" s="1057"/>
      <c r="E3468" s="1057"/>
      <c r="F3468" s="1057"/>
      <c r="G3468" s="1058"/>
      <c r="H3468" s="9" t="str">
        <f>IF(A3468="","",VLOOKUP(A3468,AA_Cuadrillas,4,FALSE))</f>
        <v/>
      </c>
      <c r="I3468" s="1059" t="str">
        <f>IF(A3468="","",VLOOKUP(A3468,AA_Cuadrillas,5,FALSE))</f>
        <v/>
      </c>
      <c r="J3468" s="1058"/>
      <c r="K3468" s="1" t="str">
        <f>IF(A3468="","",'06'!$J$3)</f>
        <v/>
      </c>
      <c r="L3468" s="10"/>
      <c r="M3468" s="1059" t="str">
        <f>IF(A3468="","",I3468*K3468*L3468)</f>
        <v/>
      </c>
      <c r="N3468" s="1058"/>
    </row>
    <row r="3469" spans="1:14" ht="12.75" customHeight="1" x14ac:dyDescent="0.25">
      <c r="A3469" s="1063"/>
      <c r="B3469" s="1057"/>
      <c r="C3469" s="1057"/>
      <c r="D3469" s="1057"/>
      <c r="E3469" s="1057"/>
      <c r="F3469" s="1057"/>
      <c r="G3469" s="1058"/>
      <c r="H3469" s="9" t="str">
        <f>IF(A3469="","",VLOOKUP(A3469,AA_Cuadrillas,4,FALSE))</f>
        <v/>
      </c>
      <c r="I3469" s="1059" t="str">
        <f>IF(A3469="","",VLOOKUP(A3469,AA_Cuadrillas,5,FALSE))</f>
        <v/>
      </c>
      <c r="J3469" s="1058"/>
      <c r="K3469" s="1" t="str">
        <f>IF(A3469="","",'06'!$J$3)</f>
        <v/>
      </c>
      <c r="L3469" s="10"/>
      <c r="M3469" s="1059" t="str">
        <f>IF(A3469="","",I3469*K3469*L3469)</f>
        <v/>
      </c>
      <c r="N3469" s="1058"/>
    </row>
    <row r="3470" spans="1:14" ht="12.75" customHeight="1" x14ac:dyDescent="0.25">
      <c r="A3470" s="1063"/>
      <c r="B3470" s="1057"/>
      <c r="C3470" s="1057"/>
      <c r="D3470" s="1057"/>
      <c r="E3470" s="1057"/>
      <c r="F3470" s="1057"/>
      <c r="G3470" s="1058"/>
      <c r="H3470" s="9" t="str">
        <f>IF(A3470="","",VLOOKUP(A3470,AA_Cuadrillas,4,FALSE))</f>
        <v/>
      </c>
      <c r="I3470" s="1059" t="str">
        <f>IF(A3470="","",VLOOKUP(A3470,AA_Cuadrillas,5,FALSE))</f>
        <v/>
      </c>
      <c r="J3470" s="1058"/>
      <c r="K3470" s="1" t="str">
        <f>IF(A3470="","",'06'!$J$3)</f>
        <v/>
      </c>
      <c r="L3470" s="10"/>
      <c r="M3470" s="1059" t="str">
        <f>IF(A3470="","",I3470*K3470*L3470)</f>
        <v/>
      </c>
      <c r="N3470" s="1058"/>
    </row>
    <row r="3471" spans="1:14" ht="12.75" customHeight="1" x14ac:dyDescent="0.25">
      <c r="A3471" s="3"/>
      <c r="B3471" s="3"/>
      <c r="C3471" s="3"/>
      <c r="D3471" s="3"/>
      <c r="E3471" s="3"/>
      <c r="F3471" s="3"/>
      <c r="G3471" s="3"/>
      <c r="H3471" s="3"/>
      <c r="I3471" s="3"/>
      <c r="J3471" s="3"/>
      <c r="K3471" s="1066" t="s">
        <v>201</v>
      </c>
      <c r="L3471" s="1058"/>
      <c r="M3471" s="1059">
        <f>SUM(M3466:N3470)</f>
        <v>2147.2080968437754</v>
      </c>
      <c r="N3471" s="1058"/>
    </row>
    <row r="3472" spans="1:14" ht="12.75" customHeight="1" x14ac:dyDescent="0.2"/>
    <row r="3473" spans="1:14" ht="12.75" customHeight="1" x14ac:dyDescent="0.2">
      <c r="A3473" s="1068" t="s">
        <v>1747</v>
      </c>
      <c r="B3473" s="1052"/>
      <c r="C3473" s="1052"/>
      <c r="D3473" s="1052"/>
      <c r="E3473" s="1052"/>
      <c r="F3473" s="1052"/>
      <c r="G3473" s="1052"/>
      <c r="H3473" s="1052"/>
      <c r="I3473" s="1052"/>
      <c r="J3473" s="1052"/>
      <c r="K3473" s="1052"/>
      <c r="L3473" s="1052"/>
      <c r="M3473" s="1052"/>
      <c r="N3473" s="1053"/>
    </row>
    <row r="3474" spans="1:14" ht="12.75" customHeight="1" x14ac:dyDescent="0.2">
      <c r="A3474" s="1031"/>
      <c r="B3474" s="1032"/>
      <c r="C3474" s="1032"/>
      <c r="D3474" s="1032"/>
      <c r="E3474" s="1032"/>
      <c r="F3474" s="1032"/>
      <c r="G3474" s="1032"/>
      <c r="H3474" s="1032"/>
      <c r="I3474" s="1032"/>
      <c r="J3474" s="1032"/>
      <c r="K3474" s="1032"/>
      <c r="L3474" s="1032"/>
      <c r="M3474" s="1032"/>
      <c r="N3474" s="1055"/>
    </row>
    <row r="3475" spans="1:14" ht="12.75" customHeight="1" x14ac:dyDescent="0.2">
      <c r="A3475" s="16"/>
      <c r="B3475" s="16"/>
      <c r="C3475" s="16"/>
      <c r="D3475" s="16"/>
      <c r="E3475" s="16"/>
      <c r="F3475" s="16"/>
      <c r="G3475" s="16"/>
      <c r="H3475" s="16"/>
      <c r="I3475" s="16"/>
      <c r="J3475" s="16"/>
      <c r="K3475" s="16"/>
      <c r="L3475" s="16"/>
      <c r="M3475" s="16"/>
      <c r="N3475" s="16"/>
    </row>
    <row r="3476" spans="1:14" ht="12.75" customHeight="1" x14ac:dyDescent="0.3">
      <c r="A3476" s="18" t="s">
        <v>372</v>
      </c>
      <c r="B3476" s="19" t="str">
        <f>A3473</f>
        <v>GRAVA PARA OPTIMIZACIÓN DE FILTROS 1/2"</v>
      </c>
      <c r="C3476" s="20" t="s">
        <v>382</v>
      </c>
      <c r="D3476" s="127" t="s">
        <v>399</v>
      </c>
      <c r="E3476" s="22" t="s">
        <v>125</v>
      </c>
      <c r="F3476" s="26">
        <f>(H3476+J3476+L3476+N3476)*$O$2</f>
        <v>27487.939052191756</v>
      </c>
      <c r="G3476" s="22" t="s">
        <v>285</v>
      </c>
      <c r="H3476" s="26">
        <f>M3494</f>
        <v>107.36040484218877</v>
      </c>
      <c r="I3476" s="22" t="s">
        <v>383</v>
      </c>
      <c r="J3476" s="38">
        <f>M3485</f>
        <v>18890</v>
      </c>
      <c r="K3476" s="22" t="s">
        <v>287</v>
      </c>
      <c r="L3476" s="36">
        <f>M3503</f>
        <v>0</v>
      </c>
      <c r="M3476" s="22" t="s">
        <v>288</v>
      </c>
      <c r="N3476" s="26">
        <f>M3512</f>
        <v>2147.2080968437754</v>
      </c>
    </row>
    <row r="3477" spans="1:14" ht="12.75" customHeight="1" x14ac:dyDescent="0.25">
      <c r="A3477" s="27"/>
      <c r="B3477" s="27"/>
      <c r="C3477" s="27"/>
      <c r="D3477" s="27"/>
      <c r="E3477" s="27"/>
      <c r="F3477" s="27"/>
      <c r="G3477" s="27"/>
      <c r="J3477" s="27"/>
      <c r="K3477" s="27"/>
      <c r="L3477" s="27"/>
      <c r="M3477" s="27"/>
      <c r="N3477" s="27"/>
    </row>
    <row r="3478" spans="1:14" ht="12.75" customHeight="1" x14ac:dyDescent="0.2">
      <c r="A3478" s="1065" t="s">
        <v>384</v>
      </c>
      <c r="B3478" s="1057"/>
      <c r="C3478" s="1057"/>
      <c r="D3478" s="1057"/>
      <c r="E3478" s="1057"/>
      <c r="F3478" s="1057"/>
      <c r="G3478" s="1057"/>
      <c r="H3478" s="1057"/>
      <c r="I3478" s="1057"/>
      <c r="J3478" s="1057"/>
      <c r="K3478" s="1057"/>
      <c r="L3478" s="1057"/>
      <c r="M3478" s="1057"/>
      <c r="N3478" s="1058"/>
    </row>
    <row r="3479" spans="1:14" ht="12.75" customHeight="1" x14ac:dyDescent="0.2">
      <c r="A3479" s="1066" t="s">
        <v>38</v>
      </c>
      <c r="B3479" s="1057"/>
      <c r="C3479" s="1057"/>
      <c r="D3479" s="1057"/>
      <c r="E3479" s="1057"/>
      <c r="F3479" s="1057"/>
      <c r="G3479" s="1058"/>
      <c r="H3479" s="28" t="s">
        <v>39</v>
      </c>
      <c r="I3479" s="1062" t="s">
        <v>385</v>
      </c>
      <c r="J3479" s="1058"/>
      <c r="K3479" s="1062" t="s">
        <v>132</v>
      </c>
      <c r="L3479" s="1058"/>
      <c r="M3479" s="1062" t="s">
        <v>386</v>
      </c>
      <c r="N3479" s="1058"/>
    </row>
    <row r="3480" spans="1:14" ht="12.75" customHeight="1" x14ac:dyDescent="0.2">
      <c r="A3480" s="1061" t="s">
        <v>1577</v>
      </c>
      <c r="B3480" s="1057"/>
      <c r="C3480" s="1057"/>
      <c r="D3480" s="1057"/>
      <c r="E3480" s="1057"/>
      <c r="F3480" s="1057"/>
      <c r="G3480" s="1058"/>
      <c r="H3480" s="9" t="str">
        <f t="shared" ref="H3480" si="260">IF(A3480="","",VLOOKUP(A3480,AA_Materiales,7,FALSE))</f>
        <v>Kg</v>
      </c>
      <c r="I3480" s="1059">
        <f t="shared" ref="I3480" si="261">IF(A3480="","",VLOOKUP(A3480,AA_Materiales,8,FALSE))</f>
        <v>18890</v>
      </c>
      <c r="J3480" s="1058"/>
      <c r="K3480" s="1060">
        <v>1</v>
      </c>
      <c r="L3480" s="1058"/>
      <c r="M3480" s="1059">
        <f>IF(A3480="","",I3480*K3480)</f>
        <v>18890</v>
      </c>
      <c r="N3480" s="1058"/>
    </row>
    <row r="3481" spans="1:14" ht="12.75" customHeight="1" x14ac:dyDescent="0.2">
      <c r="A3481" s="1056"/>
      <c r="B3481" s="1057"/>
      <c r="C3481" s="1057"/>
      <c r="D3481" s="1057"/>
      <c r="E3481" s="1057"/>
      <c r="F3481" s="1057"/>
      <c r="G3481" s="1058"/>
      <c r="H3481" s="9" t="str">
        <f>IF(A3481="","",VLOOKUP(A3481,AA_Materiales,7,FALSE))</f>
        <v/>
      </c>
      <c r="I3481" s="1059" t="str">
        <f>IF(A3481="","",VLOOKUP(A3481,AA_Materiales,8,FALSE))</f>
        <v/>
      </c>
      <c r="J3481" s="1058"/>
      <c r="K3481" s="1060"/>
      <c r="L3481" s="1058"/>
      <c r="M3481" s="1059" t="str">
        <f>IF(A3481="","",I3481*K3481)</f>
        <v/>
      </c>
      <c r="N3481" s="1058"/>
    </row>
    <row r="3482" spans="1:14" ht="12.75" customHeight="1" x14ac:dyDescent="0.2">
      <c r="A3482" s="1056"/>
      <c r="B3482" s="1057"/>
      <c r="C3482" s="1057"/>
      <c r="D3482" s="1057"/>
      <c r="E3482" s="1057"/>
      <c r="F3482" s="1057"/>
      <c r="G3482" s="1058"/>
      <c r="H3482" s="9" t="str">
        <f>IF(A3482="","",VLOOKUP(A3482,AA_Materiales,7,FALSE))</f>
        <v/>
      </c>
      <c r="I3482" s="1059" t="str">
        <f>IF(A3482="","",VLOOKUP(A3482,AA_Materiales,8,FALSE))</f>
        <v/>
      </c>
      <c r="J3482" s="1058"/>
      <c r="K3482" s="1060"/>
      <c r="L3482" s="1058"/>
      <c r="M3482" s="1059" t="str">
        <f>IF(A3482="","",I3482*K3482)</f>
        <v/>
      </c>
      <c r="N3482" s="1058"/>
    </row>
    <row r="3483" spans="1:14" ht="12.75" customHeight="1" x14ac:dyDescent="0.2">
      <c r="A3483" s="1056"/>
      <c r="B3483" s="1057"/>
      <c r="C3483" s="1057"/>
      <c r="D3483" s="1057"/>
      <c r="E3483" s="1057"/>
      <c r="F3483" s="1057"/>
      <c r="G3483" s="1058"/>
      <c r="H3483" s="9" t="str">
        <f>IF(A3483="","",VLOOKUP(A3483,AA_Materiales,7,FALSE))</f>
        <v/>
      </c>
      <c r="I3483" s="1059" t="str">
        <f>IF(A3483="","",VLOOKUP(A3483,AA_Materiales,8,FALSE))</f>
        <v/>
      </c>
      <c r="J3483" s="1058"/>
      <c r="K3483" s="1060"/>
      <c r="L3483" s="1058"/>
      <c r="M3483" s="1059" t="str">
        <f>IF(A3483="","",I3483*K3483)</f>
        <v/>
      </c>
      <c r="N3483" s="1058"/>
    </row>
    <row r="3484" spans="1:14" ht="12.75" customHeight="1" x14ac:dyDescent="0.2">
      <c r="A3484" s="1056"/>
      <c r="B3484" s="1057"/>
      <c r="C3484" s="1057"/>
      <c r="D3484" s="1057"/>
      <c r="E3484" s="1057"/>
      <c r="F3484" s="1057"/>
      <c r="G3484" s="1058"/>
      <c r="H3484" s="9" t="str">
        <f>IF(A3484="","",VLOOKUP(A3484,AA_Materiales,7,FALSE))</f>
        <v/>
      </c>
      <c r="I3484" s="1059" t="str">
        <f>IF(A3484="","",VLOOKUP(A3484,AA_Materiales,8,FALSE))</f>
        <v/>
      </c>
      <c r="J3484" s="1058"/>
      <c r="K3484" s="1060"/>
      <c r="L3484" s="1058"/>
      <c r="M3484" s="1059" t="str">
        <f>IF(A3484="","",I3484*K3484)</f>
        <v/>
      </c>
      <c r="N3484" s="1058"/>
    </row>
    <row r="3485" spans="1:14" ht="12.75" customHeight="1" x14ac:dyDescent="0.25">
      <c r="A3485" s="3"/>
      <c r="B3485" s="3"/>
      <c r="C3485" s="3"/>
      <c r="D3485" s="3"/>
      <c r="E3485" s="3"/>
      <c r="F3485" s="3"/>
      <c r="G3485" s="3"/>
      <c r="H3485" s="3"/>
      <c r="I3485" s="3"/>
      <c r="J3485" s="3"/>
      <c r="K3485" s="1066" t="s">
        <v>201</v>
      </c>
      <c r="L3485" s="1058"/>
      <c r="M3485" s="1059">
        <f>SUM(M3480:N3484)</f>
        <v>18890</v>
      </c>
      <c r="N3485" s="1058"/>
    </row>
    <row r="3486" spans="1:14" ht="12.75" customHeight="1" x14ac:dyDescent="0.25">
      <c r="A3486" s="3"/>
      <c r="B3486" s="3"/>
      <c r="C3486" s="3"/>
      <c r="D3486" s="3"/>
      <c r="E3486" s="3"/>
      <c r="F3486" s="3"/>
      <c r="G3486" s="3"/>
      <c r="H3486" s="3"/>
      <c r="I3486" s="3"/>
      <c r="J3486" s="3"/>
      <c r="K3486" s="3"/>
      <c r="L3486" s="3"/>
      <c r="M3486" s="3"/>
      <c r="N3486" s="3"/>
    </row>
    <row r="3487" spans="1:14" ht="12.75" customHeight="1" x14ac:dyDescent="0.2">
      <c r="A3487" s="1065" t="s">
        <v>390</v>
      </c>
      <c r="B3487" s="1057"/>
      <c r="C3487" s="1057"/>
      <c r="D3487" s="1057"/>
      <c r="E3487" s="1057"/>
      <c r="F3487" s="1057"/>
      <c r="G3487" s="1057"/>
      <c r="H3487" s="1057"/>
      <c r="I3487" s="1057"/>
      <c r="J3487" s="1057"/>
      <c r="K3487" s="1057"/>
      <c r="L3487" s="1057"/>
      <c r="M3487" s="1057"/>
      <c r="N3487" s="1058"/>
    </row>
    <row r="3488" spans="1:14" ht="12.75" customHeight="1" x14ac:dyDescent="0.2">
      <c r="A3488" s="1066" t="s">
        <v>38</v>
      </c>
      <c r="B3488" s="1057"/>
      <c r="C3488" s="1057"/>
      <c r="D3488" s="1057"/>
      <c r="E3488" s="1057"/>
      <c r="F3488" s="1057"/>
      <c r="G3488" s="1058"/>
      <c r="H3488" s="28" t="s">
        <v>39</v>
      </c>
      <c r="I3488" s="1062" t="s">
        <v>385</v>
      </c>
      <c r="J3488" s="1058"/>
      <c r="K3488" s="1062" t="s">
        <v>132</v>
      </c>
      <c r="L3488" s="1058"/>
      <c r="M3488" s="1062" t="s">
        <v>386</v>
      </c>
      <c r="N3488" s="1058"/>
    </row>
    <row r="3489" spans="1:15" ht="12.75" customHeight="1" x14ac:dyDescent="0.2">
      <c r="A3489" s="1061" t="s">
        <v>391</v>
      </c>
      <c r="B3489" s="1057"/>
      <c r="C3489" s="1057"/>
      <c r="D3489" s="1057"/>
      <c r="E3489" s="1057"/>
      <c r="F3489" s="1057"/>
      <c r="G3489" s="1058"/>
      <c r="H3489" s="9" t="str">
        <f>IF(A3489="","",VLOOKUP(A3489,AA_Equipos,7,FALSE))</f>
        <v>% M.O.</v>
      </c>
      <c r="I3489" s="1059">
        <f>+M3512</f>
        <v>2147.2080968437754</v>
      </c>
      <c r="J3489" s="1058"/>
      <c r="K3489" s="1064">
        <v>0.05</v>
      </c>
      <c r="L3489" s="1058"/>
      <c r="M3489" s="1059">
        <f>IF(A3489="","",I3489*K3489)</f>
        <v>107.36040484218877</v>
      </c>
      <c r="N3489" s="1058"/>
    </row>
    <row r="3490" spans="1:15" ht="12.75" customHeight="1" x14ac:dyDescent="0.2">
      <c r="A3490" s="1056"/>
      <c r="B3490" s="1057"/>
      <c r="C3490" s="1057"/>
      <c r="D3490" s="1057"/>
      <c r="E3490" s="1057"/>
      <c r="F3490" s="1057"/>
      <c r="G3490" s="1058"/>
      <c r="H3490" s="9" t="str">
        <f>IF(A3490="","",VLOOKUP(A3490,AA_Equipos,7,FALSE))</f>
        <v/>
      </c>
      <c r="I3490" s="1059" t="str">
        <f>IF(A3490="","",VLOOKUP(A3490,AA_Equipos,8,FALSE))</f>
        <v/>
      </c>
      <c r="J3490" s="1058"/>
      <c r="K3490" s="1067"/>
      <c r="L3490" s="1058"/>
      <c r="M3490" s="1059" t="str">
        <f>IF(A3490="","",I3490*K3490)</f>
        <v/>
      </c>
      <c r="N3490" s="1058"/>
    </row>
    <row r="3491" spans="1:15" ht="12.75" customHeight="1" x14ac:dyDescent="0.2">
      <c r="A3491" s="1061"/>
      <c r="B3491" s="1057"/>
      <c r="C3491" s="1057"/>
      <c r="D3491" s="1057"/>
      <c r="E3491" s="1057"/>
      <c r="F3491" s="1057"/>
      <c r="G3491" s="1058"/>
      <c r="H3491" s="9" t="str">
        <f>IF(A3491="","",VLOOKUP(A3491,AA_Equipos,7,FALSE))</f>
        <v/>
      </c>
      <c r="I3491" s="1059" t="str">
        <f>IF(A3491="","",VLOOKUP(A3491,AA_Equipos,8,FALSE))</f>
        <v/>
      </c>
      <c r="J3491" s="1058"/>
      <c r="K3491" s="1070"/>
      <c r="L3491" s="1058"/>
      <c r="M3491" s="1059" t="str">
        <f>IF(A3491="","",I3491*K3491)</f>
        <v/>
      </c>
      <c r="N3491" s="1058"/>
    </row>
    <row r="3492" spans="1:15" ht="12.75" customHeight="1" x14ac:dyDescent="0.2">
      <c r="A3492" s="1061"/>
      <c r="B3492" s="1057"/>
      <c r="C3492" s="1057"/>
      <c r="D3492" s="1057"/>
      <c r="E3492" s="1057"/>
      <c r="F3492" s="1057"/>
      <c r="G3492" s="1058"/>
      <c r="H3492" s="9" t="str">
        <f>IF(A3492="","",VLOOKUP(A3492,AA_Equipos,7,FALSE))</f>
        <v/>
      </c>
      <c r="I3492" s="1059" t="str">
        <f>IF(A3492="","",VLOOKUP(A3492,AA_Equipos,8,FALSE))</f>
        <v/>
      </c>
      <c r="J3492" s="1058"/>
      <c r="K3492" s="1060"/>
      <c r="L3492" s="1058"/>
      <c r="M3492" s="1059" t="str">
        <f>IF(A3492="","",I3492*K3492)</f>
        <v/>
      </c>
      <c r="N3492" s="1058"/>
    </row>
    <row r="3493" spans="1:15" ht="12.75" customHeight="1" x14ac:dyDescent="0.2">
      <c r="A3493" s="1061"/>
      <c r="B3493" s="1057"/>
      <c r="C3493" s="1057"/>
      <c r="D3493" s="1057"/>
      <c r="E3493" s="1057"/>
      <c r="F3493" s="1057"/>
      <c r="G3493" s="1058"/>
      <c r="H3493" s="9" t="str">
        <f>IF(A3493="","",VLOOKUP(A3493,AA_Equipos,7,FALSE))</f>
        <v/>
      </c>
      <c r="I3493" s="1059" t="str">
        <f>IF(A3493="","",VLOOKUP(A3493,AA_Equipos,8,FALSE))</f>
        <v/>
      </c>
      <c r="J3493" s="1058"/>
      <c r="K3493" s="1060"/>
      <c r="L3493" s="1058"/>
      <c r="M3493" s="1059" t="str">
        <f>IF(A3493="","",I3493*K3493)</f>
        <v/>
      </c>
      <c r="N3493" s="1058"/>
      <c r="O3493" s="7"/>
    </row>
    <row r="3494" spans="1:15" ht="12.75" customHeight="1" x14ac:dyDescent="0.25">
      <c r="A3494" s="3"/>
      <c r="B3494" s="3"/>
      <c r="C3494" s="3"/>
      <c r="D3494" s="3"/>
      <c r="E3494" s="3"/>
      <c r="F3494" s="3"/>
      <c r="G3494" s="3"/>
      <c r="H3494" s="3"/>
      <c r="I3494" s="3"/>
      <c r="J3494" s="3"/>
      <c r="K3494" s="1066" t="s">
        <v>201</v>
      </c>
      <c r="L3494" s="1058"/>
      <c r="M3494" s="1059">
        <f>SUM(M3489:N3493)</f>
        <v>107.36040484218877</v>
      </c>
      <c r="N3494" s="1058"/>
      <c r="O3494" s="7"/>
    </row>
    <row r="3495" spans="1:15" ht="12.75" customHeight="1" x14ac:dyDescent="0.25">
      <c r="A3495" s="3"/>
      <c r="B3495" s="3"/>
      <c r="C3495" s="3"/>
      <c r="D3495" s="3"/>
      <c r="E3495" s="3"/>
      <c r="F3495" s="3"/>
      <c r="G3495" s="3"/>
      <c r="H3495" s="3"/>
      <c r="I3495" s="3"/>
      <c r="J3495" s="3"/>
      <c r="K3495" s="3"/>
      <c r="L3495" s="3"/>
      <c r="M3495" s="3"/>
      <c r="N3495" s="3"/>
    </row>
    <row r="3496" spans="1:15" ht="12.75" customHeight="1" x14ac:dyDescent="0.2">
      <c r="A3496" s="1065" t="s">
        <v>392</v>
      </c>
      <c r="B3496" s="1057"/>
      <c r="C3496" s="1057"/>
      <c r="D3496" s="1057"/>
      <c r="E3496" s="1057"/>
      <c r="F3496" s="1057"/>
      <c r="G3496" s="1057"/>
      <c r="H3496" s="1057"/>
      <c r="I3496" s="1057"/>
      <c r="J3496" s="1057"/>
      <c r="K3496" s="1057"/>
      <c r="L3496" s="1057"/>
      <c r="M3496" s="1057"/>
      <c r="N3496" s="1058"/>
    </row>
    <row r="3497" spans="1:15" ht="12.75" customHeight="1" x14ac:dyDescent="0.2">
      <c r="A3497" s="1066" t="s">
        <v>38</v>
      </c>
      <c r="B3497" s="1057"/>
      <c r="C3497" s="1057"/>
      <c r="D3497" s="1057"/>
      <c r="E3497" s="1057"/>
      <c r="F3497" s="1057"/>
      <c r="G3497" s="1058"/>
      <c r="H3497" s="28" t="s">
        <v>39</v>
      </c>
      <c r="I3497" s="1062" t="s">
        <v>385</v>
      </c>
      <c r="J3497" s="1058"/>
      <c r="K3497" s="1062" t="s">
        <v>132</v>
      </c>
      <c r="L3497" s="1058"/>
      <c r="M3497" s="1062" t="s">
        <v>386</v>
      </c>
      <c r="N3497" s="1058"/>
    </row>
    <row r="3498" spans="1:15" ht="12.75" customHeight="1" x14ac:dyDescent="0.2">
      <c r="A3498" s="1061"/>
      <c r="B3498" s="1057"/>
      <c r="C3498" s="1057"/>
      <c r="D3498" s="1057"/>
      <c r="E3498" s="1057"/>
      <c r="F3498" s="1057"/>
      <c r="G3498" s="1058"/>
      <c r="H3498" s="9"/>
      <c r="I3498" s="1059"/>
      <c r="J3498" s="1058"/>
      <c r="K3498" s="1064"/>
      <c r="L3498" s="1058"/>
      <c r="M3498" s="1059" t="str">
        <f>IF(A3498="","",I3498*K3498)</f>
        <v/>
      </c>
      <c r="N3498" s="1058"/>
    </row>
    <row r="3499" spans="1:15" ht="12.75" customHeight="1" x14ac:dyDescent="0.2">
      <c r="A3499" s="1056"/>
      <c r="B3499" s="1057"/>
      <c r="C3499" s="1057"/>
      <c r="D3499" s="1057"/>
      <c r="E3499" s="1057"/>
      <c r="F3499" s="1057"/>
      <c r="G3499" s="1058"/>
      <c r="H3499" s="9"/>
      <c r="I3499" s="1059"/>
      <c r="J3499" s="1058"/>
      <c r="K3499" s="1064"/>
      <c r="L3499" s="1058"/>
      <c r="M3499" s="1059" t="str">
        <f>IF(A3499="","",I3499*K3499)</f>
        <v/>
      </c>
      <c r="N3499" s="1058"/>
    </row>
    <row r="3500" spans="1:15" ht="12.75" customHeight="1" x14ac:dyDescent="0.2">
      <c r="A3500" s="1061"/>
      <c r="B3500" s="1057"/>
      <c r="C3500" s="1057"/>
      <c r="D3500" s="1057"/>
      <c r="E3500" s="1057"/>
      <c r="F3500" s="1057"/>
      <c r="G3500" s="1058"/>
      <c r="H3500" s="9"/>
      <c r="I3500" s="1059"/>
      <c r="J3500" s="1058"/>
      <c r="K3500" s="1060"/>
      <c r="L3500" s="1058"/>
      <c r="M3500" s="1059" t="str">
        <f>IF(A3500="","",I3500*K3500)</f>
        <v/>
      </c>
      <c r="N3500" s="1058"/>
    </row>
    <row r="3501" spans="1:15" ht="12.75" customHeight="1" x14ac:dyDescent="0.2">
      <c r="A3501" s="1061"/>
      <c r="B3501" s="1057"/>
      <c r="C3501" s="1057"/>
      <c r="D3501" s="1057"/>
      <c r="E3501" s="1057"/>
      <c r="F3501" s="1057"/>
      <c r="G3501" s="1058"/>
      <c r="H3501" s="9"/>
      <c r="I3501" s="1059"/>
      <c r="J3501" s="1058"/>
      <c r="K3501" s="1060"/>
      <c r="L3501" s="1058"/>
      <c r="M3501" s="1059" t="str">
        <f>IF(A3501="","",I3501*K3501)</f>
        <v/>
      </c>
      <c r="N3501" s="1058"/>
    </row>
    <row r="3502" spans="1:15" ht="12.75" customHeight="1" x14ac:dyDescent="0.2">
      <c r="A3502" s="1061"/>
      <c r="B3502" s="1057"/>
      <c r="C3502" s="1057"/>
      <c r="D3502" s="1057"/>
      <c r="E3502" s="1057"/>
      <c r="F3502" s="1057"/>
      <c r="G3502" s="1058"/>
      <c r="H3502" s="9"/>
      <c r="I3502" s="1059"/>
      <c r="J3502" s="1058"/>
      <c r="K3502" s="1060"/>
      <c r="L3502" s="1058"/>
      <c r="M3502" s="1059" t="str">
        <f>IF(A3502="","",I3502*K3502)</f>
        <v/>
      </c>
      <c r="N3502" s="1058"/>
    </row>
    <row r="3503" spans="1:15" ht="12.75" customHeight="1" x14ac:dyDescent="0.25">
      <c r="A3503" s="3"/>
      <c r="B3503" s="3"/>
      <c r="C3503" s="3"/>
      <c r="D3503" s="3"/>
      <c r="E3503" s="3"/>
      <c r="F3503" s="3"/>
      <c r="G3503" s="3"/>
      <c r="H3503" s="3"/>
      <c r="I3503" s="3"/>
      <c r="J3503" s="3"/>
      <c r="K3503" s="1066" t="s">
        <v>201</v>
      </c>
      <c r="L3503" s="1058"/>
      <c r="M3503" s="1059">
        <f>SUM(M3498:N3502)</f>
        <v>0</v>
      </c>
      <c r="N3503" s="1058"/>
    </row>
    <row r="3504" spans="1:15" ht="12.75" customHeight="1" x14ac:dyDescent="0.25">
      <c r="A3504" s="3"/>
      <c r="B3504" s="3"/>
      <c r="C3504" s="3"/>
      <c r="D3504" s="3"/>
      <c r="E3504" s="3"/>
      <c r="F3504" s="3"/>
      <c r="G3504" s="3"/>
      <c r="H3504" s="3"/>
      <c r="I3504" s="3"/>
      <c r="J3504" s="3"/>
      <c r="K3504" s="3"/>
      <c r="L3504" s="3"/>
      <c r="M3504" s="3"/>
      <c r="N3504" s="3"/>
    </row>
    <row r="3505" spans="1:14" ht="12.75" customHeight="1" x14ac:dyDescent="0.2">
      <c r="A3505" s="1065" t="s">
        <v>394</v>
      </c>
      <c r="B3505" s="1057"/>
      <c r="C3505" s="1057"/>
      <c r="D3505" s="1057"/>
      <c r="E3505" s="1057"/>
      <c r="F3505" s="1057"/>
      <c r="G3505" s="1057"/>
      <c r="H3505" s="1057"/>
      <c r="I3505" s="1057"/>
      <c r="J3505" s="1057"/>
      <c r="K3505" s="1057"/>
      <c r="L3505" s="1057"/>
      <c r="M3505" s="1057"/>
      <c r="N3505" s="1058"/>
    </row>
    <row r="3506" spans="1:14" ht="12.75" customHeight="1" x14ac:dyDescent="0.2">
      <c r="A3506" s="1066" t="s">
        <v>38</v>
      </c>
      <c r="B3506" s="1057"/>
      <c r="C3506" s="1057"/>
      <c r="D3506" s="1057"/>
      <c r="E3506" s="1057"/>
      <c r="F3506" s="1057"/>
      <c r="G3506" s="1058"/>
      <c r="H3506" s="28" t="s">
        <v>39</v>
      </c>
      <c r="I3506" s="1062" t="s">
        <v>385</v>
      </c>
      <c r="J3506" s="1058"/>
      <c r="K3506" s="30" t="s">
        <v>193</v>
      </c>
      <c r="L3506" s="31" t="s">
        <v>395</v>
      </c>
      <c r="M3506" s="1062" t="s">
        <v>386</v>
      </c>
      <c r="N3506" s="1058"/>
    </row>
    <row r="3507" spans="1:14" ht="12.75" customHeight="1" x14ac:dyDescent="0.25">
      <c r="A3507" s="1063" t="s">
        <v>423</v>
      </c>
      <c r="B3507" s="1057"/>
      <c r="C3507" s="1057"/>
      <c r="D3507" s="1057"/>
      <c r="E3507" s="1057"/>
      <c r="F3507" s="1057"/>
      <c r="G3507" s="1058"/>
      <c r="H3507" s="9" t="str">
        <f>IF(A3507="","",VLOOKUP(A3507,AA_Cuadrillas,4,FALSE))</f>
        <v>Cuadrilla</v>
      </c>
      <c r="I3507" s="1059">
        <f>IF(A3507="","",VLOOKUP(A3507,AA_Cuadrillas,5,FALSE))</f>
        <v>134236</v>
      </c>
      <c r="J3507" s="1058"/>
      <c r="K3507" s="1">
        <f>IF(A3507="","",'06'!$J$3)</f>
        <v>1.7233500000000002</v>
      </c>
      <c r="L3507" s="37">
        <v>9.2817880103919261E-3</v>
      </c>
      <c r="M3507" s="1059">
        <f>IF(A3507="","",I3507*K3507*L3507)</f>
        <v>2147.2080968437754</v>
      </c>
      <c r="N3507" s="1058"/>
    </row>
    <row r="3508" spans="1:14" ht="12.75" customHeight="1" x14ac:dyDescent="0.25">
      <c r="A3508" s="1063"/>
      <c r="B3508" s="1057"/>
      <c r="C3508" s="1057"/>
      <c r="D3508" s="1057"/>
      <c r="E3508" s="1057"/>
      <c r="F3508" s="1057"/>
      <c r="G3508" s="1058"/>
      <c r="H3508" s="9" t="str">
        <f>IF(A3508="","",VLOOKUP(A3508,AA_Cuadrillas,4,FALSE))</f>
        <v/>
      </c>
      <c r="I3508" s="1059" t="str">
        <f>IF(A3508="","",VLOOKUP(A3508,AA_Cuadrillas,5,FALSE))</f>
        <v/>
      </c>
      <c r="J3508" s="1058"/>
      <c r="K3508" s="1" t="str">
        <f>IF(A3508="","",'06'!$J$3)</f>
        <v/>
      </c>
      <c r="L3508" s="1"/>
      <c r="M3508" s="1059" t="str">
        <f>IF(A3508="","",I3508*K3508*L3508)</f>
        <v/>
      </c>
      <c r="N3508" s="1058"/>
    </row>
    <row r="3509" spans="1:14" ht="12.75" customHeight="1" x14ac:dyDescent="0.25">
      <c r="A3509" s="1063"/>
      <c r="B3509" s="1057"/>
      <c r="C3509" s="1057"/>
      <c r="D3509" s="1057"/>
      <c r="E3509" s="1057"/>
      <c r="F3509" s="1057"/>
      <c r="G3509" s="1058"/>
      <c r="H3509" s="9" t="str">
        <f>IF(A3509="","",VLOOKUP(A3509,AA_Cuadrillas,4,FALSE))</f>
        <v/>
      </c>
      <c r="I3509" s="1059" t="str">
        <f>IF(A3509="","",VLOOKUP(A3509,AA_Cuadrillas,5,FALSE))</f>
        <v/>
      </c>
      <c r="J3509" s="1058"/>
      <c r="K3509" s="1" t="str">
        <f>IF(A3509="","",'06'!$J$3)</f>
        <v/>
      </c>
      <c r="L3509" s="10"/>
      <c r="M3509" s="1059" t="str">
        <f>IF(A3509="","",I3509*K3509*L3509)</f>
        <v/>
      </c>
      <c r="N3509" s="1058"/>
    </row>
    <row r="3510" spans="1:14" ht="12.75" customHeight="1" x14ac:dyDescent="0.25">
      <c r="A3510" s="1063"/>
      <c r="B3510" s="1057"/>
      <c r="C3510" s="1057"/>
      <c r="D3510" s="1057"/>
      <c r="E3510" s="1057"/>
      <c r="F3510" s="1057"/>
      <c r="G3510" s="1058"/>
      <c r="H3510" s="9" t="str">
        <f>IF(A3510="","",VLOOKUP(A3510,AA_Cuadrillas,4,FALSE))</f>
        <v/>
      </c>
      <c r="I3510" s="1059" t="str">
        <f>IF(A3510="","",VLOOKUP(A3510,AA_Cuadrillas,5,FALSE))</f>
        <v/>
      </c>
      <c r="J3510" s="1058"/>
      <c r="K3510" s="1" t="str">
        <f>IF(A3510="","",'06'!$J$3)</f>
        <v/>
      </c>
      <c r="L3510" s="10"/>
      <c r="M3510" s="1059" t="str">
        <f>IF(A3510="","",I3510*K3510*L3510)</f>
        <v/>
      </c>
      <c r="N3510" s="1058"/>
    </row>
    <row r="3511" spans="1:14" ht="12.75" customHeight="1" x14ac:dyDescent="0.25">
      <c r="A3511" s="1063"/>
      <c r="B3511" s="1057"/>
      <c r="C3511" s="1057"/>
      <c r="D3511" s="1057"/>
      <c r="E3511" s="1057"/>
      <c r="F3511" s="1057"/>
      <c r="G3511" s="1058"/>
      <c r="H3511" s="9" t="str">
        <f>IF(A3511="","",VLOOKUP(A3511,AA_Cuadrillas,4,FALSE))</f>
        <v/>
      </c>
      <c r="I3511" s="1059" t="str">
        <f>IF(A3511="","",VLOOKUP(A3511,AA_Cuadrillas,5,FALSE))</f>
        <v/>
      </c>
      <c r="J3511" s="1058"/>
      <c r="K3511" s="1" t="str">
        <f>IF(A3511="","",'06'!$J$3)</f>
        <v/>
      </c>
      <c r="L3511" s="10"/>
      <c r="M3511" s="1059" t="str">
        <f>IF(A3511="","",I3511*K3511*L3511)</f>
        <v/>
      </c>
      <c r="N3511" s="1058"/>
    </row>
    <row r="3512" spans="1:14" ht="12.75" customHeight="1" x14ac:dyDescent="0.25">
      <c r="A3512" s="3"/>
      <c r="B3512" s="3"/>
      <c r="C3512" s="3"/>
      <c r="D3512" s="3"/>
      <c r="E3512" s="3"/>
      <c r="F3512" s="3"/>
      <c r="G3512" s="3"/>
      <c r="H3512" s="3"/>
      <c r="I3512" s="3"/>
      <c r="J3512" s="3"/>
      <c r="K3512" s="1066" t="s">
        <v>201</v>
      </c>
      <c r="L3512" s="1058"/>
      <c r="M3512" s="1059">
        <f>SUM(M3507:N3511)</f>
        <v>2147.2080968437754</v>
      </c>
      <c r="N3512" s="1058"/>
    </row>
    <row r="3513" spans="1:14" ht="12.75" customHeight="1" x14ac:dyDescent="0.2"/>
    <row r="3514" spans="1:14" ht="12.75" customHeight="1" x14ac:dyDescent="0.2">
      <c r="A3514" s="1068" t="s">
        <v>1748</v>
      </c>
      <c r="B3514" s="1052"/>
      <c r="C3514" s="1052"/>
      <c r="D3514" s="1052"/>
      <c r="E3514" s="1052"/>
      <c r="F3514" s="1052"/>
      <c r="G3514" s="1052"/>
      <c r="H3514" s="1052"/>
      <c r="I3514" s="1052"/>
      <c r="J3514" s="1052"/>
      <c r="K3514" s="1052"/>
      <c r="L3514" s="1052"/>
      <c r="M3514" s="1052"/>
      <c r="N3514" s="1053"/>
    </row>
    <row r="3515" spans="1:14" ht="12.75" customHeight="1" x14ac:dyDescent="0.2">
      <c r="A3515" s="1031"/>
      <c r="B3515" s="1032"/>
      <c r="C3515" s="1032"/>
      <c r="D3515" s="1032"/>
      <c r="E3515" s="1032"/>
      <c r="F3515" s="1032"/>
      <c r="G3515" s="1032"/>
      <c r="H3515" s="1032"/>
      <c r="I3515" s="1032"/>
      <c r="J3515" s="1032"/>
      <c r="K3515" s="1032"/>
      <c r="L3515" s="1032"/>
      <c r="M3515" s="1032"/>
      <c r="N3515" s="1055"/>
    </row>
    <row r="3516" spans="1:14" ht="12.75" customHeight="1" x14ac:dyDescent="0.2">
      <c r="A3516" s="16"/>
      <c r="B3516" s="16"/>
      <c r="C3516" s="16"/>
      <c r="D3516" s="16"/>
      <c r="E3516" s="16"/>
      <c r="F3516" s="16"/>
      <c r="G3516" s="16"/>
      <c r="H3516" s="16"/>
      <c r="I3516" s="16"/>
      <c r="J3516" s="16"/>
      <c r="K3516" s="16"/>
      <c r="L3516" s="16"/>
      <c r="M3516" s="16"/>
      <c r="N3516" s="16"/>
    </row>
    <row r="3517" spans="1:14" ht="12.75" customHeight="1" x14ac:dyDescent="0.3">
      <c r="A3517" s="18" t="s">
        <v>373</v>
      </c>
      <c r="B3517" s="19" t="str">
        <f>A3514</f>
        <v>GRAVA PARA OPTIMIZACIÓN DE FILTROS 1"</v>
      </c>
      <c r="C3517" s="20" t="s">
        <v>382</v>
      </c>
      <c r="D3517" s="127" t="s">
        <v>399</v>
      </c>
      <c r="E3517" s="22" t="s">
        <v>125</v>
      </c>
      <c r="F3517" s="26">
        <f>(H3517+J3517+L3517+N3517)*$O$2</f>
        <v>27487.939052191756</v>
      </c>
      <c r="G3517" s="22" t="s">
        <v>285</v>
      </c>
      <c r="H3517" s="26">
        <f>M3535</f>
        <v>107.36040484218877</v>
      </c>
      <c r="I3517" s="22" t="s">
        <v>383</v>
      </c>
      <c r="J3517" s="38">
        <f>M3526</f>
        <v>18890</v>
      </c>
      <c r="K3517" s="22" t="s">
        <v>287</v>
      </c>
      <c r="L3517" s="36">
        <f>M3544</f>
        <v>0</v>
      </c>
      <c r="M3517" s="22" t="s">
        <v>288</v>
      </c>
      <c r="N3517" s="36">
        <f>M3553</f>
        <v>2147.2080968437754</v>
      </c>
    </row>
    <row r="3518" spans="1:14" ht="12.75" customHeight="1" x14ac:dyDescent="0.25">
      <c r="A3518" s="27"/>
      <c r="B3518" s="27"/>
      <c r="C3518" s="27"/>
      <c r="D3518" s="27"/>
      <c r="E3518" s="27"/>
      <c r="F3518" s="27"/>
      <c r="G3518" s="27"/>
      <c r="J3518" s="27"/>
      <c r="K3518" s="27"/>
      <c r="L3518" s="27"/>
      <c r="M3518" s="27"/>
      <c r="N3518" s="27"/>
    </row>
    <row r="3519" spans="1:14" ht="12.75" customHeight="1" x14ac:dyDescent="0.2">
      <c r="A3519" s="1065" t="s">
        <v>384</v>
      </c>
      <c r="B3519" s="1057"/>
      <c r="C3519" s="1057"/>
      <c r="D3519" s="1057"/>
      <c r="E3519" s="1057"/>
      <c r="F3519" s="1057"/>
      <c r="G3519" s="1057"/>
      <c r="H3519" s="1057"/>
      <c r="I3519" s="1057"/>
      <c r="J3519" s="1057"/>
      <c r="K3519" s="1057"/>
      <c r="L3519" s="1057"/>
      <c r="M3519" s="1057"/>
      <c r="N3519" s="1058"/>
    </row>
    <row r="3520" spans="1:14" ht="12.75" customHeight="1" x14ac:dyDescent="0.2">
      <c r="A3520" s="1066" t="s">
        <v>38</v>
      </c>
      <c r="B3520" s="1057"/>
      <c r="C3520" s="1057"/>
      <c r="D3520" s="1057"/>
      <c r="E3520" s="1057"/>
      <c r="F3520" s="1057"/>
      <c r="G3520" s="1058"/>
      <c r="H3520" s="28" t="s">
        <v>39</v>
      </c>
      <c r="I3520" s="1062" t="s">
        <v>385</v>
      </c>
      <c r="J3520" s="1058"/>
      <c r="K3520" s="1062" t="s">
        <v>132</v>
      </c>
      <c r="L3520" s="1058"/>
      <c r="M3520" s="1062" t="s">
        <v>386</v>
      </c>
      <c r="N3520" s="1058"/>
    </row>
    <row r="3521" spans="1:15" ht="12.75" customHeight="1" x14ac:dyDescent="0.2">
      <c r="A3521" s="1061" t="s">
        <v>1578</v>
      </c>
      <c r="B3521" s="1057"/>
      <c r="C3521" s="1057"/>
      <c r="D3521" s="1057"/>
      <c r="E3521" s="1057"/>
      <c r="F3521" s="1057"/>
      <c r="G3521" s="1058"/>
      <c r="H3521" s="9" t="str">
        <f t="shared" ref="H3521" si="262">IF(A3521="","",VLOOKUP(A3521,AA_Materiales,7,FALSE))</f>
        <v>Kg</v>
      </c>
      <c r="I3521" s="1059">
        <f t="shared" ref="I3521" si="263">IF(A3521="","",VLOOKUP(A3521,AA_Materiales,8,FALSE))</f>
        <v>18890</v>
      </c>
      <c r="J3521" s="1058"/>
      <c r="K3521" s="1060">
        <v>1</v>
      </c>
      <c r="L3521" s="1058"/>
      <c r="M3521" s="1059">
        <f>IF(A3521="","",I3521*K3521)</f>
        <v>18890</v>
      </c>
      <c r="N3521" s="1058"/>
    </row>
    <row r="3522" spans="1:15" ht="12.75" customHeight="1" x14ac:dyDescent="0.2">
      <c r="A3522" s="1056"/>
      <c r="B3522" s="1057"/>
      <c r="C3522" s="1057"/>
      <c r="D3522" s="1057"/>
      <c r="E3522" s="1057"/>
      <c r="F3522" s="1057"/>
      <c r="G3522" s="1058"/>
      <c r="H3522" s="9" t="str">
        <f>IF(A3522="","",VLOOKUP(A3522,AA_Materiales,7,FALSE))</f>
        <v/>
      </c>
      <c r="I3522" s="1059" t="str">
        <f>IF(A3522="","",VLOOKUP(A3522,AA_Materiales,8,FALSE))</f>
        <v/>
      </c>
      <c r="J3522" s="1058"/>
      <c r="K3522" s="1060"/>
      <c r="L3522" s="1058"/>
      <c r="M3522" s="1059" t="str">
        <f>IF(A3522="","",I3522*K3522)</f>
        <v/>
      </c>
      <c r="N3522" s="1058"/>
    </row>
    <row r="3523" spans="1:15" ht="12.75" customHeight="1" x14ac:dyDescent="0.2">
      <c r="A3523" s="1056"/>
      <c r="B3523" s="1057"/>
      <c r="C3523" s="1057"/>
      <c r="D3523" s="1057"/>
      <c r="E3523" s="1057"/>
      <c r="F3523" s="1057"/>
      <c r="G3523" s="1058"/>
      <c r="H3523" s="9" t="str">
        <f>IF(A3523="","",VLOOKUP(A3523,AA_Materiales,7,FALSE))</f>
        <v/>
      </c>
      <c r="I3523" s="1059" t="str">
        <f>IF(A3523="","",VLOOKUP(A3523,AA_Materiales,8,FALSE))</f>
        <v/>
      </c>
      <c r="J3523" s="1058"/>
      <c r="K3523" s="1060"/>
      <c r="L3523" s="1058"/>
      <c r="M3523" s="1059" t="str">
        <f>IF(A3523="","",I3523*K3523)</f>
        <v/>
      </c>
      <c r="N3523" s="1058"/>
    </row>
    <row r="3524" spans="1:15" ht="12.75" customHeight="1" x14ac:dyDescent="0.2">
      <c r="A3524" s="1056"/>
      <c r="B3524" s="1057"/>
      <c r="C3524" s="1057"/>
      <c r="D3524" s="1057"/>
      <c r="E3524" s="1057"/>
      <c r="F3524" s="1057"/>
      <c r="G3524" s="1058"/>
      <c r="H3524" s="9" t="str">
        <f>IF(A3524="","",VLOOKUP(A3524,AA_Materiales,7,FALSE))</f>
        <v/>
      </c>
      <c r="I3524" s="1059" t="str">
        <f>IF(A3524="","",VLOOKUP(A3524,AA_Materiales,8,FALSE))</f>
        <v/>
      </c>
      <c r="J3524" s="1058"/>
      <c r="K3524" s="1060"/>
      <c r="L3524" s="1058"/>
      <c r="M3524" s="1059" t="str">
        <f>IF(A3524="","",I3524*K3524)</f>
        <v/>
      </c>
      <c r="N3524" s="1058"/>
    </row>
    <row r="3525" spans="1:15" ht="12.75" customHeight="1" x14ac:dyDescent="0.2">
      <c r="A3525" s="1056"/>
      <c r="B3525" s="1057"/>
      <c r="C3525" s="1057"/>
      <c r="D3525" s="1057"/>
      <c r="E3525" s="1057"/>
      <c r="F3525" s="1057"/>
      <c r="G3525" s="1058"/>
      <c r="H3525" s="9" t="str">
        <f>IF(A3525="","",VLOOKUP(A3525,AA_Materiales,7,FALSE))</f>
        <v/>
      </c>
      <c r="I3525" s="1059" t="str">
        <f>IF(A3525="","",VLOOKUP(A3525,AA_Materiales,8,FALSE))</f>
        <v/>
      </c>
      <c r="J3525" s="1058"/>
      <c r="K3525" s="1060"/>
      <c r="L3525" s="1058"/>
      <c r="M3525" s="1059" t="str">
        <f>IF(A3525="","",I3525*K3525)</f>
        <v/>
      </c>
      <c r="N3525" s="1058"/>
    </row>
    <row r="3526" spans="1:15" ht="12.75" customHeight="1" x14ac:dyDescent="0.25">
      <c r="A3526" s="3"/>
      <c r="B3526" s="3"/>
      <c r="C3526" s="3"/>
      <c r="D3526" s="3"/>
      <c r="E3526" s="3"/>
      <c r="F3526" s="3"/>
      <c r="G3526" s="3"/>
      <c r="H3526" s="3"/>
      <c r="I3526" s="3"/>
      <c r="J3526" s="3"/>
      <c r="K3526" s="1066" t="s">
        <v>201</v>
      </c>
      <c r="L3526" s="1058"/>
      <c r="M3526" s="1059">
        <f>SUM(M3521:N3525)</f>
        <v>18890</v>
      </c>
      <c r="N3526" s="1058"/>
    </row>
    <row r="3527" spans="1:15" ht="12.75" customHeight="1" x14ac:dyDescent="0.25">
      <c r="A3527" s="3"/>
      <c r="B3527" s="3"/>
      <c r="C3527" s="3"/>
      <c r="D3527" s="3"/>
      <c r="E3527" s="3"/>
      <c r="F3527" s="3"/>
      <c r="G3527" s="3"/>
      <c r="H3527" s="3"/>
      <c r="I3527" s="3"/>
      <c r="J3527" s="3"/>
      <c r="K3527" s="3"/>
      <c r="L3527" s="3"/>
      <c r="M3527" s="3"/>
      <c r="N3527" s="3"/>
    </row>
    <row r="3528" spans="1:15" ht="12.75" customHeight="1" x14ac:dyDescent="0.2">
      <c r="A3528" s="1065" t="s">
        <v>390</v>
      </c>
      <c r="B3528" s="1057"/>
      <c r="C3528" s="1057"/>
      <c r="D3528" s="1057"/>
      <c r="E3528" s="1057"/>
      <c r="F3528" s="1057"/>
      <c r="G3528" s="1057"/>
      <c r="H3528" s="1057"/>
      <c r="I3528" s="1057"/>
      <c r="J3528" s="1057"/>
      <c r="K3528" s="1057"/>
      <c r="L3528" s="1057"/>
      <c r="M3528" s="1057"/>
      <c r="N3528" s="1058"/>
    </row>
    <row r="3529" spans="1:15" ht="12.75" customHeight="1" x14ac:dyDescent="0.2">
      <c r="A3529" s="1066" t="s">
        <v>38</v>
      </c>
      <c r="B3529" s="1057"/>
      <c r="C3529" s="1057"/>
      <c r="D3529" s="1057"/>
      <c r="E3529" s="1057"/>
      <c r="F3529" s="1057"/>
      <c r="G3529" s="1058"/>
      <c r="H3529" s="28" t="s">
        <v>39</v>
      </c>
      <c r="I3529" s="1062" t="s">
        <v>385</v>
      </c>
      <c r="J3529" s="1058"/>
      <c r="K3529" s="1062" t="s">
        <v>132</v>
      </c>
      <c r="L3529" s="1058"/>
      <c r="M3529" s="1062" t="s">
        <v>386</v>
      </c>
      <c r="N3529" s="1058"/>
    </row>
    <row r="3530" spans="1:15" ht="12.75" customHeight="1" x14ac:dyDescent="0.2">
      <c r="A3530" s="1061" t="s">
        <v>391</v>
      </c>
      <c r="B3530" s="1057"/>
      <c r="C3530" s="1057"/>
      <c r="D3530" s="1057"/>
      <c r="E3530" s="1057"/>
      <c r="F3530" s="1057"/>
      <c r="G3530" s="1058"/>
      <c r="H3530" s="9" t="str">
        <f>IF(A3530="","",VLOOKUP(A3530,AA_Equipos,7,FALSE))</f>
        <v>% M.O.</v>
      </c>
      <c r="I3530" s="1059">
        <f>+M3553</f>
        <v>2147.2080968437754</v>
      </c>
      <c r="J3530" s="1058"/>
      <c r="K3530" s="1064">
        <v>0.05</v>
      </c>
      <c r="L3530" s="1058"/>
      <c r="M3530" s="1059">
        <f>IF(A3530="","",I3530*K3530)</f>
        <v>107.36040484218877</v>
      </c>
      <c r="N3530" s="1058"/>
    </row>
    <row r="3531" spans="1:15" ht="12.75" customHeight="1" x14ac:dyDescent="0.2">
      <c r="A3531" s="1056"/>
      <c r="B3531" s="1057"/>
      <c r="C3531" s="1057"/>
      <c r="D3531" s="1057"/>
      <c r="E3531" s="1057"/>
      <c r="F3531" s="1057"/>
      <c r="G3531" s="1058"/>
      <c r="H3531" s="9" t="str">
        <f>IF(A3531="","",VLOOKUP(A3531,AA_Equipos,7,FALSE))</f>
        <v/>
      </c>
      <c r="I3531" s="1059" t="str">
        <f>IF(A3531="","",VLOOKUP(A3531,AA_Equipos,8,FALSE))</f>
        <v/>
      </c>
      <c r="J3531" s="1058"/>
      <c r="K3531" s="1067"/>
      <c r="L3531" s="1058"/>
      <c r="M3531" s="1059" t="str">
        <f>IF(A3531="","",I3531*K3531)</f>
        <v/>
      </c>
      <c r="N3531" s="1058"/>
    </row>
    <row r="3532" spans="1:15" ht="12.75" customHeight="1" x14ac:dyDescent="0.2">
      <c r="A3532" s="1061"/>
      <c r="B3532" s="1057"/>
      <c r="C3532" s="1057"/>
      <c r="D3532" s="1057"/>
      <c r="E3532" s="1057"/>
      <c r="F3532" s="1057"/>
      <c r="G3532" s="1058"/>
      <c r="H3532" s="9" t="str">
        <f>IF(A3532="","",VLOOKUP(A3532,AA_Equipos,7,FALSE))</f>
        <v/>
      </c>
      <c r="I3532" s="1059" t="str">
        <f>IF(A3532="","",VLOOKUP(A3532,AA_Equipos,8,FALSE))</f>
        <v/>
      </c>
      <c r="J3532" s="1058"/>
      <c r="K3532" s="1070"/>
      <c r="L3532" s="1058"/>
      <c r="M3532" s="1059" t="str">
        <f>IF(A3532="","",I3532*K3532)</f>
        <v/>
      </c>
      <c r="N3532" s="1058"/>
    </row>
    <row r="3533" spans="1:15" ht="12.75" customHeight="1" x14ac:dyDescent="0.2">
      <c r="A3533" s="1061"/>
      <c r="B3533" s="1057"/>
      <c r="C3533" s="1057"/>
      <c r="D3533" s="1057"/>
      <c r="E3533" s="1057"/>
      <c r="F3533" s="1057"/>
      <c r="G3533" s="1058"/>
      <c r="H3533" s="9" t="str">
        <f>IF(A3533="","",VLOOKUP(A3533,AA_Equipos,7,FALSE))</f>
        <v/>
      </c>
      <c r="I3533" s="1059" t="str">
        <f>IF(A3533="","",VLOOKUP(A3533,AA_Equipos,8,FALSE))</f>
        <v/>
      </c>
      <c r="J3533" s="1058"/>
      <c r="K3533" s="1060"/>
      <c r="L3533" s="1058"/>
      <c r="M3533" s="1059" t="str">
        <f>IF(A3533="","",I3533*K3533)</f>
        <v/>
      </c>
      <c r="N3533" s="1058"/>
    </row>
    <row r="3534" spans="1:15" ht="12.75" customHeight="1" x14ac:dyDescent="0.2">
      <c r="A3534" s="1061"/>
      <c r="B3534" s="1057"/>
      <c r="C3534" s="1057"/>
      <c r="D3534" s="1057"/>
      <c r="E3534" s="1057"/>
      <c r="F3534" s="1057"/>
      <c r="G3534" s="1058"/>
      <c r="H3534" s="9" t="str">
        <f>IF(A3534="","",VLOOKUP(A3534,AA_Equipos,7,FALSE))</f>
        <v/>
      </c>
      <c r="I3534" s="1059" t="str">
        <f>IF(A3534="","",VLOOKUP(A3534,AA_Equipos,8,FALSE))</f>
        <v/>
      </c>
      <c r="J3534" s="1058"/>
      <c r="K3534" s="1060"/>
      <c r="L3534" s="1058"/>
      <c r="M3534" s="1059" t="str">
        <f>IF(A3534="","",I3534*K3534)</f>
        <v/>
      </c>
      <c r="N3534" s="1058"/>
      <c r="O3534" s="7"/>
    </row>
    <row r="3535" spans="1:15" ht="12.75" customHeight="1" x14ac:dyDescent="0.25">
      <c r="A3535" s="3"/>
      <c r="B3535" s="3"/>
      <c r="C3535" s="3"/>
      <c r="D3535" s="3"/>
      <c r="E3535" s="3"/>
      <c r="F3535" s="3"/>
      <c r="G3535" s="3"/>
      <c r="H3535" s="3"/>
      <c r="I3535" s="3"/>
      <c r="J3535" s="3"/>
      <c r="K3535" s="1066" t="s">
        <v>201</v>
      </c>
      <c r="L3535" s="1058"/>
      <c r="M3535" s="1059">
        <f>SUM(M3530:N3534)</f>
        <v>107.36040484218877</v>
      </c>
      <c r="N3535" s="1058"/>
      <c r="O3535" s="7"/>
    </row>
    <row r="3536" spans="1:15" ht="12.75" customHeight="1" x14ac:dyDescent="0.25">
      <c r="A3536" s="3"/>
      <c r="B3536" s="3"/>
      <c r="C3536" s="3"/>
      <c r="D3536" s="3"/>
      <c r="E3536" s="3"/>
      <c r="F3536" s="3"/>
      <c r="G3536" s="3"/>
      <c r="H3536" s="3"/>
      <c r="I3536" s="3"/>
      <c r="J3536" s="3"/>
      <c r="K3536" s="3"/>
      <c r="L3536" s="3"/>
      <c r="M3536" s="3"/>
      <c r="N3536" s="3"/>
    </row>
    <row r="3537" spans="1:14" ht="12.75" customHeight="1" x14ac:dyDescent="0.2">
      <c r="A3537" s="1065" t="s">
        <v>392</v>
      </c>
      <c r="B3537" s="1057"/>
      <c r="C3537" s="1057"/>
      <c r="D3537" s="1057"/>
      <c r="E3537" s="1057"/>
      <c r="F3537" s="1057"/>
      <c r="G3537" s="1057"/>
      <c r="H3537" s="1057"/>
      <c r="I3537" s="1057"/>
      <c r="J3537" s="1057"/>
      <c r="K3537" s="1057"/>
      <c r="L3537" s="1057"/>
      <c r="M3537" s="1057"/>
      <c r="N3537" s="1058"/>
    </row>
    <row r="3538" spans="1:14" ht="12.75" customHeight="1" x14ac:dyDescent="0.2">
      <c r="A3538" s="1066" t="s">
        <v>38</v>
      </c>
      <c r="B3538" s="1057"/>
      <c r="C3538" s="1057"/>
      <c r="D3538" s="1057"/>
      <c r="E3538" s="1057"/>
      <c r="F3538" s="1057"/>
      <c r="G3538" s="1058"/>
      <c r="H3538" s="28" t="s">
        <v>39</v>
      </c>
      <c r="I3538" s="1062" t="s">
        <v>385</v>
      </c>
      <c r="J3538" s="1058"/>
      <c r="K3538" s="1062" t="s">
        <v>132</v>
      </c>
      <c r="L3538" s="1058"/>
      <c r="M3538" s="1062" t="s">
        <v>386</v>
      </c>
      <c r="N3538" s="1058"/>
    </row>
    <row r="3539" spans="1:14" ht="12.75" customHeight="1" x14ac:dyDescent="0.2">
      <c r="A3539" s="1061"/>
      <c r="B3539" s="1057"/>
      <c r="C3539" s="1057"/>
      <c r="D3539" s="1057"/>
      <c r="E3539" s="1057"/>
      <c r="F3539" s="1057"/>
      <c r="G3539" s="1058"/>
      <c r="H3539" s="9"/>
      <c r="I3539" s="1059"/>
      <c r="J3539" s="1058"/>
      <c r="K3539" s="1064"/>
      <c r="L3539" s="1058"/>
      <c r="M3539" s="1059" t="str">
        <f>IF(A3539="","",I3539*K3539)</f>
        <v/>
      </c>
      <c r="N3539" s="1058"/>
    </row>
    <row r="3540" spans="1:14" ht="12.75" customHeight="1" x14ac:dyDescent="0.2">
      <c r="A3540" s="1056"/>
      <c r="B3540" s="1057"/>
      <c r="C3540" s="1057"/>
      <c r="D3540" s="1057"/>
      <c r="E3540" s="1057"/>
      <c r="F3540" s="1057"/>
      <c r="G3540" s="1058"/>
      <c r="H3540" s="9"/>
      <c r="I3540" s="1059"/>
      <c r="J3540" s="1058"/>
      <c r="K3540" s="1064"/>
      <c r="L3540" s="1058"/>
      <c r="M3540" s="1059" t="str">
        <f>IF(A3540="","",I3540*K3540)</f>
        <v/>
      </c>
      <c r="N3540" s="1058"/>
    </row>
    <row r="3541" spans="1:14" ht="12.75" customHeight="1" x14ac:dyDescent="0.2">
      <c r="A3541" s="1061"/>
      <c r="B3541" s="1057"/>
      <c r="C3541" s="1057"/>
      <c r="D3541" s="1057"/>
      <c r="E3541" s="1057"/>
      <c r="F3541" s="1057"/>
      <c r="G3541" s="1058"/>
      <c r="H3541" s="9"/>
      <c r="I3541" s="1059"/>
      <c r="J3541" s="1058"/>
      <c r="K3541" s="1060"/>
      <c r="L3541" s="1058"/>
      <c r="M3541" s="1059" t="str">
        <f>IF(A3541="","",I3541*K3541)</f>
        <v/>
      </c>
      <c r="N3541" s="1058"/>
    </row>
    <row r="3542" spans="1:14" ht="12.75" customHeight="1" x14ac:dyDescent="0.2">
      <c r="A3542" s="1061"/>
      <c r="B3542" s="1057"/>
      <c r="C3542" s="1057"/>
      <c r="D3542" s="1057"/>
      <c r="E3542" s="1057"/>
      <c r="F3542" s="1057"/>
      <c r="G3542" s="1058"/>
      <c r="H3542" s="9"/>
      <c r="I3542" s="1059"/>
      <c r="J3542" s="1058"/>
      <c r="K3542" s="1060"/>
      <c r="L3542" s="1058"/>
      <c r="M3542" s="1059" t="str">
        <f>IF(A3542="","",I3542*K3542)</f>
        <v/>
      </c>
      <c r="N3542" s="1058"/>
    </row>
    <row r="3543" spans="1:14" ht="12.75" customHeight="1" x14ac:dyDescent="0.2">
      <c r="A3543" s="1061"/>
      <c r="B3543" s="1057"/>
      <c r="C3543" s="1057"/>
      <c r="D3543" s="1057"/>
      <c r="E3543" s="1057"/>
      <c r="F3543" s="1057"/>
      <c r="G3543" s="1058"/>
      <c r="H3543" s="9"/>
      <c r="I3543" s="1059"/>
      <c r="J3543" s="1058"/>
      <c r="K3543" s="1060"/>
      <c r="L3543" s="1058"/>
      <c r="M3543" s="1059" t="str">
        <f>IF(A3543="","",I3543*K3543)</f>
        <v/>
      </c>
      <c r="N3543" s="1058"/>
    </row>
    <row r="3544" spans="1:14" ht="12.75" customHeight="1" x14ac:dyDescent="0.25">
      <c r="A3544" s="3"/>
      <c r="B3544" s="3"/>
      <c r="C3544" s="3"/>
      <c r="D3544" s="3"/>
      <c r="E3544" s="3"/>
      <c r="F3544" s="3"/>
      <c r="G3544" s="3"/>
      <c r="H3544" s="3"/>
      <c r="I3544" s="3"/>
      <c r="J3544" s="3"/>
      <c r="K3544" s="1066" t="s">
        <v>201</v>
      </c>
      <c r="L3544" s="1058"/>
      <c r="M3544" s="1059">
        <f>SUM(M3539:N3543)</f>
        <v>0</v>
      </c>
      <c r="N3544" s="1058"/>
    </row>
    <row r="3545" spans="1:14" ht="12.75" customHeight="1" x14ac:dyDescent="0.25">
      <c r="A3545" s="3"/>
      <c r="B3545" s="3"/>
      <c r="C3545" s="3"/>
      <c r="D3545" s="3"/>
      <c r="E3545" s="3"/>
      <c r="F3545" s="3"/>
      <c r="G3545" s="3"/>
      <c r="H3545" s="3"/>
      <c r="I3545" s="3"/>
      <c r="J3545" s="3"/>
      <c r="K3545" s="3"/>
      <c r="L3545" s="3"/>
      <c r="M3545" s="3"/>
      <c r="N3545" s="3"/>
    </row>
    <row r="3546" spans="1:14" ht="12.75" customHeight="1" x14ac:dyDescent="0.2">
      <c r="A3546" s="1065" t="s">
        <v>394</v>
      </c>
      <c r="B3546" s="1057"/>
      <c r="C3546" s="1057"/>
      <c r="D3546" s="1057"/>
      <c r="E3546" s="1057"/>
      <c r="F3546" s="1057"/>
      <c r="G3546" s="1057"/>
      <c r="H3546" s="1057"/>
      <c r="I3546" s="1057"/>
      <c r="J3546" s="1057"/>
      <c r="K3546" s="1057"/>
      <c r="L3546" s="1057"/>
      <c r="M3546" s="1057"/>
      <c r="N3546" s="1058"/>
    </row>
    <row r="3547" spans="1:14" ht="12.75" customHeight="1" x14ac:dyDescent="0.2">
      <c r="A3547" s="1066" t="s">
        <v>38</v>
      </c>
      <c r="B3547" s="1057"/>
      <c r="C3547" s="1057"/>
      <c r="D3547" s="1057"/>
      <c r="E3547" s="1057"/>
      <c r="F3547" s="1057"/>
      <c r="G3547" s="1058"/>
      <c r="H3547" s="28" t="s">
        <v>39</v>
      </c>
      <c r="I3547" s="1062" t="s">
        <v>385</v>
      </c>
      <c r="J3547" s="1058"/>
      <c r="K3547" s="30" t="s">
        <v>193</v>
      </c>
      <c r="L3547" s="31" t="s">
        <v>395</v>
      </c>
      <c r="M3547" s="1062" t="s">
        <v>386</v>
      </c>
      <c r="N3547" s="1058"/>
    </row>
    <row r="3548" spans="1:14" ht="12.75" customHeight="1" x14ac:dyDescent="0.25">
      <c r="A3548" s="1063" t="s">
        <v>423</v>
      </c>
      <c r="B3548" s="1057"/>
      <c r="C3548" s="1057"/>
      <c r="D3548" s="1057"/>
      <c r="E3548" s="1057"/>
      <c r="F3548" s="1057"/>
      <c r="G3548" s="1058"/>
      <c r="H3548" s="9" t="str">
        <f>IF(A3548="","",VLOOKUP(A3548,AA_Cuadrillas,4,FALSE))</f>
        <v>Cuadrilla</v>
      </c>
      <c r="I3548" s="1059">
        <f>IF(A3548="","",VLOOKUP(A3548,AA_Cuadrillas,5,FALSE))</f>
        <v>134236</v>
      </c>
      <c r="J3548" s="1058"/>
      <c r="K3548" s="1">
        <f>IF(A3548="","",'06'!$J$3)</f>
        <v>1.7233500000000002</v>
      </c>
      <c r="L3548" s="37">
        <v>9.2817880103919261E-3</v>
      </c>
      <c r="M3548" s="1059">
        <f>IF(A3548="","",I3548*K3548*L3548)</f>
        <v>2147.2080968437754</v>
      </c>
      <c r="N3548" s="1058"/>
    </row>
    <row r="3549" spans="1:14" ht="12.75" customHeight="1" x14ac:dyDescent="0.25">
      <c r="A3549" s="1063"/>
      <c r="B3549" s="1057"/>
      <c r="C3549" s="1057"/>
      <c r="D3549" s="1057"/>
      <c r="E3549" s="1057"/>
      <c r="F3549" s="1057"/>
      <c r="G3549" s="1058"/>
      <c r="H3549" s="9" t="str">
        <f>IF(A3549="","",VLOOKUP(A3549,AA_Cuadrillas,4,FALSE))</f>
        <v/>
      </c>
      <c r="I3549" s="1059" t="str">
        <f>IF(A3549="","",VLOOKUP(A3549,AA_Cuadrillas,5,FALSE))</f>
        <v/>
      </c>
      <c r="J3549" s="1058"/>
      <c r="K3549" s="1" t="str">
        <f>IF(A3549="","",'06'!$J$3)</f>
        <v/>
      </c>
      <c r="L3549" s="1"/>
      <c r="M3549" s="1059" t="str">
        <f>IF(A3549="","",I3549*K3549*L3549)</f>
        <v/>
      </c>
      <c r="N3549" s="1058"/>
    </row>
    <row r="3550" spans="1:14" ht="12.75" customHeight="1" x14ac:dyDescent="0.25">
      <c r="A3550" s="1063"/>
      <c r="B3550" s="1057"/>
      <c r="C3550" s="1057"/>
      <c r="D3550" s="1057"/>
      <c r="E3550" s="1057"/>
      <c r="F3550" s="1057"/>
      <c r="G3550" s="1058"/>
      <c r="H3550" s="9" t="str">
        <f>IF(A3550="","",VLOOKUP(A3550,AA_Cuadrillas,4,FALSE))</f>
        <v/>
      </c>
      <c r="I3550" s="1059" t="str">
        <f>IF(A3550="","",VLOOKUP(A3550,AA_Cuadrillas,5,FALSE))</f>
        <v/>
      </c>
      <c r="J3550" s="1058"/>
      <c r="K3550" s="1" t="str">
        <f>IF(A3550="","",'06'!$J$3)</f>
        <v/>
      </c>
      <c r="L3550" s="10"/>
      <c r="M3550" s="1059" t="str">
        <f>IF(A3550="","",I3550*K3550*L3550)</f>
        <v/>
      </c>
      <c r="N3550" s="1058"/>
    </row>
    <row r="3551" spans="1:14" ht="12.75" customHeight="1" x14ac:dyDescent="0.25">
      <c r="A3551" s="1063"/>
      <c r="B3551" s="1057"/>
      <c r="C3551" s="1057"/>
      <c r="D3551" s="1057"/>
      <c r="E3551" s="1057"/>
      <c r="F3551" s="1057"/>
      <c r="G3551" s="1058"/>
      <c r="H3551" s="9" t="str">
        <f>IF(A3551="","",VLOOKUP(A3551,AA_Cuadrillas,4,FALSE))</f>
        <v/>
      </c>
      <c r="I3551" s="1059" t="str">
        <f>IF(A3551="","",VLOOKUP(A3551,AA_Cuadrillas,5,FALSE))</f>
        <v/>
      </c>
      <c r="J3551" s="1058"/>
      <c r="K3551" s="1" t="str">
        <f>IF(A3551="","",'06'!$J$3)</f>
        <v/>
      </c>
      <c r="L3551" s="10"/>
      <c r="M3551" s="1059" t="str">
        <f>IF(A3551="","",I3551*K3551*L3551)</f>
        <v/>
      </c>
      <c r="N3551" s="1058"/>
    </row>
    <row r="3552" spans="1:14" ht="12.75" customHeight="1" x14ac:dyDescent="0.25">
      <c r="A3552" s="1063"/>
      <c r="B3552" s="1057"/>
      <c r="C3552" s="1057"/>
      <c r="D3552" s="1057"/>
      <c r="E3552" s="1057"/>
      <c r="F3552" s="1057"/>
      <c r="G3552" s="1058"/>
      <c r="H3552" s="9" t="str">
        <f>IF(A3552="","",VLOOKUP(A3552,AA_Cuadrillas,4,FALSE))</f>
        <v/>
      </c>
      <c r="I3552" s="1059" t="str">
        <f>IF(A3552="","",VLOOKUP(A3552,AA_Cuadrillas,5,FALSE))</f>
        <v/>
      </c>
      <c r="J3552" s="1058"/>
      <c r="K3552" s="1" t="str">
        <f>IF(A3552="","",'06'!$J$3)</f>
        <v/>
      </c>
      <c r="L3552" s="10"/>
      <c r="M3552" s="1059" t="str">
        <f>IF(A3552="","",I3552*K3552*L3552)</f>
        <v/>
      </c>
      <c r="N3552" s="1058"/>
    </row>
    <row r="3553" spans="1:14" ht="12.75" customHeight="1" x14ac:dyDescent="0.25">
      <c r="A3553" s="3"/>
      <c r="B3553" s="3"/>
      <c r="C3553" s="3"/>
      <c r="D3553" s="3"/>
      <c r="E3553" s="3"/>
      <c r="F3553" s="3"/>
      <c r="G3553" s="3"/>
      <c r="H3553" s="3"/>
      <c r="I3553" s="3"/>
      <c r="J3553" s="3"/>
      <c r="K3553" s="1066" t="s">
        <v>201</v>
      </c>
      <c r="L3553" s="1058"/>
      <c r="M3553" s="1059">
        <f>SUM(M3548:N3552)</f>
        <v>2147.2080968437754</v>
      </c>
      <c r="N3553" s="1058"/>
    </row>
    <row r="3554" spans="1:14" ht="12.75" customHeight="1" x14ac:dyDescent="0.2"/>
    <row r="3555" spans="1:14" ht="12.75" customHeight="1" x14ac:dyDescent="0.2">
      <c r="A3555" s="1068" t="s">
        <v>1749</v>
      </c>
      <c r="B3555" s="1052"/>
      <c r="C3555" s="1052"/>
      <c r="D3555" s="1052"/>
      <c r="E3555" s="1052"/>
      <c r="F3555" s="1052"/>
      <c r="G3555" s="1052"/>
      <c r="H3555" s="1052"/>
      <c r="I3555" s="1052"/>
      <c r="J3555" s="1052"/>
      <c r="K3555" s="1052"/>
      <c r="L3555" s="1052"/>
      <c r="M3555" s="1052"/>
      <c r="N3555" s="1053"/>
    </row>
    <row r="3556" spans="1:14" ht="12.75" customHeight="1" x14ac:dyDescent="0.2">
      <c r="A3556" s="1031"/>
      <c r="B3556" s="1032"/>
      <c r="C3556" s="1032"/>
      <c r="D3556" s="1032"/>
      <c r="E3556" s="1032"/>
      <c r="F3556" s="1032"/>
      <c r="G3556" s="1032"/>
      <c r="H3556" s="1032"/>
      <c r="I3556" s="1032"/>
      <c r="J3556" s="1032"/>
      <c r="K3556" s="1032"/>
      <c r="L3556" s="1032"/>
      <c r="M3556" s="1032"/>
      <c r="N3556" s="1055"/>
    </row>
    <row r="3557" spans="1:14" ht="12.75" customHeight="1" x14ac:dyDescent="0.2">
      <c r="A3557" s="16"/>
      <c r="B3557" s="16"/>
      <c r="C3557" s="16"/>
      <c r="D3557" s="16"/>
      <c r="E3557" s="16"/>
      <c r="F3557" s="16"/>
      <c r="G3557" s="16"/>
      <c r="H3557" s="16"/>
      <c r="I3557" s="16"/>
      <c r="J3557" s="16"/>
      <c r="K3557" s="16"/>
      <c r="L3557" s="16"/>
      <c r="M3557" s="16"/>
      <c r="N3557" s="16"/>
    </row>
    <row r="3558" spans="1:14" ht="12.75" customHeight="1" x14ac:dyDescent="0.3">
      <c r="A3558" s="18" t="s">
        <v>374</v>
      </c>
      <c r="B3558" s="19" t="str">
        <f>A3555</f>
        <v>ANTRACITA PARA OPTIMIZACIÓN DE FILTROS</v>
      </c>
      <c r="C3558" s="20" t="s">
        <v>382</v>
      </c>
      <c r="D3558" s="127" t="s">
        <v>399</v>
      </c>
      <c r="E3558" s="22" t="s">
        <v>125</v>
      </c>
      <c r="F3558" s="26">
        <f>(H3558+J3558+L3558+N3558)*$O$2</f>
        <v>68457.439052191767</v>
      </c>
      <c r="G3558" s="22" t="s">
        <v>285</v>
      </c>
      <c r="H3558" s="26">
        <f>M3577</f>
        <v>107.36040484218907</v>
      </c>
      <c r="I3558" s="22" t="s">
        <v>383</v>
      </c>
      <c r="J3558" s="38">
        <f>M3568</f>
        <v>50405</v>
      </c>
      <c r="K3558" s="22" t="s">
        <v>287</v>
      </c>
      <c r="L3558" s="26">
        <f>M3586</f>
        <v>0</v>
      </c>
      <c r="M3558" s="22" t="s">
        <v>288</v>
      </c>
      <c r="N3558" s="26">
        <f>M3595</f>
        <v>2147.2080968437813</v>
      </c>
    </row>
    <row r="3559" spans="1:14" ht="12.75" customHeight="1" x14ac:dyDescent="0.25">
      <c r="A3559" s="27"/>
      <c r="B3559" s="27"/>
      <c r="C3559" s="27"/>
      <c r="D3559" s="27"/>
      <c r="E3559" s="27"/>
      <c r="F3559" s="27"/>
      <c r="G3559" s="27"/>
      <c r="J3559" s="27"/>
      <c r="K3559" s="27"/>
      <c r="L3559" s="27"/>
      <c r="M3559" s="27"/>
      <c r="N3559" s="27"/>
    </row>
    <row r="3560" spans="1:14" ht="12.75" customHeight="1" x14ac:dyDescent="0.2">
      <c r="A3560" s="1065" t="s">
        <v>384</v>
      </c>
      <c r="B3560" s="1057"/>
      <c r="C3560" s="1057"/>
      <c r="D3560" s="1057"/>
      <c r="E3560" s="1057"/>
      <c r="F3560" s="1057"/>
      <c r="G3560" s="1057"/>
      <c r="H3560" s="1057"/>
      <c r="I3560" s="1057"/>
      <c r="J3560" s="1057"/>
      <c r="K3560" s="1057"/>
      <c r="L3560" s="1057"/>
      <c r="M3560" s="1057"/>
      <c r="N3560" s="1058"/>
    </row>
    <row r="3561" spans="1:14" ht="12.75" customHeight="1" x14ac:dyDescent="0.2">
      <c r="A3561" s="1066" t="s">
        <v>38</v>
      </c>
      <c r="B3561" s="1057"/>
      <c r="C3561" s="1057"/>
      <c r="D3561" s="1057"/>
      <c r="E3561" s="1057"/>
      <c r="F3561" s="1057"/>
      <c r="G3561" s="1058"/>
      <c r="H3561" s="28" t="s">
        <v>39</v>
      </c>
      <c r="I3561" s="1062" t="s">
        <v>385</v>
      </c>
      <c r="J3561" s="1058"/>
      <c r="K3561" s="1062" t="s">
        <v>132</v>
      </c>
      <c r="L3561" s="1058"/>
      <c r="M3561" s="1062" t="s">
        <v>386</v>
      </c>
      <c r="N3561" s="1058"/>
    </row>
    <row r="3562" spans="1:14" ht="12.75" customHeight="1" x14ac:dyDescent="0.2">
      <c r="A3562" s="1061" t="s">
        <v>1579</v>
      </c>
      <c r="B3562" s="1057"/>
      <c r="C3562" s="1057"/>
      <c r="D3562" s="1057"/>
      <c r="E3562" s="1057"/>
      <c r="F3562" s="1057"/>
      <c r="G3562" s="1058"/>
      <c r="H3562" s="9" t="str">
        <f t="shared" ref="H3562" si="264">IF(A3562="","",VLOOKUP(A3562,AA_Materiales,7,FALSE))</f>
        <v>Kg</v>
      </c>
      <c r="I3562" s="1059">
        <f t="shared" ref="I3562" si="265">IF(A3562="","",VLOOKUP(A3562,AA_Materiales,8,FALSE))</f>
        <v>50405</v>
      </c>
      <c r="J3562" s="1058"/>
      <c r="K3562" s="1060">
        <v>1</v>
      </c>
      <c r="L3562" s="1058"/>
      <c r="M3562" s="1059">
        <f t="shared" ref="M3562:M3567" si="266">IF(A3562="","",I3562*K3562)</f>
        <v>50405</v>
      </c>
      <c r="N3562" s="1058"/>
    </row>
    <row r="3563" spans="1:14" ht="12.75" customHeight="1" x14ac:dyDescent="0.2">
      <c r="A3563" s="1056"/>
      <c r="B3563" s="1057"/>
      <c r="C3563" s="1057"/>
      <c r="D3563" s="1057"/>
      <c r="E3563" s="1057"/>
      <c r="F3563" s="1057"/>
      <c r="G3563" s="1058"/>
      <c r="H3563" s="9" t="str">
        <f t="shared" ref="H3563:H3567" si="267">IF(A3563="","",VLOOKUP(A3563,AA_Materiales,7,FALSE))</f>
        <v/>
      </c>
      <c r="I3563" s="1059" t="str">
        <f t="shared" ref="I3563:I3567" si="268">IF(A3563="","",VLOOKUP(A3563,AA_Materiales,8,FALSE))</f>
        <v/>
      </c>
      <c r="J3563" s="1058"/>
      <c r="K3563" s="1060"/>
      <c r="L3563" s="1058"/>
      <c r="M3563" s="1059" t="str">
        <f t="shared" si="266"/>
        <v/>
      </c>
      <c r="N3563" s="1058"/>
    </row>
    <row r="3564" spans="1:14" ht="12.75" customHeight="1" x14ac:dyDescent="0.2">
      <c r="A3564" s="1056"/>
      <c r="B3564" s="1057"/>
      <c r="C3564" s="1057"/>
      <c r="D3564" s="1057"/>
      <c r="E3564" s="1057"/>
      <c r="F3564" s="1057"/>
      <c r="G3564" s="1058"/>
      <c r="H3564" s="9" t="str">
        <f t="shared" si="267"/>
        <v/>
      </c>
      <c r="I3564" s="1059" t="str">
        <f t="shared" si="268"/>
        <v/>
      </c>
      <c r="J3564" s="1058"/>
      <c r="K3564" s="1060"/>
      <c r="L3564" s="1058"/>
      <c r="M3564" s="1059" t="str">
        <f t="shared" si="266"/>
        <v/>
      </c>
      <c r="N3564" s="1058"/>
    </row>
    <row r="3565" spans="1:14" ht="12.75" customHeight="1" x14ac:dyDescent="0.2">
      <c r="A3565" s="1056"/>
      <c r="B3565" s="1057"/>
      <c r="C3565" s="1057"/>
      <c r="D3565" s="1057"/>
      <c r="E3565" s="1057"/>
      <c r="F3565" s="1057"/>
      <c r="G3565" s="1058"/>
      <c r="H3565" s="9" t="str">
        <f t="shared" si="267"/>
        <v/>
      </c>
      <c r="I3565" s="1059" t="str">
        <f t="shared" si="268"/>
        <v/>
      </c>
      <c r="J3565" s="1058"/>
      <c r="K3565" s="1060"/>
      <c r="L3565" s="1058"/>
      <c r="M3565" s="1059" t="str">
        <f t="shared" si="266"/>
        <v/>
      </c>
      <c r="N3565" s="1058"/>
    </row>
    <row r="3566" spans="1:14" ht="12.75" customHeight="1" x14ac:dyDescent="0.2">
      <c r="A3566" s="1056"/>
      <c r="B3566" s="1057"/>
      <c r="C3566" s="1057"/>
      <c r="D3566" s="1057"/>
      <c r="E3566" s="1057"/>
      <c r="F3566" s="1057"/>
      <c r="G3566" s="1058"/>
      <c r="H3566" s="9" t="str">
        <f t="shared" si="267"/>
        <v/>
      </c>
      <c r="I3566" s="1059" t="str">
        <f t="shared" si="268"/>
        <v/>
      </c>
      <c r="J3566" s="1058"/>
      <c r="K3566" s="1060"/>
      <c r="L3566" s="1058"/>
      <c r="M3566" s="1059" t="str">
        <f t="shared" si="266"/>
        <v/>
      </c>
      <c r="N3566" s="1058"/>
    </row>
    <row r="3567" spans="1:14" ht="12.75" customHeight="1" x14ac:dyDescent="0.2">
      <c r="A3567" s="1056"/>
      <c r="B3567" s="1057"/>
      <c r="C3567" s="1057"/>
      <c r="D3567" s="1057"/>
      <c r="E3567" s="1057"/>
      <c r="F3567" s="1057"/>
      <c r="G3567" s="1058"/>
      <c r="H3567" s="9" t="str">
        <f t="shared" si="267"/>
        <v/>
      </c>
      <c r="I3567" s="1059" t="str">
        <f t="shared" si="268"/>
        <v/>
      </c>
      <c r="J3567" s="1058"/>
      <c r="K3567" s="1060"/>
      <c r="L3567" s="1058"/>
      <c r="M3567" s="1059" t="str">
        <f t="shared" si="266"/>
        <v/>
      </c>
      <c r="N3567" s="1058"/>
    </row>
    <row r="3568" spans="1:14" ht="12.75" customHeight="1" x14ac:dyDescent="0.25">
      <c r="A3568" s="3"/>
      <c r="B3568" s="3"/>
      <c r="C3568" s="3"/>
      <c r="D3568" s="3"/>
      <c r="E3568" s="3"/>
      <c r="F3568" s="3"/>
      <c r="G3568" s="3"/>
      <c r="H3568" s="3"/>
      <c r="I3568" s="3"/>
      <c r="J3568" s="3"/>
      <c r="K3568" s="1066" t="s">
        <v>201</v>
      </c>
      <c r="L3568" s="1058"/>
      <c r="M3568" s="1059">
        <f>SUM(M3562:N3567)</f>
        <v>50405</v>
      </c>
      <c r="N3568" s="1058"/>
    </row>
    <row r="3569" spans="1:15" ht="12.75" customHeight="1" x14ac:dyDescent="0.25">
      <c r="A3569" s="3"/>
      <c r="B3569" s="3"/>
      <c r="C3569" s="3"/>
      <c r="D3569" s="3"/>
      <c r="E3569" s="3"/>
      <c r="F3569" s="3"/>
      <c r="G3569" s="3"/>
      <c r="H3569" s="3"/>
      <c r="I3569" s="3"/>
      <c r="J3569" s="3"/>
      <c r="K3569" s="3"/>
      <c r="L3569" s="3"/>
      <c r="M3569" s="3"/>
      <c r="N3569" s="3"/>
    </row>
    <row r="3570" spans="1:15" ht="12.75" customHeight="1" x14ac:dyDescent="0.2">
      <c r="A3570" s="1065" t="s">
        <v>390</v>
      </c>
      <c r="B3570" s="1057"/>
      <c r="C3570" s="1057"/>
      <c r="D3570" s="1057"/>
      <c r="E3570" s="1057"/>
      <c r="F3570" s="1057"/>
      <c r="G3570" s="1057"/>
      <c r="H3570" s="1057"/>
      <c r="I3570" s="1057"/>
      <c r="J3570" s="1057"/>
      <c r="K3570" s="1057"/>
      <c r="L3570" s="1057"/>
      <c r="M3570" s="1057"/>
      <c r="N3570" s="1058"/>
    </row>
    <row r="3571" spans="1:15" ht="12.75" customHeight="1" x14ac:dyDescent="0.2">
      <c r="A3571" s="1066" t="s">
        <v>38</v>
      </c>
      <c r="B3571" s="1057"/>
      <c r="C3571" s="1057"/>
      <c r="D3571" s="1057"/>
      <c r="E3571" s="1057"/>
      <c r="F3571" s="1057"/>
      <c r="G3571" s="1058"/>
      <c r="H3571" s="28" t="s">
        <v>39</v>
      </c>
      <c r="I3571" s="1062" t="s">
        <v>385</v>
      </c>
      <c r="J3571" s="1058"/>
      <c r="K3571" s="1062" t="s">
        <v>132</v>
      </c>
      <c r="L3571" s="1058"/>
      <c r="M3571" s="1062" t="s">
        <v>386</v>
      </c>
      <c r="N3571" s="1058"/>
    </row>
    <row r="3572" spans="1:15" ht="12.75" customHeight="1" x14ac:dyDescent="0.2">
      <c r="A3572" s="1061" t="s">
        <v>391</v>
      </c>
      <c r="B3572" s="1057"/>
      <c r="C3572" s="1057"/>
      <c r="D3572" s="1057"/>
      <c r="E3572" s="1057"/>
      <c r="F3572" s="1057"/>
      <c r="G3572" s="1058"/>
      <c r="H3572" s="9" t="str">
        <f>IF(A3572="","",VLOOKUP(A3572,AA_Equipos,7,FALSE))</f>
        <v>% M.O.</v>
      </c>
      <c r="I3572" s="1059">
        <f>+M3595</f>
        <v>2147.2080968437813</v>
      </c>
      <c r="J3572" s="1058"/>
      <c r="K3572" s="1064">
        <v>0.05</v>
      </c>
      <c r="L3572" s="1058"/>
      <c r="M3572" s="1059">
        <f>IF(A3572="","",I3572*K3572)</f>
        <v>107.36040484218907</v>
      </c>
      <c r="N3572" s="1058"/>
    </row>
    <row r="3573" spans="1:15" ht="12.75" customHeight="1" x14ac:dyDescent="0.2">
      <c r="A3573" s="1056"/>
      <c r="B3573" s="1057"/>
      <c r="C3573" s="1057"/>
      <c r="D3573" s="1057"/>
      <c r="E3573" s="1057"/>
      <c r="F3573" s="1057"/>
      <c r="G3573" s="1058"/>
      <c r="H3573" s="9" t="str">
        <f>IF(A3573="","",VLOOKUP(A3573,AA_Equipos,7,FALSE))</f>
        <v/>
      </c>
      <c r="I3573" s="1059" t="str">
        <f>IF(A3573="","",VLOOKUP(A3573,AA_Equipos,8,FALSE))</f>
        <v/>
      </c>
      <c r="J3573" s="1058"/>
      <c r="K3573" s="1067"/>
      <c r="L3573" s="1058"/>
      <c r="M3573" s="1059" t="str">
        <f>IF(A3573="","",I3573*K3573)</f>
        <v/>
      </c>
      <c r="N3573" s="1058"/>
    </row>
    <row r="3574" spans="1:15" ht="12.75" customHeight="1" x14ac:dyDescent="0.2">
      <c r="A3574" s="1061"/>
      <c r="B3574" s="1057"/>
      <c r="C3574" s="1057"/>
      <c r="D3574" s="1057"/>
      <c r="E3574" s="1057"/>
      <c r="F3574" s="1057"/>
      <c r="G3574" s="1058"/>
      <c r="H3574" s="9" t="str">
        <f>IF(A3574="","",VLOOKUP(A3574,AA_Equipos,7,FALSE))</f>
        <v/>
      </c>
      <c r="I3574" s="1059" t="str">
        <f>IF(A3574="","",VLOOKUP(A3574,AA_Equipos,8,FALSE))</f>
        <v/>
      </c>
      <c r="J3574" s="1058"/>
      <c r="K3574" s="1070"/>
      <c r="L3574" s="1058"/>
      <c r="M3574" s="1059" t="str">
        <f>IF(A3574="","",I3574*K3574)</f>
        <v/>
      </c>
      <c r="N3574" s="1058"/>
    </row>
    <row r="3575" spans="1:15" ht="12.75" customHeight="1" x14ac:dyDescent="0.2">
      <c r="A3575" s="1061"/>
      <c r="B3575" s="1057"/>
      <c r="C3575" s="1057"/>
      <c r="D3575" s="1057"/>
      <c r="E3575" s="1057"/>
      <c r="F3575" s="1057"/>
      <c r="G3575" s="1058"/>
      <c r="H3575" s="9" t="str">
        <f>IF(A3575="","",VLOOKUP(A3575,AA_Equipos,7,FALSE))</f>
        <v/>
      </c>
      <c r="I3575" s="1059" t="str">
        <f>IF(A3575="","",VLOOKUP(A3575,AA_Equipos,8,FALSE))</f>
        <v/>
      </c>
      <c r="J3575" s="1058"/>
      <c r="K3575" s="1060"/>
      <c r="L3575" s="1058"/>
      <c r="M3575" s="1059" t="str">
        <f>IF(A3575="","",I3575*K3575)</f>
        <v/>
      </c>
      <c r="N3575" s="1058"/>
    </row>
    <row r="3576" spans="1:15" ht="12.75" customHeight="1" x14ac:dyDescent="0.2">
      <c r="A3576" s="1061"/>
      <c r="B3576" s="1057"/>
      <c r="C3576" s="1057"/>
      <c r="D3576" s="1057"/>
      <c r="E3576" s="1057"/>
      <c r="F3576" s="1057"/>
      <c r="G3576" s="1058"/>
      <c r="H3576" s="9" t="str">
        <f>IF(A3576="","",VLOOKUP(A3576,AA_Equipos,7,FALSE))</f>
        <v/>
      </c>
      <c r="I3576" s="1059" t="str">
        <f>IF(A3576="","",VLOOKUP(A3576,AA_Equipos,8,FALSE))</f>
        <v/>
      </c>
      <c r="J3576" s="1058"/>
      <c r="K3576" s="1060"/>
      <c r="L3576" s="1058"/>
      <c r="M3576" s="1059" t="str">
        <f>IF(A3576="","",I3576*K3576)</f>
        <v/>
      </c>
      <c r="N3576" s="1058"/>
      <c r="O3576" s="7"/>
    </row>
    <row r="3577" spans="1:15" ht="12.75" customHeight="1" x14ac:dyDescent="0.25">
      <c r="A3577" s="3"/>
      <c r="B3577" s="3"/>
      <c r="C3577" s="3"/>
      <c r="D3577" s="3"/>
      <c r="E3577" s="3"/>
      <c r="F3577" s="3"/>
      <c r="G3577" s="3"/>
      <c r="H3577" s="3"/>
      <c r="I3577" s="3"/>
      <c r="J3577" s="3"/>
      <c r="K3577" s="1066" t="s">
        <v>201</v>
      </c>
      <c r="L3577" s="1058"/>
      <c r="M3577" s="1059">
        <f>SUM(M3572:N3576)</f>
        <v>107.36040484218907</v>
      </c>
      <c r="N3577" s="1058"/>
      <c r="O3577" s="7"/>
    </row>
    <row r="3578" spans="1:15" ht="12.75" customHeight="1" x14ac:dyDescent="0.25">
      <c r="A3578" s="3"/>
      <c r="B3578" s="3"/>
      <c r="C3578" s="3"/>
      <c r="D3578" s="3"/>
      <c r="E3578" s="3"/>
      <c r="F3578" s="3"/>
      <c r="G3578" s="3"/>
      <c r="H3578" s="3"/>
      <c r="I3578" s="3"/>
      <c r="J3578" s="3"/>
      <c r="K3578" s="3"/>
      <c r="L3578" s="3"/>
      <c r="M3578" s="3"/>
      <c r="N3578" s="3"/>
    </row>
    <row r="3579" spans="1:15" ht="12.75" customHeight="1" x14ac:dyDescent="0.2">
      <c r="A3579" s="1065" t="s">
        <v>392</v>
      </c>
      <c r="B3579" s="1057"/>
      <c r="C3579" s="1057"/>
      <c r="D3579" s="1057"/>
      <c r="E3579" s="1057"/>
      <c r="F3579" s="1057"/>
      <c r="G3579" s="1057"/>
      <c r="H3579" s="1057"/>
      <c r="I3579" s="1057"/>
      <c r="J3579" s="1057"/>
      <c r="K3579" s="1057"/>
      <c r="L3579" s="1057"/>
      <c r="M3579" s="1057"/>
      <c r="N3579" s="1058"/>
    </row>
    <row r="3580" spans="1:15" ht="12.75" customHeight="1" x14ac:dyDescent="0.2">
      <c r="A3580" s="1066" t="s">
        <v>38</v>
      </c>
      <c r="B3580" s="1057"/>
      <c r="C3580" s="1057"/>
      <c r="D3580" s="1057"/>
      <c r="E3580" s="1057"/>
      <c r="F3580" s="1057"/>
      <c r="G3580" s="1058"/>
      <c r="H3580" s="28" t="s">
        <v>39</v>
      </c>
      <c r="I3580" s="1062" t="s">
        <v>385</v>
      </c>
      <c r="J3580" s="1058"/>
      <c r="K3580" s="1062" t="s">
        <v>132</v>
      </c>
      <c r="L3580" s="1058"/>
      <c r="M3580" s="1062" t="s">
        <v>386</v>
      </c>
      <c r="N3580" s="1058"/>
    </row>
    <row r="3581" spans="1:15" ht="12.75" customHeight="1" x14ac:dyDescent="0.2">
      <c r="A3581" s="1061"/>
      <c r="B3581" s="1057"/>
      <c r="C3581" s="1057"/>
      <c r="D3581" s="1057"/>
      <c r="E3581" s="1057"/>
      <c r="F3581" s="1057"/>
      <c r="G3581" s="1058"/>
      <c r="H3581" s="9"/>
      <c r="I3581" s="1059"/>
      <c r="J3581" s="1058"/>
      <c r="K3581" s="1064"/>
      <c r="L3581" s="1058"/>
      <c r="M3581" s="1059" t="str">
        <f>IF(A3581="","",I3581*K3581)</f>
        <v/>
      </c>
      <c r="N3581" s="1058"/>
    </row>
    <row r="3582" spans="1:15" ht="12.75" customHeight="1" x14ac:dyDescent="0.2">
      <c r="A3582" s="1056"/>
      <c r="B3582" s="1057"/>
      <c r="C3582" s="1057"/>
      <c r="D3582" s="1057"/>
      <c r="E3582" s="1057"/>
      <c r="F3582" s="1057"/>
      <c r="G3582" s="1058"/>
      <c r="H3582" s="9"/>
      <c r="I3582" s="1059"/>
      <c r="J3582" s="1058"/>
      <c r="K3582" s="1064"/>
      <c r="L3582" s="1058"/>
      <c r="M3582" s="1059" t="str">
        <f>IF(A3582="","",I3582*K3582)</f>
        <v/>
      </c>
      <c r="N3582" s="1058"/>
    </row>
    <row r="3583" spans="1:15" ht="12.75" customHeight="1" x14ac:dyDescent="0.2">
      <c r="A3583" s="1061"/>
      <c r="B3583" s="1057"/>
      <c r="C3583" s="1057"/>
      <c r="D3583" s="1057"/>
      <c r="E3583" s="1057"/>
      <c r="F3583" s="1057"/>
      <c r="G3583" s="1058"/>
      <c r="H3583" s="9"/>
      <c r="I3583" s="1059"/>
      <c r="J3583" s="1058"/>
      <c r="K3583" s="1060"/>
      <c r="L3583" s="1058"/>
      <c r="M3583" s="1059" t="str">
        <f>IF(A3583="","",I3583*K3583)</f>
        <v/>
      </c>
      <c r="N3583" s="1058"/>
    </row>
    <row r="3584" spans="1:15" ht="12.75" customHeight="1" x14ac:dyDescent="0.2">
      <c r="A3584" s="1061"/>
      <c r="B3584" s="1057"/>
      <c r="C3584" s="1057"/>
      <c r="D3584" s="1057"/>
      <c r="E3584" s="1057"/>
      <c r="F3584" s="1057"/>
      <c r="G3584" s="1058"/>
      <c r="H3584" s="9"/>
      <c r="I3584" s="1059"/>
      <c r="J3584" s="1058"/>
      <c r="K3584" s="1060"/>
      <c r="L3584" s="1058"/>
      <c r="M3584" s="1059" t="str">
        <f>IF(A3584="","",I3584*K3584)</f>
        <v/>
      </c>
      <c r="N3584" s="1058"/>
    </row>
    <row r="3585" spans="1:14" ht="12.75" customHeight="1" x14ac:dyDescent="0.2">
      <c r="A3585" s="1061"/>
      <c r="B3585" s="1057"/>
      <c r="C3585" s="1057"/>
      <c r="D3585" s="1057"/>
      <c r="E3585" s="1057"/>
      <c r="F3585" s="1057"/>
      <c r="G3585" s="1058"/>
      <c r="H3585" s="9"/>
      <c r="I3585" s="1059"/>
      <c r="J3585" s="1058"/>
      <c r="K3585" s="1060"/>
      <c r="L3585" s="1058"/>
      <c r="M3585" s="1059" t="str">
        <f>IF(A3585="","",I3585*K3585)</f>
        <v/>
      </c>
      <c r="N3585" s="1058"/>
    </row>
    <row r="3586" spans="1:14" ht="12.75" customHeight="1" x14ac:dyDescent="0.25">
      <c r="A3586" s="3"/>
      <c r="B3586" s="3"/>
      <c r="C3586" s="3"/>
      <c r="D3586" s="3"/>
      <c r="E3586" s="3"/>
      <c r="F3586" s="3"/>
      <c r="G3586" s="3"/>
      <c r="H3586" s="3"/>
      <c r="I3586" s="3"/>
      <c r="J3586" s="3"/>
      <c r="K3586" s="1066" t="s">
        <v>201</v>
      </c>
      <c r="L3586" s="1058"/>
      <c r="M3586" s="1059">
        <f>SUM(M3581:N3585)</f>
        <v>0</v>
      </c>
      <c r="N3586" s="1058"/>
    </row>
    <row r="3587" spans="1:14" ht="12.75" customHeight="1" x14ac:dyDescent="0.25">
      <c r="A3587" s="3"/>
      <c r="B3587" s="3"/>
      <c r="C3587" s="3"/>
      <c r="D3587" s="3"/>
      <c r="E3587" s="3"/>
      <c r="F3587" s="3"/>
      <c r="G3587" s="3"/>
      <c r="H3587" s="3"/>
      <c r="I3587" s="3"/>
      <c r="J3587" s="3"/>
      <c r="K3587" s="3"/>
      <c r="L3587" s="3"/>
      <c r="M3587" s="3"/>
      <c r="N3587" s="3"/>
    </row>
    <row r="3588" spans="1:14" ht="12.75" customHeight="1" x14ac:dyDescent="0.2">
      <c r="A3588" s="1065" t="s">
        <v>394</v>
      </c>
      <c r="B3588" s="1057"/>
      <c r="C3588" s="1057"/>
      <c r="D3588" s="1057"/>
      <c r="E3588" s="1057"/>
      <c r="F3588" s="1057"/>
      <c r="G3588" s="1057"/>
      <c r="H3588" s="1057"/>
      <c r="I3588" s="1057"/>
      <c r="J3588" s="1057"/>
      <c r="K3588" s="1057"/>
      <c r="L3588" s="1057"/>
      <c r="M3588" s="1057"/>
      <c r="N3588" s="1058"/>
    </row>
    <row r="3589" spans="1:14" ht="12.75" customHeight="1" x14ac:dyDescent="0.2">
      <c r="A3589" s="1066" t="s">
        <v>38</v>
      </c>
      <c r="B3589" s="1057"/>
      <c r="C3589" s="1057"/>
      <c r="D3589" s="1057"/>
      <c r="E3589" s="1057"/>
      <c r="F3589" s="1057"/>
      <c r="G3589" s="1058"/>
      <c r="H3589" s="28" t="s">
        <v>39</v>
      </c>
      <c r="I3589" s="1062" t="s">
        <v>385</v>
      </c>
      <c r="J3589" s="1058"/>
      <c r="K3589" s="30" t="s">
        <v>193</v>
      </c>
      <c r="L3589" s="31" t="s">
        <v>395</v>
      </c>
      <c r="M3589" s="1062" t="s">
        <v>386</v>
      </c>
      <c r="N3589" s="1058"/>
    </row>
    <row r="3590" spans="1:14" ht="12.75" customHeight="1" x14ac:dyDescent="0.25">
      <c r="A3590" s="1063" t="s">
        <v>423</v>
      </c>
      <c r="B3590" s="1057"/>
      <c r="C3590" s="1057"/>
      <c r="D3590" s="1057"/>
      <c r="E3590" s="1057"/>
      <c r="F3590" s="1057"/>
      <c r="G3590" s="1058"/>
      <c r="H3590" s="9" t="str">
        <f>IF(A3590="","",VLOOKUP(A3590,AA_Cuadrillas,4,FALSE))</f>
        <v>Cuadrilla</v>
      </c>
      <c r="I3590" s="1059">
        <f>IF(A3590="","",VLOOKUP(A3590,AA_Cuadrillas,5,FALSE))</f>
        <v>134236</v>
      </c>
      <c r="J3590" s="1058"/>
      <c r="K3590" s="1">
        <f>IF(A3590="","",'06'!$J$3)</f>
        <v>1.7233500000000002</v>
      </c>
      <c r="L3590" s="37">
        <v>9.2817880103919503E-3</v>
      </c>
      <c r="M3590" s="1059">
        <f>IF(A3590="","",I3590*K3590*L3590)</f>
        <v>2147.2080968437813</v>
      </c>
      <c r="N3590" s="1058"/>
    </row>
    <row r="3591" spans="1:14" ht="12.75" customHeight="1" x14ac:dyDescent="0.25">
      <c r="A3591" s="1063"/>
      <c r="B3591" s="1057"/>
      <c r="C3591" s="1057"/>
      <c r="D3591" s="1057"/>
      <c r="E3591" s="1057"/>
      <c r="F3591" s="1057"/>
      <c r="G3591" s="1058"/>
      <c r="H3591" s="9" t="str">
        <f>IF(A3591="","",VLOOKUP(A3591,AA_Cuadrillas,4,FALSE))</f>
        <v/>
      </c>
      <c r="I3591" s="1059" t="str">
        <f>IF(A3591="","",VLOOKUP(A3591,AA_Cuadrillas,5,FALSE))</f>
        <v/>
      </c>
      <c r="J3591" s="1058"/>
      <c r="K3591" s="1" t="str">
        <f>IF(A3591="","",'06'!$J$3)</f>
        <v/>
      </c>
      <c r="L3591" s="1"/>
      <c r="M3591" s="1059" t="str">
        <f>IF(A3591="","",I3591*K3591*L3591)</f>
        <v/>
      </c>
      <c r="N3591" s="1058"/>
    </row>
    <row r="3592" spans="1:14" ht="12.75" customHeight="1" x14ac:dyDescent="0.25">
      <c r="A3592" s="1063"/>
      <c r="B3592" s="1057"/>
      <c r="C3592" s="1057"/>
      <c r="D3592" s="1057"/>
      <c r="E3592" s="1057"/>
      <c r="F3592" s="1057"/>
      <c r="G3592" s="1058"/>
      <c r="H3592" s="9" t="str">
        <f>IF(A3592="","",VLOOKUP(A3592,AA_Cuadrillas,4,FALSE))</f>
        <v/>
      </c>
      <c r="I3592" s="1059" t="str">
        <f>IF(A3592="","",VLOOKUP(A3592,AA_Cuadrillas,5,FALSE))</f>
        <v/>
      </c>
      <c r="J3592" s="1058"/>
      <c r="K3592" s="1" t="str">
        <f>IF(A3592="","",'06'!$J$3)</f>
        <v/>
      </c>
      <c r="L3592" s="10"/>
      <c r="M3592" s="1059" t="str">
        <f>IF(A3592="","",I3592*K3592*L3592)</f>
        <v/>
      </c>
      <c r="N3592" s="1058"/>
    </row>
    <row r="3593" spans="1:14" ht="12.75" customHeight="1" x14ac:dyDescent="0.25">
      <c r="A3593" s="1063"/>
      <c r="B3593" s="1057"/>
      <c r="C3593" s="1057"/>
      <c r="D3593" s="1057"/>
      <c r="E3593" s="1057"/>
      <c r="F3593" s="1057"/>
      <c r="G3593" s="1058"/>
      <c r="H3593" s="9" t="str">
        <f>IF(A3593="","",VLOOKUP(A3593,AA_Cuadrillas,4,FALSE))</f>
        <v/>
      </c>
      <c r="I3593" s="1059" t="str">
        <f>IF(A3593="","",VLOOKUP(A3593,AA_Cuadrillas,5,FALSE))</f>
        <v/>
      </c>
      <c r="J3593" s="1058"/>
      <c r="K3593" s="1" t="str">
        <f>IF(A3593="","",'06'!$J$3)</f>
        <v/>
      </c>
      <c r="L3593" s="10"/>
      <c r="M3593" s="1059" t="str">
        <f>IF(A3593="","",I3593*K3593*L3593)</f>
        <v/>
      </c>
      <c r="N3593" s="1058"/>
    </row>
    <row r="3594" spans="1:14" ht="12.75" customHeight="1" x14ac:dyDescent="0.25">
      <c r="A3594" s="1063"/>
      <c r="B3594" s="1057"/>
      <c r="C3594" s="1057"/>
      <c r="D3594" s="1057"/>
      <c r="E3594" s="1057"/>
      <c r="F3594" s="1057"/>
      <c r="G3594" s="1058"/>
      <c r="H3594" s="9" t="str">
        <f>IF(A3594="","",VLOOKUP(A3594,AA_Cuadrillas,4,FALSE))</f>
        <v/>
      </c>
      <c r="I3594" s="1059" t="str">
        <f>IF(A3594="","",VLOOKUP(A3594,AA_Cuadrillas,5,FALSE))</f>
        <v/>
      </c>
      <c r="J3594" s="1058"/>
      <c r="K3594" s="1" t="str">
        <f>IF(A3594="","",'06'!$J$3)</f>
        <v/>
      </c>
      <c r="L3594" s="10"/>
      <c r="M3594" s="1059" t="str">
        <f>IF(A3594="","",I3594*K3594*L3594)</f>
        <v/>
      </c>
      <c r="N3594" s="1058"/>
    </row>
    <row r="3595" spans="1:14" ht="12.75" customHeight="1" x14ac:dyDescent="0.25">
      <c r="A3595" s="3"/>
      <c r="B3595" s="3"/>
      <c r="C3595" s="3"/>
      <c r="D3595" s="3"/>
      <c r="E3595" s="3"/>
      <c r="F3595" s="3"/>
      <c r="G3595" s="3"/>
      <c r="H3595" s="3"/>
      <c r="I3595" s="3"/>
      <c r="J3595" s="3"/>
      <c r="K3595" s="1066" t="s">
        <v>201</v>
      </c>
      <c r="L3595" s="1058"/>
      <c r="M3595" s="1059">
        <f>SUM(M3590:N3594)</f>
        <v>2147.2080968437813</v>
      </c>
      <c r="N3595" s="1058"/>
    </row>
    <row r="3596" spans="1:14" ht="12.75" customHeight="1" x14ac:dyDescent="0.2"/>
    <row r="3597" spans="1:14" ht="12.75" customHeight="1" x14ac:dyDescent="0.2">
      <c r="A3597" s="1068" t="s">
        <v>1750</v>
      </c>
      <c r="B3597" s="1052"/>
      <c r="C3597" s="1052"/>
      <c r="D3597" s="1052"/>
      <c r="E3597" s="1052"/>
      <c r="F3597" s="1052"/>
      <c r="G3597" s="1052"/>
      <c r="H3597" s="1052"/>
      <c r="I3597" s="1052"/>
      <c r="J3597" s="1052"/>
      <c r="K3597" s="1052"/>
      <c r="L3597" s="1052"/>
      <c r="M3597" s="1052"/>
      <c r="N3597" s="1053"/>
    </row>
    <row r="3598" spans="1:14" ht="12.75" customHeight="1" x14ac:dyDescent="0.2">
      <c r="A3598" s="1031"/>
      <c r="B3598" s="1032"/>
      <c r="C3598" s="1032"/>
      <c r="D3598" s="1032"/>
      <c r="E3598" s="1032"/>
      <c r="F3598" s="1032"/>
      <c r="G3598" s="1032"/>
      <c r="H3598" s="1032"/>
      <c r="I3598" s="1032"/>
      <c r="J3598" s="1032"/>
      <c r="K3598" s="1032"/>
      <c r="L3598" s="1032"/>
      <c r="M3598" s="1032"/>
      <c r="N3598" s="1055"/>
    </row>
    <row r="3599" spans="1:14" ht="12.75" customHeight="1" x14ac:dyDescent="0.2">
      <c r="A3599" s="16"/>
      <c r="B3599" s="16"/>
      <c r="C3599" s="16"/>
      <c r="D3599" s="16"/>
      <c r="E3599" s="16"/>
      <c r="F3599" s="16"/>
      <c r="G3599" s="16"/>
      <c r="H3599" s="16"/>
      <c r="I3599" s="16"/>
      <c r="J3599" s="16"/>
      <c r="K3599" s="16"/>
      <c r="L3599" s="16"/>
      <c r="M3599" s="16"/>
      <c r="N3599" s="16"/>
    </row>
    <row r="3600" spans="1:14" ht="12.75" customHeight="1" x14ac:dyDescent="0.3">
      <c r="A3600" s="18" t="s">
        <v>375</v>
      </c>
      <c r="B3600" s="19" t="str">
        <f>A3597</f>
        <v>ARENA PARA OPTIMIZACIÓN DE FILTROS</v>
      </c>
      <c r="C3600" s="20" t="s">
        <v>382</v>
      </c>
      <c r="D3600" s="127" t="s">
        <v>399</v>
      </c>
      <c r="E3600" s="22" t="s">
        <v>125</v>
      </c>
      <c r="F3600" s="26">
        <f>(H3600+J3600+L3600+N3600)*$O$2</f>
        <v>27487.939052191763</v>
      </c>
      <c r="G3600" s="22" t="s">
        <v>285</v>
      </c>
      <c r="H3600" s="26">
        <f>M3619</f>
        <v>107.36040484218923</v>
      </c>
      <c r="I3600" s="22" t="s">
        <v>383</v>
      </c>
      <c r="J3600" s="36">
        <f>M3610</f>
        <v>18890</v>
      </c>
      <c r="K3600" s="22" t="s">
        <v>287</v>
      </c>
      <c r="L3600" s="26">
        <f>M3628</f>
        <v>0</v>
      </c>
      <c r="M3600" s="22" t="s">
        <v>288</v>
      </c>
      <c r="N3600" s="26">
        <f>M3637</f>
        <v>2147.2080968437845</v>
      </c>
    </row>
    <row r="3601" spans="1:14" ht="12.75" customHeight="1" x14ac:dyDescent="0.25">
      <c r="A3601" s="27"/>
      <c r="B3601" s="27"/>
      <c r="C3601" s="27"/>
      <c r="D3601" s="27"/>
      <c r="E3601" s="27"/>
      <c r="F3601" s="27"/>
      <c r="G3601" s="27"/>
      <c r="J3601" s="27"/>
      <c r="K3601" s="27"/>
      <c r="L3601" s="27"/>
      <c r="M3601" s="27"/>
      <c r="N3601" s="27"/>
    </row>
    <row r="3602" spans="1:14" ht="12.75" customHeight="1" x14ac:dyDescent="0.2">
      <c r="A3602" s="1065" t="s">
        <v>384</v>
      </c>
      <c r="B3602" s="1057"/>
      <c r="C3602" s="1057"/>
      <c r="D3602" s="1057"/>
      <c r="E3602" s="1057"/>
      <c r="F3602" s="1057"/>
      <c r="G3602" s="1057"/>
      <c r="H3602" s="1057"/>
      <c r="I3602" s="1057"/>
      <c r="J3602" s="1057"/>
      <c r="K3602" s="1057"/>
      <c r="L3602" s="1057"/>
      <c r="M3602" s="1057"/>
      <c r="N3602" s="1058"/>
    </row>
    <row r="3603" spans="1:14" ht="12.75" customHeight="1" x14ac:dyDescent="0.2">
      <c r="A3603" s="1066" t="s">
        <v>38</v>
      </c>
      <c r="B3603" s="1057"/>
      <c r="C3603" s="1057"/>
      <c r="D3603" s="1057"/>
      <c r="E3603" s="1057"/>
      <c r="F3603" s="1057"/>
      <c r="G3603" s="1058"/>
      <c r="H3603" s="28" t="s">
        <v>39</v>
      </c>
      <c r="I3603" s="1062" t="s">
        <v>385</v>
      </c>
      <c r="J3603" s="1058"/>
      <c r="K3603" s="1062" t="s">
        <v>132</v>
      </c>
      <c r="L3603" s="1058"/>
      <c r="M3603" s="1062" t="s">
        <v>386</v>
      </c>
      <c r="N3603" s="1058"/>
    </row>
    <row r="3604" spans="1:14" ht="12.75" customHeight="1" x14ac:dyDescent="0.2">
      <c r="A3604" s="1061" t="s">
        <v>1602</v>
      </c>
      <c r="B3604" s="1057"/>
      <c r="C3604" s="1057"/>
      <c r="D3604" s="1057"/>
      <c r="E3604" s="1057"/>
      <c r="F3604" s="1057"/>
      <c r="G3604" s="1058"/>
      <c r="H3604" s="9" t="str">
        <f t="shared" ref="H3604" si="269">IF(A3604="","",VLOOKUP(A3604,AA_Materiales,7,FALSE))</f>
        <v>Kg</v>
      </c>
      <c r="I3604" s="1059">
        <f t="shared" ref="I3604" si="270">IF(A3604="","",VLOOKUP(A3604,AA_Materiales,8,FALSE))</f>
        <v>18890</v>
      </c>
      <c r="J3604" s="1058"/>
      <c r="K3604" s="1060">
        <v>1</v>
      </c>
      <c r="L3604" s="1058"/>
      <c r="M3604" s="1059">
        <f t="shared" ref="M3604:M3609" si="271">IF(A3604="","",I3604*K3604)</f>
        <v>18890</v>
      </c>
      <c r="N3604" s="1058"/>
    </row>
    <row r="3605" spans="1:14" ht="12.75" customHeight="1" x14ac:dyDescent="0.2">
      <c r="A3605" s="1056"/>
      <c r="B3605" s="1057"/>
      <c r="C3605" s="1057"/>
      <c r="D3605" s="1057"/>
      <c r="E3605" s="1057"/>
      <c r="F3605" s="1057"/>
      <c r="G3605" s="1058"/>
      <c r="H3605" s="9" t="str">
        <f t="shared" ref="H3605:H3609" si="272">IF(A3605="","",VLOOKUP(A3605,AA_Materiales,7,FALSE))</f>
        <v/>
      </c>
      <c r="I3605" s="1059" t="str">
        <f t="shared" ref="I3605:I3609" si="273">IF(A3605="","",VLOOKUP(A3605,AA_Materiales,8,FALSE))</f>
        <v/>
      </c>
      <c r="J3605" s="1058"/>
      <c r="K3605" s="1060"/>
      <c r="L3605" s="1058"/>
      <c r="M3605" s="1059" t="str">
        <f t="shared" si="271"/>
        <v/>
      </c>
      <c r="N3605" s="1058"/>
    </row>
    <row r="3606" spans="1:14" ht="12.75" customHeight="1" x14ac:dyDescent="0.2">
      <c r="A3606" s="1056"/>
      <c r="B3606" s="1057"/>
      <c r="C3606" s="1057"/>
      <c r="D3606" s="1057"/>
      <c r="E3606" s="1057"/>
      <c r="F3606" s="1057"/>
      <c r="G3606" s="1058"/>
      <c r="H3606" s="9" t="str">
        <f t="shared" si="272"/>
        <v/>
      </c>
      <c r="I3606" s="1059" t="str">
        <f t="shared" si="273"/>
        <v/>
      </c>
      <c r="J3606" s="1058"/>
      <c r="K3606" s="1060"/>
      <c r="L3606" s="1058"/>
      <c r="M3606" s="1059" t="str">
        <f t="shared" si="271"/>
        <v/>
      </c>
      <c r="N3606" s="1058"/>
    </row>
    <row r="3607" spans="1:14" ht="12.75" customHeight="1" x14ac:dyDescent="0.2">
      <c r="A3607" s="1056"/>
      <c r="B3607" s="1057"/>
      <c r="C3607" s="1057"/>
      <c r="D3607" s="1057"/>
      <c r="E3607" s="1057"/>
      <c r="F3607" s="1057"/>
      <c r="G3607" s="1058"/>
      <c r="H3607" s="9" t="str">
        <f t="shared" si="272"/>
        <v/>
      </c>
      <c r="I3607" s="1059" t="str">
        <f t="shared" si="273"/>
        <v/>
      </c>
      <c r="J3607" s="1058"/>
      <c r="K3607" s="1060"/>
      <c r="L3607" s="1058"/>
      <c r="M3607" s="1059" t="str">
        <f t="shared" si="271"/>
        <v/>
      </c>
      <c r="N3607" s="1058"/>
    </row>
    <row r="3608" spans="1:14" ht="12.75" customHeight="1" x14ac:dyDescent="0.2">
      <c r="A3608" s="1056"/>
      <c r="B3608" s="1057"/>
      <c r="C3608" s="1057"/>
      <c r="D3608" s="1057"/>
      <c r="E3608" s="1057"/>
      <c r="F3608" s="1057"/>
      <c r="G3608" s="1058"/>
      <c r="H3608" s="9" t="str">
        <f t="shared" si="272"/>
        <v/>
      </c>
      <c r="I3608" s="1059" t="str">
        <f t="shared" si="273"/>
        <v/>
      </c>
      <c r="J3608" s="1058"/>
      <c r="K3608" s="1060"/>
      <c r="L3608" s="1058"/>
      <c r="M3608" s="1059" t="str">
        <f t="shared" si="271"/>
        <v/>
      </c>
      <c r="N3608" s="1058"/>
    </row>
    <row r="3609" spans="1:14" ht="12.75" customHeight="1" x14ac:dyDescent="0.2">
      <c r="A3609" s="1056"/>
      <c r="B3609" s="1057"/>
      <c r="C3609" s="1057"/>
      <c r="D3609" s="1057"/>
      <c r="E3609" s="1057"/>
      <c r="F3609" s="1057"/>
      <c r="G3609" s="1058"/>
      <c r="H3609" s="9" t="str">
        <f t="shared" si="272"/>
        <v/>
      </c>
      <c r="I3609" s="1059" t="str">
        <f t="shared" si="273"/>
        <v/>
      </c>
      <c r="J3609" s="1058"/>
      <c r="K3609" s="1060"/>
      <c r="L3609" s="1058"/>
      <c r="M3609" s="1059" t="str">
        <f t="shared" si="271"/>
        <v/>
      </c>
      <c r="N3609" s="1058"/>
    </row>
    <row r="3610" spans="1:14" ht="12.75" customHeight="1" x14ac:dyDescent="0.25">
      <c r="A3610" s="3"/>
      <c r="B3610" s="3"/>
      <c r="C3610" s="3"/>
      <c r="D3610" s="3"/>
      <c r="E3610" s="3"/>
      <c r="F3610" s="3"/>
      <c r="G3610" s="3"/>
      <c r="H3610" s="3"/>
      <c r="I3610" s="3"/>
      <c r="J3610" s="3"/>
      <c r="K3610" s="1066" t="s">
        <v>201</v>
      </c>
      <c r="L3610" s="1058"/>
      <c r="M3610" s="1059">
        <f>SUM(M3604:N3609)</f>
        <v>18890</v>
      </c>
      <c r="N3610" s="1058"/>
    </row>
    <row r="3611" spans="1:14" ht="12.75" customHeight="1" x14ac:dyDescent="0.25">
      <c r="A3611" s="3"/>
      <c r="B3611" s="3"/>
      <c r="C3611" s="3"/>
      <c r="D3611" s="3"/>
      <c r="E3611" s="3"/>
      <c r="F3611" s="3"/>
      <c r="G3611" s="3"/>
      <c r="H3611" s="3"/>
      <c r="I3611" s="3"/>
      <c r="J3611" s="3"/>
      <c r="K3611" s="3"/>
      <c r="L3611" s="3"/>
      <c r="M3611" s="3"/>
      <c r="N3611" s="3"/>
    </row>
    <row r="3612" spans="1:14" ht="12.75" customHeight="1" x14ac:dyDescent="0.2">
      <c r="A3612" s="1065" t="s">
        <v>390</v>
      </c>
      <c r="B3612" s="1057"/>
      <c r="C3612" s="1057"/>
      <c r="D3612" s="1057"/>
      <c r="E3612" s="1057"/>
      <c r="F3612" s="1057"/>
      <c r="G3612" s="1057"/>
      <c r="H3612" s="1057"/>
      <c r="I3612" s="1057"/>
      <c r="J3612" s="1057"/>
      <c r="K3612" s="1057"/>
      <c r="L3612" s="1057"/>
      <c r="M3612" s="1057"/>
      <c r="N3612" s="1058"/>
    </row>
    <row r="3613" spans="1:14" ht="12.75" customHeight="1" x14ac:dyDescent="0.2">
      <c r="A3613" s="1066" t="s">
        <v>38</v>
      </c>
      <c r="B3613" s="1057"/>
      <c r="C3613" s="1057"/>
      <c r="D3613" s="1057"/>
      <c r="E3613" s="1057"/>
      <c r="F3613" s="1057"/>
      <c r="G3613" s="1058"/>
      <c r="H3613" s="28" t="s">
        <v>39</v>
      </c>
      <c r="I3613" s="1062" t="s">
        <v>385</v>
      </c>
      <c r="J3613" s="1058"/>
      <c r="K3613" s="1062" t="s">
        <v>132</v>
      </c>
      <c r="L3613" s="1058"/>
      <c r="M3613" s="1062" t="s">
        <v>386</v>
      </c>
      <c r="N3613" s="1058"/>
    </row>
    <row r="3614" spans="1:14" ht="12.75" customHeight="1" x14ac:dyDescent="0.2">
      <c r="A3614" s="1061" t="s">
        <v>391</v>
      </c>
      <c r="B3614" s="1057"/>
      <c r="C3614" s="1057"/>
      <c r="D3614" s="1057"/>
      <c r="E3614" s="1057"/>
      <c r="F3614" s="1057"/>
      <c r="G3614" s="1058"/>
      <c r="H3614" s="9" t="str">
        <f>IF(A3614="","",VLOOKUP(A3614,AA_Equipos,7,FALSE))</f>
        <v>% M.O.</v>
      </c>
      <c r="I3614" s="1059">
        <f>+M3637</f>
        <v>2147.2080968437845</v>
      </c>
      <c r="J3614" s="1058"/>
      <c r="K3614" s="1064">
        <v>0.05</v>
      </c>
      <c r="L3614" s="1058"/>
      <c r="M3614" s="1059">
        <f>IF(A3614="","",I3614*K3614)</f>
        <v>107.36040484218923</v>
      </c>
      <c r="N3614" s="1058"/>
    </row>
    <row r="3615" spans="1:14" ht="12.75" customHeight="1" x14ac:dyDescent="0.2">
      <c r="A3615" s="1084"/>
      <c r="B3615" s="1085"/>
      <c r="C3615" s="1085"/>
      <c r="D3615" s="1085"/>
      <c r="E3615" s="1085"/>
      <c r="F3615" s="1085"/>
      <c r="G3615" s="1086"/>
      <c r="H3615" s="9" t="str">
        <f>IF(A3615="","",VLOOKUP(A3615,AA_Equipos,7,FALSE))</f>
        <v/>
      </c>
      <c r="I3615" s="1087" t="str">
        <f>IF(A3615="","",VLOOKUP(A3615,AA_Equipos,8,FALSE))</f>
        <v/>
      </c>
      <c r="J3615" s="1088"/>
      <c r="K3615" s="1089"/>
      <c r="L3615" s="1090"/>
      <c r="M3615" s="1059" t="str">
        <f>IF(A3615="","",I3615*K3615)</f>
        <v/>
      </c>
      <c r="N3615" s="1058"/>
    </row>
    <row r="3616" spans="1:14" ht="12.75" customHeight="1" x14ac:dyDescent="0.2">
      <c r="A3616" s="1061"/>
      <c r="B3616" s="1057"/>
      <c r="C3616" s="1057"/>
      <c r="D3616" s="1057"/>
      <c r="E3616" s="1057"/>
      <c r="F3616" s="1057"/>
      <c r="G3616" s="1058"/>
      <c r="H3616" s="9" t="str">
        <f>IF(A3616="","",VLOOKUP(A3616,AA_Equipos,7,FALSE))</f>
        <v/>
      </c>
      <c r="I3616" s="1059" t="str">
        <f>IF(A3616="","",VLOOKUP(A3616,AA_Equipos,8,FALSE))</f>
        <v/>
      </c>
      <c r="J3616" s="1058"/>
      <c r="K3616" s="1070"/>
      <c r="L3616" s="1058"/>
      <c r="M3616" s="1059" t="str">
        <f>IF(A3616="","",I3616*K3616)</f>
        <v/>
      </c>
      <c r="N3616" s="1058"/>
    </row>
    <row r="3617" spans="1:15" ht="12.75" customHeight="1" x14ac:dyDescent="0.2">
      <c r="A3617" s="1061"/>
      <c r="B3617" s="1057"/>
      <c r="C3617" s="1057"/>
      <c r="D3617" s="1057"/>
      <c r="E3617" s="1057"/>
      <c r="F3617" s="1057"/>
      <c r="G3617" s="1058"/>
      <c r="H3617" s="9" t="str">
        <f>IF(A3617="","",VLOOKUP(A3617,AA_Equipos,7,FALSE))</f>
        <v/>
      </c>
      <c r="I3617" s="1059" t="str">
        <f>IF(A3617="","",VLOOKUP(A3617,AA_Equipos,8,FALSE))</f>
        <v/>
      </c>
      <c r="J3617" s="1058"/>
      <c r="K3617" s="1060"/>
      <c r="L3617" s="1058"/>
      <c r="M3617" s="1059" t="str">
        <f>IF(A3617="","",I3617*K3617)</f>
        <v/>
      </c>
      <c r="N3617" s="1058"/>
    </row>
    <row r="3618" spans="1:15" ht="12.75" customHeight="1" x14ac:dyDescent="0.2">
      <c r="A3618" s="1061"/>
      <c r="B3618" s="1057"/>
      <c r="C3618" s="1057"/>
      <c r="D3618" s="1057"/>
      <c r="E3618" s="1057"/>
      <c r="F3618" s="1057"/>
      <c r="G3618" s="1058"/>
      <c r="H3618" s="9" t="str">
        <f>IF(A3618="","",VLOOKUP(A3618,AA_Equipos,7,FALSE))</f>
        <v/>
      </c>
      <c r="I3618" s="1059" t="str">
        <f>IF(A3618="","",VLOOKUP(A3618,AA_Equipos,8,FALSE))</f>
        <v/>
      </c>
      <c r="J3618" s="1058"/>
      <c r="K3618" s="1060"/>
      <c r="L3618" s="1058"/>
      <c r="M3618" s="1059" t="str">
        <f>IF(A3618="","",I3618*K3618)</f>
        <v/>
      </c>
      <c r="N3618" s="1058"/>
      <c r="O3618" s="7"/>
    </row>
    <row r="3619" spans="1:15" ht="12.75" customHeight="1" x14ac:dyDescent="0.25">
      <c r="A3619" s="3"/>
      <c r="B3619" s="3"/>
      <c r="C3619" s="3"/>
      <c r="D3619" s="3"/>
      <c r="E3619" s="3"/>
      <c r="F3619" s="3"/>
      <c r="G3619" s="3"/>
      <c r="H3619" s="3"/>
      <c r="I3619" s="3"/>
      <c r="J3619" s="3"/>
      <c r="K3619" s="1066" t="s">
        <v>201</v>
      </c>
      <c r="L3619" s="1058"/>
      <c r="M3619" s="1059">
        <f>SUM(M3614:N3618)</f>
        <v>107.36040484218923</v>
      </c>
      <c r="N3619" s="1058"/>
      <c r="O3619" s="7"/>
    </row>
    <row r="3620" spans="1:15" ht="12.75" customHeight="1" x14ac:dyDescent="0.25">
      <c r="A3620" s="3"/>
      <c r="B3620" s="3"/>
      <c r="C3620" s="3"/>
      <c r="D3620" s="3"/>
      <c r="E3620" s="3"/>
      <c r="F3620" s="3"/>
      <c r="G3620" s="3"/>
      <c r="H3620" s="3"/>
      <c r="I3620" s="3"/>
      <c r="J3620" s="3"/>
      <c r="K3620" s="3"/>
      <c r="L3620" s="3"/>
      <c r="M3620" s="3"/>
      <c r="N3620" s="3"/>
    </row>
    <row r="3621" spans="1:15" ht="12.75" customHeight="1" x14ac:dyDescent="0.2">
      <c r="A3621" s="1065" t="s">
        <v>392</v>
      </c>
      <c r="B3621" s="1057"/>
      <c r="C3621" s="1057"/>
      <c r="D3621" s="1057"/>
      <c r="E3621" s="1057"/>
      <c r="F3621" s="1057"/>
      <c r="G3621" s="1057"/>
      <c r="H3621" s="1057"/>
      <c r="I3621" s="1057"/>
      <c r="J3621" s="1057"/>
      <c r="K3621" s="1057"/>
      <c r="L3621" s="1057"/>
      <c r="M3621" s="1057"/>
      <c r="N3621" s="1058"/>
    </row>
    <row r="3622" spans="1:15" ht="12.75" customHeight="1" x14ac:dyDescent="0.2">
      <c r="A3622" s="1066" t="s">
        <v>38</v>
      </c>
      <c r="B3622" s="1057"/>
      <c r="C3622" s="1057"/>
      <c r="D3622" s="1057"/>
      <c r="E3622" s="1057"/>
      <c r="F3622" s="1057"/>
      <c r="G3622" s="1058"/>
      <c r="H3622" s="28" t="s">
        <v>39</v>
      </c>
      <c r="I3622" s="1062" t="s">
        <v>385</v>
      </c>
      <c r="J3622" s="1058"/>
      <c r="K3622" s="1062" t="s">
        <v>132</v>
      </c>
      <c r="L3622" s="1058"/>
      <c r="M3622" s="1062" t="s">
        <v>386</v>
      </c>
      <c r="N3622" s="1058"/>
    </row>
    <row r="3623" spans="1:15" ht="12.75" customHeight="1" x14ac:dyDescent="0.2">
      <c r="A3623" s="1061"/>
      <c r="B3623" s="1057"/>
      <c r="C3623" s="1057"/>
      <c r="D3623" s="1057"/>
      <c r="E3623" s="1057"/>
      <c r="F3623" s="1057"/>
      <c r="G3623" s="1058"/>
      <c r="H3623" s="9"/>
      <c r="I3623" s="1059"/>
      <c r="J3623" s="1058"/>
      <c r="K3623" s="1064"/>
      <c r="L3623" s="1058"/>
      <c r="M3623" s="1059" t="str">
        <f>IF(A3623="","",I3623*K3623)</f>
        <v/>
      </c>
      <c r="N3623" s="1058"/>
    </row>
    <row r="3624" spans="1:15" ht="12.75" customHeight="1" x14ac:dyDescent="0.2">
      <c r="A3624" s="1056"/>
      <c r="B3624" s="1057"/>
      <c r="C3624" s="1057"/>
      <c r="D3624" s="1057"/>
      <c r="E3624" s="1057"/>
      <c r="F3624" s="1057"/>
      <c r="G3624" s="1058"/>
      <c r="H3624" s="9"/>
      <c r="I3624" s="1059"/>
      <c r="J3624" s="1058"/>
      <c r="K3624" s="1064"/>
      <c r="L3624" s="1058"/>
      <c r="M3624" s="1059" t="str">
        <f>IF(A3624="","",I3624*K3624)</f>
        <v/>
      </c>
      <c r="N3624" s="1058"/>
    </row>
    <row r="3625" spans="1:15" ht="12.75" customHeight="1" x14ac:dyDescent="0.2">
      <c r="A3625" s="1061"/>
      <c r="B3625" s="1057"/>
      <c r="C3625" s="1057"/>
      <c r="D3625" s="1057"/>
      <c r="E3625" s="1057"/>
      <c r="F3625" s="1057"/>
      <c r="G3625" s="1058"/>
      <c r="H3625" s="9"/>
      <c r="I3625" s="1059"/>
      <c r="J3625" s="1058"/>
      <c r="K3625" s="1060"/>
      <c r="L3625" s="1058"/>
      <c r="M3625" s="1059" t="str">
        <f>IF(A3625="","",I3625*K3625)</f>
        <v/>
      </c>
      <c r="N3625" s="1058"/>
    </row>
    <row r="3626" spans="1:15" ht="12.75" customHeight="1" x14ac:dyDescent="0.2">
      <c r="A3626" s="1061"/>
      <c r="B3626" s="1057"/>
      <c r="C3626" s="1057"/>
      <c r="D3626" s="1057"/>
      <c r="E3626" s="1057"/>
      <c r="F3626" s="1057"/>
      <c r="G3626" s="1058"/>
      <c r="H3626" s="9"/>
      <c r="I3626" s="1059"/>
      <c r="J3626" s="1058"/>
      <c r="K3626" s="1060"/>
      <c r="L3626" s="1058"/>
      <c r="M3626" s="1059" t="str">
        <f>IF(A3626="","",I3626*K3626)</f>
        <v/>
      </c>
      <c r="N3626" s="1058"/>
    </row>
    <row r="3627" spans="1:15" ht="12.75" customHeight="1" x14ac:dyDescent="0.2">
      <c r="A3627" s="1061"/>
      <c r="B3627" s="1057"/>
      <c r="C3627" s="1057"/>
      <c r="D3627" s="1057"/>
      <c r="E3627" s="1057"/>
      <c r="F3627" s="1057"/>
      <c r="G3627" s="1058"/>
      <c r="H3627" s="9"/>
      <c r="I3627" s="1059"/>
      <c r="J3627" s="1058"/>
      <c r="K3627" s="1060"/>
      <c r="L3627" s="1058"/>
      <c r="M3627" s="1059" t="str">
        <f>IF(A3627="","",I3627*K3627)</f>
        <v/>
      </c>
      <c r="N3627" s="1058"/>
    </row>
    <row r="3628" spans="1:15" ht="12.75" customHeight="1" x14ac:dyDescent="0.25">
      <c r="A3628" s="3"/>
      <c r="B3628" s="3"/>
      <c r="C3628" s="3"/>
      <c r="D3628" s="3"/>
      <c r="E3628" s="3"/>
      <c r="F3628" s="3"/>
      <c r="G3628" s="3"/>
      <c r="H3628" s="3"/>
      <c r="I3628" s="3"/>
      <c r="J3628" s="3"/>
      <c r="K3628" s="1066" t="s">
        <v>201</v>
      </c>
      <c r="L3628" s="1058"/>
      <c r="M3628" s="1059">
        <f>SUM(M3623:N3627)</f>
        <v>0</v>
      </c>
      <c r="N3628" s="1058"/>
    </row>
    <row r="3629" spans="1:15" ht="12.75" customHeight="1" x14ac:dyDescent="0.25">
      <c r="A3629" s="3"/>
      <c r="B3629" s="3"/>
      <c r="C3629" s="3"/>
      <c r="D3629" s="3"/>
      <c r="E3629" s="3"/>
      <c r="F3629" s="3"/>
      <c r="G3629" s="3"/>
      <c r="H3629" s="3"/>
      <c r="I3629" s="3"/>
      <c r="J3629" s="3"/>
      <c r="K3629" s="3"/>
      <c r="L3629" s="3"/>
      <c r="M3629" s="3"/>
      <c r="N3629" s="3"/>
    </row>
    <row r="3630" spans="1:15" ht="12.75" customHeight="1" x14ac:dyDescent="0.2">
      <c r="A3630" s="1065" t="s">
        <v>394</v>
      </c>
      <c r="B3630" s="1057"/>
      <c r="C3630" s="1057"/>
      <c r="D3630" s="1057"/>
      <c r="E3630" s="1057"/>
      <c r="F3630" s="1057"/>
      <c r="G3630" s="1057"/>
      <c r="H3630" s="1057"/>
      <c r="I3630" s="1057"/>
      <c r="J3630" s="1057"/>
      <c r="K3630" s="1057"/>
      <c r="L3630" s="1057"/>
      <c r="M3630" s="1057"/>
      <c r="N3630" s="1058"/>
    </row>
    <row r="3631" spans="1:15" ht="12.75" customHeight="1" x14ac:dyDescent="0.2">
      <c r="A3631" s="1066" t="s">
        <v>38</v>
      </c>
      <c r="B3631" s="1057"/>
      <c r="C3631" s="1057"/>
      <c r="D3631" s="1057"/>
      <c r="E3631" s="1057"/>
      <c r="F3631" s="1057"/>
      <c r="G3631" s="1058"/>
      <c r="H3631" s="28" t="s">
        <v>39</v>
      </c>
      <c r="I3631" s="1062" t="s">
        <v>385</v>
      </c>
      <c r="J3631" s="1058"/>
      <c r="K3631" s="30" t="s">
        <v>193</v>
      </c>
      <c r="L3631" s="31" t="s">
        <v>395</v>
      </c>
      <c r="M3631" s="1062" t="s">
        <v>386</v>
      </c>
      <c r="N3631" s="1058"/>
    </row>
    <row r="3632" spans="1:15" ht="12.75" customHeight="1" x14ac:dyDescent="0.25">
      <c r="A3632" s="1063" t="s">
        <v>423</v>
      </c>
      <c r="B3632" s="1057"/>
      <c r="C3632" s="1057"/>
      <c r="D3632" s="1057"/>
      <c r="E3632" s="1057"/>
      <c r="F3632" s="1057"/>
      <c r="G3632" s="1058"/>
      <c r="H3632" s="9" t="str">
        <f>IF(A3632="","",VLOOKUP(A3632,AA_Cuadrillas,4,FALSE))</f>
        <v>Cuadrilla</v>
      </c>
      <c r="I3632" s="1059">
        <f>IF(A3632="","",VLOOKUP(A3632,AA_Cuadrillas,5,FALSE))</f>
        <v>134236</v>
      </c>
      <c r="J3632" s="1058"/>
      <c r="K3632" s="1">
        <f>IF(A3632="","",'06'!$J$3)</f>
        <v>1.7233500000000002</v>
      </c>
      <c r="L3632" s="37">
        <v>9.2817880103919642E-3</v>
      </c>
      <c r="M3632" s="1059">
        <f>IF(A3632="","",I3632*K3632*L3632)</f>
        <v>2147.2080968437845</v>
      </c>
      <c r="N3632" s="1058"/>
    </row>
    <row r="3633" spans="1:14" ht="12.75" customHeight="1" x14ac:dyDescent="0.25">
      <c r="A3633" s="1063"/>
      <c r="B3633" s="1057"/>
      <c r="C3633" s="1057"/>
      <c r="D3633" s="1057"/>
      <c r="E3633" s="1057"/>
      <c r="F3633" s="1057"/>
      <c r="G3633" s="1058"/>
      <c r="H3633" s="9" t="str">
        <f>IF(A3633="","",VLOOKUP(A3633,AA_Cuadrillas,4,FALSE))</f>
        <v/>
      </c>
      <c r="I3633" s="1059" t="str">
        <f>IF(A3633="","",VLOOKUP(A3633,AA_Cuadrillas,5,FALSE))</f>
        <v/>
      </c>
      <c r="J3633" s="1058"/>
      <c r="K3633" s="1" t="str">
        <f>IF(A3633="","",'06'!$J$3)</f>
        <v/>
      </c>
      <c r="L3633" s="1"/>
      <c r="M3633" s="1059" t="str">
        <f>IF(A3633="","",I3633*K3633*L3633)</f>
        <v/>
      </c>
      <c r="N3633" s="1058"/>
    </row>
    <row r="3634" spans="1:14" ht="12.75" customHeight="1" x14ac:dyDescent="0.25">
      <c r="A3634" s="1063"/>
      <c r="B3634" s="1057"/>
      <c r="C3634" s="1057"/>
      <c r="D3634" s="1057"/>
      <c r="E3634" s="1057"/>
      <c r="F3634" s="1057"/>
      <c r="G3634" s="1058"/>
      <c r="H3634" s="9" t="str">
        <f>IF(A3634="","",VLOOKUP(A3634,AA_Cuadrillas,4,FALSE))</f>
        <v/>
      </c>
      <c r="I3634" s="1059" t="str">
        <f>IF(A3634="","",VLOOKUP(A3634,AA_Cuadrillas,5,FALSE))</f>
        <v/>
      </c>
      <c r="J3634" s="1058"/>
      <c r="K3634" s="1" t="str">
        <f>IF(A3634="","",'06'!$J$3)</f>
        <v/>
      </c>
      <c r="L3634" s="10"/>
      <c r="M3634" s="1059" t="str">
        <f>IF(A3634="","",I3634*K3634*L3634)</f>
        <v/>
      </c>
      <c r="N3634" s="1058"/>
    </row>
    <row r="3635" spans="1:14" ht="12.75" customHeight="1" x14ac:dyDescent="0.25">
      <c r="A3635" s="1063"/>
      <c r="B3635" s="1057"/>
      <c r="C3635" s="1057"/>
      <c r="D3635" s="1057"/>
      <c r="E3635" s="1057"/>
      <c r="F3635" s="1057"/>
      <c r="G3635" s="1058"/>
      <c r="H3635" s="9" t="str">
        <f>IF(A3635="","",VLOOKUP(A3635,AA_Cuadrillas,4,FALSE))</f>
        <v/>
      </c>
      <c r="I3635" s="1059" t="str">
        <f>IF(A3635="","",VLOOKUP(A3635,AA_Cuadrillas,5,FALSE))</f>
        <v/>
      </c>
      <c r="J3635" s="1058"/>
      <c r="K3635" s="1" t="str">
        <f>IF(A3635="","",'06'!$J$3)</f>
        <v/>
      </c>
      <c r="L3635" s="10"/>
      <c r="M3635" s="1059" t="str">
        <f>IF(A3635="","",I3635*K3635*L3635)</f>
        <v/>
      </c>
      <c r="N3635" s="1058"/>
    </row>
    <row r="3636" spans="1:14" ht="12.75" customHeight="1" x14ac:dyDescent="0.25">
      <c r="A3636" s="1063"/>
      <c r="B3636" s="1057"/>
      <c r="C3636" s="1057"/>
      <c r="D3636" s="1057"/>
      <c r="E3636" s="1057"/>
      <c r="F3636" s="1057"/>
      <c r="G3636" s="1058"/>
      <c r="H3636" s="9" t="str">
        <f>IF(A3636="","",VLOOKUP(A3636,AA_Cuadrillas,4,FALSE))</f>
        <v/>
      </c>
      <c r="I3636" s="1059" t="str">
        <f>IF(A3636="","",VLOOKUP(A3636,AA_Cuadrillas,5,FALSE))</f>
        <v/>
      </c>
      <c r="J3636" s="1058"/>
      <c r="K3636" s="1" t="str">
        <f>IF(A3636="","",'06'!$J$3)</f>
        <v/>
      </c>
      <c r="L3636" s="10"/>
      <c r="M3636" s="1059" t="str">
        <f>IF(A3636="","",I3636*K3636*L3636)</f>
        <v/>
      </c>
      <c r="N3636" s="1058"/>
    </row>
    <row r="3637" spans="1:14" ht="12.75" customHeight="1" x14ac:dyDescent="0.25">
      <c r="A3637" s="3"/>
      <c r="B3637" s="3"/>
      <c r="C3637" s="3"/>
      <c r="D3637" s="3"/>
      <c r="E3637" s="3"/>
      <c r="F3637" s="3"/>
      <c r="G3637" s="3"/>
      <c r="H3637" s="3"/>
      <c r="I3637" s="3"/>
      <c r="J3637" s="3"/>
      <c r="K3637" s="1066" t="s">
        <v>201</v>
      </c>
      <c r="L3637" s="1058"/>
      <c r="M3637" s="1059">
        <f>SUM(M3632:N3636)</f>
        <v>2147.2080968437845</v>
      </c>
      <c r="N3637" s="1058"/>
    </row>
    <row r="3638" spans="1:14" ht="12.75" customHeight="1" x14ac:dyDescent="0.2"/>
    <row r="3639" spans="1:14" ht="12.75" customHeight="1" x14ac:dyDescent="0.2">
      <c r="A3639" s="1068" t="s">
        <v>1751</v>
      </c>
      <c r="B3639" s="1052"/>
      <c r="C3639" s="1052"/>
      <c r="D3639" s="1052"/>
      <c r="E3639" s="1052"/>
      <c r="F3639" s="1052"/>
      <c r="G3639" s="1052"/>
      <c r="H3639" s="1052"/>
      <c r="I3639" s="1052"/>
      <c r="J3639" s="1052"/>
      <c r="K3639" s="1052"/>
      <c r="L3639" s="1052"/>
      <c r="M3639" s="1052"/>
      <c r="N3639" s="1053"/>
    </row>
    <row r="3640" spans="1:14" ht="12.75" customHeight="1" x14ac:dyDescent="0.2">
      <c r="A3640" s="1031"/>
      <c r="B3640" s="1032"/>
      <c r="C3640" s="1032"/>
      <c r="D3640" s="1032"/>
      <c r="E3640" s="1032"/>
      <c r="F3640" s="1032"/>
      <c r="G3640" s="1032"/>
      <c r="H3640" s="1032"/>
      <c r="I3640" s="1032"/>
      <c r="J3640" s="1032"/>
      <c r="K3640" s="1032"/>
      <c r="L3640" s="1032"/>
      <c r="M3640" s="1032"/>
      <c r="N3640" s="1055"/>
    </row>
    <row r="3641" spans="1:14" ht="12.75" customHeight="1" x14ac:dyDescent="0.2">
      <c r="A3641" s="16"/>
      <c r="B3641" s="16"/>
      <c r="C3641" s="16"/>
      <c r="D3641" s="16"/>
      <c r="E3641" s="16"/>
      <c r="F3641" s="16"/>
      <c r="G3641" s="16"/>
      <c r="H3641" s="16"/>
      <c r="I3641" s="16"/>
      <c r="J3641" s="16"/>
      <c r="K3641" s="16"/>
      <c r="L3641" s="16"/>
      <c r="M3641" s="16"/>
      <c r="N3641" s="16"/>
    </row>
    <row r="3642" spans="1:14" ht="12.75" customHeight="1" x14ac:dyDescent="0.3">
      <c r="A3642" s="18" t="s">
        <v>376</v>
      </c>
      <c r="B3642" s="19" t="str">
        <f>A3639</f>
        <v>INSTALACIÓN TUBERÍA PEAD RDE 17 Ø3"-DI 90mm.</v>
      </c>
      <c r="C3642" s="20" t="s">
        <v>382</v>
      </c>
      <c r="D3642" s="21" t="s">
        <v>419</v>
      </c>
      <c r="E3642" s="22" t="s">
        <v>125</v>
      </c>
      <c r="F3642" s="26">
        <f>(H3642+J3642+L3642+N3642)*$O$2</f>
        <v>12281.691178621173</v>
      </c>
      <c r="G3642" s="22" t="s">
        <v>285</v>
      </c>
      <c r="H3642" s="26">
        <f>M3661</f>
        <v>126.43160727550082</v>
      </c>
      <c r="I3642" s="22" t="s">
        <v>383</v>
      </c>
      <c r="J3642" s="26">
        <f>M3652</f>
        <v>6792.3910000000005</v>
      </c>
      <c r="K3642" s="22" t="s">
        <v>287</v>
      </c>
      <c r="L3642" s="26">
        <f>M3670</f>
        <v>0</v>
      </c>
      <c r="M3642" s="22" t="s">
        <v>288</v>
      </c>
      <c r="N3642" s="26">
        <f>M3679</f>
        <v>2528.6321455100165</v>
      </c>
    </row>
    <row r="3643" spans="1:14" ht="12.75" customHeight="1" x14ac:dyDescent="0.25">
      <c r="A3643" s="27"/>
      <c r="B3643" s="27"/>
      <c r="C3643" s="27"/>
      <c r="D3643" s="27"/>
      <c r="E3643" s="27"/>
      <c r="F3643" s="27"/>
      <c r="G3643" s="27"/>
      <c r="J3643" s="27"/>
      <c r="K3643" s="27"/>
      <c r="L3643" s="27"/>
      <c r="M3643" s="27"/>
      <c r="N3643" s="27"/>
    </row>
    <row r="3644" spans="1:14" ht="12.75" customHeight="1" x14ac:dyDescent="0.2">
      <c r="A3644" s="1065" t="s">
        <v>384</v>
      </c>
      <c r="B3644" s="1057"/>
      <c r="C3644" s="1057"/>
      <c r="D3644" s="1057"/>
      <c r="E3644" s="1057"/>
      <c r="F3644" s="1057"/>
      <c r="G3644" s="1057"/>
      <c r="H3644" s="1057"/>
      <c r="I3644" s="1057"/>
      <c r="J3644" s="1057"/>
      <c r="K3644" s="1057"/>
      <c r="L3644" s="1057"/>
      <c r="M3644" s="1057"/>
      <c r="N3644" s="1058"/>
    </row>
    <row r="3645" spans="1:14" ht="12.75" customHeight="1" x14ac:dyDescent="0.2">
      <c r="A3645" s="1066" t="s">
        <v>38</v>
      </c>
      <c r="B3645" s="1057"/>
      <c r="C3645" s="1057"/>
      <c r="D3645" s="1057"/>
      <c r="E3645" s="1057"/>
      <c r="F3645" s="1057"/>
      <c r="G3645" s="1058"/>
      <c r="H3645" s="28" t="s">
        <v>39</v>
      </c>
      <c r="I3645" s="1062" t="s">
        <v>385</v>
      </c>
      <c r="J3645" s="1058"/>
      <c r="K3645" s="1062" t="s">
        <v>132</v>
      </c>
      <c r="L3645" s="1058"/>
      <c r="M3645" s="1062" t="s">
        <v>386</v>
      </c>
      <c r="N3645" s="1058"/>
    </row>
    <row r="3646" spans="1:14" ht="12.75" customHeight="1" x14ac:dyDescent="0.2">
      <c r="A3646" s="1061" t="s">
        <v>1509</v>
      </c>
      <c r="B3646" s="1057"/>
      <c r="C3646" s="1057"/>
      <c r="D3646" s="1057"/>
      <c r="E3646" s="1057"/>
      <c r="F3646" s="1057"/>
      <c r="G3646" s="1058"/>
      <c r="H3646" s="9" t="str">
        <f t="shared" ref="H3646" si="274">IF(A3646="","",VLOOKUP(A3646,AA_Materiales,7,FALSE))</f>
        <v>m</v>
      </c>
      <c r="I3646" s="1059">
        <f t="shared" ref="I3646" si="275">IF(A3646="","",VLOOKUP(A3646,AA_Materiales,8,FALSE))</f>
        <v>40673</v>
      </c>
      <c r="J3646" s="1058"/>
      <c r="K3646" s="1060">
        <v>0.16700000000000001</v>
      </c>
      <c r="L3646" s="1058"/>
      <c r="M3646" s="1059">
        <f t="shared" ref="M3646:M3651" si="276">IF(A3646="","",I3646*K3646)</f>
        <v>6792.3910000000005</v>
      </c>
      <c r="N3646" s="1058"/>
    </row>
    <row r="3647" spans="1:14" ht="12.75" customHeight="1" x14ac:dyDescent="0.2">
      <c r="A3647" s="1056"/>
      <c r="B3647" s="1057"/>
      <c r="C3647" s="1057"/>
      <c r="D3647" s="1057"/>
      <c r="E3647" s="1057"/>
      <c r="F3647" s="1057"/>
      <c r="G3647" s="1058"/>
      <c r="H3647" s="9" t="str">
        <f t="shared" ref="H3647:H3651" si="277">IF(A3647="","",VLOOKUP(A3647,AA_Materiales,7,FALSE))</f>
        <v/>
      </c>
      <c r="I3647" s="1059" t="str">
        <f t="shared" ref="I3647:I3651" si="278">IF(A3647="","",VLOOKUP(A3647,AA_Materiales,8,FALSE))</f>
        <v/>
      </c>
      <c r="J3647" s="1058"/>
      <c r="K3647" s="1060"/>
      <c r="L3647" s="1058"/>
      <c r="M3647" s="1059" t="str">
        <f t="shared" si="276"/>
        <v/>
      </c>
      <c r="N3647" s="1058"/>
    </row>
    <row r="3648" spans="1:14" ht="12.75" customHeight="1" x14ac:dyDescent="0.2">
      <c r="A3648" s="1056"/>
      <c r="B3648" s="1057"/>
      <c r="C3648" s="1057"/>
      <c r="D3648" s="1057"/>
      <c r="E3648" s="1057"/>
      <c r="F3648" s="1057"/>
      <c r="G3648" s="1058"/>
      <c r="H3648" s="9" t="str">
        <f t="shared" si="277"/>
        <v/>
      </c>
      <c r="I3648" s="1059" t="str">
        <f t="shared" si="278"/>
        <v/>
      </c>
      <c r="J3648" s="1058"/>
      <c r="K3648" s="1060"/>
      <c r="L3648" s="1058"/>
      <c r="M3648" s="1059" t="str">
        <f t="shared" si="276"/>
        <v/>
      </c>
      <c r="N3648" s="1058"/>
    </row>
    <row r="3649" spans="1:15" ht="12.75" customHeight="1" x14ac:dyDescent="0.2">
      <c r="A3649" s="1056"/>
      <c r="B3649" s="1057"/>
      <c r="C3649" s="1057"/>
      <c r="D3649" s="1057"/>
      <c r="E3649" s="1057"/>
      <c r="F3649" s="1057"/>
      <c r="G3649" s="1058"/>
      <c r="H3649" s="9" t="str">
        <f t="shared" si="277"/>
        <v/>
      </c>
      <c r="I3649" s="1059" t="str">
        <f t="shared" si="278"/>
        <v/>
      </c>
      <c r="J3649" s="1058"/>
      <c r="K3649" s="1060"/>
      <c r="L3649" s="1058"/>
      <c r="M3649" s="1059" t="str">
        <f t="shared" si="276"/>
        <v/>
      </c>
      <c r="N3649" s="1058"/>
    </row>
    <row r="3650" spans="1:15" ht="12.75" customHeight="1" x14ac:dyDescent="0.2">
      <c r="A3650" s="1056"/>
      <c r="B3650" s="1057"/>
      <c r="C3650" s="1057"/>
      <c r="D3650" s="1057"/>
      <c r="E3650" s="1057"/>
      <c r="F3650" s="1057"/>
      <c r="G3650" s="1058"/>
      <c r="H3650" s="9" t="str">
        <f t="shared" si="277"/>
        <v/>
      </c>
      <c r="I3650" s="1059" t="str">
        <f t="shared" si="278"/>
        <v/>
      </c>
      <c r="J3650" s="1058"/>
      <c r="K3650" s="1060"/>
      <c r="L3650" s="1058"/>
      <c r="M3650" s="1059" t="str">
        <f t="shared" si="276"/>
        <v/>
      </c>
      <c r="N3650" s="1058"/>
    </row>
    <row r="3651" spans="1:15" ht="12.75" customHeight="1" x14ac:dyDescent="0.2">
      <c r="A3651" s="1056"/>
      <c r="B3651" s="1057"/>
      <c r="C3651" s="1057"/>
      <c r="D3651" s="1057"/>
      <c r="E3651" s="1057"/>
      <c r="F3651" s="1057"/>
      <c r="G3651" s="1058"/>
      <c r="H3651" s="9" t="str">
        <f t="shared" si="277"/>
        <v/>
      </c>
      <c r="I3651" s="1059" t="str">
        <f t="shared" si="278"/>
        <v/>
      </c>
      <c r="J3651" s="1058"/>
      <c r="K3651" s="1060"/>
      <c r="L3651" s="1058"/>
      <c r="M3651" s="1059" t="str">
        <f t="shared" si="276"/>
        <v/>
      </c>
      <c r="N3651" s="1058"/>
    </row>
    <row r="3652" spans="1:15" ht="12.75" customHeight="1" x14ac:dyDescent="0.25">
      <c r="A3652" s="3"/>
      <c r="B3652" s="3"/>
      <c r="C3652" s="3"/>
      <c r="D3652" s="3"/>
      <c r="E3652" s="3"/>
      <c r="F3652" s="3"/>
      <c r="G3652" s="3"/>
      <c r="H3652" s="3"/>
      <c r="I3652" s="3"/>
      <c r="J3652" s="3"/>
      <c r="K3652" s="1066" t="s">
        <v>201</v>
      </c>
      <c r="L3652" s="1058"/>
      <c r="M3652" s="1059">
        <f>SUM(M3646:N3651)</f>
        <v>6792.3910000000005</v>
      </c>
      <c r="N3652" s="1058"/>
    </row>
    <row r="3653" spans="1:15" ht="12.75" customHeight="1" x14ac:dyDescent="0.25">
      <c r="A3653" s="3"/>
      <c r="B3653" s="3"/>
      <c r="C3653" s="3"/>
      <c r="D3653" s="3"/>
      <c r="E3653" s="3"/>
      <c r="F3653" s="3"/>
      <c r="G3653" s="3"/>
      <c r="H3653" s="3"/>
      <c r="I3653" s="3"/>
      <c r="J3653" s="3"/>
      <c r="K3653" s="3"/>
      <c r="L3653" s="3"/>
      <c r="M3653" s="3"/>
      <c r="N3653" s="3"/>
    </row>
    <row r="3654" spans="1:15" ht="12.75" customHeight="1" x14ac:dyDescent="0.2">
      <c r="A3654" s="1065" t="s">
        <v>390</v>
      </c>
      <c r="B3654" s="1057"/>
      <c r="C3654" s="1057"/>
      <c r="D3654" s="1057"/>
      <c r="E3654" s="1057"/>
      <c r="F3654" s="1057"/>
      <c r="G3654" s="1057"/>
      <c r="H3654" s="1057"/>
      <c r="I3654" s="1057"/>
      <c r="J3654" s="1057"/>
      <c r="K3654" s="1057"/>
      <c r="L3654" s="1057"/>
      <c r="M3654" s="1057"/>
      <c r="N3654" s="1058"/>
    </row>
    <row r="3655" spans="1:15" ht="12.75" customHeight="1" x14ac:dyDescent="0.2">
      <c r="A3655" s="1066" t="s">
        <v>38</v>
      </c>
      <c r="B3655" s="1057"/>
      <c r="C3655" s="1057"/>
      <c r="D3655" s="1057"/>
      <c r="E3655" s="1057"/>
      <c r="F3655" s="1057"/>
      <c r="G3655" s="1058"/>
      <c r="H3655" s="28" t="s">
        <v>39</v>
      </c>
      <c r="I3655" s="1062" t="s">
        <v>385</v>
      </c>
      <c r="J3655" s="1058"/>
      <c r="K3655" s="1062" t="s">
        <v>132</v>
      </c>
      <c r="L3655" s="1058"/>
      <c r="M3655" s="1062" t="s">
        <v>386</v>
      </c>
      <c r="N3655" s="1058"/>
    </row>
    <row r="3656" spans="1:15" ht="12.75" customHeight="1" x14ac:dyDescent="0.2">
      <c r="A3656" s="1061" t="s">
        <v>391</v>
      </c>
      <c r="B3656" s="1057"/>
      <c r="C3656" s="1057"/>
      <c r="D3656" s="1057"/>
      <c r="E3656" s="1057"/>
      <c r="F3656" s="1057"/>
      <c r="G3656" s="1058"/>
      <c r="H3656" s="9" t="str">
        <f>IF(A3656="","",VLOOKUP(A3656,AA_Equipos,7,FALSE))</f>
        <v>% M.O.</v>
      </c>
      <c r="I3656" s="1059">
        <f>+M3679</f>
        <v>2528.6321455100165</v>
      </c>
      <c r="J3656" s="1058"/>
      <c r="K3656" s="1064">
        <v>0.05</v>
      </c>
      <c r="L3656" s="1058"/>
      <c r="M3656" s="1059">
        <f>IF(A3656="","",I3656*K3656)</f>
        <v>126.43160727550082</v>
      </c>
      <c r="N3656" s="1058"/>
    </row>
    <row r="3657" spans="1:15" ht="12.75" customHeight="1" x14ac:dyDescent="0.2">
      <c r="A3657" s="1056"/>
      <c r="B3657" s="1057"/>
      <c r="C3657" s="1057"/>
      <c r="D3657" s="1057"/>
      <c r="E3657" s="1057"/>
      <c r="F3657" s="1057"/>
      <c r="G3657" s="1058"/>
      <c r="H3657" s="9" t="str">
        <f>IF(A3657="","",VLOOKUP(A3657,AA_Equipos,7,FALSE))</f>
        <v/>
      </c>
      <c r="I3657" s="1059" t="str">
        <f>IF(A3657="","",VLOOKUP(A3657,AA_Equipos,8,FALSE))</f>
        <v/>
      </c>
      <c r="J3657" s="1058"/>
      <c r="K3657" s="1067"/>
      <c r="L3657" s="1058"/>
      <c r="M3657" s="1059" t="str">
        <f>IF(A3657="","",I3657*K3657)</f>
        <v/>
      </c>
      <c r="N3657" s="1058"/>
    </row>
    <row r="3658" spans="1:15" ht="12.75" customHeight="1" x14ac:dyDescent="0.2">
      <c r="A3658" s="1061"/>
      <c r="B3658" s="1057"/>
      <c r="C3658" s="1057"/>
      <c r="D3658" s="1057"/>
      <c r="E3658" s="1057"/>
      <c r="F3658" s="1057"/>
      <c r="G3658" s="1058"/>
      <c r="H3658" s="9" t="str">
        <f>IF(A3658="","",VLOOKUP(A3658,AA_Equipos,7,FALSE))</f>
        <v/>
      </c>
      <c r="I3658" s="1059" t="str">
        <f>IF(A3658="","",VLOOKUP(A3658,AA_Equipos,8,FALSE))</f>
        <v/>
      </c>
      <c r="J3658" s="1058"/>
      <c r="K3658" s="1070"/>
      <c r="L3658" s="1058"/>
      <c r="M3658" s="1059" t="str">
        <f>IF(A3658="","",I3658*K3658)</f>
        <v/>
      </c>
      <c r="N3658" s="1058"/>
    </row>
    <row r="3659" spans="1:15" ht="12.75" customHeight="1" x14ac:dyDescent="0.2">
      <c r="A3659" s="1061"/>
      <c r="B3659" s="1057"/>
      <c r="C3659" s="1057"/>
      <c r="D3659" s="1057"/>
      <c r="E3659" s="1057"/>
      <c r="F3659" s="1057"/>
      <c r="G3659" s="1058"/>
      <c r="H3659" s="9" t="str">
        <f>IF(A3659="","",VLOOKUP(A3659,AA_Equipos,7,FALSE))</f>
        <v/>
      </c>
      <c r="I3659" s="1059" t="str">
        <f>IF(A3659="","",VLOOKUP(A3659,AA_Equipos,8,FALSE))</f>
        <v/>
      </c>
      <c r="J3659" s="1058"/>
      <c r="K3659" s="1060"/>
      <c r="L3659" s="1058"/>
      <c r="M3659" s="1059" t="str">
        <f>IF(A3659="","",I3659*K3659)</f>
        <v/>
      </c>
      <c r="N3659" s="1058"/>
    </row>
    <row r="3660" spans="1:15" ht="12.75" customHeight="1" x14ac:dyDescent="0.2">
      <c r="A3660" s="1061"/>
      <c r="B3660" s="1057"/>
      <c r="C3660" s="1057"/>
      <c r="D3660" s="1057"/>
      <c r="E3660" s="1057"/>
      <c r="F3660" s="1057"/>
      <c r="G3660" s="1058"/>
      <c r="H3660" s="9" t="str">
        <f>IF(A3660="","",VLOOKUP(A3660,AA_Equipos,7,FALSE))</f>
        <v/>
      </c>
      <c r="I3660" s="1059" t="str">
        <f>IF(A3660="","",VLOOKUP(A3660,AA_Equipos,8,FALSE))</f>
        <v/>
      </c>
      <c r="J3660" s="1058"/>
      <c r="K3660" s="1060"/>
      <c r="L3660" s="1058"/>
      <c r="M3660" s="1059" t="str">
        <f>IF(A3660="","",I3660*K3660)</f>
        <v/>
      </c>
      <c r="N3660" s="1058"/>
      <c r="O3660" s="7"/>
    </row>
    <row r="3661" spans="1:15" ht="12.75" customHeight="1" x14ac:dyDescent="0.25">
      <c r="A3661" s="3"/>
      <c r="B3661" s="3"/>
      <c r="C3661" s="3"/>
      <c r="D3661" s="3"/>
      <c r="E3661" s="3"/>
      <c r="F3661" s="3"/>
      <c r="G3661" s="3"/>
      <c r="H3661" s="3"/>
      <c r="I3661" s="3"/>
      <c r="J3661" s="3"/>
      <c r="K3661" s="1066" t="s">
        <v>201</v>
      </c>
      <c r="L3661" s="1058"/>
      <c r="M3661" s="1059">
        <f>SUM(M3656:N3660)</f>
        <v>126.43160727550082</v>
      </c>
      <c r="N3661" s="1058"/>
      <c r="O3661" s="7"/>
    </row>
    <row r="3662" spans="1:15" ht="12.75" customHeight="1" x14ac:dyDescent="0.25">
      <c r="A3662" s="3"/>
      <c r="B3662" s="3"/>
      <c r="C3662" s="3"/>
      <c r="D3662" s="3"/>
      <c r="E3662" s="3"/>
      <c r="F3662" s="3"/>
      <c r="G3662" s="3"/>
      <c r="H3662" s="3"/>
      <c r="I3662" s="3"/>
      <c r="J3662" s="3"/>
      <c r="K3662" s="3"/>
      <c r="L3662" s="3"/>
      <c r="M3662" s="3"/>
      <c r="N3662" s="3"/>
    </row>
    <row r="3663" spans="1:15" ht="12.75" customHeight="1" x14ac:dyDescent="0.2">
      <c r="A3663" s="1065" t="s">
        <v>392</v>
      </c>
      <c r="B3663" s="1057"/>
      <c r="C3663" s="1057"/>
      <c r="D3663" s="1057"/>
      <c r="E3663" s="1057"/>
      <c r="F3663" s="1057"/>
      <c r="G3663" s="1057"/>
      <c r="H3663" s="1057"/>
      <c r="I3663" s="1057"/>
      <c r="J3663" s="1057"/>
      <c r="K3663" s="1057"/>
      <c r="L3663" s="1057"/>
      <c r="M3663" s="1057"/>
      <c r="N3663" s="1058"/>
    </row>
    <row r="3664" spans="1:15" ht="12.75" customHeight="1" x14ac:dyDescent="0.2">
      <c r="A3664" s="1066" t="s">
        <v>38</v>
      </c>
      <c r="B3664" s="1057"/>
      <c r="C3664" s="1057"/>
      <c r="D3664" s="1057"/>
      <c r="E3664" s="1057"/>
      <c r="F3664" s="1057"/>
      <c r="G3664" s="1058"/>
      <c r="H3664" s="28" t="s">
        <v>39</v>
      </c>
      <c r="I3664" s="1062" t="s">
        <v>385</v>
      </c>
      <c r="J3664" s="1058"/>
      <c r="K3664" s="1062" t="s">
        <v>132</v>
      </c>
      <c r="L3664" s="1058"/>
      <c r="M3664" s="1062" t="s">
        <v>386</v>
      </c>
      <c r="N3664" s="1058"/>
    </row>
    <row r="3665" spans="1:14" ht="12.75" customHeight="1" x14ac:dyDescent="0.2">
      <c r="A3665" s="1061"/>
      <c r="B3665" s="1057"/>
      <c r="C3665" s="1057"/>
      <c r="D3665" s="1057"/>
      <c r="E3665" s="1057"/>
      <c r="F3665" s="1057"/>
      <c r="G3665" s="1058"/>
      <c r="H3665" s="9"/>
      <c r="I3665" s="1059"/>
      <c r="J3665" s="1058"/>
      <c r="K3665" s="1064"/>
      <c r="L3665" s="1058"/>
      <c r="M3665" s="1059" t="str">
        <f>IF(A3665="","",I3665*K3665)</f>
        <v/>
      </c>
      <c r="N3665" s="1058"/>
    </row>
    <row r="3666" spans="1:14" ht="12.75" customHeight="1" x14ac:dyDescent="0.2">
      <c r="A3666" s="1056"/>
      <c r="B3666" s="1057"/>
      <c r="C3666" s="1057"/>
      <c r="D3666" s="1057"/>
      <c r="E3666" s="1057"/>
      <c r="F3666" s="1057"/>
      <c r="G3666" s="1058"/>
      <c r="H3666" s="9"/>
      <c r="I3666" s="1059"/>
      <c r="J3666" s="1058"/>
      <c r="K3666" s="1064"/>
      <c r="L3666" s="1058"/>
      <c r="M3666" s="1059" t="str">
        <f>IF(A3666="","",I3666*K3666)</f>
        <v/>
      </c>
      <c r="N3666" s="1058"/>
    </row>
    <row r="3667" spans="1:14" ht="12.75" customHeight="1" x14ac:dyDescent="0.2">
      <c r="A3667" s="1061"/>
      <c r="B3667" s="1057"/>
      <c r="C3667" s="1057"/>
      <c r="D3667" s="1057"/>
      <c r="E3667" s="1057"/>
      <c r="F3667" s="1057"/>
      <c r="G3667" s="1058"/>
      <c r="H3667" s="9"/>
      <c r="I3667" s="1059"/>
      <c r="J3667" s="1058"/>
      <c r="K3667" s="1060"/>
      <c r="L3667" s="1058"/>
      <c r="M3667" s="1059" t="str">
        <f>IF(A3667="","",I3667*K3667)</f>
        <v/>
      </c>
      <c r="N3667" s="1058"/>
    </row>
    <row r="3668" spans="1:14" ht="12.75" customHeight="1" x14ac:dyDescent="0.2">
      <c r="A3668" s="1061"/>
      <c r="B3668" s="1057"/>
      <c r="C3668" s="1057"/>
      <c r="D3668" s="1057"/>
      <c r="E3668" s="1057"/>
      <c r="F3668" s="1057"/>
      <c r="G3668" s="1058"/>
      <c r="H3668" s="9"/>
      <c r="I3668" s="1059"/>
      <c r="J3668" s="1058"/>
      <c r="K3668" s="1060"/>
      <c r="L3668" s="1058"/>
      <c r="M3668" s="1059" t="str">
        <f>IF(A3668="","",I3668*K3668)</f>
        <v/>
      </c>
      <c r="N3668" s="1058"/>
    </row>
    <row r="3669" spans="1:14" ht="12.75" customHeight="1" x14ac:dyDescent="0.2">
      <c r="A3669" s="1061"/>
      <c r="B3669" s="1057"/>
      <c r="C3669" s="1057"/>
      <c r="D3669" s="1057"/>
      <c r="E3669" s="1057"/>
      <c r="F3669" s="1057"/>
      <c r="G3669" s="1058"/>
      <c r="H3669" s="9"/>
      <c r="I3669" s="1059"/>
      <c r="J3669" s="1058"/>
      <c r="K3669" s="1060"/>
      <c r="L3669" s="1058"/>
      <c r="M3669" s="1059" t="str">
        <f>IF(A3669="","",I3669*K3669)</f>
        <v/>
      </c>
      <c r="N3669" s="1058"/>
    </row>
    <row r="3670" spans="1:14" ht="12.75" customHeight="1" x14ac:dyDescent="0.25">
      <c r="A3670" s="3"/>
      <c r="B3670" s="3"/>
      <c r="C3670" s="3"/>
      <c r="D3670" s="3"/>
      <c r="E3670" s="3"/>
      <c r="F3670" s="3"/>
      <c r="G3670" s="3"/>
      <c r="H3670" s="3"/>
      <c r="I3670" s="3"/>
      <c r="J3670" s="3"/>
      <c r="K3670" s="1066" t="s">
        <v>201</v>
      </c>
      <c r="L3670" s="1058"/>
      <c r="M3670" s="1059">
        <f>SUM(M3665:N3669)</f>
        <v>0</v>
      </c>
      <c r="N3670" s="1058"/>
    </row>
    <row r="3671" spans="1:14" ht="12.75" customHeight="1" x14ac:dyDescent="0.25">
      <c r="A3671" s="3"/>
      <c r="B3671" s="3"/>
      <c r="C3671" s="3"/>
      <c r="D3671" s="3"/>
      <c r="E3671" s="3"/>
      <c r="F3671" s="3"/>
      <c r="G3671" s="3"/>
      <c r="H3671" s="3"/>
      <c r="I3671" s="3"/>
      <c r="J3671" s="3"/>
      <c r="K3671" s="3"/>
      <c r="L3671" s="3"/>
      <c r="M3671" s="3"/>
      <c r="N3671" s="3"/>
    </row>
    <row r="3672" spans="1:14" ht="12.75" customHeight="1" x14ac:dyDescent="0.2">
      <c r="A3672" s="1065" t="s">
        <v>394</v>
      </c>
      <c r="B3672" s="1057"/>
      <c r="C3672" s="1057"/>
      <c r="D3672" s="1057"/>
      <c r="E3672" s="1057"/>
      <c r="F3672" s="1057"/>
      <c r="G3672" s="1057"/>
      <c r="H3672" s="1057"/>
      <c r="I3672" s="1057"/>
      <c r="J3672" s="1057"/>
      <c r="K3672" s="1057"/>
      <c r="L3672" s="1057"/>
      <c r="M3672" s="1057"/>
      <c r="N3672" s="1058"/>
    </row>
    <row r="3673" spans="1:14" ht="12.75" customHeight="1" x14ac:dyDescent="0.2">
      <c r="A3673" s="1066" t="s">
        <v>38</v>
      </c>
      <c r="B3673" s="1057"/>
      <c r="C3673" s="1057"/>
      <c r="D3673" s="1057"/>
      <c r="E3673" s="1057"/>
      <c r="F3673" s="1057"/>
      <c r="G3673" s="1058"/>
      <c r="H3673" s="28" t="s">
        <v>39</v>
      </c>
      <c r="I3673" s="1062" t="s">
        <v>385</v>
      </c>
      <c r="J3673" s="1058"/>
      <c r="K3673" s="30" t="s">
        <v>193</v>
      </c>
      <c r="L3673" s="31" t="s">
        <v>395</v>
      </c>
      <c r="M3673" s="1062" t="s">
        <v>386</v>
      </c>
      <c r="N3673" s="1058"/>
    </row>
    <row r="3674" spans="1:14" ht="12.75" customHeight="1" x14ac:dyDescent="0.25">
      <c r="A3674" s="1063" t="s">
        <v>423</v>
      </c>
      <c r="B3674" s="1057"/>
      <c r="C3674" s="1057"/>
      <c r="D3674" s="1057"/>
      <c r="E3674" s="1057"/>
      <c r="F3674" s="1057"/>
      <c r="G3674" s="1058"/>
      <c r="H3674" s="9" t="str">
        <f>IF(A3674="","",VLOOKUP(A3674,AA_Cuadrillas,4,FALSE))</f>
        <v>Cuadrilla</v>
      </c>
      <c r="I3674" s="1059">
        <f>IF(A3674="","",VLOOKUP(A3674,AA_Cuadrillas,5,FALSE))</f>
        <v>134236</v>
      </c>
      <c r="J3674" s="1058"/>
      <c r="K3674" s="1">
        <f>IF(A3674="","",'06'!$J$3)</f>
        <v>1.7233500000000002</v>
      </c>
      <c r="L3674" s="37">
        <v>1.0930578906341609E-2</v>
      </c>
      <c r="M3674" s="1059">
        <f>IF(A3674="","",I3674*K3674*L3674)</f>
        <v>2528.6321455100165</v>
      </c>
      <c r="N3674" s="1058"/>
    </row>
    <row r="3675" spans="1:14" ht="12.75" customHeight="1" x14ac:dyDescent="0.25">
      <c r="A3675" s="1063"/>
      <c r="B3675" s="1057"/>
      <c r="C3675" s="1057"/>
      <c r="D3675" s="1057"/>
      <c r="E3675" s="1057"/>
      <c r="F3675" s="1057"/>
      <c r="G3675" s="1058"/>
      <c r="H3675" s="9" t="str">
        <f>IF(A3675="","",VLOOKUP(A3675,AA_Cuadrillas,4,FALSE))</f>
        <v/>
      </c>
      <c r="I3675" s="1059" t="str">
        <f>IF(A3675="","",VLOOKUP(A3675,AA_Cuadrillas,5,FALSE))</f>
        <v/>
      </c>
      <c r="J3675" s="1058"/>
      <c r="K3675" s="1" t="str">
        <f>IF(A3675="","",'06'!$J$3)</f>
        <v/>
      </c>
      <c r="L3675" s="1"/>
      <c r="M3675" s="1059" t="str">
        <f>IF(A3675="","",I3675*K3675*L3675)</f>
        <v/>
      </c>
      <c r="N3675" s="1058"/>
    </row>
    <row r="3676" spans="1:14" ht="12.75" customHeight="1" x14ac:dyDescent="0.25">
      <c r="A3676" s="1063"/>
      <c r="B3676" s="1057"/>
      <c r="C3676" s="1057"/>
      <c r="D3676" s="1057"/>
      <c r="E3676" s="1057"/>
      <c r="F3676" s="1057"/>
      <c r="G3676" s="1058"/>
      <c r="H3676" s="9" t="str">
        <f>IF(A3676="","",VLOOKUP(A3676,AA_Cuadrillas,4,FALSE))</f>
        <v/>
      </c>
      <c r="I3676" s="1059" t="str">
        <f>IF(A3676="","",VLOOKUP(A3676,AA_Cuadrillas,5,FALSE))</f>
        <v/>
      </c>
      <c r="J3676" s="1058"/>
      <c r="K3676" s="1" t="str">
        <f>IF(A3676="","",'06'!$J$3)</f>
        <v/>
      </c>
      <c r="L3676" s="10"/>
      <c r="M3676" s="1059" t="str">
        <f>IF(A3676="","",I3676*K3676*L3676)</f>
        <v/>
      </c>
      <c r="N3676" s="1058"/>
    </row>
    <row r="3677" spans="1:14" ht="12.75" customHeight="1" x14ac:dyDescent="0.25">
      <c r="A3677" s="1063"/>
      <c r="B3677" s="1057"/>
      <c r="C3677" s="1057"/>
      <c r="D3677" s="1057"/>
      <c r="E3677" s="1057"/>
      <c r="F3677" s="1057"/>
      <c r="G3677" s="1058"/>
      <c r="H3677" s="9" t="str">
        <f>IF(A3677="","",VLOOKUP(A3677,AA_Cuadrillas,4,FALSE))</f>
        <v/>
      </c>
      <c r="I3677" s="1059" t="str">
        <f>IF(A3677="","",VLOOKUP(A3677,AA_Cuadrillas,5,FALSE))</f>
        <v/>
      </c>
      <c r="J3677" s="1058"/>
      <c r="K3677" s="1" t="str">
        <f>IF(A3677="","",'06'!$J$3)</f>
        <v/>
      </c>
      <c r="L3677" s="10"/>
      <c r="M3677" s="1059" t="str">
        <f>IF(A3677="","",I3677*K3677*L3677)</f>
        <v/>
      </c>
      <c r="N3677" s="1058"/>
    </row>
    <row r="3678" spans="1:14" ht="12.75" customHeight="1" x14ac:dyDescent="0.25">
      <c r="A3678" s="1063"/>
      <c r="B3678" s="1057"/>
      <c r="C3678" s="1057"/>
      <c r="D3678" s="1057"/>
      <c r="E3678" s="1057"/>
      <c r="F3678" s="1057"/>
      <c r="G3678" s="1058"/>
      <c r="H3678" s="9" t="str">
        <f>IF(A3678="","",VLOOKUP(A3678,AA_Cuadrillas,4,FALSE))</f>
        <v/>
      </c>
      <c r="I3678" s="1059" t="str">
        <f>IF(A3678="","",VLOOKUP(A3678,AA_Cuadrillas,5,FALSE))</f>
        <v/>
      </c>
      <c r="J3678" s="1058"/>
      <c r="K3678" s="1" t="str">
        <f>IF(A3678="","",'06'!$J$3)</f>
        <v/>
      </c>
      <c r="L3678" s="10"/>
      <c r="M3678" s="1059" t="str">
        <f>IF(A3678="","",I3678*K3678*L3678)</f>
        <v/>
      </c>
      <c r="N3678" s="1058"/>
    </row>
    <row r="3679" spans="1:14" ht="12.75" customHeight="1" x14ac:dyDescent="0.25">
      <c r="A3679" s="3"/>
      <c r="B3679" s="3"/>
      <c r="C3679" s="3"/>
      <c r="D3679" s="3"/>
      <c r="E3679" s="3"/>
      <c r="F3679" s="3"/>
      <c r="G3679" s="3"/>
      <c r="H3679" s="3"/>
      <c r="I3679" s="3"/>
      <c r="J3679" s="3"/>
      <c r="K3679" s="1066" t="s">
        <v>201</v>
      </c>
      <c r="L3679" s="1058"/>
      <c r="M3679" s="1059">
        <f>SUM(M3674:N3678)</f>
        <v>2528.6321455100165</v>
      </c>
      <c r="N3679" s="1058"/>
    </row>
    <row r="3680" spans="1:14" ht="12.75" customHeight="1" x14ac:dyDescent="0.2"/>
    <row r="3681" spans="1:14" ht="12.75" customHeight="1" x14ac:dyDescent="0.2">
      <c r="A3681" s="1068" t="s">
        <v>1752</v>
      </c>
      <c r="B3681" s="1052"/>
      <c r="C3681" s="1052"/>
      <c r="D3681" s="1052"/>
      <c r="E3681" s="1052"/>
      <c r="F3681" s="1052"/>
      <c r="G3681" s="1052"/>
      <c r="H3681" s="1052"/>
      <c r="I3681" s="1052"/>
      <c r="J3681" s="1052"/>
      <c r="K3681" s="1052"/>
      <c r="L3681" s="1052"/>
      <c r="M3681" s="1052"/>
      <c r="N3681" s="1053"/>
    </row>
    <row r="3682" spans="1:14" ht="12.75" customHeight="1" x14ac:dyDescent="0.2">
      <c r="A3682" s="1031"/>
      <c r="B3682" s="1032"/>
      <c r="C3682" s="1032"/>
      <c r="D3682" s="1032"/>
      <c r="E3682" s="1032"/>
      <c r="F3682" s="1032"/>
      <c r="G3682" s="1032"/>
      <c r="H3682" s="1032"/>
      <c r="I3682" s="1032"/>
      <c r="J3682" s="1032"/>
      <c r="K3682" s="1032"/>
      <c r="L3682" s="1032"/>
      <c r="M3682" s="1032"/>
      <c r="N3682" s="1055"/>
    </row>
    <row r="3683" spans="1:14" ht="12.75" customHeight="1" x14ac:dyDescent="0.2">
      <c r="A3683" s="16"/>
      <c r="B3683" s="16"/>
      <c r="C3683" s="16"/>
      <c r="D3683" s="16"/>
      <c r="E3683" s="16"/>
      <c r="F3683" s="16"/>
      <c r="G3683" s="16"/>
      <c r="H3683" s="16"/>
      <c r="I3683" s="16"/>
      <c r="J3683" s="16"/>
      <c r="K3683" s="16"/>
      <c r="L3683" s="16"/>
      <c r="M3683" s="16"/>
      <c r="N3683" s="16"/>
    </row>
    <row r="3684" spans="1:14" ht="12.75" customHeight="1" x14ac:dyDescent="0.3">
      <c r="A3684" s="18" t="s">
        <v>377</v>
      </c>
      <c r="B3684" s="19" t="str">
        <f>A3681</f>
        <v>INSTALACIÓN TUBERÍA PEAD RDE 17 Ø6"-DI 160mm.</v>
      </c>
      <c r="C3684" s="20" t="s">
        <v>382</v>
      </c>
      <c r="D3684" s="127" t="s">
        <v>419</v>
      </c>
      <c r="E3684" s="22" t="s">
        <v>125</v>
      </c>
      <c r="F3684" s="26">
        <f>(H3684+J3684+L3684+N3684)*$O$2</f>
        <v>16724.451733616777</v>
      </c>
      <c r="G3684" s="22" t="s">
        <v>285</v>
      </c>
      <c r="H3684" s="26">
        <f>M3694</f>
        <v>10020</v>
      </c>
      <c r="I3684" s="22" t="s">
        <v>383</v>
      </c>
      <c r="J3684" s="26">
        <f>M3703</f>
        <v>135.47442247680493</v>
      </c>
      <c r="K3684" s="22" t="s">
        <v>287</v>
      </c>
      <c r="L3684" s="26">
        <f>M3712</f>
        <v>0</v>
      </c>
      <c r="M3684" s="22" t="s">
        <v>288</v>
      </c>
      <c r="N3684" s="26">
        <f>M3721</f>
        <v>2709.4884495360984</v>
      </c>
    </row>
    <row r="3685" spans="1:14" ht="12.75" customHeight="1" x14ac:dyDescent="0.25">
      <c r="A3685" s="27"/>
      <c r="B3685" s="27"/>
      <c r="C3685" s="27"/>
      <c r="D3685" s="27"/>
      <c r="E3685" s="27"/>
      <c r="F3685" s="27"/>
      <c r="G3685" s="27"/>
      <c r="J3685" s="27"/>
      <c r="K3685" s="27"/>
      <c r="L3685" s="27"/>
      <c r="M3685" s="27"/>
      <c r="N3685" s="27"/>
    </row>
    <row r="3686" spans="1:14" ht="12.75" customHeight="1" x14ac:dyDescent="0.2">
      <c r="A3686" s="1065" t="s">
        <v>384</v>
      </c>
      <c r="B3686" s="1057"/>
      <c r="C3686" s="1057"/>
      <c r="D3686" s="1057"/>
      <c r="E3686" s="1057"/>
      <c r="F3686" s="1057"/>
      <c r="G3686" s="1057"/>
      <c r="H3686" s="1057"/>
      <c r="I3686" s="1057"/>
      <c r="J3686" s="1057"/>
      <c r="K3686" s="1057"/>
      <c r="L3686" s="1057"/>
      <c r="M3686" s="1057"/>
      <c r="N3686" s="1058"/>
    </row>
    <row r="3687" spans="1:14" ht="12.75" customHeight="1" x14ac:dyDescent="0.2">
      <c r="A3687" s="1066" t="s">
        <v>38</v>
      </c>
      <c r="B3687" s="1057"/>
      <c r="C3687" s="1057"/>
      <c r="D3687" s="1057"/>
      <c r="E3687" s="1057"/>
      <c r="F3687" s="1057"/>
      <c r="G3687" s="1058"/>
      <c r="H3687" s="28" t="s">
        <v>39</v>
      </c>
      <c r="I3687" s="1062" t="s">
        <v>385</v>
      </c>
      <c r="J3687" s="1058"/>
      <c r="K3687" s="1062" t="s">
        <v>132</v>
      </c>
      <c r="L3687" s="1058"/>
      <c r="M3687" s="1062" t="s">
        <v>386</v>
      </c>
      <c r="N3687" s="1058"/>
    </row>
    <row r="3688" spans="1:14" ht="12.75" customHeight="1" x14ac:dyDescent="0.2">
      <c r="A3688" s="1061" t="s">
        <v>1511</v>
      </c>
      <c r="B3688" s="1057"/>
      <c r="C3688" s="1057"/>
      <c r="D3688" s="1057"/>
      <c r="E3688" s="1057"/>
      <c r="F3688" s="1057"/>
      <c r="G3688" s="1058"/>
      <c r="H3688" s="9" t="str">
        <f t="shared" ref="H3688" si="279">IF(A3688="","",VLOOKUP(A3688,AA_Materiales,7,FALSE))</f>
        <v>Unidad</v>
      </c>
      <c r="I3688" s="1059">
        <f t="shared" ref="I3688" si="280">IF(A3688="","",VLOOKUP(A3688,AA_Materiales,8,FALSE))</f>
        <v>60000</v>
      </c>
      <c r="J3688" s="1058"/>
      <c r="K3688" s="1060">
        <v>0.16700000000000001</v>
      </c>
      <c r="L3688" s="1058"/>
      <c r="M3688" s="1059">
        <f t="shared" ref="M3688" si="281">IF(A3688="","",I3688*K3688)</f>
        <v>10020</v>
      </c>
      <c r="N3688" s="1058"/>
    </row>
    <row r="3689" spans="1:14" ht="12.75" customHeight="1" x14ac:dyDescent="0.2">
      <c r="A3689" s="1056"/>
      <c r="B3689" s="1057"/>
      <c r="C3689" s="1057"/>
      <c r="D3689" s="1057"/>
      <c r="E3689" s="1057"/>
      <c r="F3689" s="1057"/>
      <c r="G3689" s="1058"/>
      <c r="H3689" s="9" t="str">
        <f t="shared" ref="H3689:H3693" si="282">IF(A3689="","",VLOOKUP(A3689,AA_Materiales,7,FALSE))</f>
        <v/>
      </c>
      <c r="I3689" s="1059" t="str">
        <f t="shared" ref="I3689:I3693" si="283">IF(A3689="","",VLOOKUP(A3689,AA_Materiales,8,FALSE))</f>
        <v/>
      </c>
      <c r="J3689" s="1058"/>
      <c r="K3689" s="1060"/>
      <c r="L3689" s="1058"/>
      <c r="M3689" s="1059" t="str">
        <f t="shared" ref="M3689:M3693" si="284">IF(A3689="","",I3689*K3689)</f>
        <v/>
      </c>
      <c r="N3689" s="1058"/>
    </row>
    <row r="3690" spans="1:14" ht="12.75" customHeight="1" x14ac:dyDescent="0.2">
      <c r="A3690" s="1056"/>
      <c r="B3690" s="1057"/>
      <c r="C3690" s="1057"/>
      <c r="D3690" s="1057"/>
      <c r="E3690" s="1057"/>
      <c r="F3690" s="1057"/>
      <c r="G3690" s="1058"/>
      <c r="H3690" s="9" t="str">
        <f t="shared" si="282"/>
        <v/>
      </c>
      <c r="I3690" s="1059" t="str">
        <f t="shared" si="283"/>
        <v/>
      </c>
      <c r="J3690" s="1058"/>
      <c r="K3690" s="1060"/>
      <c r="L3690" s="1058"/>
      <c r="M3690" s="1059" t="str">
        <f t="shared" si="284"/>
        <v/>
      </c>
      <c r="N3690" s="1058"/>
    </row>
    <row r="3691" spans="1:14" ht="12.75" customHeight="1" x14ac:dyDescent="0.2">
      <c r="A3691" s="1056"/>
      <c r="B3691" s="1057"/>
      <c r="C3691" s="1057"/>
      <c r="D3691" s="1057"/>
      <c r="E3691" s="1057"/>
      <c r="F3691" s="1057"/>
      <c r="G3691" s="1058"/>
      <c r="H3691" s="9" t="str">
        <f t="shared" si="282"/>
        <v/>
      </c>
      <c r="I3691" s="1059" t="str">
        <f t="shared" si="283"/>
        <v/>
      </c>
      <c r="J3691" s="1058"/>
      <c r="K3691" s="1060"/>
      <c r="L3691" s="1058"/>
      <c r="M3691" s="1059" t="str">
        <f t="shared" si="284"/>
        <v/>
      </c>
      <c r="N3691" s="1058"/>
    </row>
    <row r="3692" spans="1:14" ht="12.75" customHeight="1" x14ac:dyDescent="0.2">
      <c r="A3692" s="1056"/>
      <c r="B3692" s="1057"/>
      <c r="C3692" s="1057"/>
      <c r="D3692" s="1057"/>
      <c r="E3692" s="1057"/>
      <c r="F3692" s="1057"/>
      <c r="G3692" s="1058"/>
      <c r="H3692" s="9" t="str">
        <f t="shared" si="282"/>
        <v/>
      </c>
      <c r="I3692" s="1059" t="str">
        <f t="shared" si="283"/>
        <v/>
      </c>
      <c r="J3692" s="1058"/>
      <c r="K3692" s="1060"/>
      <c r="L3692" s="1058"/>
      <c r="M3692" s="1059" t="str">
        <f t="shared" si="284"/>
        <v/>
      </c>
      <c r="N3692" s="1058"/>
    </row>
    <row r="3693" spans="1:14" ht="12.75" customHeight="1" x14ac:dyDescent="0.2">
      <c r="A3693" s="1056"/>
      <c r="B3693" s="1057"/>
      <c r="C3693" s="1057"/>
      <c r="D3693" s="1057"/>
      <c r="E3693" s="1057"/>
      <c r="F3693" s="1057"/>
      <c r="G3693" s="1058"/>
      <c r="H3693" s="9" t="str">
        <f t="shared" si="282"/>
        <v/>
      </c>
      <c r="I3693" s="1059" t="str">
        <f t="shared" si="283"/>
        <v/>
      </c>
      <c r="J3693" s="1058"/>
      <c r="K3693" s="1060"/>
      <c r="L3693" s="1058"/>
      <c r="M3693" s="1059" t="str">
        <f t="shared" si="284"/>
        <v/>
      </c>
      <c r="N3693" s="1058"/>
    </row>
    <row r="3694" spans="1:14" ht="12.75" customHeight="1" x14ac:dyDescent="0.25">
      <c r="A3694" s="3"/>
      <c r="B3694" s="3"/>
      <c r="C3694" s="3"/>
      <c r="D3694" s="3"/>
      <c r="E3694" s="3"/>
      <c r="F3694" s="3"/>
      <c r="G3694" s="3"/>
      <c r="H3694" s="3"/>
      <c r="I3694" s="3"/>
      <c r="J3694" s="3"/>
      <c r="K3694" s="1066" t="s">
        <v>201</v>
      </c>
      <c r="L3694" s="1058"/>
      <c r="M3694" s="1059">
        <f>SUM(M3688:N3693)</f>
        <v>10020</v>
      </c>
      <c r="N3694" s="1058"/>
    </row>
    <row r="3695" spans="1:14" ht="12.75" customHeight="1" x14ac:dyDescent="0.25">
      <c r="A3695" s="3"/>
      <c r="B3695" s="3"/>
      <c r="C3695" s="3"/>
      <c r="D3695" s="3"/>
      <c r="E3695" s="3"/>
      <c r="F3695" s="3"/>
      <c r="G3695" s="3"/>
      <c r="H3695" s="3"/>
      <c r="I3695" s="3"/>
      <c r="J3695" s="3"/>
      <c r="K3695" s="3"/>
      <c r="L3695" s="3"/>
      <c r="M3695" s="3"/>
      <c r="N3695" s="3"/>
    </row>
    <row r="3696" spans="1:14" ht="12.75" customHeight="1" x14ac:dyDescent="0.2">
      <c r="A3696" s="1065" t="s">
        <v>390</v>
      </c>
      <c r="B3696" s="1057"/>
      <c r="C3696" s="1057"/>
      <c r="D3696" s="1057"/>
      <c r="E3696" s="1057"/>
      <c r="F3696" s="1057"/>
      <c r="G3696" s="1057"/>
      <c r="H3696" s="1057"/>
      <c r="I3696" s="1057"/>
      <c r="J3696" s="1057"/>
      <c r="K3696" s="1057"/>
      <c r="L3696" s="1057"/>
      <c r="M3696" s="1057"/>
      <c r="N3696" s="1058"/>
    </row>
    <row r="3697" spans="1:15" ht="12.75" customHeight="1" x14ac:dyDescent="0.2">
      <c r="A3697" s="1066" t="s">
        <v>38</v>
      </c>
      <c r="B3697" s="1057"/>
      <c r="C3697" s="1057"/>
      <c r="D3697" s="1057"/>
      <c r="E3697" s="1057"/>
      <c r="F3697" s="1057"/>
      <c r="G3697" s="1058"/>
      <c r="H3697" s="28" t="s">
        <v>39</v>
      </c>
      <c r="I3697" s="1062" t="s">
        <v>385</v>
      </c>
      <c r="J3697" s="1058"/>
      <c r="K3697" s="1062" t="s">
        <v>132</v>
      </c>
      <c r="L3697" s="1058"/>
      <c r="M3697" s="1062" t="s">
        <v>386</v>
      </c>
      <c r="N3697" s="1058"/>
    </row>
    <row r="3698" spans="1:15" ht="12.75" customHeight="1" x14ac:dyDescent="0.2">
      <c r="A3698" s="1061" t="s">
        <v>391</v>
      </c>
      <c r="B3698" s="1057"/>
      <c r="C3698" s="1057"/>
      <c r="D3698" s="1057"/>
      <c r="E3698" s="1057"/>
      <c r="F3698" s="1057"/>
      <c r="G3698" s="1058"/>
      <c r="H3698" s="9" t="str">
        <f>IF(A3698="","",VLOOKUP(A3698,AA_Equipos,7,FALSE))</f>
        <v>% M.O.</v>
      </c>
      <c r="I3698" s="1059">
        <f>+M3721</f>
        <v>2709.4884495360984</v>
      </c>
      <c r="J3698" s="1058"/>
      <c r="K3698" s="1064">
        <v>0.05</v>
      </c>
      <c r="L3698" s="1058"/>
      <c r="M3698" s="1059">
        <f>IF(A3698="","",I3698*K3698)</f>
        <v>135.47442247680493</v>
      </c>
      <c r="N3698" s="1058"/>
    </row>
    <row r="3699" spans="1:15" ht="12.75" customHeight="1" x14ac:dyDescent="0.2">
      <c r="A3699" s="1056"/>
      <c r="B3699" s="1057"/>
      <c r="C3699" s="1057"/>
      <c r="D3699" s="1057"/>
      <c r="E3699" s="1057"/>
      <c r="F3699" s="1057"/>
      <c r="G3699" s="1058"/>
      <c r="H3699" s="9" t="str">
        <f>IF(A3699="","",VLOOKUP(A3699,AA_Equipos,7,FALSE))</f>
        <v/>
      </c>
      <c r="I3699" s="1059" t="str">
        <f>IF(A3699="","",VLOOKUP(A3699,AA_Equipos,8,FALSE))</f>
        <v/>
      </c>
      <c r="J3699" s="1058"/>
      <c r="K3699" s="1067"/>
      <c r="L3699" s="1058"/>
      <c r="M3699" s="1059" t="str">
        <f>IF(A3699="","",I3699*K3699)</f>
        <v/>
      </c>
      <c r="N3699" s="1058"/>
    </row>
    <row r="3700" spans="1:15" ht="12.75" customHeight="1" x14ac:dyDescent="0.2">
      <c r="A3700" s="1061"/>
      <c r="B3700" s="1057"/>
      <c r="C3700" s="1057"/>
      <c r="D3700" s="1057"/>
      <c r="E3700" s="1057"/>
      <c r="F3700" s="1057"/>
      <c r="G3700" s="1058"/>
      <c r="H3700" s="9" t="str">
        <f>IF(A3700="","",VLOOKUP(A3700,AA_Equipos,7,FALSE))</f>
        <v/>
      </c>
      <c r="I3700" s="1059" t="str">
        <f>IF(A3700="","",VLOOKUP(A3700,AA_Equipos,8,FALSE))</f>
        <v/>
      </c>
      <c r="J3700" s="1058"/>
      <c r="K3700" s="1070"/>
      <c r="L3700" s="1058"/>
      <c r="M3700" s="1059" t="str">
        <f>IF(A3700="","",I3700*K3700)</f>
        <v/>
      </c>
      <c r="N3700" s="1058"/>
    </row>
    <row r="3701" spans="1:15" ht="12.75" customHeight="1" x14ac:dyDescent="0.2">
      <c r="A3701" s="1061"/>
      <c r="B3701" s="1057"/>
      <c r="C3701" s="1057"/>
      <c r="D3701" s="1057"/>
      <c r="E3701" s="1057"/>
      <c r="F3701" s="1057"/>
      <c r="G3701" s="1058"/>
      <c r="H3701" s="9" t="str">
        <f>IF(A3701="","",VLOOKUP(A3701,AA_Equipos,7,FALSE))</f>
        <v/>
      </c>
      <c r="I3701" s="1059" t="str">
        <f>IF(A3701="","",VLOOKUP(A3701,AA_Equipos,8,FALSE))</f>
        <v/>
      </c>
      <c r="J3701" s="1058"/>
      <c r="K3701" s="1060"/>
      <c r="L3701" s="1058"/>
      <c r="M3701" s="1059" t="str">
        <f>IF(A3701="","",I3701*K3701)</f>
        <v/>
      </c>
      <c r="N3701" s="1058"/>
    </row>
    <row r="3702" spans="1:15" ht="12.75" customHeight="1" x14ac:dyDescent="0.2">
      <c r="A3702" s="1061"/>
      <c r="B3702" s="1057"/>
      <c r="C3702" s="1057"/>
      <c r="D3702" s="1057"/>
      <c r="E3702" s="1057"/>
      <c r="F3702" s="1057"/>
      <c r="G3702" s="1058"/>
      <c r="H3702" s="9" t="str">
        <f>IF(A3702="","",VLOOKUP(A3702,AA_Equipos,7,FALSE))</f>
        <v/>
      </c>
      <c r="I3702" s="1059" t="str">
        <f>IF(A3702="","",VLOOKUP(A3702,AA_Equipos,8,FALSE))</f>
        <v/>
      </c>
      <c r="J3702" s="1058"/>
      <c r="K3702" s="1060"/>
      <c r="L3702" s="1058"/>
      <c r="M3702" s="1059" t="str">
        <f>IF(A3702="","",I3702*K3702)</f>
        <v/>
      </c>
      <c r="N3702" s="1058"/>
      <c r="O3702" s="7"/>
    </row>
    <row r="3703" spans="1:15" ht="12.75" customHeight="1" x14ac:dyDescent="0.25">
      <c r="A3703" s="3"/>
      <c r="B3703" s="3"/>
      <c r="C3703" s="3"/>
      <c r="D3703" s="3"/>
      <c r="E3703" s="3"/>
      <c r="F3703" s="3"/>
      <c r="G3703" s="3"/>
      <c r="H3703" s="3"/>
      <c r="I3703" s="3"/>
      <c r="J3703" s="3"/>
      <c r="K3703" s="1066" t="s">
        <v>201</v>
      </c>
      <c r="L3703" s="1058"/>
      <c r="M3703" s="1059">
        <f>SUM(M3698:N3702)</f>
        <v>135.47442247680493</v>
      </c>
      <c r="N3703" s="1058"/>
      <c r="O3703" s="7"/>
    </row>
    <row r="3704" spans="1:15" ht="12.75" customHeight="1" x14ac:dyDescent="0.25">
      <c r="A3704" s="3"/>
      <c r="B3704" s="3"/>
      <c r="C3704" s="3"/>
      <c r="D3704" s="3"/>
      <c r="E3704" s="3"/>
      <c r="F3704" s="3"/>
      <c r="G3704" s="3"/>
      <c r="H3704" s="3"/>
      <c r="I3704" s="3"/>
      <c r="J3704" s="3"/>
      <c r="K3704" s="3"/>
      <c r="L3704" s="3"/>
      <c r="M3704" s="3"/>
      <c r="N3704" s="3"/>
    </row>
    <row r="3705" spans="1:15" ht="12.75" customHeight="1" x14ac:dyDescent="0.2">
      <c r="A3705" s="1065" t="s">
        <v>392</v>
      </c>
      <c r="B3705" s="1057"/>
      <c r="C3705" s="1057"/>
      <c r="D3705" s="1057"/>
      <c r="E3705" s="1057"/>
      <c r="F3705" s="1057"/>
      <c r="G3705" s="1057"/>
      <c r="H3705" s="1057"/>
      <c r="I3705" s="1057"/>
      <c r="J3705" s="1057"/>
      <c r="K3705" s="1057"/>
      <c r="L3705" s="1057"/>
      <c r="M3705" s="1057"/>
      <c r="N3705" s="1058"/>
    </row>
    <row r="3706" spans="1:15" ht="12.75" customHeight="1" x14ac:dyDescent="0.2">
      <c r="A3706" s="1066" t="s">
        <v>38</v>
      </c>
      <c r="B3706" s="1057"/>
      <c r="C3706" s="1057"/>
      <c r="D3706" s="1057"/>
      <c r="E3706" s="1057"/>
      <c r="F3706" s="1057"/>
      <c r="G3706" s="1058"/>
      <c r="H3706" s="28" t="s">
        <v>39</v>
      </c>
      <c r="I3706" s="1062" t="s">
        <v>385</v>
      </c>
      <c r="J3706" s="1058"/>
      <c r="K3706" s="1062" t="s">
        <v>132</v>
      </c>
      <c r="L3706" s="1058"/>
      <c r="M3706" s="1062" t="s">
        <v>386</v>
      </c>
      <c r="N3706" s="1058"/>
    </row>
    <row r="3707" spans="1:15" ht="12.75" customHeight="1" x14ac:dyDescent="0.2">
      <c r="A3707" s="1061"/>
      <c r="B3707" s="1057"/>
      <c r="C3707" s="1057"/>
      <c r="D3707" s="1057"/>
      <c r="E3707" s="1057"/>
      <c r="F3707" s="1057"/>
      <c r="G3707" s="1058"/>
      <c r="H3707" s="9"/>
      <c r="I3707" s="1059"/>
      <c r="J3707" s="1058"/>
      <c r="K3707" s="1064"/>
      <c r="L3707" s="1058"/>
      <c r="M3707" s="1059" t="str">
        <f>IF(A3707="","",I3707*K3707)</f>
        <v/>
      </c>
      <c r="N3707" s="1058"/>
    </row>
    <row r="3708" spans="1:15" ht="12.75" customHeight="1" x14ac:dyDescent="0.2">
      <c r="A3708" s="1056"/>
      <c r="B3708" s="1057"/>
      <c r="C3708" s="1057"/>
      <c r="D3708" s="1057"/>
      <c r="E3708" s="1057"/>
      <c r="F3708" s="1057"/>
      <c r="G3708" s="1058"/>
      <c r="H3708" s="9"/>
      <c r="I3708" s="1059"/>
      <c r="J3708" s="1058"/>
      <c r="K3708" s="1064"/>
      <c r="L3708" s="1058"/>
      <c r="M3708" s="1059" t="str">
        <f>IF(A3708="","",I3708*K3708)</f>
        <v/>
      </c>
      <c r="N3708" s="1058"/>
    </row>
    <row r="3709" spans="1:15" ht="12.75" customHeight="1" x14ac:dyDescent="0.2">
      <c r="A3709" s="1061"/>
      <c r="B3709" s="1057"/>
      <c r="C3709" s="1057"/>
      <c r="D3709" s="1057"/>
      <c r="E3709" s="1057"/>
      <c r="F3709" s="1057"/>
      <c r="G3709" s="1058"/>
      <c r="H3709" s="9"/>
      <c r="I3709" s="1059"/>
      <c r="J3709" s="1058"/>
      <c r="K3709" s="1060"/>
      <c r="L3709" s="1058"/>
      <c r="M3709" s="1059" t="str">
        <f>IF(A3709="","",I3709*K3709)</f>
        <v/>
      </c>
      <c r="N3709" s="1058"/>
    </row>
    <row r="3710" spans="1:15" ht="12.75" customHeight="1" x14ac:dyDescent="0.2">
      <c r="A3710" s="1061"/>
      <c r="B3710" s="1057"/>
      <c r="C3710" s="1057"/>
      <c r="D3710" s="1057"/>
      <c r="E3710" s="1057"/>
      <c r="F3710" s="1057"/>
      <c r="G3710" s="1058"/>
      <c r="H3710" s="9"/>
      <c r="I3710" s="1059"/>
      <c r="J3710" s="1058"/>
      <c r="K3710" s="1060"/>
      <c r="L3710" s="1058"/>
      <c r="M3710" s="1059" t="str">
        <f>IF(A3710="","",I3710*K3710)</f>
        <v/>
      </c>
      <c r="N3710" s="1058"/>
    </row>
    <row r="3711" spans="1:15" ht="12.75" customHeight="1" x14ac:dyDescent="0.2">
      <c r="A3711" s="1061"/>
      <c r="B3711" s="1057"/>
      <c r="C3711" s="1057"/>
      <c r="D3711" s="1057"/>
      <c r="E3711" s="1057"/>
      <c r="F3711" s="1057"/>
      <c r="G3711" s="1058"/>
      <c r="H3711" s="9"/>
      <c r="I3711" s="1059"/>
      <c r="J3711" s="1058"/>
      <c r="K3711" s="1060"/>
      <c r="L3711" s="1058"/>
      <c r="M3711" s="1059" t="str">
        <f>IF(A3711="","",I3711*K3711)</f>
        <v/>
      </c>
      <c r="N3711" s="1058"/>
    </row>
    <row r="3712" spans="1:15" ht="12.75" customHeight="1" x14ac:dyDescent="0.25">
      <c r="A3712" s="3"/>
      <c r="B3712" s="3"/>
      <c r="C3712" s="3"/>
      <c r="D3712" s="3"/>
      <c r="E3712" s="3"/>
      <c r="F3712" s="3"/>
      <c r="G3712" s="3"/>
      <c r="H3712" s="3"/>
      <c r="I3712" s="3"/>
      <c r="J3712" s="3"/>
      <c r="K3712" s="1066" t="s">
        <v>201</v>
      </c>
      <c r="L3712" s="1058"/>
      <c r="M3712" s="1059">
        <f>SUM(M3707:N3711)</f>
        <v>0</v>
      </c>
      <c r="N3712" s="1058"/>
    </row>
    <row r="3713" spans="1:14" ht="12.75" customHeight="1" x14ac:dyDescent="0.25">
      <c r="A3713" s="3"/>
      <c r="B3713" s="3"/>
      <c r="C3713" s="3"/>
      <c r="D3713" s="3"/>
      <c r="E3713" s="3"/>
      <c r="F3713" s="3"/>
      <c r="G3713" s="3"/>
      <c r="H3713" s="3"/>
      <c r="I3713" s="3"/>
      <c r="J3713" s="3"/>
      <c r="K3713" s="3"/>
      <c r="L3713" s="3"/>
      <c r="M3713" s="3"/>
      <c r="N3713" s="3"/>
    </row>
    <row r="3714" spans="1:14" ht="12.75" customHeight="1" x14ac:dyDescent="0.2">
      <c r="A3714" s="1065" t="s">
        <v>394</v>
      </c>
      <c r="B3714" s="1057"/>
      <c r="C3714" s="1057"/>
      <c r="D3714" s="1057"/>
      <c r="E3714" s="1057"/>
      <c r="F3714" s="1057"/>
      <c r="G3714" s="1057"/>
      <c r="H3714" s="1057"/>
      <c r="I3714" s="1057"/>
      <c r="J3714" s="1057"/>
      <c r="K3714" s="1057"/>
      <c r="L3714" s="1057"/>
      <c r="M3714" s="1057"/>
      <c r="N3714" s="1058"/>
    </row>
    <row r="3715" spans="1:14" ht="12.75" customHeight="1" x14ac:dyDescent="0.2">
      <c r="A3715" s="1066" t="s">
        <v>38</v>
      </c>
      <c r="B3715" s="1057"/>
      <c r="C3715" s="1057"/>
      <c r="D3715" s="1057"/>
      <c r="E3715" s="1057"/>
      <c r="F3715" s="1057"/>
      <c r="G3715" s="1058"/>
      <c r="H3715" s="28" t="s">
        <v>39</v>
      </c>
      <c r="I3715" s="1062" t="s">
        <v>385</v>
      </c>
      <c r="J3715" s="1058"/>
      <c r="K3715" s="30" t="s">
        <v>193</v>
      </c>
      <c r="L3715" s="31" t="s">
        <v>395</v>
      </c>
      <c r="M3715" s="1062" t="s">
        <v>386</v>
      </c>
      <c r="N3715" s="1058"/>
    </row>
    <row r="3716" spans="1:14" ht="12.75" customHeight="1" x14ac:dyDescent="0.25">
      <c r="A3716" s="1063" t="s">
        <v>423</v>
      </c>
      <c r="B3716" s="1057"/>
      <c r="C3716" s="1057"/>
      <c r="D3716" s="1057"/>
      <c r="E3716" s="1057"/>
      <c r="F3716" s="1057"/>
      <c r="G3716" s="1058"/>
      <c r="H3716" s="9" t="str">
        <f>IF(A3716="","",VLOOKUP(A3716,AA_Cuadrillas,4,FALSE))</f>
        <v>Cuadrilla</v>
      </c>
      <c r="I3716" s="1059">
        <f>IF(A3716="","",VLOOKUP(A3716,AA_Cuadrillas,5,FALSE))</f>
        <v>134236</v>
      </c>
      <c r="J3716" s="1058"/>
      <c r="K3716" s="1">
        <f>IF(A3716="","",'06'!$J$3)</f>
        <v>1.7233500000000002</v>
      </c>
      <c r="L3716" s="37">
        <v>1.1712370795437311E-2</v>
      </c>
      <c r="M3716" s="1059">
        <f>IF(A3716="","",I3716*K3716*L3716)</f>
        <v>2709.4884495360984</v>
      </c>
      <c r="N3716" s="1058"/>
    </row>
    <row r="3717" spans="1:14" ht="12.75" customHeight="1" x14ac:dyDescent="0.25">
      <c r="A3717" s="1063"/>
      <c r="B3717" s="1057"/>
      <c r="C3717" s="1057"/>
      <c r="D3717" s="1057"/>
      <c r="E3717" s="1057"/>
      <c r="F3717" s="1057"/>
      <c r="G3717" s="1058"/>
      <c r="H3717" s="9" t="str">
        <f>IF(A3717="","",VLOOKUP(A3717,AA_Cuadrillas,4,FALSE))</f>
        <v/>
      </c>
      <c r="I3717" s="1059" t="str">
        <f>IF(A3717="","",VLOOKUP(A3717,AA_Cuadrillas,5,FALSE))</f>
        <v/>
      </c>
      <c r="J3717" s="1058"/>
      <c r="K3717" s="1" t="str">
        <f>IF(A3717="","",'06'!$J$3)</f>
        <v/>
      </c>
      <c r="L3717" s="1"/>
      <c r="M3717" s="1059" t="str">
        <f>IF(A3717="","",I3717*K3717*L3717)</f>
        <v/>
      </c>
      <c r="N3717" s="1058"/>
    </row>
    <row r="3718" spans="1:14" ht="12.75" customHeight="1" x14ac:dyDescent="0.25">
      <c r="A3718" s="1063"/>
      <c r="B3718" s="1057"/>
      <c r="C3718" s="1057"/>
      <c r="D3718" s="1057"/>
      <c r="E3718" s="1057"/>
      <c r="F3718" s="1057"/>
      <c r="G3718" s="1058"/>
      <c r="H3718" s="9" t="str">
        <f>IF(A3718="","",VLOOKUP(A3718,AA_Cuadrillas,4,FALSE))</f>
        <v/>
      </c>
      <c r="I3718" s="1059" t="str">
        <f>IF(A3718="","",VLOOKUP(A3718,AA_Cuadrillas,5,FALSE))</f>
        <v/>
      </c>
      <c r="J3718" s="1058"/>
      <c r="K3718" s="1" t="str">
        <f>IF(A3718="","",'06'!$J$3)</f>
        <v/>
      </c>
      <c r="L3718" s="10"/>
      <c r="M3718" s="1059" t="str">
        <f>IF(A3718="","",I3718*K3718*L3718)</f>
        <v/>
      </c>
      <c r="N3718" s="1058"/>
    </row>
    <row r="3719" spans="1:14" ht="12.75" customHeight="1" x14ac:dyDescent="0.25">
      <c r="A3719" s="1063"/>
      <c r="B3719" s="1057"/>
      <c r="C3719" s="1057"/>
      <c r="D3719" s="1057"/>
      <c r="E3719" s="1057"/>
      <c r="F3719" s="1057"/>
      <c r="G3719" s="1058"/>
      <c r="H3719" s="9" t="str">
        <f>IF(A3719="","",VLOOKUP(A3719,AA_Cuadrillas,4,FALSE))</f>
        <v/>
      </c>
      <c r="I3719" s="1059" t="str">
        <f>IF(A3719="","",VLOOKUP(A3719,AA_Cuadrillas,5,FALSE))</f>
        <v/>
      </c>
      <c r="J3719" s="1058"/>
      <c r="K3719" s="1" t="str">
        <f>IF(A3719="","",'06'!$J$3)</f>
        <v/>
      </c>
      <c r="L3719" s="10"/>
      <c r="M3719" s="1059" t="str">
        <f>IF(A3719="","",I3719*K3719*L3719)</f>
        <v/>
      </c>
      <c r="N3719" s="1058"/>
    </row>
    <row r="3720" spans="1:14" ht="12.75" customHeight="1" x14ac:dyDescent="0.25">
      <c r="A3720" s="1063"/>
      <c r="B3720" s="1057"/>
      <c r="C3720" s="1057"/>
      <c r="D3720" s="1057"/>
      <c r="E3720" s="1057"/>
      <c r="F3720" s="1057"/>
      <c r="G3720" s="1058"/>
      <c r="H3720" s="9" t="str">
        <f>IF(A3720="","",VLOOKUP(A3720,AA_Cuadrillas,4,FALSE))</f>
        <v/>
      </c>
      <c r="I3720" s="1059" t="str">
        <f>IF(A3720="","",VLOOKUP(A3720,AA_Cuadrillas,5,FALSE))</f>
        <v/>
      </c>
      <c r="J3720" s="1058"/>
      <c r="K3720" s="1" t="str">
        <f>IF(A3720="","",'06'!$J$3)</f>
        <v/>
      </c>
      <c r="L3720" s="10"/>
      <c r="M3720" s="1059" t="str">
        <f>IF(A3720="","",I3720*K3720*L3720)</f>
        <v/>
      </c>
      <c r="N3720" s="1058"/>
    </row>
    <row r="3721" spans="1:14" ht="12.75" customHeight="1" x14ac:dyDescent="0.25">
      <c r="A3721" s="3"/>
      <c r="B3721" s="3"/>
      <c r="C3721" s="3"/>
      <c r="D3721" s="3"/>
      <c r="E3721" s="3"/>
      <c r="F3721" s="3"/>
      <c r="G3721" s="3"/>
      <c r="H3721" s="3"/>
      <c r="I3721" s="3"/>
      <c r="J3721" s="3"/>
      <c r="K3721" s="1066" t="s">
        <v>201</v>
      </c>
      <c r="L3721" s="1058"/>
      <c r="M3721" s="1059">
        <f>SUM(M3716:N3720)</f>
        <v>2709.4884495360984</v>
      </c>
      <c r="N3721" s="1058"/>
    </row>
    <row r="3722" spans="1:14" ht="12.75" customHeight="1" x14ac:dyDescent="0.2"/>
    <row r="3723" spans="1:14" ht="12.75" customHeight="1" x14ac:dyDescent="0.2">
      <c r="A3723" s="1068" t="s">
        <v>1753</v>
      </c>
      <c r="B3723" s="1052"/>
      <c r="C3723" s="1052"/>
      <c r="D3723" s="1052"/>
      <c r="E3723" s="1052"/>
      <c r="F3723" s="1052"/>
      <c r="G3723" s="1052"/>
      <c r="H3723" s="1052"/>
      <c r="I3723" s="1052"/>
      <c r="J3723" s="1052"/>
      <c r="K3723" s="1052"/>
      <c r="L3723" s="1052"/>
      <c r="M3723" s="1052"/>
      <c r="N3723" s="1053"/>
    </row>
    <row r="3724" spans="1:14" ht="12.75" customHeight="1" x14ac:dyDescent="0.2">
      <c r="A3724" s="1031"/>
      <c r="B3724" s="1032"/>
      <c r="C3724" s="1032"/>
      <c r="D3724" s="1032"/>
      <c r="E3724" s="1032"/>
      <c r="F3724" s="1032"/>
      <c r="G3724" s="1032"/>
      <c r="H3724" s="1032"/>
      <c r="I3724" s="1032"/>
      <c r="J3724" s="1032"/>
      <c r="K3724" s="1032"/>
      <c r="L3724" s="1032"/>
      <c r="M3724" s="1032"/>
      <c r="N3724" s="1055"/>
    </row>
    <row r="3725" spans="1:14" ht="12.75" customHeight="1" x14ac:dyDescent="0.2">
      <c r="A3725" s="16"/>
      <c r="B3725" s="16"/>
      <c r="C3725" s="16"/>
      <c r="D3725" s="16"/>
      <c r="E3725" s="16"/>
      <c r="F3725" s="16"/>
      <c r="G3725" s="16"/>
      <c r="H3725" s="16"/>
      <c r="I3725" s="16"/>
      <c r="J3725" s="16"/>
      <c r="K3725" s="16"/>
      <c r="L3725" s="16"/>
      <c r="M3725" s="16"/>
      <c r="N3725" s="16"/>
    </row>
    <row r="3726" spans="1:14" ht="12.75" customHeight="1" x14ac:dyDescent="0.3">
      <c r="A3726" s="18" t="s">
        <v>378</v>
      </c>
      <c r="B3726" s="19" t="str">
        <f>A3723</f>
        <v>INSTALACIÓN TUBERÍA PEAD RDE 17 Ø12"-DI 315mm.</v>
      </c>
      <c r="C3726" s="20" t="s">
        <v>382</v>
      </c>
      <c r="D3726" s="127" t="s">
        <v>419</v>
      </c>
      <c r="E3726" s="22" t="s">
        <v>125</v>
      </c>
      <c r="F3726" s="26">
        <f>(H3726+J3726+L3726+N3726)*$O$2</f>
        <v>23621.208074329272</v>
      </c>
      <c r="G3726" s="22" t="s">
        <v>285</v>
      </c>
      <c r="H3726" s="26">
        <f>M3745</f>
        <v>149.53143129411265</v>
      </c>
      <c r="I3726" s="22" t="s">
        <v>383</v>
      </c>
      <c r="J3726" s="26">
        <f>M3736</f>
        <v>15030</v>
      </c>
      <c r="K3726" s="22" t="s">
        <v>287</v>
      </c>
      <c r="L3726" s="26">
        <f>M3754</f>
        <v>0</v>
      </c>
      <c r="M3726" s="22" t="s">
        <v>288</v>
      </c>
      <c r="N3726" s="26">
        <f>M3763</f>
        <v>2990.6286258822529</v>
      </c>
    </row>
    <row r="3727" spans="1:14" ht="12.75" customHeight="1" x14ac:dyDescent="0.25">
      <c r="A3727" s="27"/>
      <c r="B3727" s="27"/>
      <c r="C3727" s="27"/>
      <c r="D3727" s="27"/>
      <c r="E3727" s="27"/>
      <c r="F3727" s="27"/>
      <c r="G3727" s="27"/>
      <c r="J3727" s="27"/>
      <c r="K3727" s="27"/>
      <c r="L3727" s="27"/>
      <c r="M3727" s="27"/>
      <c r="N3727" s="27"/>
    </row>
    <row r="3728" spans="1:14" ht="12.75" customHeight="1" x14ac:dyDescent="0.2">
      <c r="A3728" s="1065" t="s">
        <v>384</v>
      </c>
      <c r="B3728" s="1057"/>
      <c r="C3728" s="1057"/>
      <c r="D3728" s="1057"/>
      <c r="E3728" s="1057"/>
      <c r="F3728" s="1057"/>
      <c r="G3728" s="1057"/>
      <c r="H3728" s="1057"/>
      <c r="I3728" s="1057"/>
      <c r="J3728" s="1057"/>
      <c r="K3728" s="1057"/>
      <c r="L3728" s="1057"/>
      <c r="M3728" s="1057"/>
      <c r="N3728" s="1058"/>
    </row>
    <row r="3729" spans="1:15" ht="12.75" customHeight="1" x14ac:dyDescent="0.2">
      <c r="A3729" s="1066" t="s">
        <v>38</v>
      </c>
      <c r="B3729" s="1057"/>
      <c r="C3729" s="1057"/>
      <c r="D3729" s="1057"/>
      <c r="E3729" s="1057"/>
      <c r="F3729" s="1057"/>
      <c r="G3729" s="1058"/>
      <c r="H3729" s="28" t="s">
        <v>39</v>
      </c>
      <c r="I3729" s="1062" t="s">
        <v>385</v>
      </c>
      <c r="J3729" s="1058"/>
      <c r="K3729" s="1062" t="s">
        <v>132</v>
      </c>
      <c r="L3729" s="1058"/>
      <c r="M3729" s="1062" t="s">
        <v>386</v>
      </c>
      <c r="N3729" s="1058"/>
    </row>
    <row r="3730" spans="1:15" ht="12.75" customHeight="1" x14ac:dyDescent="0.2">
      <c r="A3730" s="1061" t="s">
        <v>1513</v>
      </c>
      <c r="B3730" s="1057"/>
      <c r="C3730" s="1057"/>
      <c r="D3730" s="1057"/>
      <c r="E3730" s="1057"/>
      <c r="F3730" s="1057"/>
      <c r="G3730" s="1058"/>
      <c r="H3730" s="9" t="str">
        <f t="shared" ref="H3730" si="285">IF(A3730="","",VLOOKUP(A3730,AA_Materiales,7,FALSE))</f>
        <v>m</v>
      </c>
      <c r="I3730" s="1059">
        <f t="shared" ref="I3730" si="286">IF(A3730="","",VLOOKUP(A3730,AA_Materiales,8,FALSE))</f>
        <v>90000</v>
      </c>
      <c r="J3730" s="1058"/>
      <c r="K3730" s="1060">
        <v>0.16700000000000001</v>
      </c>
      <c r="L3730" s="1058"/>
      <c r="M3730" s="1059">
        <f t="shared" ref="M3730:M3735" si="287">IF(A3730="","",I3730*K3730)</f>
        <v>15030</v>
      </c>
      <c r="N3730" s="1058"/>
    </row>
    <row r="3731" spans="1:15" ht="12.75" customHeight="1" x14ac:dyDescent="0.2">
      <c r="A3731" s="1056"/>
      <c r="B3731" s="1057"/>
      <c r="C3731" s="1057"/>
      <c r="D3731" s="1057"/>
      <c r="E3731" s="1057"/>
      <c r="F3731" s="1057"/>
      <c r="G3731" s="1058"/>
      <c r="H3731" s="9" t="str">
        <f t="shared" ref="H3731:H3735" si="288">IF(A3731="","",VLOOKUP(A3731,AA_Materiales,7,FALSE))</f>
        <v/>
      </c>
      <c r="I3731" s="1059" t="str">
        <f t="shared" ref="I3731:I3735" si="289">IF(A3731="","",VLOOKUP(A3731,AA_Materiales,8,FALSE))</f>
        <v/>
      </c>
      <c r="J3731" s="1058"/>
      <c r="K3731" s="1060"/>
      <c r="L3731" s="1058"/>
      <c r="M3731" s="1059" t="str">
        <f t="shared" si="287"/>
        <v/>
      </c>
      <c r="N3731" s="1058"/>
    </row>
    <row r="3732" spans="1:15" ht="12.75" customHeight="1" x14ac:dyDescent="0.2">
      <c r="A3732" s="1056"/>
      <c r="B3732" s="1057"/>
      <c r="C3732" s="1057"/>
      <c r="D3732" s="1057"/>
      <c r="E3732" s="1057"/>
      <c r="F3732" s="1057"/>
      <c r="G3732" s="1058"/>
      <c r="H3732" s="9" t="str">
        <f t="shared" si="288"/>
        <v/>
      </c>
      <c r="I3732" s="1059" t="str">
        <f t="shared" si="289"/>
        <v/>
      </c>
      <c r="J3732" s="1058"/>
      <c r="K3732" s="1060"/>
      <c r="L3732" s="1058"/>
      <c r="M3732" s="1059" t="str">
        <f t="shared" si="287"/>
        <v/>
      </c>
      <c r="N3732" s="1058"/>
    </row>
    <row r="3733" spans="1:15" ht="12.75" customHeight="1" x14ac:dyDescent="0.2">
      <c r="A3733" s="1056"/>
      <c r="B3733" s="1057"/>
      <c r="C3733" s="1057"/>
      <c r="D3733" s="1057"/>
      <c r="E3733" s="1057"/>
      <c r="F3733" s="1057"/>
      <c r="G3733" s="1058"/>
      <c r="H3733" s="9" t="str">
        <f t="shared" si="288"/>
        <v/>
      </c>
      <c r="I3733" s="1059" t="str">
        <f t="shared" si="289"/>
        <v/>
      </c>
      <c r="J3733" s="1058"/>
      <c r="K3733" s="1060"/>
      <c r="L3733" s="1058"/>
      <c r="M3733" s="1059" t="str">
        <f t="shared" si="287"/>
        <v/>
      </c>
      <c r="N3733" s="1058"/>
    </row>
    <row r="3734" spans="1:15" ht="12.75" customHeight="1" x14ac:dyDescent="0.2">
      <c r="A3734" s="1056"/>
      <c r="B3734" s="1057"/>
      <c r="C3734" s="1057"/>
      <c r="D3734" s="1057"/>
      <c r="E3734" s="1057"/>
      <c r="F3734" s="1057"/>
      <c r="G3734" s="1058"/>
      <c r="H3734" s="9" t="str">
        <f t="shared" si="288"/>
        <v/>
      </c>
      <c r="I3734" s="1059" t="str">
        <f t="shared" si="289"/>
        <v/>
      </c>
      <c r="J3734" s="1058"/>
      <c r="K3734" s="1060"/>
      <c r="L3734" s="1058"/>
      <c r="M3734" s="1059" t="str">
        <f t="shared" si="287"/>
        <v/>
      </c>
      <c r="N3734" s="1058"/>
    </row>
    <row r="3735" spans="1:15" ht="12.75" customHeight="1" x14ac:dyDescent="0.2">
      <c r="A3735" s="1056"/>
      <c r="B3735" s="1057"/>
      <c r="C3735" s="1057"/>
      <c r="D3735" s="1057"/>
      <c r="E3735" s="1057"/>
      <c r="F3735" s="1057"/>
      <c r="G3735" s="1058"/>
      <c r="H3735" s="9" t="str">
        <f t="shared" si="288"/>
        <v/>
      </c>
      <c r="I3735" s="1059" t="str">
        <f t="shared" si="289"/>
        <v/>
      </c>
      <c r="J3735" s="1058"/>
      <c r="K3735" s="1060"/>
      <c r="L3735" s="1058"/>
      <c r="M3735" s="1059" t="str">
        <f t="shared" si="287"/>
        <v/>
      </c>
      <c r="N3735" s="1058"/>
    </row>
    <row r="3736" spans="1:15" ht="12.75" customHeight="1" x14ac:dyDescent="0.25">
      <c r="A3736" s="3"/>
      <c r="B3736" s="3"/>
      <c r="C3736" s="3"/>
      <c r="D3736" s="3"/>
      <c r="E3736" s="3"/>
      <c r="F3736" s="3"/>
      <c r="G3736" s="3"/>
      <c r="H3736" s="3"/>
      <c r="I3736" s="3"/>
      <c r="J3736" s="3"/>
      <c r="K3736" s="1066" t="s">
        <v>201</v>
      </c>
      <c r="L3736" s="1058"/>
      <c r="M3736" s="1059">
        <f>SUM(M3730:N3735)</f>
        <v>15030</v>
      </c>
      <c r="N3736" s="1058"/>
    </row>
    <row r="3737" spans="1:15" ht="12.75" customHeight="1" x14ac:dyDescent="0.25">
      <c r="A3737" s="3"/>
      <c r="B3737" s="3"/>
      <c r="C3737" s="3"/>
      <c r="D3737" s="3"/>
      <c r="E3737" s="3"/>
      <c r="F3737" s="3"/>
      <c r="G3737" s="3"/>
      <c r="H3737" s="3"/>
      <c r="I3737" s="3"/>
      <c r="J3737" s="3"/>
      <c r="K3737" s="3"/>
      <c r="L3737" s="3"/>
      <c r="M3737" s="3"/>
      <c r="N3737" s="3"/>
    </row>
    <row r="3738" spans="1:15" ht="12.75" customHeight="1" x14ac:dyDescent="0.2">
      <c r="A3738" s="1065" t="s">
        <v>390</v>
      </c>
      <c r="B3738" s="1057"/>
      <c r="C3738" s="1057"/>
      <c r="D3738" s="1057"/>
      <c r="E3738" s="1057"/>
      <c r="F3738" s="1057"/>
      <c r="G3738" s="1057"/>
      <c r="H3738" s="1057"/>
      <c r="I3738" s="1057"/>
      <c r="J3738" s="1057"/>
      <c r="K3738" s="1057"/>
      <c r="L3738" s="1057"/>
      <c r="M3738" s="1057"/>
      <c r="N3738" s="1058"/>
    </row>
    <row r="3739" spans="1:15" ht="12.75" customHeight="1" x14ac:dyDescent="0.2">
      <c r="A3739" s="1066" t="s">
        <v>38</v>
      </c>
      <c r="B3739" s="1057"/>
      <c r="C3739" s="1057"/>
      <c r="D3739" s="1057"/>
      <c r="E3739" s="1057"/>
      <c r="F3739" s="1057"/>
      <c r="G3739" s="1058"/>
      <c r="H3739" s="28" t="s">
        <v>39</v>
      </c>
      <c r="I3739" s="1062" t="s">
        <v>385</v>
      </c>
      <c r="J3739" s="1058"/>
      <c r="K3739" s="1062" t="s">
        <v>132</v>
      </c>
      <c r="L3739" s="1058"/>
      <c r="M3739" s="1062" t="s">
        <v>386</v>
      </c>
      <c r="N3739" s="1058"/>
    </row>
    <row r="3740" spans="1:15" ht="12.75" customHeight="1" x14ac:dyDescent="0.2">
      <c r="A3740" s="1061" t="s">
        <v>391</v>
      </c>
      <c r="B3740" s="1057"/>
      <c r="C3740" s="1057"/>
      <c r="D3740" s="1057"/>
      <c r="E3740" s="1057"/>
      <c r="F3740" s="1057"/>
      <c r="G3740" s="1058"/>
      <c r="H3740" s="9" t="str">
        <f>IF(A3740="","",VLOOKUP(A3740,AA_Equipos,7,FALSE))</f>
        <v>% M.O.</v>
      </c>
      <c r="I3740" s="1059">
        <f>+M3763</f>
        <v>2990.6286258822529</v>
      </c>
      <c r="J3740" s="1058"/>
      <c r="K3740" s="1064">
        <v>0.05</v>
      </c>
      <c r="L3740" s="1058"/>
      <c r="M3740" s="1059">
        <f>IF(A3740="","",I3740*K3740)</f>
        <v>149.53143129411265</v>
      </c>
      <c r="N3740" s="1058"/>
    </row>
    <row r="3741" spans="1:15" ht="12.75" customHeight="1" x14ac:dyDescent="0.2">
      <c r="A3741" s="1061"/>
      <c r="B3741" s="1057"/>
      <c r="C3741" s="1057"/>
      <c r="D3741" s="1057"/>
      <c r="E3741" s="1057"/>
      <c r="F3741" s="1057"/>
      <c r="G3741" s="1058"/>
      <c r="H3741" s="9" t="str">
        <f>IF(A3741="","",VLOOKUP(A3741,AA_Equipos,7,FALSE))</f>
        <v/>
      </c>
      <c r="I3741" s="1059" t="str">
        <f>IF(A3741="","",VLOOKUP(A3741,AA_Equipos,8,FALSE))</f>
        <v/>
      </c>
      <c r="J3741" s="1058"/>
      <c r="K3741" s="1067"/>
      <c r="L3741" s="1058"/>
      <c r="M3741" s="1059" t="str">
        <f>IF(A3741="","",I3741*K3741)</f>
        <v/>
      </c>
      <c r="N3741" s="1058"/>
    </row>
    <row r="3742" spans="1:15" ht="12.75" customHeight="1" x14ac:dyDescent="0.2">
      <c r="A3742" s="1061"/>
      <c r="B3742" s="1057"/>
      <c r="C3742" s="1057"/>
      <c r="D3742" s="1057"/>
      <c r="E3742" s="1057"/>
      <c r="F3742" s="1057"/>
      <c r="G3742" s="1058"/>
      <c r="H3742" s="9" t="str">
        <f>IF(A3742="","",VLOOKUP(A3742,AA_Equipos,7,FALSE))</f>
        <v/>
      </c>
      <c r="I3742" s="1059" t="str">
        <f>IF(A3742="","",VLOOKUP(A3742,AA_Equipos,8,FALSE))</f>
        <v/>
      </c>
      <c r="J3742" s="1058"/>
      <c r="K3742" s="1070"/>
      <c r="L3742" s="1058"/>
      <c r="M3742" s="1059" t="str">
        <f>IF(A3742="","",I3742*K3742)</f>
        <v/>
      </c>
      <c r="N3742" s="1058"/>
    </row>
    <row r="3743" spans="1:15" ht="12.75" customHeight="1" x14ac:dyDescent="0.2">
      <c r="A3743" s="1061"/>
      <c r="B3743" s="1057"/>
      <c r="C3743" s="1057"/>
      <c r="D3743" s="1057"/>
      <c r="E3743" s="1057"/>
      <c r="F3743" s="1057"/>
      <c r="G3743" s="1058"/>
      <c r="H3743" s="9" t="str">
        <f>IF(A3743="","",VLOOKUP(A3743,AA_Equipos,7,FALSE))</f>
        <v/>
      </c>
      <c r="I3743" s="1059" t="str">
        <f>IF(A3743="","",VLOOKUP(A3743,AA_Equipos,8,FALSE))</f>
        <v/>
      </c>
      <c r="J3743" s="1058"/>
      <c r="K3743" s="1060"/>
      <c r="L3743" s="1058"/>
      <c r="M3743" s="1059" t="str">
        <f>IF(A3743="","",I3743*K3743)</f>
        <v/>
      </c>
      <c r="N3743" s="1058"/>
    </row>
    <row r="3744" spans="1:15" ht="12.75" customHeight="1" x14ac:dyDescent="0.2">
      <c r="A3744" s="1061"/>
      <c r="B3744" s="1057"/>
      <c r="C3744" s="1057"/>
      <c r="D3744" s="1057"/>
      <c r="E3744" s="1057"/>
      <c r="F3744" s="1057"/>
      <c r="G3744" s="1058"/>
      <c r="H3744" s="9" t="str">
        <f>IF(A3744="","",VLOOKUP(A3744,AA_Equipos,7,FALSE))</f>
        <v/>
      </c>
      <c r="I3744" s="1059" t="str">
        <f>IF(A3744="","",VLOOKUP(A3744,AA_Equipos,8,FALSE))</f>
        <v/>
      </c>
      <c r="J3744" s="1058"/>
      <c r="K3744" s="1060"/>
      <c r="L3744" s="1058"/>
      <c r="M3744" s="1059" t="str">
        <f>IF(A3744="","",I3744*K3744)</f>
        <v/>
      </c>
      <c r="N3744" s="1058"/>
      <c r="O3744" s="7"/>
    </row>
    <row r="3745" spans="1:15" ht="12.75" customHeight="1" x14ac:dyDescent="0.25">
      <c r="A3745" s="3"/>
      <c r="B3745" s="3"/>
      <c r="C3745" s="3"/>
      <c r="D3745" s="3"/>
      <c r="E3745" s="3"/>
      <c r="F3745" s="3"/>
      <c r="G3745" s="3"/>
      <c r="H3745" s="3"/>
      <c r="I3745" s="3"/>
      <c r="J3745" s="3"/>
      <c r="K3745" s="1066" t="s">
        <v>201</v>
      </c>
      <c r="L3745" s="1058"/>
      <c r="M3745" s="1059">
        <f>SUM(M3740:N3744)</f>
        <v>149.53143129411265</v>
      </c>
      <c r="N3745" s="1058"/>
      <c r="O3745" s="7"/>
    </row>
    <row r="3746" spans="1:15" ht="12.75" customHeight="1" x14ac:dyDescent="0.25">
      <c r="A3746" s="3"/>
      <c r="B3746" s="3"/>
      <c r="C3746" s="3"/>
      <c r="D3746" s="3"/>
      <c r="E3746" s="3"/>
      <c r="F3746" s="3"/>
      <c r="G3746" s="3"/>
      <c r="H3746" s="3"/>
      <c r="I3746" s="3"/>
      <c r="J3746" s="3"/>
      <c r="K3746" s="3"/>
      <c r="L3746" s="3"/>
      <c r="M3746" s="3"/>
      <c r="N3746" s="3"/>
    </row>
    <row r="3747" spans="1:15" ht="12.75" customHeight="1" x14ac:dyDescent="0.2">
      <c r="A3747" s="1065" t="s">
        <v>392</v>
      </c>
      <c r="B3747" s="1057"/>
      <c r="C3747" s="1057"/>
      <c r="D3747" s="1057"/>
      <c r="E3747" s="1057"/>
      <c r="F3747" s="1057"/>
      <c r="G3747" s="1057"/>
      <c r="H3747" s="1057"/>
      <c r="I3747" s="1057"/>
      <c r="J3747" s="1057"/>
      <c r="K3747" s="1057"/>
      <c r="L3747" s="1057"/>
      <c r="M3747" s="1057"/>
      <c r="N3747" s="1058"/>
    </row>
    <row r="3748" spans="1:15" ht="12.75" customHeight="1" x14ac:dyDescent="0.2">
      <c r="A3748" s="1066" t="s">
        <v>38</v>
      </c>
      <c r="B3748" s="1057"/>
      <c r="C3748" s="1057"/>
      <c r="D3748" s="1057"/>
      <c r="E3748" s="1057"/>
      <c r="F3748" s="1057"/>
      <c r="G3748" s="1058"/>
      <c r="H3748" s="28" t="s">
        <v>39</v>
      </c>
      <c r="I3748" s="1062" t="s">
        <v>385</v>
      </c>
      <c r="J3748" s="1058"/>
      <c r="K3748" s="1062" t="s">
        <v>132</v>
      </c>
      <c r="L3748" s="1058"/>
      <c r="M3748" s="1062" t="s">
        <v>386</v>
      </c>
      <c r="N3748" s="1058"/>
    </row>
    <row r="3749" spans="1:15" ht="12.75" customHeight="1" x14ac:dyDescent="0.2">
      <c r="A3749" s="1061"/>
      <c r="B3749" s="1057"/>
      <c r="C3749" s="1057"/>
      <c r="D3749" s="1057"/>
      <c r="E3749" s="1057"/>
      <c r="F3749" s="1057"/>
      <c r="G3749" s="1058"/>
      <c r="H3749" s="9"/>
      <c r="I3749" s="1059"/>
      <c r="J3749" s="1058"/>
      <c r="K3749" s="1064"/>
      <c r="L3749" s="1058"/>
      <c r="M3749" s="1059" t="str">
        <f>IF(A3749="","",I3749*K3749)</f>
        <v/>
      </c>
      <c r="N3749" s="1058"/>
    </row>
    <row r="3750" spans="1:15" ht="12.75" customHeight="1" x14ac:dyDescent="0.2">
      <c r="A3750" s="1056"/>
      <c r="B3750" s="1057"/>
      <c r="C3750" s="1057"/>
      <c r="D3750" s="1057"/>
      <c r="E3750" s="1057"/>
      <c r="F3750" s="1057"/>
      <c r="G3750" s="1058"/>
      <c r="H3750" s="9"/>
      <c r="I3750" s="1059"/>
      <c r="J3750" s="1058"/>
      <c r="K3750" s="1064"/>
      <c r="L3750" s="1058"/>
      <c r="M3750" s="1059" t="str">
        <f>IF(A3750="","",I3750*K3750)</f>
        <v/>
      </c>
      <c r="N3750" s="1058"/>
    </row>
    <row r="3751" spans="1:15" ht="12.75" customHeight="1" x14ac:dyDescent="0.2">
      <c r="A3751" s="1061"/>
      <c r="B3751" s="1057"/>
      <c r="C3751" s="1057"/>
      <c r="D3751" s="1057"/>
      <c r="E3751" s="1057"/>
      <c r="F3751" s="1057"/>
      <c r="G3751" s="1058"/>
      <c r="H3751" s="9"/>
      <c r="I3751" s="1059"/>
      <c r="J3751" s="1058"/>
      <c r="K3751" s="1060"/>
      <c r="L3751" s="1058"/>
      <c r="M3751" s="1059" t="str">
        <f>IF(A3751="","",I3751*K3751)</f>
        <v/>
      </c>
      <c r="N3751" s="1058"/>
    </row>
    <row r="3752" spans="1:15" ht="12.75" customHeight="1" x14ac:dyDescent="0.2">
      <c r="A3752" s="1061"/>
      <c r="B3752" s="1057"/>
      <c r="C3752" s="1057"/>
      <c r="D3752" s="1057"/>
      <c r="E3752" s="1057"/>
      <c r="F3752" s="1057"/>
      <c r="G3752" s="1058"/>
      <c r="H3752" s="9"/>
      <c r="I3752" s="1059"/>
      <c r="J3752" s="1058"/>
      <c r="K3752" s="1060"/>
      <c r="L3752" s="1058"/>
      <c r="M3752" s="1059" t="str">
        <f>IF(A3752="","",I3752*K3752)</f>
        <v/>
      </c>
      <c r="N3752" s="1058"/>
    </row>
    <row r="3753" spans="1:15" ht="12.75" customHeight="1" x14ac:dyDescent="0.2">
      <c r="A3753" s="1061"/>
      <c r="B3753" s="1057"/>
      <c r="C3753" s="1057"/>
      <c r="D3753" s="1057"/>
      <c r="E3753" s="1057"/>
      <c r="F3753" s="1057"/>
      <c r="G3753" s="1058"/>
      <c r="H3753" s="9"/>
      <c r="I3753" s="1059"/>
      <c r="J3753" s="1058"/>
      <c r="K3753" s="1060"/>
      <c r="L3753" s="1058"/>
      <c r="M3753" s="1059" t="str">
        <f>IF(A3753="","",I3753*K3753)</f>
        <v/>
      </c>
      <c r="N3753" s="1058"/>
    </row>
    <row r="3754" spans="1:15" ht="12.75" customHeight="1" x14ac:dyDescent="0.25">
      <c r="A3754" s="3"/>
      <c r="B3754" s="3"/>
      <c r="C3754" s="3"/>
      <c r="D3754" s="3"/>
      <c r="E3754" s="3"/>
      <c r="F3754" s="3"/>
      <c r="G3754" s="3"/>
      <c r="H3754" s="3"/>
      <c r="I3754" s="3"/>
      <c r="J3754" s="3"/>
      <c r="K3754" s="1066" t="s">
        <v>201</v>
      </c>
      <c r="L3754" s="1058"/>
      <c r="M3754" s="1059">
        <f>SUM(M3749:N3753)</f>
        <v>0</v>
      </c>
      <c r="N3754" s="1058"/>
    </row>
    <row r="3755" spans="1:15" ht="12.75" customHeight="1" x14ac:dyDescent="0.25">
      <c r="A3755" s="3"/>
      <c r="B3755" s="3"/>
      <c r="C3755" s="3"/>
      <c r="D3755" s="3"/>
      <c r="E3755" s="3"/>
      <c r="F3755" s="3"/>
      <c r="G3755" s="3"/>
      <c r="H3755" s="3"/>
      <c r="I3755" s="3"/>
      <c r="J3755" s="3"/>
      <c r="K3755" s="3"/>
      <c r="L3755" s="3"/>
      <c r="M3755" s="3"/>
      <c r="N3755" s="3"/>
    </row>
    <row r="3756" spans="1:15" ht="12.75" customHeight="1" x14ac:dyDescent="0.2">
      <c r="A3756" s="1065" t="s">
        <v>394</v>
      </c>
      <c r="B3756" s="1057"/>
      <c r="C3756" s="1057"/>
      <c r="D3756" s="1057"/>
      <c r="E3756" s="1057"/>
      <c r="F3756" s="1057"/>
      <c r="G3756" s="1057"/>
      <c r="H3756" s="1057"/>
      <c r="I3756" s="1057"/>
      <c r="J3756" s="1057"/>
      <c r="K3756" s="1057"/>
      <c r="L3756" s="1057"/>
      <c r="M3756" s="1057"/>
      <c r="N3756" s="1058"/>
    </row>
    <row r="3757" spans="1:15" ht="12.75" customHeight="1" x14ac:dyDescent="0.2">
      <c r="A3757" s="1066" t="s">
        <v>38</v>
      </c>
      <c r="B3757" s="1057"/>
      <c r="C3757" s="1057"/>
      <c r="D3757" s="1057"/>
      <c r="E3757" s="1057"/>
      <c r="F3757" s="1057"/>
      <c r="G3757" s="1058"/>
      <c r="H3757" s="28" t="s">
        <v>39</v>
      </c>
      <c r="I3757" s="1062" t="s">
        <v>385</v>
      </c>
      <c r="J3757" s="1058"/>
      <c r="K3757" s="30" t="s">
        <v>193</v>
      </c>
      <c r="L3757" s="31" t="s">
        <v>395</v>
      </c>
      <c r="M3757" s="1062" t="s">
        <v>386</v>
      </c>
      <c r="N3757" s="1058"/>
    </row>
    <row r="3758" spans="1:15" ht="12.75" customHeight="1" x14ac:dyDescent="0.25">
      <c r="A3758" s="1063" t="s">
        <v>423</v>
      </c>
      <c r="B3758" s="1057"/>
      <c r="C3758" s="1057"/>
      <c r="D3758" s="1057"/>
      <c r="E3758" s="1057"/>
      <c r="F3758" s="1057"/>
      <c r="G3758" s="1058"/>
      <c r="H3758" s="9" t="str">
        <f>IF(A3758="","",VLOOKUP(A3758,AA_Cuadrillas,4,FALSE))</f>
        <v>Cuadrilla</v>
      </c>
      <c r="I3758" s="1059">
        <f>IF(A3758="","",VLOOKUP(A3758,AA_Cuadrillas,5,FALSE))</f>
        <v>134236</v>
      </c>
      <c r="J3758" s="1058"/>
      <c r="K3758" s="1">
        <f>IF(A3758="","",'06'!$J$3)</f>
        <v>1.7233500000000002</v>
      </c>
      <c r="L3758" s="37">
        <v>1.2927662187959975E-2</v>
      </c>
      <c r="M3758" s="1059">
        <f>IF(A3758="","",I3758*K3758*L3758)</f>
        <v>2990.6286258822529</v>
      </c>
      <c r="N3758" s="1058"/>
    </row>
    <row r="3759" spans="1:15" ht="12.75" customHeight="1" x14ac:dyDescent="0.25">
      <c r="A3759" s="1063"/>
      <c r="B3759" s="1057"/>
      <c r="C3759" s="1057"/>
      <c r="D3759" s="1057"/>
      <c r="E3759" s="1057"/>
      <c r="F3759" s="1057"/>
      <c r="G3759" s="1058"/>
      <c r="H3759" s="9" t="str">
        <f>IF(A3759="","",VLOOKUP(A3759,AA_Cuadrillas,4,FALSE))</f>
        <v/>
      </c>
      <c r="I3759" s="1059" t="str">
        <f>IF(A3759="","",VLOOKUP(A3759,AA_Cuadrillas,5,FALSE))</f>
        <v/>
      </c>
      <c r="J3759" s="1058"/>
      <c r="K3759" s="1" t="str">
        <f>IF(A3759="","",'06'!$J$3)</f>
        <v/>
      </c>
      <c r="L3759" s="1"/>
      <c r="M3759" s="1059" t="str">
        <f>IF(A3759="","",I3759*K3759*L3759)</f>
        <v/>
      </c>
      <c r="N3759" s="1058"/>
    </row>
    <row r="3760" spans="1:15" ht="12.75" customHeight="1" x14ac:dyDescent="0.25">
      <c r="A3760" s="1063"/>
      <c r="B3760" s="1057"/>
      <c r="C3760" s="1057"/>
      <c r="D3760" s="1057"/>
      <c r="E3760" s="1057"/>
      <c r="F3760" s="1057"/>
      <c r="G3760" s="1058"/>
      <c r="H3760" s="9" t="str">
        <f>IF(A3760="","",VLOOKUP(A3760,AA_Cuadrillas,4,FALSE))</f>
        <v/>
      </c>
      <c r="I3760" s="1059" t="str">
        <f>IF(A3760="","",VLOOKUP(A3760,AA_Cuadrillas,5,FALSE))</f>
        <v/>
      </c>
      <c r="J3760" s="1058"/>
      <c r="K3760" s="1" t="str">
        <f>IF(A3760="","",'06'!$J$3)</f>
        <v/>
      </c>
      <c r="L3760" s="10"/>
      <c r="M3760" s="1059" t="str">
        <f>IF(A3760="","",I3760*K3760*L3760)</f>
        <v/>
      </c>
      <c r="N3760" s="1058"/>
    </row>
    <row r="3761" spans="1:14" ht="12.75" customHeight="1" x14ac:dyDescent="0.25">
      <c r="A3761" s="1063"/>
      <c r="B3761" s="1057"/>
      <c r="C3761" s="1057"/>
      <c r="D3761" s="1057"/>
      <c r="E3761" s="1057"/>
      <c r="F3761" s="1057"/>
      <c r="G3761" s="1058"/>
      <c r="H3761" s="9" t="str">
        <f>IF(A3761="","",VLOOKUP(A3761,AA_Cuadrillas,4,FALSE))</f>
        <v/>
      </c>
      <c r="I3761" s="1059" t="str">
        <f>IF(A3761="","",VLOOKUP(A3761,AA_Cuadrillas,5,FALSE))</f>
        <v/>
      </c>
      <c r="J3761" s="1058"/>
      <c r="K3761" s="1" t="str">
        <f>IF(A3761="","",'06'!$J$3)</f>
        <v/>
      </c>
      <c r="L3761" s="10"/>
      <c r="M3761" s="1059" t="str">
        <f>IF(A3761="","",I3761*K3761*L3761)</f>
        <v/>
      </c>
      <c r="N3761" s="1058"/>
    </row>
    <row r="3762" spans="1:14" ht="12.75" customHeight="1" x14ac:dyDescent="0.25">
      <c r="A3762" s="1063"/>
      <c r="B3762" s="1057"/>
      <c r="C3762" s="1057"/>
      <c r="D3762" s="1057"/>
      <c r="E3762" s="1057"/>
      <c r="F3762" s="1057"/>
      <c r="G3762" s="1058"/>
      <c r="H3762" s="9" t="str">
        <f>IF(A3762="","",VLOOKUP(A3762,AA_Cuadrillas,4,FALSE))</f>
        <v/>
      </c>
      <c r="I3762" s="1059" t="str">
        <f>IF(A3762="","",VLOOKUP(A3762,AA_Cuadrillas,5,FALSE))</f>
        <v/>
      </c>
      <c r="J3762" s="1058"/>
      <c r="K3762" s="1" t="str">
        <f>IF(A3762="","",'06'!$J$3)</f>
        <v/>
      </c>
      <c r="L3762" s="10"/>
      <c r="M3762" s="1059" t="str">
        <f>IF(A3762="","",I3762*K3762*L3762)</f>
        <v/>
      </c>
      <c r="N3762" s="1058"/>
    </row>
    <row r="3763" spans="1:14" ht="12.75" customHeight="1" x14ac:dyDescent="0.25">
      <c r="A3763" s="3"/>
      <c r="B3763" s="3"/>
      <c r="C3763" s="3"/>
      <c r="D3763" s="3"/>
      <c r="E3763" s="3"/>
      <c r="F3763" s="3"/>
      <c r="G3763" s="3"/>
      <c r="H3763" s="3"/>
      <c r="I3763" s="3"/>
      <c r="J3763" s="3"/>
      <c r="K3763" s="1066" t="s">
        <v>201</v>
      </c>
      <c r="L3763" s="1058"/>
      <c r="M3763" s="1059">
        <f>SUM(M3758:N3762)</f>
        <v>2990.6286258822529</v>
      </c>
      <c r="N3763" s="1058"/>
    </row>
    <row r="3764" spans="1:14" ht="12.75" customHeight="1" x14ac:dyDescent="0.2"/>
    <row r="3765" spans="1:14" ht="12.75" customHeight="1" x14ac:dyDescent="0.2">
      <c r="A3765" s="1068" t="s">
        <v>1754</v>
      </c>
      <c r="B3765" s="1052"/>
      <c r="C3765" s="1052"/>
      <c r="D3765" s="1052"/>
      <c r="E3765" s="1052"/>
      <c r="F3765" s="1052"/>
      <c r="G3765" s="1052"/>
      <c r="H3765" s="1052"/>
      <c r="I3765" s="1052"/>
      <c r="J3765" s="1052"/>
      <c r="K3765" s="1052"/>
      <c r="L3765" s="1052"/>
      <c r="M3765" s="1052"/>
      <c r="N3765" s="1053"/>
    </row>
    <row r="3766" spans="1:14" ht="12.75" customHeight="1" x14ac:dyDescent="0.2">
      <c r="A3766" s="1031"/>
      <c r="B3766" s="1032"/>
      <c r="C3766" s="1032"/>
      <c r="D3766" s="1032"/>
      <c r="E3766" s="1032"/>
      <c r="F3766" s="1032"/>
      <c r="G3766" s="1032"/>
      <c r="H3766" s="1032"/>
      <c r="I3766" s="1032"/>
      <c r="J3766" s="1032"/>
      <c r="K3766" s="1032"/>
      <c r="L3766" s="1032"/>
      <c r="M3766" s="1032"/>
      <c r="N3766" s="1055"/>
    </row>
    <row r="3767" spans="1:14" ht="12.75" customHeight="1" x14ac:dyDescent="0.2">
      <c r="A3767" s="16"/>
      <c r="B3767" s="16"/>
      <c r="C3767" s="16"/>
      <c r="D3767" s="16"/>
      <c r="E3767" s="16"/>
      <c r="F3767" s="16"/>
      <c r="G3767" s="16"/>
      <c r="H3767" s="16"/>
      <c r="I3767" s="16"/>
      <c r="J3767" s="16"/>
      <c r="K3767" s="16"/>
      <c r="L3767" s="16"/>
      <c r="M3767" s="16"/>
      <c r="N3767" s="16"/>
    </row>
    <row r="3768" spans="1:14" ht="12.75" customHeight="1" x14ac:dyDescent="0.3">
      <c r="A3768" s="18" t="s">
        <v>379</v>
      </c>
      <c r="B3768" s="19" t="str">
        <f>A3765</f>
        <v>SUMINISTRO TUBERÍA PEAD RDE 17 Ø3"-DI 90mm.</v>
      </c>
      <c r="C3768" s="20" t="s">
        <v>382</v>
      </c>
      <c r="D3768" s="127" t="s">
        <v>419</v>
      </c>
      <c r="E3768" s="22" t="s">
        <v>125</v>
      </c>
      <c r="F3768" s="26">
        <f>(H3768+J3768+L3768+N3768)</f>
        <v>20483.039999999997</v>
      </c>
      <c r="G3768" s="22" t="s">
        <v>285</v>
      </c>
      <c r="H3768" s="26">
        <f>M3786</f>
        <v>0</v>
      </c>
      <c r="I3768" s="22" t="s">
        <v>383</v>
      </c>
      <c r="J3768" s="36">
        <f>M3777</f>
        <v>20483.039999999997</v>
      </c>
      <c r="K3768" s="22" t="s">
        <v>287</v>
      </c>
      <c r="L3768" s="26">
        <f>M3795</f>
        <v>0</v>
      </c>
      <c r="M3768" s="22" t="s">
        <v>288</v>
      </c>
      <c r="N3768" s="26">
        <f>M3804</f>
        <v>0</v>
      </c>
    </row>
    <row r="3769" spans="1:14" ht="12.75" customHeight="1" x14ac:dyDescent="0.25">
      <c r="A3769" s="27"/>
      <c r="B3769" s="27"/>
      <c r="C3769" s="27"/>
      <c r="D3769" s="27"/>
      <c r="E3769" s="27"/>
      <c r="F3769" s="27"/>
      <c r="G3769" s="27"/>
      <c r="J3769" s="27"/>
      <c r="K3769" s="27"/>
      <c r="L3769" s="27"/>
      <c r="M3769" s="27"/>
      <c r="N3769" s="27"/>
    </row>
    <row r="3770" spans="1:14" ht="12.75" customHeight="1" x14ac:dyDescent="0.2">
      <c r="A3770" s="1065" t="s">
        <v>384</v>
      </c>
      <c r="B3770" s="1057"/>
      <c r="C3770" s="1057"/>
      <c r="D3770" s="1057"/>
      <c r="E3770" s="1057"/>
      <c r="F3770" s="1057"/>
      <c r="G3770" s="1057"/>
      <c r="H3770" s="1057"/>
      <c r="I3770" s="1057"/>
      <c r="J3770" s="1057"/>
      <c r="K3770" s="1057"/>
      <c r="L3770" s="1057"/>
      <c r="M3770" s="1057"/>
      <c r="N3770" s="1058"/>
    </row>
    <row r="3771" spans="1:14" ht="12.75" customHeight="1" x14ac:dyDescent="0.2">
      <c r="A3771" s="1066" t="s">
        <v>38</v>
      </c>
      <c r="B3771" s="1057"/>
      <c r="C3771" s="1057"/>
      <c r="D3771" s="1057"/>
      <c r="E3771" s="1057"/>
      <c r="F3771" s="1057"/>
      <c r="G3771" s="1058"/>
      <c r="H3771" s="28" t="s">
        <v>39</v>
      </c>
      <c r="I3771" s="1062" t="s">
        <v>385</v>
      </c>
      <c r="J3771" s="1058"/>
      <c r="K3771" s="1062" t="s">
        <v>132</v>
      </c>
      <c r="L3771" s="1058"/>
      <c r="M3771" s="1062" t="s">
        <v>386</v>
      </c>
      <c r="N3771" s="1058"/>
    </row>
    <row r="3772" spans="1:14" ht="12.75" customHeight="1" x14ac:dyDescent="0.2">
      <c r="A3772" s="1061" t="s">
        <v>1508</v>
      </c>
      <c r="B3772" s="1057"/>
      <c r="C3772" s="1057"/>
      <c r="D3772" s="1057"/>
      <c r="E3772" s="1057"/>
      <c r="F3772" s="1057"/>
      <c r="G3772" s="1058"/>
      <c r="H3772" s="9" t="str">
        <f t="shared" ref="H3772" si="290">IF(A3772="","",VLOOKUP(A3772,AA_Materiales,7,FALSE))</f>
        <v>m</v>
      </c>
      <c r="I3772" s="1059">
        <f t="shared" ref="I3772" si="291">IF(A3772="","",VLOOKUP(A3772,AA_Materiales,8,FALSE))</f>
        <v>20483.039999999997</v>
      </c>
      <c r="J3772" s="1058"/>
      <c r="K3772" s="1060">
        <v>1</v>
      </c>
      <c r="L3772" s="1058"/>
      <c r="M3772" s="1059">
        <f>IF(A3772="","",I3772*K3772)</f>
        <v>20483.039999999997</v>
      </c>
      <c r="N3772" s="1058"/>
    </row>
    <row r="3773" spans="1:14" ht="12.75" customHeight="1" x14ac:dyDescent="0.2">
      <c r="A3773" s="1056"/>
      <c r="B3773" s="1057"/>
      <c r="C3773" s="1057"/>
      <c r="D3773" s="1057"/>
      <c r="E3773" s="1057"/>
      <c r="F3773" s="1057"/>
      <c r="G3773" s="1058"/>
      <c r="H3773" s="9" t="str">
        <f>IF(A3773="","",VLOOKUP(A3773,AA_Materiales,7,FALSE))</f>
        <v/>
      </c>
      <c r="I3773" s="1059" t="str">
        <f>IF(A3773="","",VLOOKUP(A3773,AA_Materiales,8,FALSE))</f>
        <v/>
      </c>
      <c r="J3773" s="1058"/>
      <c r="K3773" s="1060"/>
      <c r="L3773" s="1058"/>
      <c r="M3773" s="1059" t="str">
        <f>IF(A3773="","",I3773*K3773)</f>
        <v/>
      </c>
      <c r="N3773" s="1058"/>
    </row>
    <row r="3774" spans="1:14" ht="12.75" customHeight="1" x14ac:dyDescent="0.2">
      <c r="A3774" s="1056"/>
      <c r="B3774" s="1057"/>
      <c r="C3774" s="1057"/>
      <c r="D3774" s="1057"/>
      <c r="E3774" s="1057"/>
      <c r="F3774" s="1057"/>
      <c r="G3774" s="1058"/>
      <c r="H3774" s="9" t="str">
        <f>IF(A3774="","",VLOOKUP(A3774,AA_Materiales,7,FALSE))</f>
        <v/>
      </c>
      <c r="I3774" s="1059" t="str">
        <f>IF(A3774="","",VLOOKUP(A3774,AA_Materiales,8,FALSE))</f>
        <v/>
      </c>
      <c r="J3774" s="1058"/>
      <c r="K3774" s="1060"/>
      <c r="L3774" s="1058"/>
      <c r="M3774" s="1059" t="str">
        <f>IF(A3774="","",I3774*K3774)</f>
        <v/>
      </c>
      <c r="N3774" s="1058"/>
    </row>
    <row r="3775" spans="1:14" ht="12.75" customHeight="1" x14ac:dyDescent="0.2">
      <c r="A3775" s="1056"/>
      <c r="B3775" s="1057"/>
      <c r="C3775" s="1057"/>
      <c r="D3775" s="1057"/>
      <c r="E3775" s="1057"/>
      <c r="F3775" s="1057"/>
      <c r="G3775" s="1058"/>
      <c r="H3775" s="9" t="str">
        <f>IF(A3775="","",VLOOKUP(A3775,AA_Materiales,7,FALSE))</f>
        <v/>
      </c>
      <c r="I3775" s="1059" t="str">
        <f>IF(A3775="","",VLOOKUP(A3775,AA_Materiales,8,FALSE))</f>
        <v/>
      </c>
      <c r="J3775" s="1058"/>
      <c r="K3775" s="1060"/>
      <c r="L3775" s="1058"/>
      <c r="M3775" s="1059" t="str">
        <f>IF(A3775="","",I3775*K3775)</f>
        <v/>
      </c>
      <c r="N3775" s="1058"/>
    </row>
    <row r="3776" spans="1:14" ht="12.75" customHeight="1" x14ac:dyDescent="0.2">
      <c r="A3776" s="1056"/>
      <c r="B3776" s="1057"/>
      <c r="C3776" s="1057"/>
      <c r="D3776" s="1057"/>
      <c r="E3776" s="1057"/>
      <c r="F3776" s="1057"/>
      <c r="G3776" s="1058"/>
      <c r="H3776" s="9" t="str">
        <f>IF(A3776="","",VLOOKUP(A3776,AA_Materiales,7,FALSE))</f>
        <v/>
      </c>
      <c r="I3776" s="1059" t="str">
        <f>IF(A3776="","",VLOOKUP(A3776,AA_Materiales,8,FALSE))</f>
        <v/>
      </c>
      <c r="J3776" s="1058"/>
      <c r="K3776" s="1060"/>
      <c r="L3776" s="1058"/>
      <c r="M3776" s="1059" t="str">
        <f>IF(A3776="","",I3776*K3776)</f>
        <v/>
      </c>
      <c r="N3776" s="1058"/>
    </row>
    <row r="3777" spans="1:15" ht="12.75" customHeight="1" x14ac:dyDescent="0.25">
      <c r="A3777" s="3"/>
      <c r="B3777" s="3"/>
      <c r="C3777" s="3"/>
      <c r="D3777" s="3"/>
      <c r="E3777" s="3"/>
      <c r="F3777" s="3"/>
      <c r="G3777" s="3"/>
      <c r="H3777" s="3"/>
      <c r="I3777" s="3"/>
      <c r="J3777" s="3"/>
      <c r="K3777" s="1066" t="s">
        <v>201</v>
      </c>
      <c r="L3777" s="1058"/>
      <c r="M3777" s="1059">
        <f>SUM(M3772:N3776)</f>
        <v>20483.039999999997</v>
      </c>
      <c r="N3777" s="1058"/>
    </row>
    <row r="3778" spans="1:15" ht="12.75" customHeight="1" x14ac:dyDescent="0.25">
      <c r="A3778" s="3"/>
      <c r="B3778" s="3"/>
      <c r="C3778" s="3"/>
      <c r="D3778" s="3"/>
      <c r="E3778" s="3"/>
      <c r="F3778" s="3"/>
      <c r="G3778" s="3"/>
      <c r="H3778" s="3"/>
      <c r="I3778" s="3"/>
      <c r="J3778" s="3"/>
      <c r="K3778" s="3"/>
      <c r="L3778" s="3"/>
      <c r="M3778" s="3"/>
      <c r="N3778" s="3"/>
    </row>
    <row r="3779" spans="1:15" ht="12.75" customHeight="1" x14ac:dyDescent="0.2">
      <c r="A3779" s="1065" t="s">
        <v>390</v>
      </c>
      <c r="B3779" s="1057"/>
      <c r="C3779" s="1057"/>
      <c r="D3779" s="1057"/>
      <c r="E3779" s="1057"/>
      <c r="F3779" s="1057"/>
      <c r="G3779" s="1057"/>
      <c r="H3779" s="1057"/>
      <c r="I3779" s="1057"/>
      <c r="J3779" s="1057"/>
      <c r="K3779" s="1057"/>
      <c r="L3779" s="1057"/>
      <c r="M3779" s="1057"/>
      <c r="N3779" s="1058"/>
    </row>
    <row r="3780" spans="1:15" ht="12.75" customHeight="1" x14ac:dyDescent="0.2">
      <c r="A3780" s="1066" t="s">
        <v>38</v>
      </c>
      <c r="B3780" s="1057"/>
      <c r="C3780" s="1057"/>
      <c r="D3780" s="1057"/>
      <c r="E3780" s="1057"/>
      <c r="F3780" s="1057"/>
      <c r="G3780" s="1058"/>
      <c r="H3780" s="28" t="s">
        <v>39</v>
      </c>
      <c r="I3780" s="1062" t="s">
        <v>385</v>
      </c>
      <c r="J3780" s="1058"/>
      <c r="K3780" s="1062" t="s">
        <v>132</v>
      </c>
      <c r="L3780" s="1058"/>
      <c r="M3780" s="1062" t="s">
        <v>386</v>
      </c>
      <c r="N3780" s="1058"/>
    </row>
    <row r="3781" spans="1:15" ht="12.75" customHeight="1" x14ac:dyDescent="0.2">
      <c r="A3781" s="1061" t="s">
        <v>391</v>
      </c>
      <c r="B3781" s="1057"/>
      <c r="C3781" s="1057"/>
      <c r="D3781" s="1057"/>
      <c r="E3781" s="1057"/>
      <c r="F3781" s="1057"/>
      <c r="G3781" s="1058"/>
      <c r="H3781" s="9" t="str">
        <f>IF(A3781="","",VLOOKUP(A3781,AA_Equipos,7,FALSE))</f>
        <v>% M.O.</v>
      </c>
      <c r="I3781" s="1059">
        <f>+M3804</f>
        <v>0</v>
      </c>
      <c r="J3781" s="1058"/>
      <c r="K3781" s="1064">
        <v>0.05</v>
      </c>
      <c r="L3781" s="1058"/>
      <c r="M3781" s="1059">
        <f>IF(A3781="","",I3781*K3781)</f>
        <v>0</v>
      </c>
      <c r="N3781" s="1058"/>
    </row>
    <row r="3782" spans="1:15" ht="12.75" customHeight="1" x14ac:dyDescent="0.2">
      <c r="A3782" s="1056"/>
      <c r="B3782" s="1057"/>
      <c r="C3782" s="1057"/>
      <c r="D3782" s="1057"/>
      <c r="E3782" s="1057"/>
      <c r="F3782" s="1057"/>
      <c r="G3782" s="1058"/>
      <c r="H3782" s="9" t="str">
        <f>IF(A3782="","",VLOOKUP(A3782,AA_Equipos,7,FALSE))</f>
        <v/>
      </c>
      <c r="I3782" s="1059" t="str">
        <f>IF(A3782="","",VLOOKUP(A3782,AA_Equipos,8,FALSE))</f>
        <v/>
      </c>
      <c r="J3782" s="1058"/>
      <c r="K3782" s="1067"/>
      <c r="L3782" s="1058"/>
      <c r="M3782" s="1059" t="str">
        <f>IF(A3782="","",I3782*K3782)</f>
        <v/>
      </c>
      <c r="N3782" s="1058"/>
    </row>
    <row r="3783" spans="1:15" ht="12.75" customHeight="1" x14ac:dyDescent="0.2">
      <c r="A3783" s="1061"/>
      <c r="B3783" s="1057"/>
      <c r="C3783" s="1057"/>
      <c r="D3783" s="1057"/>
      <c r="E3783" s="1057"/>
      <c r="F3783" s="1057"/>
      <c r="G3783" s="1058"/>
      <c r="H3783" s="9" t="str">
        <f>IF(A3783="","",VLOOKUP(A3783,AA_Equipos,7,FALSE))</f>
        <v/>
      </c>
      <c r="I3783" s="1059" t="str">
        <f>IF(A3783="","",VLOOKUP(A3783,AA_Equipos,8,FALSE))</f>
        <v/>
      </c>
      <c r="J3783" s="1058"/>
      <c r="K3783" s="1070"/>
      <c r="L3783" s="1058"/>
      <c r="M3783" s="1059" t="str">
        <f>IF(A3783="","",I3783*K3783)</f>
        <v/>
      </c>
      <c r="N3783" s="1058"/>
    </row>
    <row r="3784" spans="1:15" ht="12.75" customHeight="1" x14ac:dyDescent="0.2">
      <c r="A3784" s="1061"/>
      <c r="B3784" s="1057"/>
      <c r="C3784" s="1057"/>
      <c r="D3784" s="1057"/>
      <c r="E3784" s="1057"/>
      <c r="F3784" s="1057"/>
      <c r="G3784" s="1058"/>
      <c r="H3784" s="9" t="str">
        <f>IF(A3784="","",VLOOKUP(A3784,AA_Equipos,7,FALSE))</f>
        <v/>
      </c>
      <c r="I3784" s="1059" t="str">
        <f>IF(A3784="","",VLOOKUP(A3784,AA_Equipos,8,FALSE))</f>
        <v/>
      </c>
      <c r="J3784" s="1058"/>
      <c r="K3784" s="1060"/>
      <c r="L3784" s="1058"/>
      <c r="M3784" s="1059" t="str">
        <f>IF(A3784="","",I3784*K3784)</f>
        <v/>
      </c>
      <c r="N3784" s="1058"/>
    </row>
    <row r="3785" spans="1:15" ht="12.75" customHeight="1" x14ac:dyDescent="0.2">
      <c r="A3785" s="1061"/>
      <c r="B3785" s="1057"/>
      <c r="C3785" s="1057"/>
      <c r="D3785" s="1057"/>
      <c r="E3785" s="1057"/>
      <c r="F3785" s="1057"/>
      <c r="G3785" s="1058"/>
      <c r="H3785" s="9" t="str">
        <f>IF(A3785="","",VLOOKUP(A3785,AA_Equipos,7,FALSE))</f>
        <v/>
      </c>
      <c r="I3785" s="1059" t="str">
        <f>IF(A3785="","",VLOOKUP(A3785,AA_Equipos,8,FALSE))</f>
        <v/>
      </c>
      <c r="J3785" s="1058"/>
      <c r="K3785" s="1060"/>
      <c r="L3785" s="1058"/>
      <c r="M3785" s="1059" t="str">
        <f>IF(A3785="","",I3785*K3785)</f>
        <v/>
      </c>
      <c r="N3785" s="1058"/>
      <c r="O3785" s="7"/>
    </row>
    <row r="3786" spans="1:15" ht="12.75" customHeight="1" x14ac:dyDescent="0.25">
      <c r="A3786" s="3"/>
      <c r="B3786" s="3"/>
      <c r="C3786" s="3"/>
      <c r="D3786" s="3"/>
      <c r="E3786" s="3"/>
      <c r="F3786" s="3"/>
      <c r="G3786" s="3"/>
      <c r="H3786" s="3"/>
      <c r="I3786" s="3"/>
      <c r="J3786" s="3"/>
      <c r="K3786" s="1066" t="s">
        <v>201</v>
      </c>
      <c r="L3786" s="1058"/>
      <c r="M3786" s="1059">
        <f>SUM(M3781:N3785)</f>
        <v>0</v>
      </c>
      <c r="N3786" s="1058"/>
      <c r="O3786" s="7"/>
    </row>
    <row r="3787" spans="1:15" ht="12.75" customHeight="1" x14ac:dyDescent="0.25">
      <c r="A3787" s="3"/>
      <c r="B3787" s="3"/>
      <c r="C3787" s="3"/>
      <c r="D3787" s="3"/>
      <c r="E3787" s="3"/>
      <c r="F3787" s="3"/>
      <c r="G3787" s="3"/>
      <c r="H3787" s="3"/>
      <c r="I3787" s="3"/>
      <c r="J3787" s="3"/>
      <c r="K3787" s="3"/>
      <c r="L3787" s="3"/>
      <c r="M3787" s="3"/>
      <c r="N3787" s="3"/>
    </row>
    <row r="3788" spans="1:15" ht="12.75" customHeight="1" x14ac:dyDescent="0.2">
      <c r="A3788" s="1065" t="s">
        <v>392</v>
      </c>
      <c r="B3788" s="1057"/>
      <c r="C3788" s="1057"/>
      <c r="D3788" s="1057"/>
      <c r="E3788" s="1057"/>
      <c r="F3788" s="1057"/>
      <c r="G3788" s="1057"/>
      <c r="H3788" s="1057"/>
      <c r="I3788" s="1057"/>
      <c r="J3788" s="1057"/>
      <c r="K3788" s="1057"/>
      <c r="L3788" s="1057"/>
      <c r="M3788" s="1057"/>
      <c r="N3788" s="1058"/>
    </row>
    <row r="3789" spans="1:15" ht="12.75" customHeight="1" x14ac:dyDescent="0.2">
      <c r="A3789" s="1066" t="s">
        <v>38</v>
      </c>
      <c r="B3789" s="1057"/>
      <c r="C3789" s="1057"/>
      <c r="D3789" s="1057"/>
      <c r="E3789" s="1057"/>
      <c r="F3789" s="1057"/>
      <c r="G3789" s="1058"/>
      <c r="H3789" s="28" t="s">
        <v>39</v>
      </c>
      <c r="I3789" s="1062" t="s">
        <v>385</v>
      </c>
      <c r="J3789" s="1058"/>
      <c r="K3789" s="1062" t="s">
        <v>132</v>
      </c>
      <c r="L3789" s="1058"/>
      <c r="M3789" s="1062" t="s">
        <v>386</v>
      </c>
      <c r="N3789" s="1058"/>
    </row>
    <row r="3790" spans="1:15" ht="12.75" customHeight="1" x14ac:dyDescent="0.2">
      <c r="A3790" s="1061"/>
      <c r="B3790" s="1057"/>
      <c r="C3790" s="1057"/>
      <c r="D3790" s="1057"/>
      <c r="E3790" s="1057"/>
      <c r="F3790" s="1057"/>
      <c r="G3790" s="1058"/>
      <c r="H3790" s="9"/>
      <c r="I3790" s="1059"/>
      <c r="J3790" s="1058"/>
      <c r="K3790" s="1064"/>
      <c r="L3790" s="1058"/>
      <c r="M3790" s="1059" t="str">
        <f>IF(A3790="","",I3790*K3790)</f>
        <v/>
      </c>
      <c r="N3790" s="1058"/>
    </row>
    <row r="3791" spans="1:15" ht="12.75" customHeight="1" x14ac:dyDescent="0.2">
      <c r="A3791" s="1056"/>
      <c r="B3791" s="1057"/>
      <c r="C3791" s="1057"/>
      <c r="D3791" s="1057"/>
      <c r="E3791" s="1057"/>
      <c r="F3791" s="1057"/>
      <c r="G3791" s="1058"/>
      <c r="H3791" s="9"/>
      <c r="I3791" s="1059"/>
      <c r="J3791" s="1058"/>
      <c r="K3791" s="1064"/>
      <c r="L3791" s="1058"/>
      <c r="M3791" s="1059" t="str">
        <f>IF(A3791="","",I3791*K3791)</f>
        <v/>
      </c>
      <c r="N3791" s="1058"/>
    </row>
    <row r="3792" spans="1:15" ht="12.75" customHeight="1" x14ac:dyDescent="0.2">
      <c r="A3792" s="1061"/>
      <c r="B3792" s="1057"/>
      <c r="C3792" s="1057"/>
      <c r="D3792" s="1057"/>
      <c r="E3792" s="1057"/>
      <c r="F3792" s="1057"/>
      <c r="G3792" s="1058"/>
      <c r="H3792" s="9"/>
      <c r="I3792" s="1059"/>
      <c r="J3792" s="1058"/>
      <c r="K3792" s="1060"/>
      <c r="L3792" s="1058"/>
      <c r="M3792" s="1059" t="str">
        <f>IF(A3792="","",I3792*K3792)</f>
        <v/>
      </c>
      <c r="N3792" s="1058"/>
    </row>
    <row r="3793" spans="1:14" ht="12.75" customHeight="1" x14ac:dyDescent="0.2">
      <c r="A3793" s="1061"/>
      <c r="B3793" s="1057"/>
      <c r="C3793" s="1057"/>
      <c r="D3793" s="1057"/>
      <c r="E3793" s="1057"/>
      <c r="F3793" s="1057"/>
      <c r="G3793" s="1058"/>
      <c r="H3793" s="9"/>
      <c r="I3793" s="1059"/>
      <c r="J3793" s="1058"/>
      <c r="K3793" s="1060"/>
      <c r="L3793" s="1058"/>
      <c r="M3793" s="1059" t="str">
        <f>IF(A3793="","",I3793*K3793)</f>
        <v/>
      </c>
      <c r="N3793" s="1058"/>
    </row>
    <row r="3794" spans="1:14" ht="12.75" customHeight="1" x14ac:dyDescent="0.2">
      <c r="A3794" s="1061"/>
      <c r="B3794" s="1057"/>
      <c r="C3794" s="1057"/>
      <c r="D3794" s="1057"/>
      <c r="E3794" s="1057"/>
      <c r="F3794" s="1057"/>
      <c r="G3794" s="1058"/>
      <c r="H3794" s="9"/>
      <c r="I3794" s="1059"/>
      <c r="J3794" s="1058"/>
      <c r="K3794" s="1060"/>
      <c r="L3794" s="1058"/>
      <c r="M3794" s="1059" t="str">
        <f>IF(A3794="","",I3794*K3794)</f>
        <v/>
      </c>
      <c r="N3794" s="1058"/>
    </row>
    <row r="3795" spans="1:14" ht="12.75" customHeight="1" x14ac:dyDescent="0.25">
      <c r="A3795" s="3"/>
      <c r="B3795" s="3"/>
      <c r="C3795" s="3"/>
      <c r="D3795" s="3"/>
      <c r="E3795" s="3"/>
      <c r="F3795" s="3"/>
      <c r="G3795" s="3"/>
      <c r="H3795" s="3"/>
      <c r="I3795" s="3"/>
      <c r="J3795" s="3"/>
      <c r="K3795" s="1066" t="s">
        <v>201</v>
      </c>
      <c r="L3795" s="1058"/>
      <c r="M3795" s="1059">
        <f>SUM(M3790:N3794)</f>
        <v>0</v>
      </c>
      <c r="N3795" s="1058"/>
    </row>
    <row r="3796" spans="1:14" ht="12.75" customHeight="1" x14ac:dyDescent="0.25">
      <c r="A3796" s="3"/>
      <c r="B3796" s="3"/>
      <c r="C3796" s="3"/>
      <c r="D3796" s="3"/>
      <c r="E3796" s="3"/>
      <c r="F3796" s="3"/>
      <c r="G3796" s="3"/>
      <c r="H3796" s="3"/>
      <c r="I3796" s="3"/>
      <c r="J3796" s="3"/>
      <c r="K3796" s="3"/>
      <c r="L3796" s="3"/>
      <c r="M3796" s="3"/>
      <c r="N3796" s="3"/>
    </row>
    <row r="3797" spans="1:14" ht="12.75" customHeight="1" x14ac:dyDescent="0.2">
      <c r="A3797" s="1065" t="s">
        <v>394</v>
      </c>
      <c r="B3797" s="1057"/>
      <c r="C3797" s="1057"/>
      <c r="D3797" s="1057"/>
      <c r="E3797" s="1057"/>
      <c r="F3797" s="1057"/>
      <c r="G3797" s="1057"/>
      <c r="H3797" s="1057"/>
      <c r="I3797" s="1057"/>
      <c r="J3797" s="1057"/>
      <c r="K3797" s="1057"/>
      <c r="L3797" s="1057"/>
      <c r="M3797" s="1057"/>
      <c r="N3797" s="1058"/>
    </row>
    <row r="3798" spans="1:14" ht="12.75" customHeight="1" x14ac:dyDescent="0.2">
      <c r="A3798" s="1066" t="s">
        <v>38</v>
      </c>
      <c r="B3798" s="1057"/>
      <c r="C3798" s="1057"/>
      <c r="D3798" s="1057"/>
      <c r="E3798" s="1057"/>
      <c r="F3798" s="1057"/>
      <c r="G3798" s="1058"/>
      <c r="H3798" s="28" t="s">
        <v>39</v>
      </c>
      <c r="I3798" s="1062" t="s">
        <v>385</v>
      </c>
      <c r="J3798" s="1058"/>
      <c r="K3798" s="30" t="s">
        <v>193</v>
      </c>
      <c r="L3798" s="31" t="s">
        <v>395</v>
      </c>
      <c r="M3798" s="1062" t="s">
        <v>386</v>
      </c>
      <c r="N3798" s="1058"/>
    </row>
    <row r="3799" spans="1:14" ht="12.75" customHeight="1" x14ac:dyDescent="0.25">
      <c r="A3799" s="1063"/>
      <c r="B3799" s="1057"/>
      <c r="C3799" s="1057"/>
      <c r="D3799" s="1057"/>
      <c r="E3799" s="1057"/>
      <c r="F3799" s="1057"/>
      <c r="G3799" s="1058"/>
      <c r="H3799" s="9" t="str">
        <f>IF(A3799="","",VLOOKUP(A3799,AA_Cuadrillas,4,FALSE))</f>
        <v/>
      </c>
      <c r="I3799" s="1059" t="str">
        <f>IF(A3799="","",VLOOKUP(A3799,AA_Cuadrillas,5,FALSE))</f>
        <v/>
      </c>
      <c r="J3799" s="1058"/>
      <c r="K3799" s="1" t="str">
        <f>IF(A3799="","",'06'!$J$3)</f>
        <v/>
      </c>
      <c r="L3799" s="37"/>
      <c r="M3799" s="1059" t="str">
        <f>IF(A3799="","",I3799*K3799*L3799)</f>
        <v/>
      </c>
      <c r="N3799" s="1058"/>
    </row>
    <row r="3800" spans="1:14" ht="12.75" customHeight="1" x14ac:dyDescent="0.25">
      <c r="A3800" s="1063"/>
      <c r="B3800" s="1057"/>
      <c r="C3800" s="1057"/>
      <c r="D3800" s="1057"/>
      <c r="E3800" s="1057"/>
      <c r="F3800" s="1057"/>
      <c r="G3800" s="1058"/>
      <c r="H3800" s="9" t="str">
        <f>IF(A3800="","",VLOOKUP(A3800,AA_Cuadrillas,4,FALSE))</f>
        <v/>
      </c>
      <c r="I3800" s="1059" t="str">
        <f>IF(A3800="","",VLOOKUP(A3800,AA_Cuadrillas,5,FALSE))</f>
        <v/>
      </c>
      <c r="J3800" s="1058"/>
      <c r="K3800" s="1" t="str">
        <f>IF(A3800="","",'06'!$J$3)</f>
        <v/>
      </c>
      <c r="L3800" s="1"/>
      <c r="M3800" s="1059" t="str">
        <f>IF(A3800="","",I3800*K3800*L3800)</f>
        <v/>
      </c>
      <c r="N3800" s="1058"/>
    </row>
    <row r="3801" spans="1:14" ht="12.75" customHeight="1" x14ac:dyDescent="0.25">
      <c r="A3801" s="1063"/>
      <c r="B3801" s="1057"/>
      <c r="C3801" s="1057"/>
      <c r="D3801" s="1057"/>
      <c r="E3801" s="1057"/>
      <c r="F3801" s="1057"/>
      <c r="G3801" s="1058"/>
      <c r="H3801" s="9" t="str">
        <f>IF(A3801="","",VLOOKUP(A3801,AA_Cuadrillas,4,FALSE))</f>
        <v/>
      </c>
      <c r="I3801" s="1059" t="str">
        <f>IF(A3801="","",VLOOKUP(A3801,AA_Cuadrillas,5,FALSE))</f>
        <v/>
      </c>
      <c r="J3801" s="1058"/>
      <c r="K3801" s="1" t="str">
        <f>IF(A3801="","",'06'!$J$3)</f>
        <v/>
      </c>
      <c r="L3801" s="10"/>
      <c r="M3801" s="1059" t="str">
        <f>IF(A3801="","",I3801*K3801*L3801)</f>
        <v/>
      </c>
      <c r="N3801" s="1058"/>
    </row>
    <row r="3802" spans="1:14" ht="12.75" customHeight="1" x14ac:dyDescent="0.25">
      <c r="A3802" s="1063"/>
      <c r="B3802" s="1057"/>
      <c r="C3802" s="1057"/>
      <c r="D3802" s="1057"/>
      <c r="E3802" s="1057"/>
      <c r="F3802" s="1057"/>
      <c r="G3802" s="1058"/>
      <c r="H3802" s="9" t="str">
        <f>IF(A3802="","",VLOOKUP(A3802,AA_Cuadrillas,4,FALSE))</f>
        <v/>
      </c>
      <c r="I3802" s="1059" t="str">
        <f>IF(A3802="","",VLOOKUP(A3802,AA_Cuadrillas,5,FALSE))</f>
        <v/>
      </c>
      <c r="J3802" s="1058"/>
      <c r="K3802" s="1" t="str">
        <f>IF(A3802="","",'06'!$J$3)</f>
        <v/>
      </c>
      <c r="L3802" s="10"/>
      <c r="M3802" s="1059" t="str">
        <f>IF(A3802="","",I3802*K3802*L3802)</f>
        <v/>
      </c>
      <c r="N3802" s="1058"/>
    </row>
    <row r="3803" spans="1:14" ht="12.75" customHeight="1" x14ac:dyDescent="0.25">
      <c r="A3803" s="1063"/>
      <c r="B3803" s="1057"/>
      <c r="C3803" s="1057"/>
      <c r="D3803" s="1057"/>
      <c r="E3803" s="1057"/>
      <c r="F3803" s="1057"/>
      <c r="G3803" s="1058"/>
      <c r="H3803" s="9" t="str">
        <f>IF(A3803="","",VLOOKUP(A3803,AA_Cuadrillas,4,FALSE))</f>
        <v/>
      </c>
      <c r="I3803" s="1059" t="str">
        <f>IF(A3803="","",VLOOKUP(A3803,AA_Cuadrillas,5,FALSE))</f>
        <v/>
      </c>
      <c r="J3803" s="1058"/>
      <c r="K3803" s="1" t="str">
        <f>IF(A3803="","",'06'!$J$3)</f>
        <v/>
      </c>
      <c r="L3803" s="10"/>
      <c r="M3803" s="1059" t="str">
        <f>IF(A3803="","",I3803*K3803*L3803)</f>
        <v/>
      </c>
      <c r="N3803" s="1058"/>
    </row>
    <row r="3804" spans="1:14" ht="12.75" customHeight="1" x14ac:dyDescent="0.25">
      <c r="A3804" s="3"/>
      <c r="B3804" s="3"/>
      <c r="C3804" s="3"/>
      <c r="D3804" s="3"/>
      <c r="E3804" s="3"/>
      <c r="F3804" s="3"/>
      <c r="G3804" s="3"/>
      <c r="H3804" s="3"/>
      <c r="I3804" s="3"/>
      <c r="J3804" s="3"/>
      <c r="K3804" s="1066" t="s">
        <v>201</v>
      </c>
      <c r="L3804" s="1058"/>
      <c r="M3804" s="1059">
        <f>SUM(M3799:N3803)</f>
        <v>0</v>
      </c>
      <c r="N3804" s="1058"/>
    </row>
    <row r="3805" spans="1:14" ht="12.75" customHeight="1" x14ac:dyDescent="0.2"/>
    <row r="3806" spans="1:14" ht="12.75" customHeight="1" x14ac:dyDescent="0.2">
      <c r="A3806" s="1068" t="s">
        <v>1755</v>
      </c>
      <c r="B3806" s="1052"/>
      <c r="C3806" s="1052"/>
      <c r="D3806" s="1052"/>
      <c r="E3806" s="1052"/>
      <c r="F3806" s="1052"/>
      <c r="G3806" s="1052"/>
      <c r="H3806" s="1052"/>
      <c r="I3806" s="1052"/>
      <c r="J3806" s="1052"/>
      <c r="K3806" s="1052"/>
      <c r="L3806" s="1052"/>
      <c r="M3806" s="1052"/>
      <c r="N3806" s="1053"/>
    </row>
    <row r="3807" spans="1:14" ht="12.75" customHeight="1" x14ac:dyDescent="0.2">
      <c r="A3807" s="1031"/>
      <c r="B3807" s="1032"/>
      <c r="C3807" s="1032"/>
      <c r="D3807" s="1032"/>
      <c r="E3807" s="1032"/>
      <c r="F3807" s="1032"/>
      <c r="G3807" s="1032"/>
      <c r="H3807" s="1032"/>
      <c r="I3807" s="1032"/>
      <c r="J3807" s="1032"/>
      <c r="K3807" s="1032"/>
      <c r="L3807" s="1032"/>
      <c r="M3807" s="1032"/>
      <c r="N3807" s="1055"/>
    </row>
    <row r="3808" spans="1:14" ht="12.75" customHeight="1" x14ac:dyDescent="0.2">
      <c r="A3808" s="16"/>
      <c r="B3808" s="16"/>
      <c r="C3808" s="16"/>
      <c r="D3808" s="16"/>
      <c r="E3808" s="16"/>
      <c r="F3808" s="16"/>
      <c r="G3808" s="16"/>
      <c r="H3808" s="16"/>
      <c r="I3808" s="16"/>
      <c r="J3808" s="16"/>
      <c r="K3808" s="16"/>
      <c r="L3808" s="16"/>
      <c r="M3808" s="16"/>
      <c r="N3808" s="16"/>
    </row>
    <row r="3809" spans="1:14" ht="12.75" customHeight="1" x14ac:dyDescent="0.3">
      <c r="A3809" s="18" t="s">
        <v>380</v>
      </c>
      <c r="B3809" s="19" t="str">
        <f>A3806</f>
        <v>SUMINISTRO TUBERÍA PEAD RDE 17 Ø6"-DI 160mm.</v>
      </c>
      <c r="C3809" s="20" t="s">
        <v>382</v>
      </c>
      <c r="D3809" s="127" t="s">
        <v>419</v>
      </c>
      <c r="E3809" s="22" t="s">
        <v>125</v>
      </c>
      <c r="F3809" s="26">
        <f>(H3809+J3809+L3809+N3809)</f>
        <v>85048.95</v>
      </c>
      <c r="G3809" s="22" t="s">
        <v>285</v>
      </c>
      <c r="H3809" s="26">
        <f>M3826</f>
        <v>0</v>
      </c>
      <c r="I3809" s="22" t="s">
        <v>383</v>
      </c>
      <c r="J3809" s="36">
        <f>M3817</f>
        <v>80999</v>
      </c>
      <c r="K3809" s="22" t="s">
        <v>287</v>
      </c>
      <c r="L3809" s="26">
        <f>M3835</f>
        <v>4049.9500000000003</v>
      </c>
      <c r="M3809" s="22" t="s">
        <v>288</v>
      </c>
      <c r="N3809" s="26">
        <f>M3844</f>
        <v>0</v>
      </c>
    </row>
    <row r="3810" spans="1:14" ht="12.75" customHeight="1" x14ac:dyDescent="0.25">
      <c r="A3810" s="27"/>
      <c r="B3810" s="27"/>
      <c r="C3810" s="27"/>
      <c r="D3810" s="27"/>
      <c r="E3810" s="27"/>
      <c r="F3810" s="27"/>
      <c r="G3810" s="27"/>
      <c r="J3810" s="27"/>
      <c r="K3810" s="27"/>
      <c r="L3810" s="27"/>
      <c r="M3810" s="27"/>
      <c r="N3810" s="27"/>
    </row>
    <row r="3811" spans="1:14" ht="12.75" customHeight="1" x14ac:dyDescent="0.2">
      <c r="A3811" s="1065" t="s">
        <v>384</v>
      </c>
      <c r="B3811" s="1057"/>
      <c r="C3811" s="1057"/>
      <c r="D3811" s="1057"/>
      <c r="E3811" s="1057"/>
      <c r="F3811" s="1057"/>
      <c r="G3811" s="1057"/>
      <c r="H3811" s="1057"/>
      <c r="I3811" s="1057"/>
      <c r="J3811" s="1057"/>
      <c r="K3811" s="1057"/>
      <c r="L3811" s="1057"/>
      <c r="M3811" s="1057"/>
      <c r="N3811" s="1058"/>
    </row>
    <row r="3812" spans="1:14" ht="12.75" customHeight="1" x14ac:dyDescent="0.2">
      <c r="A3812" s="1066" t="s">
        <v>38</v>
      </c>
      <c r="B3812" s="1057"/>
      <c r="C3812" s="1057"/>
      <c r="D3812" s="1057"/>
      <c r="E3812" s="1057"/>
      <c r="F3812" s="1057"/>
      <c r="G3812" s="1058"/>
      <c r="H3812" s="28" t="s">
        <v>39</v>
      </c>
      <c r="I3812" s="1062" t="s">
        <v>385</v>
      </c>
      <c r="J3812" s="1058"/>
      <c r="K3812" s="1062" t="s">
        <v>132</v>
      </c>
      <c r="L3812" s="1058"/>
      <c r="M3812" s="1062" t="s">
        <v>386</v>
      </c>
      <c r="N3812" s="1058"/>
    </row>
    <row r="3813" spans="1:14" ht="12.75" customHeight="1" x14ac:dyDescent="0.2">
      <c r="A3813" s="1061" t="s">
        <v>1512</v>
      </c>
      <c r="B3813" s="1057"/>
      <c r="C3813" s="1057"/>
      <c r="D3813" s="1057"/>
      <c r="E3813" s="1057"/>
      <c r="F3813" s="1057"/>
      <c r="G3813" s="1058"/>
      <c r="H3813" s="9" t="str">
        <f t="shared" ref="H3813" si="292">IF(A3813="","",VLOOKUP(A3813,AA_Materiales,7,FALSE))</f>
        <v>m</v>
      </c>
      <c r="I3813" s="1059">
        <f t="shared" ref="I3813" si="293">IF(A3813="","",VLOOKUP(A3813,AA_Materiales,8,FALSE))</f>
        <v>80999</v>
      </c>
      <c r="J3813" s="1058"/>
      <c r="K3813" s="1060">
        <v>1</v>
      </c>
      <c r="L3813" s="1058"/>
      <c r="M3813" s="1059">
        <f>IF(A3813="","",I3813*K3813)</f>
        <v>80999</v>
      </c>
      <c r="N3813" s="1058"/>
    </row>
    <row r="3814" spans="1:14" ht="12.75" customHeight="1" x14ac:dyDescent="0.2">
      <c r="A3814" s="1056"/>
      <c r="B3814" s="1057"/>
      <c r="C3814" s="1057"/>
      <c r="D3814" s="1057"/>
      <c r="E3814" s="1057"/>
      <c r="F3814" s="1057"/>
      <c r="G3814" s="1058"/>
      <c r="H3814" s="9" t="str">
        <f>IF(A3814="","",VLOOKUP(A3814,AA_Materiales,7,FALSE))</f>
        <v/>
      </c>
      <c r="I3814" s="1059" t="str">
        <f>IF(A3814="","",VLOOKUP(A3814,AA_Materiales,8,FALSE))</f>
        <v/>
      </c>
      <c r="J3814" s="1058"/>
      <c r="K3814" s="1060"/>
      <c r="L3814" s="1058"/>
      <c r="M3814" s="1059" t="str">
        <f>IF(A3814="","",I3814*K3814)</f>
        <v/>
      </c>
      <c r="N3814" s="1058"/>
    </row>
    <row r="3815" spans="1:14" ht="12.75" customHeight="1" x14ac:dyDescent="0.2">
      <c r="A3815" s="1056"/>
      <c r="B3815" s="1057"/>
      <c r="C3815" s="1057"/>
      <c r="D3815" s="1057"/>
      <c r="E3815" s="1057"/>
      <c r="F3815" s="1057"/>
      <c r="G3815" s="1058"/>
      <c r="H3815" s="9" t="str">
        <f>IF(A3815="","",VLOOKUP(A3815,AA_Materiales,7,FALSE))</f>
        <v/>
      </c>
      <c r="I3815" s="1059" t="str">
        <f>IF(A3815="","",VLOOKUP(A3815,AA_Materiales,8,FALSE))</f>
        <v/>
      </c>
      <c r="J3815" s="1058"/>
      <c r="K3815" s="1060"/>
      <c r="L3815" s="1058"/>
      <c r="M3815" s="1059" t="str">
        <f>IF(A3815="","",I3815*K3815)</f>
        <v/>
      </c>
      <c r="N3815" s="1058"/>
    </row>
    <row r="3816" spans="1:14" ht="12.75" customHeight="1" x14ac:dyDescent="0.2">
      <c r="A3816" s="1056"/>
      <c r="B3816" s="1057"/>
      <c r="C3816" s="1057"/>
      <c r="D3816" s="1057"/>
      <c r="E3816" s="1057"/>
      <c r="F3816" s="1057"/>
      <c r="G3816" s="1058"/>
      <c r="H3816" s="9" t="str">
        <f>IF(A3816="","",VLOOKUP(A3816,AA_Materiales,7,FALSE))</f>
        <v/>
      </c>
      <c r="I3816" s="1059" t="str">
        <f>IF(A3816="","",VLOOKUP(A3816,AA_Materiales,8,FALSE))</f>
        <v/>
      </c>
      <c r="J3816" s="1058"/>
      <c r="K3816" s="1060"/>
      <c r="L3816" s="1058"/>
      <c r="M3816" s="1059" t="str">
        <f>IF(A3816="","",I3816*K3816)</f>
        <v/>
      </c>
      <c r="N3816" s="1058"/>
    </row>
    <row r="3817" spans="1:14" ht="12.75" customHeight="1" x14ac:dyDescent="0.25">
      <c r="A3817" s="3"/>
      <c r="B3817" s="3"/>
      <c r="C3817" s="3"/>
      <c r="D3817" s="3"/>
      <c r="E3817" s="3"/>
      <c r="F3817" s="3"/>
      <c r="G3817" s="3"/>
      <c r="H3817" s="3"/>
      <c r="I3817" s="3"/>
      <c r="J3817" s="3"/>
      <c r="K3817" s="1066" t="s">
        <v>201</v>
      </c>
      <c r="L3817" s="1058"/>
      <c r="M3817" s="1059">
        <f>SUM(M3813:N3816)</f>
        <v>80999</v>
      </c>
      <c r="N3817" s="1058"/>
    </row>
    <row r="3818" spans="1:14" ht="12.75" customHeight="1" x14ac:dyDescent="0.25">
      <c r="A3818" s="3"/>
      <c r="B3818" s="3"/>
      <c r="C3818" s="3"/>
      <c r="D3818" s="3"/>
      <c r="E3818" s="3"/>
      <c r="F3818" s="3"/>
      <c r="G3818" s="3"/>
      <c r="H3818" s="3"/>
      <c r="I3818" s="3"/>
      <c r="J3818" s="3"/>
      <c r="K3818" s="3"/>
      <c r="L3818" s="3"/>
      <c r="M3818" s="3"/>
      <c r="N3818" s="3"/>
    </row>
    <row r="3819" spans="1:14" ht="12.75" customHeight="1" x14ac:dyDescent="0.2">
      <c r="A3819" s="1065" t="s">
        <v>390</v>
      </c>
      <c r="B3819" s="1057"/>
      <c r="C3819" s="1057"/>
      <c r="D3819" s="1057"/>
      <c r="E3819" s="1057"/>
      <c r="F3819" s="1057"/>
      <c r="G3819" s="1057"/>
      <c r="H3819" s="1057"/>
      <c r="I3819" s="1057"/>
      <c r="J3819" s="1057"/>
      <c r="K3819" s="1057"/>
      <c r="L3819" s="1057"/>
      <c r="M3819" s="1057"/>
      <c r="N3819" s="1058"/>
    </row>
    <row r="3820" spans="1:14" ht="12.75" customHeight="1" x14ac:dyDescent="0.2">
      <c r="A3820" s="1066" t="s">
        <v>38</v>
      </c>
      <c r="B3820" s="1057"/>
      <c r="C3820" s="1057"/>
      <c r="D3820" s="1057"/>
      <c r="E3820" s="1057"/>
      <c r="F3820" s="1057"/>
      <c r="G3820" s="1058"/>
      <c r="H3820" s="28" t="s">
        <v>39</v>
      </c>
      <c r="I3820" s="1062" t="s">
        <v>385</v>
      </c>
      <c r="J3820" s="1058"/>
      <c r="K3820" s="1062" t="s">
        <v>132</v>
      </c>
      <c r="L3820" s="1058"/>
      <c r="M3820" s="1062" t="s">
        <v>386</v>
      </c>
      <c r="N3820" s="1058"/>
    </row>
    <row r="3821" spans="1:14" ht="12.75" customHeight="1" x14ac:dyDescent="0.2">
      <c r="A3821" s="1061"/>
      <c r="B3821" s="1057"/>
      <c r="C3821" s="1057"/>
      <c r="D3821" s="1057"/>
      <c r="E3821" s="1057"/>
      <c r="F3821" s="1057"/>
      <c r="G3821" s="1058"/>
      <c r="H3821" s="9" t="str">
        <f>IF(A3821="","",VLOOKUP(A3821,AA_Equipos,7,FALSE))</f>
        <v/>
      </c>
      <c r="I3821" s="1059"/>
      <c r="J3821" s="1058"/>
      <c r="K3821" s="1064"/>
      <c r="L3821" s="1058"/>
      <c r="M3821" s="1059" t="str">
        <f>IF(A3821="","",I3821*K3821)</f>
        <v/>
      </c>
      <c r="N3821" s="1058"/>
    </row>
    <row r="3822" spans="1:14" ht="12.75" customHeight="1" x14ac:dyDescent="0.2">
      <c r="A3822" s="1056"/>
      <c r="B3822" s="1057"/>
      <c r="C3822" s="1057"/>
      <c r="D3822" s="1057"/>
      <c r="E3822" s="1057"/>
      <c r="F3822" s="1057"/>
      <c r="G3822" s="1058"/>
      <c r="H3822" s="9" t="str">
        <f>IF(A3822="","",VLOOKUP(A3822,AA_Equipos,7,FALSE))</f>
        <v/>
      </c>
      <c r="I3822" s="1059" t="str">
        <f>IF(A3822="","",VLOOKUP(A3822,AA_Equipos,8,FALSE))</f>
        <v/>
      </c>
      <c r="J3822" s="1058"/>
      <c r="K3822" s="1067"/>
      <c r="L3822" s="1058"/>
      <c r="M3822" s="1059" t="str">
        <f>IF(A3822="","",I3822*K3822)</f>
        <v/>
      </c>
      <c r="N3822" s="1058"/>
    </row>
    <row r="3823" spans="1:14" ht="12.75" customHeight="1" x14ac:dyDescent="0.2">
      <c r="A3823" s="1061"/>
      <c r="B3823" s="1057"/>
      <c r="C3823" s="1057"/>
      <c r="D3823" s="1057"/>
      <c r="E3823" s="1057"/>
      <c r="F3823" s="1057"/>
      <c r="G3823" s="1058"/>
      <c r="H3823" s="9" t="str">
        <f>IF(A3823="","",VLOOKUP(A3823,AA_Equipos,7,FALSE))</f>
        <v/>
      </c>
      <c r="I3823" s="1059" t="str">
        <f>IF(A3823="","",VLOOKUP(A3823,AA_Equipos,8,FALSE))</f>
        <v/>
      </c>
      <c r="J3823" s="1058"/>
      <c r="K3823" s="1070"/>
      <c r="L3823" s="1058"/>
      <c r="M3823" s="1059" t="str">
        <f>IF(A3823="","",I3823*K3823)</f>
        <v/>
      </c>
      <c r="N3823" s="1058"/>
    </row>
    <row r="3824" spans="1:14" ht="12.75" customHeight="1" x14ac:dyDescent="0.2">
      <c r="A3824" s="1061"/>
      <c r="B3824" s="1057"/>
      <c r="C3824" s="1057"/>
      <c r="D3824" s="1057"/>
      <c r="E3824" s="1057"/>
      <c r="F3824" s="1057"/>
      <c r="G3824" s="1058"/>
      <c r="H3824" s="9" t="str">
        <f>IF(A3824="","",VLOOKUP(A3824,AA_Equipos,7,FALSE))</f>
        <v/>
      </c>
      <c r="I3824" s="1059" t="str">
        <f>IF(A3824="","",VLOOKUP(A3824,AA_Equipos,8,FALSE))</f>
        <v/>
      </c>
      <c r="J3824" s="1058"/>
      <c r="K3824" s="1060"/>
      <c r="L3824" s="1058"/>
      <c r="M3824" s="1059" t="str">
        <f>IF(A3824="","",I3824*K3824)</f>
        <v/>
      </c>
      <c r="N3824" s="1058"/>
    </row>
    <row r="3825" spans="1:15" ht="12.75" customHeight="1" x14ac:dyDescent="0.2">
      <c r="A3825" s="1061"/>
      <c r="B3825" s="1057"/>
      <c r="C3825" s="1057"/>
      <c r="D3825" s="1057"/>
      <c r="E3825" s="1057"/>
      <c r="F3825" s="1057"/>
      <c r="G3825" s="1058"/>
      <c r="H3825" s="9" t="str">
        <f>IF(A3825="","",VLOOKUP(A3825,AA_Equipos,7,FALSE))</f>
        <v/>
      </c>
      <c r="I3825" s="1059" t="str">
        <f>IF(A3825="","",VLOOKUP(A3825,AA_Equipos,8,FALSE))</f>
        <v/>
      </c>
      <c r="J3825" s="1058"/>
      <c r="K3825" s="1060"/>
      <c r="L3825" s="1058"/>
      <c r="M3825" s="1059" t="str">
        <f>IF(A3825="","",I3825*K3825)</f>
        <v/>
      </c>
      <c r="N3825" s="1058"/>
      <c r="O3825" s="7"/>
    </row>
    <row r="3826" spans="1:15" ht="12.75" customHeight="1" x14ac:dyDescent="0.25">
      <c r="A3826" s="3"/>
      <c r="B3826" s="3"/>
      <c r="C3826" s="3"/>
      <c r="D3826" s="3"/>
      <c r="E3826" s="3"/>
      <c r="F3826" s="3"/>
      <c r="G3826" s="3"/>
      <c r="H3826" s="3"/>
      <c r="I3826" s="3"/>
      <c r="J3826" s="3"/>
      <c r="K3826" s="1066" t="s">
        <v>201</v>
      </c>
      <c r="L3826" s="1058"/>
      <c r="M3826" s="1059">
        <f>SUM(M3821:N3825)</f>
        <v>0</v>
      </c>
      <c r="N3826" s="1058"/>
      <c r="O3826" s="7"/>
    </row>
    <row r="3827" spans="1:15" ht="12.75" customHeight="1" x14ac:dyDescent="0.25">
      <c r="A3827" s="3"/>
      <c r="B3827" s="3"/>
      <c r="C3827" s="3"/>
      <c r="D3827" s="3"/>
      <c r="E3827" s="3"/>
      <c r="F3827" s="3"/>
      <c r="G3827" s="3"/>
      <c r="H3827" s="3"/>
      <c r="I3827" s="3"/>
      <c r="J3827" s="3"/>
      <c r="K3827" s="3"/>
      <c r="L3827" s="3"/>
      <c r="M3827" s="3"/>
      <c r="N3827" s="3"/>
    </row>
    <row r="3828" spans="1:15" ht="12.75" customHeight="1" x14ac:dyDescent="0.2">
      <c r="A3828" s="1065" t="s">
        <v>392</v>
      </c>
      <c r="B3828" s="1057"/>
      <c r="C3828" s="1057"/>
      <c r="D3828" s="1057"/>
      <c r="E3828" s="1057"/>
      <c r="F3828" s="1057"/>
      <c r="G3828" s="1057"/>
      <c r="H3828" s="1057"/>
      <c r="I3828" s="1057"/>
      <c r="J3828" s="1057"/>
      <c r="K3828" s="1057"/>
      <c r="L3828" s="1057"/>
      <c r="M3828" s="1057"/>
      <c r="N3828" s="1058"/>
    </row>
    <row r="3829" spans="1:15" ht="12.75" customHeight="1" x14ac:dyDescent="0.2">
      <c r="A3829" s="1066" t="s">
        <v>38</v>
      </c>
      <c r="B3829" s="1057"/>
      <c r="C3829" s="1057"/>
      <c r="D3829" s="1057"/>
      <c r="E3829" s="1057"/>
      <c r="F3829" s="1057"/>
      <c r="G3829" s="1058"/>
      <c r="H3829" s="28" t="s">
        <v>39</v>
      </c>
      <c r="I3829" s="1062" t="s">
        <v>385</v>
      </c>
      <c r="J3829" s="1058"/>
      <c r="K3829" s="1062" t="s">
        <v>132</v>
      </c>
      <c r="L3829" s="1058"/>
      <c r="M3829" s="1062" t="s">
        <v>386</v>
      </c>
      <c r="N3829" s="1058"/>
    </row>
    <row r="3830" spans="1:15" ht="12.75" customHeight="1" x14ac:dyDescent="0.2">
      <c r="A3830" s="1061" t="s">
        <v>413</v>
      </c>
      <c r="B3830" s="1057"/>
      <c r="C3830" s="1057"/>
      <c r="D3830" s="1057"/>
      <c r="E3830" s="1057"/>
      <c r="F3830" s="1057"/>
      <c r="G3830" s="1058"/>
      <c r="H3830" s="9" t="s">
        <v>403</v>
      </c>
      <c r="I3830" s="1059">
        <f>+M3817</f>
        <v>80999</v>
      </c>
      <c r="J3830" s="1058"/>
      <c r="K3830" s="1064">
        <v>0.05</v>
      </c>
      <c r="L3830" s="1058"/>
      <c r="M3830" s="1059">
        <f>IF(A3830="","",I3830*K3830)</f>
        <v>4049.9500000000003</v>
      </c>
      <c r="N3830" s="1058"/>
    </row>
    <row r="3831" spans="1:15" ht="12.75" customHeight="1" x14ac:dyDescent="0.2">
      <c r="A3831" s="1056"/>
      <c r="B3831" s="1057"/>
      <c r="C3831" s="1057"/>
      <c r="D3831" s="1057"/>
      <c r="E3831" s="1057"/>
      <c r="F3831" s="1057"/>
      <c r="G3831" s="1058"/>
      <c r="H3831" s="9"/>
      <c r="I3831" s="1059"/>
      <c r="J3831" s="1058"/>
      <c r="K3831" s="1064"/>
      <c r="L3831" s="1058"/>
      <c r="M3831" s="1059" t="str">
        <f>IF(A3831="","",I3831*K3831)</f>
        <v/>
      </c>
      <c r="N3831" s="1058"/>
    </row>
    <row r="3832" spans="1:15" ht="12.75" customHeight="1" x14ac:dyDescent="0.2">
      <c r="A3832" s="1061"/>
      <c r="B3832" s="1057"/>
      <c r="C3832" s="1057"/>
      <c r="D3832" s="1057"/>
      <c r="E3832" s="1057"/>
      <c r="F3832" s="1057"/>
      <c r="G3832" s="1058"/>
      <c r="H3832" s="9"/>
      <c r="I3832" s="1059"/>
      <c r="J3832" s="1058"/>
      <c r="K3832" s="1060"/>
      <c r="L3832" s="1058"/>
      <c r="M3832" s="1059" t="str">
        <f>IF(A3832="","",I3832*K3832)</f>
        <v/>
      </c>
      <c r="N3832" s="1058"/>
    </row>
    <row r="3833" spans="1:15" ht="12.75" customHeight="1" x14ac:dyDescent="0.2">
      <c r="A3833" s="1061"/>
      <c r="B3833" s="1057"/>
      <c r="C3833" s="1057"/>
      <c r="D3833" s="1057"/>
      <c r="E3833" s="1057"/>
      <c r="F3833" s="1057"/>
      <c r="G3833" s="1058"/>
      <c r="H3833" s="9"/>
      <c r="I3833" s="1059"/>
      <c r="J3833" s="1058"/>
      <c r="K3833" s="1060"/>
      <c r="L3833" s="1058"/>
      <c r="M3833" s="1059" t="str">
        <f>IF(A3833="","",I3833*K3833)</f>
        <v/>
      </c>
      <c r="N3833" s="1058"/>
    </row>
    <row r="3834" spans="1:15" ht="12.75" customHeight="1" x14ac:dyDescent="0.2">
      <c r="A3834" s="1061"/>
      <c r="B3834" s="1057"/>
      <c r="C3834" s="1057"/>
      <c r="D3834" s="1057"/>
      <c r="E3834" s="1057"/>
      <c r="F3834" s="1057"/>
      <c r="G3834" s="1058"/>
      <c r="H3834" s="9"/>
      <c r="I3834" s="1059"/>
      <c r="J3834" s="1058"/>
      <c r="K3834" s="1060"/>
      <c r="L3834" s="1058"/>
      <c r="M3834" s="1059" t="str">
        <f>IF(A3834="","",I3834*K3834)</f>
        <v/>
      </c>
      <c r="N3834" s="1058"/>
    </row>
    <row r="3835" spans="1:15" ht="12.75" customHeight="1" x14ac:dyDescent="0.25">
      <c r="A3835" s="3"/>
      <c r="B3835" s="3"/>
      <c r="C3835" s="3"/>
      <c r="D3835" s="3"/>
      <c r="E3835" s="3"/>
      <c r="F3835" s="3"/>
      <c r="G3835" s="3"/>
      <c r="H3835" s="3"/>
      <c r="I3835" s="3"/>
      <c r="J3835" s="3"/>
      <c r="K3835" s="1066" t="s">
        <v>201</v>
      </c>
      <c r="L3835" s="1058"/>
      <c r="M3835" s="1059">
        <f>SUM(M3830:N3834)</f>
        <v>4049.9500000000003</v>
      </c>
      <c r="N3835" s="1058"/>
    </row>
    <row r="3836" spans="1:15" ht="12.75" customHeight="1" x14ac:dyDescent="0.25">
      <c r="A3836" s="3"/>
      <c r="B3836" s="3"/>
      <c r="C3836" s="3"/>
      <c r="D3836" s="3"/>
      <c r="E3836" s="3"/>
      <c r="F3836" s="3"/>
      <c r="G3836" s="3"/>
      <c r="H3836" s="3"/>
      <c r="I3836" s="3"/>
      <c r="J3836" s="3"/>
      <c r="K3836" s="3"/>
      <c r="L3836" s="3"/>
      <c r="M3836" s="3"/>
      <c r="N3836" s="3"/>
    </row>
    <row r="3837" spans="1:15" ht="12.75" customHeight="1" x14ac:dyDescent="0.2">
      <c r="A3837" s="1065" t="s">
        <v>394</v>
      </c>
      <c r="B3837" s="1057"/>
      <c r="C3837" s="1057"/>
      <c r="D3837" s="1057"/>
      <c r="E3837" s="1057"/>
      <c r="F3837" s="1057"/>
      <c r="G3837" s="1057"/>
      <c r="H3837" s="1057"/>
      <c r="I3837" s="1057"/>
      <c r="J3837" s="1057"/>
      <c r="K3837" s="1057"/>
      <c r="L3837" s="1057"/>
      <c r="M3837" s="1057"/>
      <c r="N3837" s="1058"/>
    </row>
    <row r="3838" spans="1:15" ht="12.75" customHeight="1" x14ac:dyDescent="0.2">
      <c r="A3838" s="1066" t="s">
        <v>38</v>
      </c>
      <c r="B3838" s="1057"/>
      <c r="C3838" s="1057"/>
      <c r="D3838" s="1057"/>
      <c r="E3838" s="1057"/>
      <c r="F3838" s="1057"/>
      <c r="G3838" s="1058"/>
      <c r="H3838" s="28" t="s">
        <v>39</v>
      </c>
      <c r="I3838" s="1062" t="s">
        <v>385</v>
      </c>
      <c r="J3838" s="1058"/>
      <c r="K3838" s="30" t="s">
        <v>193</v>
      </c>
      <c r="L3838" s="31" t="s">
        <v>395</v>
      </c>
      <c r="M3838" s="1062" t="s">
        <v>386</v>
      </c>
      <c r="N3838" s="1058"/>
    </row>
    <row r="3839" spans="1:15" ht="12.75" customHeight="1" x14ac:dyDescent="0.25">
      <c r="A3839" s="1063"/>
      <c r="B3839" s="1057"/>
      <c r="C3839" s="1057"/>
      <c r="D3839" s="1057"/>
      <c r="E3839" s="1057"/>
      <c r="F3839" s="1057"/>
      <c r="G3839" s="1058"/>
      <c r="H3839" s="9" t="str">
        <f>IF(A3839="","",VLOOKUP(A3839,AA_Cuadrillas,4,FALSE))</f>
        <v/>
      </c>
      <c r="I3839" s="1059" t="str">
        <f>IF(A3839="","",VLOOKUP(A3839,AA_Cuadrillas,5,FALSE))</f>
        <v/>
      </c>
      <c r="J3839" s="1058"/>
      <c r="K3839" s="1" t="str">
        <f>IF(A3839="","",'06'!$J$3)</f>
        <v/>
      </c>
      <c r="L3839" s="37"/>
      <c r="M3839" s="1059" t="str">
        <f>IF(A3839="","",I3839*K3839*L3839)</f>
        <v/>
      </c>
      <c r="N3839" s="1058"/>
    </row>
    <row r="3840" spans="1:15" ht="12.75" customHeight="1" x14ac:dyDescent="0.25">
      <c r="A3840" s="1063"/>
      <c r="B3840" s="1057"/>
      <c r="C3840" s="1057"/>
      <c r="D3840" s="1057"/>
      <c r="E3840" s="1057"/>
      <c r="F3840" s="1057"/>
      <c r="G3840" s="1058"/>
      <c r="H3840" s="9" t="str">
        <f>IF(A3840="","",VLOOKUP(A3840,AA_Cuadrillas,4,FALSE))</f>
        <v/>
      </c>
      <c r="I3840" s="1059" t="str">
        <f>IF(A3840="","",VLOOKUP(A3840,AA_Cuadrillas,5,FALSE))</f>
        <v/>
      </c>
      <c r="J3840" s="1058"/>
      <c r="K3840" s="1" t="str">
        <f>IF(A3840="","",'06'!$J$3)</f>
        <v/>
      </c>
      <c r="L3840" s="1"/>
      <c r="M3840" s="1059" t="str">
        <f>IF(A3840="","",I3840*K3840*L3840)</f>
        <v/>
      </c>
      <c r="N3840" s="1058"/>
    </row>
    <row r="3841" spans="1:14" ht="12.75" customHeight="1" x14ac:dyDescent="0.25">
      <c r="A3841" s="1063"/>
      <c r="B3841" s="1057"/>
      <c r="C3841" s="1057"/>
      <c r="D3841" s="1057"/>
      <c r="E3841" s="1057"/>
      <c r="F3841" s="1057"/>
      <c r="G3841" s="1058"/>
      <c r="H3841" s="9" t="str">
        <f>IF(A3841="","",VLOOKUP(A3841,AA_Cuadrillas,4,FALSE))</f>
        <v/>
      </c>
      <c r="I3841" s="1059" t="str">
        <f>IF(A3841="","",VLOOKUP(A3841,AA_Cuadrillas,5,FALSE))</f>
        <v/>
      </c>
      <c r="J3841" s="1058"/>
      <c r="K3841" s="1" t="str">
        <f>IF(A3841="","",'06'!$J$3)</f>
        <v/>
      </c>
      <c r="L3841" s="10"/>
      <c r="M3841" s="1059" t="str">
        <f>IF(A3841="","",I3841*K3841*L3841)</f>
        <v/>
      </c>
      <c r="N3841" s="1058"/>
    </row>
    <row r="3842" spans="1:14" ht="12.75" customHeight="1" x14ac:dyDescent="0.25">
      <c r="A3842" s="1063"/>
      <c r="B3842" s="1057"/>
      <c r="C3842" s="1057"/>
      <c r="D3842" s="1057"/>
      <c r="E3842" s="1057"/>
      <c r="F3842" s="1057"/>
      <c r="G3842" s="1058"/>
      <c r="H3842" s="9" t="str">
        <f>IF(A3842="","",VLOOKUP(A3842,AA_Cuadrillas,4,FALSE))</f>
        <v/>
      </c>
      <c r="I3842" s="1059" t="str">
        <f>IF(A3842="","",VLOOKUP(A3842,AA_Cuadrillas,5,FALSE))</f>
        <v/>
      </c>
      <c r="J3842" s="1058"/>
      <c r="K3842" s="1" t="str">
        <f>IF(A3842="","",'06'!$J$3)</f>
        <v/>
      </c>
      <c r="L3842" s="10"/>
      <c r="M3842" s="1059" t="str">
        <f>IF(A3842="","",I3842*K3842*L3842)</f>
        <v/>
      </c>
      <c r="N3842" s="1058"/>
    </row>
    <row r="3843" spans="1:14" ht="12.75" customHeight="1" x14ac:dyDescent="0.25">
      <c r="A3843" s="1063"/>
      <c r="B3843" s="1057"/>
      <c r="C3843" s="1057"/>
      <c r="D3843" s="1057"/>
      <c r="E3843" s="1057"/>
      <c r="F3843" s="1057"/>
      <c r="G3843" s="1058"/>
      <c r="H3843" s="9" t="str">
        <f>IF(A3843="","",VLOOKUP(A3843,AA_Cuadrillas,4,FALSE))</f>
        <v/>
      </c>
      <c r="I3843" s="1059" t="str">
        <f>IF(A3843="","",VLOOKUP(A3843,AA_Cuadrillas,5,FALSE))</f>
        <v/>
      </c>
      <c r="J3843" s="1058"/>
      <c r="K3843" s="1" t="str">
        <f>IF(A3843="","",'06'!$J$3)</f>
        <v/>
      </c>
      <c r="L3843" s="10"/>
      <c r="M3843" s="1059" t="str">
        <f>IF(A3843="","",I3843*K3843*L3843)</f>
        <v/>
      </c>
      <c r="N3843" s="1058"/>
    </row>
    <row r="3844" spans="1:14" ht="12.75" customHeight="1" x14ac:dyDescent="0.25">
      <c r="A3844" s="3"/>
      <c r="B3844" s="3"/>
      <c r="C3844" s="3"/>
      <c r="D3844" s="3"/>
      <c r="E3844" s="3"/>
      <c r="F3844" s="3"/>
      <c r="G3844" s="3"/>
      <c r="H3844" s="3"/>
      <c r="I3844" s="3"/>
      <c r="J3844" s="3"/>
      <c r="K3844" s="1066" t="s">
        <v>201</v>
      </c>
      <c r="L3844" s="1058"/>
      <c r="M3844" s="1059">
        <f>SUM(M3839:N3843)</f>
        <v>0</v>
      </c>
      <c r="N3844" s="1058"/>
    </row>
    <row r="3845" spans="1:14" ht="12.75" customHeight="1" x14ac:dyDescent="0.2"/>
    <row r="3846" spans="1:14" ht="12.75" customHeight="1" x14ac:dyDescent="0.2">
      <c r="A3846" s="1068" t="s">
        <v>1756</v>
      </c>
      <c r="B3846" s="1052"/>
      <c r="C3846" s="1052"/>
      <c r="D3846" s="1052"/>
      <c r="E3846" s="1052"/>
      <c r="F3846" s="1052"/>
      <c r="G3846" s="1052"/>
      <c r="H3846" s="1052"/>
      <c r="I3846" s="1052"/>
      <c r="J3846" s="1052"/>
      <c r="K3846" s="1052"/>
      <c r="L3846" s="1052"/>
      <c r="M3846" s="1052"/>
      <c r="N3846" s="1053"/>
    </row>
    <row r="3847" spans="1:14" ht="12.75" customHeight="1" x14ac:dyDescent="0.2">
      <c r="A3847" s="1031"/>
      <c r="B3847" s="1032"/>
      <c r="C3847" s="1032"/>
      <c r="D3847" s="1032"/>
      <c r="E3847" s="1032"/>
      <c r="F3847" s="1032"/>
      <c r="G3847" s="1032"/>
      <c r="H3847" s="1032"/>
      <c r="I3847" s="1032"/>
      <c r="J3847" s="1032"/>
      <c r="K3847" s="1032"/>
      <c r="L3847" s="1032"/>
      <c r="M3847" s="1032"/>
      <c r="N3847" s="1055"/>
    </row>
    <row r="3848" spans="1:14" ht="12.75" customHeight="1" x14ac:dyDescent="0.2">
      <c r="A3848" s="16"/>
      <c r="B3848" s="16"/>
      <c r="C3848" s="16"/>
      <c r="D3848" s="16"/>
      <c r="E3848" s="16"/>
      <c r="F3848" s="16"/>
      <c r="G3848" s="16"/>
      <c r="H3848" s="16"/>
      <c r="I3848" s="16"/>
      <c r="J3848" s="16"/>
      <c r="K3848" s="16"/>
      <c r="L3848" s="16"/>
      <c r="M3848" s="16"/>
      <c r="N3848" s="16"/>
    </row>
    <row r="3849" spans="1:14" ht="12.75" customHeight="1" x14ac:dyDescent="0.3">
      <c r="A3849" s="18" t="s">
        <v>381</v>
      </c>
      <c r="B3849" s="19" t="str">
        <f>A3846</f>
        <v>SUMINISTRO TUBERÍA PEAD RDE 17 Ø12"-DI 315mm.</v>
      </c>
      <c r="C3849" s="20" t="s">
        <v>382</v>
      </c>
      <c r="D3849" s="21" t="s">
        <v>419</v>
      </c>
      <c r="E3849" s="22" t="s">
        <v>125</v>
      </c>
      <c r="F3849" s="26">
        <f>(H3849+J3849+L3849+N3849)</f>
        <v>316866</v>
      </c>
      <c r="G3849" s="22" t="s">
        <v>285</v>
      </c>
      <c r="H3849" s="26">
        <f>M3868</f>
        <v>0</v>
      </c>
      <c r="I3849" s="22" t="s">
        <v>383</v>
      </c>
      <c r="J3849" s="26">
        <f>M3859</f>
        <v>316866</v>
      </c>
      <c r="K3849" s="22" t="s">
        <v>287</v>
      </c>
      <c r="L3849" s="26">
        <f>M3877</f>
        <v>0</v>
      </c>
      <c r="M3849" s="22" t="s">
        <v>288</v>
      </c>
      <c r="N3849" s="26">
        <f>M3886</f>
        <v>0</v>
      </c>
    </row>
    <row r="3850" spans="1:14" ht="12.75" customHeight="1" x14ac:dyDescent="0.25">
      <c r="A3850" s="27"/>
      <c r="B3850" s="27"/>
      <c r="C3850" s="27"/>
      <c r="D3850" s="27"/>
      <c r="E3850" s="27"/>
      <c r="F3850" s="27"/>
      <c r="G3850" s="27"/>
      <c r="J3850" s="27"/>
      <c r="K3850" s="27"/>
      <c r="L3850" s="27"/>
      <c r="M3850" s="27"/>
      <c r="N3850" s="27"/>
    </row>
    <row r="3851" spans="1:14" ht="12.75" customHeight="1" x14ac:dyDescent="0.2">
      <c r="A3851" s="1065" t="s">
        <v>384</v>
      </c>
      <c r="B3851" s="1057"/>
      <c r="C3851" s="1057"/>
      <c r="D3851" s="1057"/>
      <c r="E3851" s="1057"/>
      <c r="F3851" s="1057"/>
      <c r="G3851" s="1057"/>
      <c r="H3851" s="1057"/>
      <c r="I3851" s="1057"/>
      <c r="J3851" s="1057"/>
      <c r="K3851" s="1057"/>
      <c r="L3851" s="1057"/>
      <c r="M3851" s="1057"/>
      <c r="N3851" s="1058"/>
    </row>
    <row r="3852" spans="1:14" ht="12.75" customHeight="1" x14ac:dyDescent="0.2">
      <c r="A3852" s="1066" t="s">
        <v>38</v>
      </c>
      <c r="B3852" s="1057"/>
      <c r="C3852" s="1057"/>
      <c r="D3852" s="1057"/>
      <c r="E3852" s="1057"/>
      <c r="F3852" s="1057"/>
      <c r="G3852" s="1058"/>
      <c r="H3852" s="28" t="s">
        <v>39</v>
      </c>
      <c r="I3852" s="1062" t="s">
        <v>385</v>
      </c>
      <c r="J3852" s="1058"/>
      <c r="K3852" s="1062" t="s">
        <v>132</v>
      </c>
      <c r="L3852" s="1058"/>
      <c r="M3852" s="1062" t="s">
        <v>386</v>
      </c>
      <c r="N3852" s="1058"/>
    </row>
    <row r="3853" spans="1:14" ht="12.75" customHeight="1" x14ac:dyDescent="0.2">
      <c r="A3853" s="1061" t="s">
        <v>1510</v>
      </c>
      <c r="B3853" s="1057"/>
      <c r="C3853" s="1057"/>
      <c r="D3853" s="1057"/>
      <c r="E3853" s="1057"/>
      <c r="F3853" s="1057"/>
      <c r="G3853" s="1058"/>
      <c r="H3853" s="9" t="str">
        <f t="shared" ref="H3853" si="294">IF(A3853="","",VLOOKUP(A3853,AA_Materiales,7,FALSE))</f>
        <v>m</v>
      </c>
      <c r="I3853" s="1059">
        <f t="shared" ref="I3853" si="295">IF(A3853="","",VLOOKUP(A3853,AA_Materiales,8,FALSE))</f>
        <v>316866</v>
      </c>
      <c r="J3853" s="1058"/>
      <c r="K3853" s="1060">
        <v>1</v>
      </c>
      <c r="L3853" s="1058"/>
      <c r="M3853" s="1059">
        <f t="shared" ref="M3853:M3858" si="296">IF(A3853="","",I3853*K3853)</f>
        <v>316866</v>
      </c>
      <c r="N3853" s="1058"/>
    </row>
    <row r="3854" spans="1:14" ht="12.75" customHeight="1" x14ac:dyDescent="0.2">
      <c r="A3854" s="1056"/>
      <c r="B3854" s="1057"/>
      <c r="C3854" s="1057"/>
      <c r="D3854" s="1057"/>
      <c r="E3854" s="1057"/>
      <c r="F3854" s="1057"/>
      <c r="G3854" s="1058"/>
      <c r="H3854" s="9" t="str">
        <f t="shared" ref="H3854:H3858" si="297">IF(A3854="","",VLOOKUP(A3854,AA_Materiales,7,FALSE))</f>
        <v/>
      </c>
      <c r="I3854" s="1059" t="str">
        <f t="shared" ref="I3854:I3858" si="298">IF(A3854="","",VLOOKUP(A3854,AA_Materiales,8,FALSE))</f>
        <v/>
      </c>
      <c r="J3854" s="1058"/>
      <c r="K3854" s="1060"/>
      <c r="L3854" s="1058"/>
      <c r="M3854" s="1059" t="str">
        <f t="shared" si="296"/>
        <v/>
      </c>
      <c r="N3854" s="1058"/>
    </row>
    <row r="3855" spans="1:14" ht="12.75" customHeight="1" x14ac:dyDescent="0.2">
      <c r="A3855" s="1056"/>
      <c r="B3855" s="1057"/>
      <c r="C3855" s="1057"/>
      <c r="D3855" s="1057"/>
      <c r="E3855" s="1057"/>
      <c r="F3855" s="1057"/>
      <c r="G3855" s="1058"/>
      <c r="H3855" s="9" t="str">
        <f t="shared" si="297"/>
        <v/>
      </c>
      <c r="I3855" s="1059" t="str">
        <f t="shared" si="298"/>
        <v/>
      </c>
      <c r="J3855" s="1058"/>
      <c r="K3855" s="1060"/>
      <c r="L3855" s="1058"/>
      <c r="M3855" s="1059" t="str">
        <f t="shared" si="296"/>
        <v/>
      </c>
      <c r="N3855" s="1058"/>
    </row>
    <row r="3856" spans="1:14" ht="12.75" customHeight="1" x14ac:dyDescent="0.2">
      <c r="A3856" s="1056"/>
      <c r="B3856" s="1057"/>
      <c r="C3856" s="1057"/>
      <c r="D3856" s="1057"/>
      <c r="E3856" s="1057"/>
      <c r="F3856" s="1057"/>
      <c r="G3856" s="1058"/>
      <c r="H3856" s="9" t="str">
        <f t="shared" si="297"/>
        <v/>
      </c>
      <c r="I3856" s="1059" t="str">
        <f t="shared" si="298"/>
        <v/>
      </c>
      <c r="J3856" s="1058"/>
      <c r="K3856" s="1060"/>
      <c r="L3856" s="1058"/>
      <c r="M3856" s="1059" t="str">
        <f t="shared" si="296"/>
        <v/>
      </c>
      <c r="N3856" s="1058"/>
    </row>
    <row r="3857" spans="1:15" ht="12.75" customHeight="1" x14ac:dyDescent="0.2">
      <c r="A3857" s="1056"/>
      <c r="B3857" s="1057"/>
      <c r="C3857" s="1057"/>
      <c r="D3857" s="1057"/>
      <c r="E3857" s="1057"/>
      <c r="F3857" s="1057"/>
      <c r="G3857" s="1058"/>
      <c r="H3857" s="9" t="str">
        <f t="shared" si="297"/>
        <v/>
      </c>
      <c r="I3857" s="1059" t="str">
        <f t="shared" si="298"/>
        <v/>
      </c>
      <c r="J3857" s="1058"/>
      <c r="K3857" s="1060"/>
      <c r="L3857" s="1058"/>
      <c r="M3857" s="1059" t="str">
        <f t="shared" si="296"/>
        <v/>
      </c>
      <c r="N3857" s="1058"/>
    </row>
    <row r="3858" spans="1:15" ht="12.75" customHeight="1" x14ac:dyDescent="0.2">
      <c r="A3858" s="1056"/>
      <c r="B3858" s="1057"/>
      <c r="C3858" s="1057"/>
      <c r="D3858" s="1057"/>
      <c r="E3858" s="1057"/>
      <c r="F3858" s="1057"/>
      <c r="G3858" s="1058"/>
      <c r="H3858" s="9" t="str">
        <f t="shared" si="297"/>
        <v/>
      </c>
      <c r="I3858" s="1059" t="str">
        <f t="shared" si="298"/>
        <v/>
      </c>
      <c r="J3858" s="1058"/>
      <c r="K3858" s="1060"/>
      <c r="L3858" s="1058"/>
      <c r="M3858" s="1059" t="str">
        <f t="shared" si="296"/>
        <v/>
      </c>
      <c r="N3858" s="1058"/>
    </row>
    <row r="3859" spans="1:15" ht="12.75" customHeight="1" x14ac:dyDescent="0.25">
      <c r="A3859" s="3"/>
      <c r="B3859" s="3"/>
      <c r="C3859" s="3"/>
      <c r="D3859" s="3"/>
      <c r="E3859" s="3"/>
      <c r="F3859" s="3"/>
      <c r="G3859" s="3"/>
      <c r="H3859" s="3"/>
      <c r="I3859" s="3"/>
      <c r="J3859" s="3"/>
      <c r="K3859" s="1066" t="s">
        <v>201</v>
      </c>
      <c r="L3859" s="1058"/>
      <c r="M3859" s="1059">
        <f>SUM(M3853:N3858)</f>
        <v>316866</v>
      </c>
      <c r="N3859" s="1058"/>
    </row>
    <row r="3860" spans="1:15" ht="12.75" customHeight="1" x14ac:dyDescent="0.25">
      <c r="A3860" s="3"/>
      <c r="B3860" s="3"/>
      <c r="C3860" s="3"/>
      <c r="D3860" s="3"/>
      <c r="E3860" s="3"/>
      <c r="F3860" s="3"/>
      <c r="G3860" s="3"/>
      <c r="H3860" s="3"/>
      <c r="I3860" s="3"/>
      <c r="J3860" s="3"/>
      <c r="K3860" s="3"/>
      <c r="L3860" s="3"/>
      <c r="M3860" s="3"/>
      <c r="N3860" s="3"/>
    </row>
    <row r="3861" spans="1:15" ht="12.75" customHeight="1" x14ac:dyDescent="0.2">
      <c r="A3861" s="1065" t="s">
        <v>390</v>
      </c>
      <c r="B3861" s="1057"/>
      <c r="C3861" s="1057"/>
      <c r="D3861" s="1057"/>
      <c r="E3861" s="1057"/>
      <c r="F3861" s="1057"/>
      <c r="G3861" s="1057"/>
      <c r="H3861" s="1057"/>
      <c r="I3861" s="1057"/>
      <c r="J3861" s="1057"/>
      <c r="K3861" s="1057"/>
      <c r="L3861" s="1057"/>
      <c r="M3861" s="1057"/>
      <c r="N3861" s="1058"/>
    </row>
    <row r="3862" spans="1:15" ht="12.75" customHeight="1" x14ac:dyDescent="0.2">
      <c r="A3862" s="1066" t="s">
        <v>38</v>
      </c>
      <c r="B3862" s="1057"/>
      <c r="C3862" s="1057"/>
      <c r="D3862" s="1057"/>
      <c r="E3862" s="1057"/>
      <c r="F3862" s="1057"/>
      <c r="G3862" s="1058"/>
      <c r="H3862" s="28" t="s">
        <v>39</v>
      </c>
      <c r="I3862" s="1062" t="s">
        <v>385</v>
      </c>
      <c r="J3862" s="1058"/>
      <c r="K3862" s="1062" t="s">
        <v>132</v>
      </c>
      <c r="L3862" s="1058"/>
      <c r="M3862" s="1062" t="s">
        <v>386</v>
      </c>
      <c r="N3862" s="1058"/>
    </row>
    <row r="3863" spans="1:15" ht="12.75" customHeight="1" x14ac:dyDescent="0.2">
      <c r="A3863" s="1061"/>
      <c r="B3863" s="1057"/>
      <c r="C3863" s="1057"/>
      <c r="D3863" s="1057"/>
      <c r="E3863" s="1057"/>
      <c r="F3863" s="1057"/>
      <c r="G3863" s="1058"/>
      <c r="H3863" s="9" t="str">
        <f>IF(A3863="","",VLOOKUP(A3863,AA_Equipos,7,FALSE))</f>
        <v/>
      </c>
      <c r="I3863" s="1059"/>
      <c r="J3863" s="1058"/>
      <c r="K3863" s="1064"/>
      <c r="L3863" s="1058"/>
      <c r="M3863" s="1059" t="str">
        <f>IF(A3863="","",I3863*K3863)</f>
        <v/>
      </c>
      <c r="N3863" s="1058"/>
    </row>
    <row r="3864" spans="1:15" ht="12.75" customHeight="1" x14ac:dyDescent="0.2">
      <c r="A3864" s="1056"/>
      <c r="B3864" s="1057"/>
      <c r="C3864" s="1057"/>
      <c r="D3864" s="1057"/>
      <c r="E3864" s="1057"/>
      <c r="F3864" s="1057"/>
      <c r="G3864" s="1058"/>
      <c r="H3864" s="9" t="str">
        <f>IF(A3864="","",VLOOKUP(A3864,AA_Equipos,7,FALSE))</f>
        <v/>
      </c>
      <c r="I3864" s="1059" t="str">
        <f>IF(A3864="","",VLOOKUP(A3864,AA_Equipos,8,FALSE))</f>
        <v/>
      </c>
      <c r="J3864" s="1058"/>
      <c r="K3864" s="1067"/>
      <c r="L3864" s="1058"/>
      <c r="M3864" s="1059" t="str">
        <f>IF(A3864="","",I3864*K3864)</f>
        <v/>
      </c>
      <c r="N3864" s="1058"/>
    </row>
    <row r="3865" spans="1:15" ht="12.75" customHeight="1" x14ac:dyDescent="0.2">
      <c r="A3865" s="1061"/>
      <c r="B3865" s="1057"/>
      <c r="C3865" s="1057"/>
      <c r="D3865" s="1057"/>
      <c r="E3865" s="1057"/>
      <c r="F3865" s="1057"/>
      <c r="G3865" s="1058"/>
      <c r="H3865" s="9" t="str">
        <f>IF(A3865="","",VLOOKUP(A3865,AA_Equipos,7,FALSE))</f>
        <v/>
      </c>
      <c r="I3865" s="1059" t="str">
        <f>IF(A3865="","",VLOOKUP(A3865,AA_Equipos,8,FALSE))</f>
        <v/>
      </c>
      <c r="J3865" s="1058"/>
      <c r="K3865" s="1070"/>
      <c r="L3865" s="1058"/>
      <c r="M3865" s="1059" t="str">
        <f>IF(A3865="","",I3865*K3865)</f>
        <v/>
      </c>
      <c r="N3865" s="1058"/>
    </row>
    <row r="3866" spans="1:15" ht="12.75" customHeight="1" x14ac:dyDescent="0.2">
      <c r="A3866" s="1061"/>
      <c r="B3866" s="1057"/>
      <c r="C3866" s="1057"/>
      <c r="D3866" s="1057"/>
      <c r="E3866" s="1057"/>
      <c r="F3866" s="1057"/>
      <c r="G3866" s="1058"/>
      <c r="H3866" s="9" t="str">
        <f>IF(A3866="","",VLOOKUP(A3866,AA_Equipos,7,FALSE))</f>
        <v/>
      </c>
      <c r="I3866" s="1059" t="str">
        <f>IF(A3866="","",VLOOKUP(A3866,AA_Equipos,8,FALSE))</f>
        <v/>
      </c>
      <c r="J3866" s="1058"/>
      <c r="K3866" s="1060"/>
      <c r="L3866" s="1058"/>
      <c r="M3866" s="1059" t="str">
        <f>IF(A3866="","",I3866*K3866)</f>
        <v/>
      </c>
      <c r="N3866" s="1058"/>
    </row>
    <row r="3867" spans="1:15" ht="12.75" customHeight="1" x14ac:dyDescent="0.2">
      <c r="A3867" s="1061"/>
      <c r="B3867" s="1057"/>
      <c r="C3867" s="1057"/>
      <c r="D3867" s="1057"/>
      <c r="E3867" s="1057"/>
      <c r="F3867" s="1057"/>
      <c r="G3867" s="1058"/>
      <c r="H3867" s="9" t="str">
        <f>IF(A3867="","",VLOOKUP(A3867,AA_Equipos,7,FALSE))</f>
        <v/>
      </c>
      <c r="I3867" s="1059" t="str">
        <f>IF(A3867="","",VLOOKUP(A3867,AA_Equipos,8,FALSE))</f>
        <v/>
      </c>
      <c r="J3867" s="1058"/>
      <c r="K3867" s="1060"/>
      <c r="L3867" s="1058"/>
      <c r="M3867" s="1059" t="str">
        <f>IF(A3867="","",I3867*K3867)</f>
        <v/>
      </c>
      <c r="N3867" s="1058"/>
      <c r="O3867" s="7"/>
    </row>
    <row r="3868" spans="1:15" ht="12.75" customHeight="1" x14ac:dyDescent="0.25">
      <c r="A3868" s="3"/>
      <c r="B3868" s="3"/>
      <c r="C3868" s="3"/>
      <c r="D3868" s="3"/>
      <c r="E3868" s="3"/>
      <c r="F3868" s="3"/>
      <c r="G3868" s="3"/>
      <c r="H3868" s="3"/>
      <c r="I3868" s="3"/>
      <c r="J3868" s="3"/>
      <c r="K3868" s="1066" t="s">
        <v>201</v>
      </c>
      <c r="L3868" s="1058"/>
      <c r="M3868" s="1059">
        <f>SUM(M3863:N3867)</f>
        <v>0</v>
      </c>
      <c r="N3868" s="1058"/>
      <c r="O3868" s="7"/>
    </row>
    <row r="3869" spans="1:15" ht="12.75" customHeight="1" x14ac:dyDescent="0.25">
      <c r="A3869" s="3"/>
      <c r="B3869" s="3"/>
      <c r="C3869" s="3"/>
      <c r="D3869" s="3"/>
      <c r="E3869" s="3"/>
      <c r="F3869" s="3"/>
      <c r="G3869" s="3"/>
      <c r="H3869" s="3"/>
      <c r="I3869" s="3"/>
      <c r="J3869" s="3"/>
      <c r="K3869" s="3"/>
      <c r="L3869" s="3"/>
      <c r="M3869" s="3"/>
      <c r="N3869" s="3"/>
    </row>
    <row r="3870" spans="1:15" ht="12.75" customHeight="1" x14ac:dyDescent="0.2">
      <c r="A3870" s="1065" t="s">
        <v>392</v>
      </c>
      <c r="B3870" s="1057"/>
      <c r="C3870" s="1057"/>
      <c r="D3870" s="1057"/>
      <c r="E3870" s="1057"/>
      <c r="F3870" s="1057"/>
      <c r="G3870" s="1057"/>
      <c r="H3870" s="1057"/>
      <c r="I3870" s="1057"/>
      <c r="J3870" s="1057"/>
      <c r="K3870" s="1057"/>
      <c r="L3870" s="1057"/>
      <c r="M3870" s="1057"/>
      <c r="N3870" s="1058"/>
    </row>
    <row r="3871" spans="1:15" ht="12.75" customHeight="1" x14ac:dyDescent="0.2">
      <c r="A3871" s="1066" t="s">
        <v>38</v>
      </c>
      <c r="B3871" s="1057"/>
      <c r="C3871" s="1057"/>
      <c r="D3871" s="1057"/>
      <c r="E3871" s="1057"/>
      <c r="F3871" s="1057"/>
      <c r="G3871" s="1058"/>
      <c r="H3871" s="28" t="s">
        <v>39</v>
      </c>
      <c r="I3871" s="1062" t="s">
        <v>385</v>
      </c>
      <c r="J3871" s="1058"/>
      <c r="K3871" s="1062" t="s">
        <v>132</v>
      </c>
      <c r="L3871" s="1058"/>
      <c r="M3871" s="1062" t="s">
        <v>386</v>
      </c>
      <c r="N3871" s="1058"/>
    </row>
    <row r="3872" spans="1:15" ht="12.75" customHeight="1" x14ac:dyDescent="0.2">
      <c r="A3872" s="1061"/>
      <c r="B3872" s="1057"/>
      <c r="C3872" s="1057"/>
      <c r="D3872" s="1057"/>
      <c r="E3872" s="1057"/>
      <c r="F3872" s="1057"/>
      <c r="G3872" s="1058"/>
      <c r="H3872" s="9"/>
      <c r="I3872" s="1059"/>
      <c r="J3872" s="1058"/>
      <c r="K3872" s="1064"/>
      <c r="L3872" s="1058"/>
      <c r="M3872" s="1059" t="str">
        <f>IF(A3872="","",I3872*K3872)</f>
        <v/>
      </c>
      <c r="N3872" s="1058"/>
    </row>
    <row r="3873" spans="1:14" ht="12.75" customHeight="1" x14ac:dyDescent="0.2">
      <c r="A3873" s="1056"/>
      <c r="B3873" s="1057"/>
      <c r="C3873" s="1057"/>
      <c r="D3873" s="1057"/>
      <c r="E3873" s="1057"/>
      <c r="F3873" s="1057"/>
      <c r="G3873" s="1058"/>
      <c r="H3873" s="9"/>
      <c r="I3873" s="1059"/>
      <c r="J3873" s="1058"/>
      <c r="K3873" s="1064"/>
      <c r="L3873" s="1058"/>
      <c r="M3873" s="1059" t="str">
        <f>IF(A3873="","",I3873*K3873)</f>
        <v/>
      </c>
      <c r="N3873" s="1058"/>
    </row>
    <row r="3874" spans="1:14" ht="12.75" customHeight="1" x14ac:dyDescent="0.2">
      <c r="A3874" s="1061"/>
      <c r="B3874" s="1057"/>
      <c r="C3874" s="1057"/>
      <c r="D3874" s="1057"/>
      <c r="E3874" s="1057"/>
      <c r="F3874" s="1057"/>
      <c r="G3874" s="1058"/>
      <c r="H3874" s="9"/>
      <c r="I3874" s="1059"/>
      <c r="J3874" s="1058"/>
      <c r="K3874" s="1060"/>
      <c r="L3874" s="1058"/>
      <c r="M3874" s="1059" t="str">
        <f>IF(A3874="","",I3874*K3874)</f>
        <v/>
      </c>
      <c r="N3874" s="1058"/>
    </row>
    <row r="3875" spans="1:14" ht="12.75" customHeight="1" x14ac:dyDescent="0.2">
      <c r="A3875" s="1061"/>
      <c r="B3875" s="1057"/>
      <c r="C3875" s="1057"/>
      <c r="D3875" s="1057"/>
      <c r="E3875" s="1057"/>
      <c r="F3875" s="1057"/>
      <c r="G3875" s="1058"/>
      <c r="H3875" s="9"/>
      <c r="I3875" s="1059"/>
      <c r="J3875" s="1058"/>
      <c r="K3875" s="1060"/>
      <c r="L3875" s="1058"/>
      <c r="M3875" s="1059" t="str">
        <f>IF(A3875="","",I3875*K3875)</f>
        <v/>
      </c>
      <c r="N3875" s="1058"/>
    </row>
    <row r="3876" spans="1:14" ht="12.75" customHeight="1" x14ac:dyDescent="0.2">
      <c r="A3876" s="1061"/>
      <c r="B3876" s="1057"/>
      <c r="C3876" s="1057"/>
      <c r="D3876" s="1057"/>
      <c r="E3876" s="1057"/>
      <c r="F3876" s="1057"/>
      <c r="G3876" s="1058"/>
      <c r="H3876" s="9"/>
      <c r="I3876" s="1059"/>
      <c r="J3876" s="1058"/>
      <c r="K3876" s="1060"/>
      <c r="L3876" s="1058"/>
      <c r="M3876" s="1059" t="str">
        <f>IF(A3876="","",I3876*K3876)</f>
        <v/>
      </c>
      <c r="N3876" s="1058"/>
    </row>
    <row r="3877" spans="1:14" ht="12.75" customHeight="1" x14ac:dyDescent="0.25">
      <c r="A3877" s="3"/>
      <c r="B3877" s="3"/>
      <c r="C3877" s="3"/>
      <c r="D3877" s="3"/>
      <c r="E3877" s="3"/>
      <c r="F3877" s="3"/>
      <c r="G3877" s="3"/>
      <c r="H3877" s="3"/>
      <c r="I3877" s="3"/>
      <c r="J3877" s="3"/>
      <c r="K3877" s="1066" t="s">
        <v>201</v>
      </c>
      <c r="L3877" s="1058"/>
      <c r="M3877" s="1059">
        <f>SUM(M3872:N3876)</f>
        <v>0</v>
      </c>
      <c r="N3877" s="1058"/>
    </row>
    <row r="3878" spans="1:14" ht="12.75" customHeight="1" x14ac:dyDescent="0.25">
      <c r="A3878" s="3"/>
      <c r="B3878" s="3"/>
      <c r="C3878" s="3"/>
      <c r="D3878" s="3"/>
      <c r="E3878" s="3"/>
      <c r="F3878" s="3"/>
      <c r="G3878" s="3"/>
      <c r="H3878" s="3"/>
      <c r="I3878" s="3"/>
      <c r="J3878" s="3"/>
      <c r="K3878" s="3"/>
      <c r="L3878" s="3"/>
      <c r="M3878" s="3"/>
      <c r="N3878" s="3"/>
    </row>
    <row r="3879" spans="1:14" ht="12.75" customHeight="1" x14ac:dyDescent="0.2">
      <c r="A3879" s="1065" t="s">
        <v>394</v>
      </c>
      <c r="B3879" s="1057"/>
      <c r="C3879" s="1057"/>
      <c r="D3879" s="1057"/>
      <c r="E3879" s="1057"/>
      <c r="F3879" s="1057"/>
      <c r="G3879" s="1057"/>
      <c r="H3879" s="1057"/>
      <c r="I3879" s="1057"/>
      <c r="J3879" s="1057"/>
      <c r="K3879" s="1057"/>
      <c r="L3879" s="1057"/>
      <c r="M3879" s="1057"/>
      <c r="N3879" s="1058"/>
    </row>
    <row r="3880" spans="1:14" ht="12.75" customHeight="1" x14ac:dyDescent="0.2">
      <c r="A3880" s="1066" t="s">
        <v>38</v>
      </c>
      <c r="B3880" s="1057"/>
      <c r="C3880" s="1057"/>
      <c r="D3880" s="1057"/>
      <c r="E3880" s="1057"/>
      <c r="F3880" s="1057"/>
      <c r="G3880" s="1058"/>
      <c r="H3880" s="28" t="s">
        <v>39</v>
      </c>
      <c r="I3880" s="1062" t="s">
        <v>385</v>
      </c>
      <c r="J3880" s="1058"/>
      <c r="K3880" s="30" t="s">
        <v>193</v>
      </c>
      <c r="L3880" s="31" t="s">
        <v>395</v>
      </c>
      <c r="M3880" s="1062" t="s">
        <v>386</v>
      </c>
      <c r="N3880" s="1058"/>
    </row>
    <row r="3881" spans="1:14" ht="12.75" customHeight="1" x14ac:dyDescent="0.25">
      <c r="A3881" s="1063"/>
      <c r="B3881" s="1057"/>
      <c r="C3881" s="1057"/>
      <c r="D3881" s="1057"/>
      <c r="E3881" s="1057"/>
      <c r="F3881" s="1057"/>
      <c r="G3881" s="1058"/>
      <c r="H3881" s="9" t="str">
        <f>IF(A3881="","",VLOOKUP(A3881,AA_Cuadrillas,4,FALSE))</f>
        <v/>
      </c>
      <c r="I3881" s="1059" t="str">
        <f>IF(A3881="","",VLOOKUP(A3881,AA_Cuadrillas,5,FALSE))</f>
        <v/>
      </c>
      <c r="J3881" s="1058"/>
      <c r="K3881" s="1" t="str">
        <f>IF(A3881="","",'06'!$J$3)</f>
        <v/>
      </c>
      <c r="L3881" s="37"/>
      <c r="M3881" s="1059" t="str">
        <f>IF(A3881="","",I3881*K3881*L3881)</f>
        <v/>
      </c>
      <c r="N3881" s="1058"/>
    </row>
    <row r="3882" spans="1:14" ht="12.75" customHeight="1" x14ac:dyDescent="0.25">
      <c r="A3882" s="1063"/>
      <c r="B3882" s="1057"/>
      <c r="C3882" s="1057"/>
      <c r="D3882" s="1057"/>
      <c r="E3882" s="1057"/>
      <c r="F3882" s="1057"/>
      <c r="G3882" s="1058"/>
      <c r="H3882" s="9" t="str">
        <f>IF(A3882="","",VLOOKUP(A3882,AA_Cuadrillas,4,FALSE))</f>
        <v/>
      </c>
      <c r="I3882" s="1059" t="str">
        <f>IF(A3882="","",VLOOKUP(A3882,AA_Cuadrillas,5,FALSE))</f>
        <v/>
      </c>
      <c r="J3882" s="1058"/>
      <c r="K3882" s="1" t="str">
        <f>IF(A3882="","",'06'!$J$3)</f>
        <v/>
      </c>
      <c r="L3882" s="1"/>
      <c r="M3882" s="1059" t="str">
        <f>IF(A3882="","",I3882*K3882*L3882)</f>
        <v/>
      </c>
      <c r="N3882" s="1058"/>
    </row>
    <row r="3883" spans="1:14" ht="12.75" customHeight="1" x14ac:dyDescent="0.25">
      <c r="A3883" s="1063"/>
      <c r="B3883" s="1057"/>
      <c r="C3883" s="1057"/>
      <c r="D3883" s="1057"/>
      <c r="E3883" s="1057"/>
      <c r="F3883" s="1057"/>
      <c r="G3883" s="1058"/>
      <c r="H3883" s="9" t="str">
        <f>IF(A3883="","",VLOOKUP(A3883,AA_Cuadrillas,4,FALSE))</f>
        <v/>
      </c>
      <c r="I3883" s="1059" t="str">
        <f>IF(A3883="","",VLOOKUP(A3883,AA_Cuadrillas,5,FALSE))</f>
        <v/>
      </c>
      <c r="J3883" s="1058"/>
      <c r="K3883" s="1" t="str">
        <f>IF(A3883="","",'06'!$J$3)</f>
        <v/>
      </c>
      <c r="L3883" s="10"/>
      <c r="M3883" s="1059" t="str">
        <f>IF(A3883="","",I3883*K3883*L3883)</f>
        <v/>
      </c>
      <c r="N3883" s="1058"/>
    </row>
    <row r="3884" spans="1:14" ht="12.75" customHeight="1" x14ac:dyDescent="0.25">
      <c r="A3884" s="1063"/>
      <c r="B3884" s="1057"/>
      <c r="C3884" s="1057"/>
      <c r="D3884" s="1057"/>
      <c r="E3884" s="1057"/>
      <c r="F3884" s="1057"/>
      <c r="G3884" s="1058"/>
      <c r="H3884" s="9" t="str">
        <f>IF(A3884="","",VLOOKUP(A3884,AA_Cuadrillas,4,FALSE))</f>
        <v/>
      </c>
      <c r="I3884" s="1059" t="str">
        <f>IF(A3884="","",VLOOKUP(A3884,AA_Cuadrillas,5,FALSE))</f>
        <v/>
      </c>
      <c r="J3884" s="1058"/>
      <c r="K3884" s="1" t="str">
        <f>IF(A3884="","",'06'!$J$3)</f>
        <v/>
      </c>
      <c r="L3884" s="10"/>
      <c r="M3884" s="1059" t="str">
        <f>IF(A3884="","",I3884*K3884*L3884)</f>
        <v/>
      </c>
      <c r="N3884" s="1058"/>
    </row>
    <row r="3885" spans="1:14" ht="12.75" customHeight="1" x14ac:dyDescent="0.25">
      <c r="A3885" s="1063"/>
      <c r="B3885" s="1057"/>
      <c r="C3885" s="1057"/>
      <c r="D3885" s="1057"/>
      <c r="E3885" s="1057"/>
      <c r="F3885" s="1057"/>
      <c r="G3885" s="1058"/>
      <c r="H3885" s="9" t="str">
        <f>IF(A3885="","",VLOOKUP(A3885,AA_Cuadrillas,4,FALSE))</f>
        <v/>
      </c>
      <c r="I3885" s="1059" t="str">
        <f>IF(A3885="","",VLOOKUP(A3885,AA_Cuadrillas,5,FALSE))</f>
        <v/>
      </c>
      <c r="J3885" s="1058"/>
      <c r="K3885" s="1" t="str">
        <f>IF(A3885="","",'06'!$J$3)</f>
        <v/>
      </c>
      <c r="L3885" s="10"/>
      <c r="M3885" s="1059" t="str">
        <f>IF(A3885="","",I3885*K3885*L3885)</f>
        <v/>
      </c>
      <c r="N3885" s="1058"/>
    </row>
    <row r="3886" spans="1:14" ht="12.75" customHeight="1" x14ac:dyDescent="0.25">
      <c r="A3886" s="3"/>
      <c r="B3886" s="3"/>
      <c r="C3886" s="3"/>
      <c r="D3886" s="3"/>
      <c r="E3886" s="3"/>
      <c r="F3886" s="3"/>
      <c r="G3886" s="3"/>
      <c r="H3886" s="3"/>
      <c r="I3886" s="3"/>
      <c r="J3886" s="3"/>
      <c r="K3886" s="1066" t="s">
        <v>201</v>
      </c>
      <c r="L3886" s="1058"/>
      <c r="M3886" s="1059">
        <f>SUM(M3881:N3885)</f>
        <v>0</v>
      </c>
      <c r="N3886" s="1058"/>
    </row>
    <row r="3887" spans="1:14" ht="12.75" customHeight="1" x14ac:dyDescent="0.2"/>
  </sheetData>
  <autoFilter ref="A1:A3887" xr:uid="{00000000-0009-0000-0000-00000C000000}"/>
  <dataConsolidate/>
  <mergeCells count="9943">
    <mergeCell ref="K22:L22"/>
    <mergeCell ref="M22:N22"/>
    <mergeCell ref="A19:G19"/>
    <mergeCell ref="A20:G20"/>
    <mergeCell ref="I20:J20"/>
    <mergeCell ref="K20:L20"/>
    <mergeCell ref="M20:N20"/>
    <mergeCell ref="A21:G21"/>
    <mergeCell ref="I21:J21"/>
    <mergeCell ref="K11:L11"/>
    <mergeCell ref="M11:N11"/>
    <mergeCell ref="I12:J12"/>
    <mergeCell ref="K12:L12"/>
    <mergeCell ref="M12:N12"/>
    <mergeCell ref="I16:J16"/>
    <mergeCell ref="I17:J17"/>
    <mergeCell ref="K17:L17"/>
    <mergeCell ref="M17:N17"/>
    <mergeCell ref="K13:L13"/>
    <mergeCell ref="M13:N13"/>
    <mergeCell ref="A15:N15"/>
    <mergeCell ref="A16:G16"/>
    <mergeCell ref="K16:L16"/>
    <mergeCell ref="M16:N16"/>
    <mergeCell ref="A17:G17"/>
    <mergeCell ref="A18:G18"/>
    <mergeCell ref="I18:J18"/>
    <mergeCell ref="K53:L53"/>
    <mergeCell ref="M53:N53"/>
    <mergeCell ref="A138:G138"/>
    <mergeCell ref="I138:J138"/>
    <mergeCell ref="K138:L138"/>
    <mergeCell ref="M138:N138"/>
    <mergeCell ref="A134:G134"/>
    <mergeCell ref="I134:J134"/>
    <mergeCell ref="K134:L134"/>
    <mergeCell ref="M134:N134"/>
    <mergeCell ref="A264:G264"/>
    <mergeCell ref="A8:G8"/>
    <mergeCell ref="A9:G9"/>
    <mergeCell ref="A10:G10"/>
    <mergeCell ref="A11:G11"/>
    <mergeCell ref="A12:G12"/>
    <mergeCell ref="A25:G25"/>
    <mergeCell ref="I25:J25"/>
    <mergeCell ref="K25:L25"/>
    <mergeCell ref="M25:N25"/>
    <mergeCell ref="A26:G26"/>
    <mergeCell ref="A27:G27"/>
    <mergeCell ref="K49:L49"/>
    <mergeCell ref="M49:N49"/>
    <mergeCell ref="M39:N39"/>
    <mergeCell ref="K40:L40"/>
    <mergeCell ref="M40:N40"/>
    <mergeCell ref="A42:N43"/>
    <mergeCell ref="A47:N47"/>
    <mergeCell ref="A48:G48"/>
    <mergeCell ref="I19:J19"/>
    <mergeCell ref="K19:L19"/>
    <mergeCell ref="I35:J35"/>
    <mergeCell ref="I36:J36"/>
    <mergeCell ref="I37:J37"/>
    <mergeCell ref="M37:N37"/>
    <mergeCell ref="I38:J38"/>
    <mergeCell ref="M38:N38"/>
    <mergeCell ref="I39:J39"/>
    <mergeCell ref="K48:L48"/>
    <mergeCell ref="M48:N48"/>
    <mergeCell ref="A39:G39"/>
    <mergeCell ref="A1:N2"/>
    <mergeCell ref="A6:N6"/>
    <mergeCell ref="A7:G7"/>
    <mergeCell ref="I7:J7"/>
    <mergeCell ref="K7:L7"/>
    <mergeCell ref="M7:N7"/>
    <mergeCell ref="M8:N8"/>
    <mergeCell ref="I8:J8"/>
    <mergeCell ref="K8:L8"/>
    <mergeCell ref="I9:J9"/>
    <mergeCell ref="K9:L9"/>
    <mergeCell ref="M9:N9"/>
    <mergeCell ref="K10:L10"/>
    <mergeCell ref="M10:N10"/>
    <mergeCell ref="I10:J10"/>
    <mergeCell ref="I11:J11"/>
    <mergeCell ref="A24:N24"/>
    <mergeCell ref="K18:L18"/>
    <mergeCell ref="M18:N18"/>
    <mergeCell ref="M19:N19"/>
    <mergeCell ref="K21:L21"/>
    <mergeCell ref="M21:N21"/>
    <mergeCell ref="K26:L26"/>
    <mergeCell ref="M26:N26"/>
    <mergeCell ref="I26:J26"/>
    <mergeCell ref="I27:J27"/>
    <mergeCell ref="K27:L27"/>
    <mergeCell ref="M27:N27"/>
    <mergeCell ref="K54:L54"/>
    <mergeCell ref="M54:N54"/>
    <mergeCell ref="A51:G51"/>
    <mergeCell ref="A52:G52"/>
    <mergeCell ref="I52:J52"/>
    <mergeCell ref="K52:L52"/>
    <mergeCell ref="M52:N52"/>
    <mergeCell ref="A53:G53"/>
    <mergeCell ref="I53:J53"/>
    <mergeCell ref="A28:G28"/>
    <mergeCell ref="I28:J28"/>
    <mergeCell ref="K28:L28"/>
    <mergeCell ref="M28:N28"/>
    <mergeCell ref="I29:J29"/>
    <mergeCell ref="K29:L29"/>
    <mergeCell ref="M29:N29"/>
    <mergeCell ref="A29:G29"/>
    <mergeCell ref="A30:G30"/>
    <mergeCell ref="I30:J30"/>
    <mergeCell ref="K30:L30"/>
    <mergeCell ref="M30:N30"/>
    <mergeCell ref="K31:L31"/>
    <mergeCell ref="M31:N31"/>
    <mergeCell ref="A36:G36"/>
    <mergeCell ref="A37:G37"/>
    <mergeCell ref="A38:G38"/>
    <mergeCell ref="A33:N33"/>
    <mergeCell ref="A34:G34"/>
    <mergeCell ref="I34:J34"/>
    <mergeCell ref="M34:N34"/>
    <mergeCell ref="A35:G35"/>
    <mergeCell ref="A56:N56"/>
    <mergeCell ref="A57:G57"/>
    <mergeCell ref="I57:J57"/>
    <mergeCell ref="K57:L57"/>
    <mergeCell ref="M57:N57"/>
    <mergeCell ref="A58:G58"/>
    <mergeCell ref="A59:G59"/>
    <mergeCell ref="A60:G60"/>
    <mergeCell ref="I60:J60"/>
    <mergeCell ref="K60:L60"/>
    <mergeCell ref="M60:N60"/>
    <mergeCell ref="I61:J61"/>
    <mergeCell ref="K61:L61"/>
    <mergeCell ref="M61:N61"/>
    <mergeCell ref="A61:G61"/>
    <mergeCell ref="A49:G49"/>
    <mergeCell ref="I51:J51"/>
    <mergeCell ref="K51:L51"/>
    <mergeCell ref="I48:J48"/>
    <mergeCell ref="I49:J49"/>
    <mergeCell ref="A50:G50"/>
    <mergeCell ref="I50:J50"/>
    <mergeCell ref="K50:L50"/>
    <mergeCell ref="M50:N50"/>
    <mergeCell ref="M51:N51"/>
    <mergeCell ref="M35:N35"/>
    <mergeCell ref="M36:N36"/>
    <mergeCell ref="A62:G62"/>
    <mergeCell ref="I62:J62"/>
    <mergeCell ref="K62:L62"/>
    <mergeCell ref="M62:N62"/>
    <mergeCell ref="K58:L58"/>
    <mergeCell ref="M58:N58"/>
    <mergeCell ref="K68:L68"/>
    <mergeCell ref="M68:N68"/>
    <mergeCell ref="A65:N65"/>
    <mergeCell ref="A66:G66"/>
    <mergeCell ref="I66:J66"/>
    <mergeCell ref="K66:L66"/>
    <mergeCell ref="M66:N66"/>
    <mergeCell ref="A67:G67"/>
    <mergeCell ref="A68:G68"/>
    <mergeCell ref="I70:J70"/>
    <mergeCell ref="K70:L70"/>
    <mergeCell ref="I67:J67"/>
    <mergeCell ref="I68:J68"/>
    <mergeCell ref="A69:G69"/>
    <mergeCell ref="I69:J69"/>
    <mergeCell ref="K69:L69"/>
    <mergeCell ref="M69:N69"/>
    <mergeCell ref="M70:N70"/>
    <mergeCell ref="I58:J58"/>
    <mergeCell ref="I59:J59"/>
    <mergeCell ref="K59:L59"/>
    <mergeCell ref="M59:N59"/>
    <mergeCell ref="K63:L63"/>
    <mergeCell ref="M63:N63"/>
    <mergeCell ref="K67:L67"/>
    <mergeCell ref="M67:N67"/>
    <mergeCell ref="A70:G70"/>
    <mergeCell ref="I78:J78"/>
    <mergeCell ref="M78:N78"/>
    <mergeCell ref="I79:J79"/>
    <mergeCell ref="M79:N79"/>
    <mergeCell ref="I80:J80"/>
    <mergeCell ref="K89:L89"/>
    <mergeCell ref="M89:N89"/>
    <mergeCell ref="I89:J89"/>
    <mergeCell ref="I90:J90"/>
    <mergeCell ref="K90:L90"/>
    <mergeCell ref="M90:N90"/>
    <mergeCell ref="M80:N80"/>
    <mergeCell ref="K81:L81"/>
    <mergeCell ref="M81:N81"/>
    <mergeCell ref="A83:N84"/>
    <mergeCell ref="A88:N88"/>
    <mergeCell ref="A89:G89"/>
    <mergeCell ref="A90:G90"/>
    <mergeCell ref="A71:G71"/>
    <mergeCell ref="I71:J71"/>
    <mergeCell ref="K71:L71"/>
    <mergeCell ref="M71:N71"/>
    <mergeCell ref="K72:L72"/>
    <mergeCell ref="M72:N72"/>
    <mergeCell ref="A77:G77"/>
    <mergeCell ref="A78:G78"/>
    <mergeCell ref="A79:G79"/>
    <mergeCell ref="A80:G80"/>
    <mergeCell ref="A74:N74"/>
    <mergeCell ref="A75:G75"/>
    <mergeCell ref="I75:J75"/>
    <mergeCell ref="M75:N75"/>
    <mergeCell ref="A76:G76"/>
    <mergeCell ref="M76:N76"/>
    <mergeCell ref="M77:N77"/>
    <mergeCell ref="I76:J76"/>
    <mergeCell ref="I77:J77"/>
    <mergeCell ref="A91:G91"/>
    <mergeCell ref="I91:J91"/>
    <mergeCell ref="K91:L91"/>
    <mergeCell ref="M91:N91"/>
    <mergeCell ref="I92:J92"/>
    <mergeCell ref="K92:L92"/>
    <mergeCell ref="M92:N92"/>
    <mergeCell ref="K94:L94"/>
    <mergeCell ref="M94:N94"/>
    <mergeCell ref="K95:L95"/>
    <mergeCell ref="M95:N95"/>
    <mergeCell ref="A92:G92"/>
    <mergeCell ref="A93:G93"/>
    <mergeCell ref="I93:J93"/>
    <mergeCell ref="K93:L93"/>
    <mergeCell ref="M93:N93"/>
    <mergeCell ref="A94:G94"/>
    <mergeCell ref="I94:J94"/>
    <mergeCell ref="A97:N97"/>
    <mergeCell ref="A98:G98"/>
    <mergeCell ref="I98:J98"/>
    <mergeCell ref="K98:L98"/>
    <mergeCell ref="M98:N98"/>
    <mergeCell ref="A99:G99"/>
    <mergeCell ref="A100:G100"/>
    <mergeCell ref="M117:N117"/>
    <mergeCell ref="M118:N118"/>
    <mergeCell ref="A176:G176"/>
    <mergeCell ref="A154:G154"/>
    <mergeCell ref="I154:J154"/>
    <mergeCell ref="K154:L154"/>
    <mergeCell ref="M154:N154"/>
    <mergeCell ref="I155:J155"/>
    <mergeCell ref="K155:L155"/>
    <mergeCell ref="M155:N155"/>
    <mergeCell ref="A155:G155"/>
    <mergeCell ref="A156:G156"/>
    <mergeCell ref="I156:J156"/>
    <mergeCell ref="K156:L156"/>
    <mergeCell ref="A101:G101"/>
    <mergeCell ref="I101:J101"/>
    <mergeCell ref="K101:L101"/>
    <mergeCell ref="M101:N101"/>
    <mergeCell ref="I102:J102"/>
    <mergeCell ref="A110:G110"/>
    <mergeCell ref="I110:J110"/>
    <mergeCell ref="K110:L110"/>
    <mergeCell ref="M110:N110"/>
    <mergeCell ref="K109:L109"/>
    <mergeCell ref="M109:N109"/>
    <mergeCell ref="I164:J164"/>
    <mergeCell ref="M164:N164"/>
    <mergeCell ref="I165:J165"/>
    <mergeCell ref="A159:N159"/>
    <mergeCell ref="A160:G160"/>
    <mergeCell ref="I160:J160"/>
    <mergeCell ref="M160:N160"/>
    <mergeCell ref="A153:G153"/>
    <mergeCell ref="A141:N141"/>
    <mergeCell ref="A142:G142"/>
    <mergeCell ref="A143:G143"/>
    <mergeCell ref="A144:G144"/>
    <mergeCell ref="I144:J144"/>
    <mergeCell ref="K99:L99"/>
    <mergeCell ref="M99:N99"/>
    <mergeCell ref="I99:J99"/>
    <mergeCell ref="I100:J100"/>
    <mergeCell ref="K100:L100"/>
    <mergeCell ref="M100:N100"/>
    <mergeCell ref="A106:N106"/>
    <mergeCell ref="A107:G107"/>
    <mergeCell ref="I107:J107"/>
    <mergeCell ref="K107:L107"/>
    <mergeCell ref="M107:N107"/>
    <mergeCell ref="A108:G108"/>
    <mergeCell ref="A109:G109"/>
    <mergeCell ref="M162:N162"/>
    <mergeCell ref="A162:G162"/>
    <mergeCell ref="A163:G163"/>
    <mergeCell ref="A164:G164"/>
    <mergeCell ref="A165:G165"/>
    <mergeCell ref="A168:N169"/>
    <mergeCell ref="A173:N173"/>
    <mergeCell ref="M174:N174"/>
    <mergeCell ref="I174:J174"/>
    <mergeCell ref="K174:L174"/>
    <mergeCell ref="I175:J175"/>
    <mergeCell ref="K175:L175"/>
    <mergeCell ref="M175:N175"/>
    <mergeCell ref="K102:L102"/>
    <mergeCell ref="M102:N102"/>
    <mergeCell ref="A102:G102"/>
    <mergeCell ref="A103:G103"/>
    <mergeCell ref="I103:J103"/>
    <mergeCell ref="K103:L103"/>
    <mergeCell ref="M103:N103"/>
    <mergeCell ref="K104:L104"/>
    <mergeCell ref="M104:N104"/>
    <mergeCell ref="K108:L108"/>
    <mergeCell ref="M108:N108"/>
    <mergeCell ref="I108:J108"/>
    <mergeCell ref="I109:J109"/>
    <mergeCell ref="K166:L166"/>
    <mergeCell ref="M166:N166"/>
    <mergeCell ref="I161:J161"/>
    <mergeCell ref="I162:J162"/>
    <mergeCell ref="I163:J163"/>
    <mergeCell ref="M163:N163"/>
    <mergeCell ref="M147:N147"/>
    <mergeCell ref="K148:L148"/>
    <mergeCell ref="M148:N148"/>
    <mergeCell ref="A145:G145"/>
    <mergeCell ref="A146:G146"/>
    <mergeCell ref="I146:J146"/>
    <mergeCell ref="K146:L146"/>
    <mergeCell ref="M146:N146"/>
    <mergeCell ref="A147:G147"/>
    <mergeCell ref="I147:J147"/>
    <mergeCell ref="K152:L152"/>
    <mergeCell ref="M152:N152"/>
    <mergeCell ref="M165:N165"/>
    <mergeCell ref="K176:L176"/>
    <mergeCell ref="I111:J111"/>
    <mergeCell ref="K111:L111"/>
    <mergeCell ref="M111:N111"/>
    <mergeCell ref="A111:G111"/>
    <mergeCell ref="A112:G112"/>
    <mergeCell ref="I112:J112"/>
    <mergeCell ref="K112:L112"/>
    <mergeCell ref="M112:N112"/>
    <mergeCell ref="K113:L113"/>
    <mergeCell ref="M113:N113"/>
    <mergeCell ref="I117:J117"/>
    <mergeCell ref="I118:J118"/>
    <mergeCell ref="A115:N115"/>
    <mergeCell ref="A116:G116"/>
    <mergeCell ref="I116:J116"/>
    <mergeCell ref="M116:N116"/>
    <mergeCell ref="A117:G117"/>
    <mergeCell ref="M161:N161"/>
    <mergeCell ref="K181:L181"/>
    <mergeCell ref="A185:G185"/>
    <mergeCell ref="A186:G186"/>
    <mergeCell ref="A187:G187"/>
    <mergeCell ref="A188:G188"/>
    <mergeCell ref="A189:G189"/>
    <mergeCell ref="M181:N181"/>
    <mergeCell ref="A183:N183"/>
    <mergeCell ref="A184:G184"/>
    <mergeCell ref="I184:J184"/>
    <mergeCell ref="K184:L184"/>
    <mergeCell ref="M184:N184"/>
    <mergeCell ref="M185:N185"/>
    <mergeCell ref="I185:J185"/>
    <mergeCell ref="K185:L185"/>
    <mergeCell ref="I186:J186"/>
    <mergeCell ref="K186:L186"/>
    <mergeCell ref="M186:N186"/>
    <mergeCell ref="K187:L187"/>
    <mergeCell ref="M187:N187"/>
    <mergeCell ref="I187:J187"/>
    <mergeCell ref="I188:J188"/>
    <mergeCell ref="K188:L188"/>
    <mergeCell ref="M188:N188"/>
    <mergeCell ref="I189:J189"/>
    <mergeCell ref="K189:L189"/>
    <mergeCell ref="M189:N189"/>
    <mergeCell ref="K144:L144"/>
    <mergeCell ref="M144:N144"/>
    <mergeCell ref="A178:G178"/>
    <mergeCell ref="A179:G179"/>
    <mergeCell ref="A180:G180"/>
    <mergeCell ref="I179:J179"/>
    <mergeCell ref="K179:L179"/>
    <mergeCell ref="M179:N179"/>
    <mergeCell ref="I180:J180"/>
    <mergeCell ref="K180:L180"/>
    <mergeCell ref="M180:N180"/>
    <mergeCell ref="I152:J152"/>
    <mergeCell ref="I153:J153"/>
    <mergeCell ref="K153:L153"/>
    <mergeCell ref="M153:N153"/>
    <mergeCell ref="A150:N150"/>
    <mergeCell ref="A151:G151"/>
    <mergeCell ref="I151:J151"/>
    <mergeCell ref="K151:L151"/>
    <mergeCell ref="M151:N151"/>
    <mergeCell ref="A152:G152"/>
    <mergeCell ref="M156:N156"/>
    <mergeCell ref="K157:L157"/>
    <mergeCell ref="M157:N157"/>
    <mergeCell ref="A174:G174"/>
    <mergeCell ref="A175:G175"/>
    <mergeCell ref="A161:G161"/>
    <mergeCell ref="A177:G177"/>
    <mergeCell ref="I145:J145"/>
    <mergeCell ref="K145:L145"/>
    <mergeCell ref="M145:N145"/>
    <mergeCell ref="K147:L147"/>
    <mergeCell ref="K142:L142"/>
    <mergeCell ref="M142:N142"/>
    <mergeCell ref="I142:J142"/>
    <mergeCell ref="I143:J143"/>
    <mergeCell ref="A118:G118"/>
    <mergeCell ref="A119:G119"/>
    <mergeCell ref="I119:J119"/>
    <mergeCell ref="M119:N119"/>
    <mergeCell ref="A120:G120"/>
    <mergeCell ref="M120:N120"/>
    <mergeCell ref="M121:N121"/>
    <mergeCell ref="I130:J130"/>
    <mergeCell ref="I131:J131"/>
    <mergeCell ref="K131:L131"/>
    <mergeCell ref="M131:N131"/>
    <mergeCell ref="A121:G121"/>
    <mergeCell ref="A124:N125"/>
    <mergeCell ref="A129:N129"/>
    <mergeCell ref="A130:G130"/>
    <mergeCell ref="K130:L130"/>
    <mergeCell ref="M130:N130"/>
    <mergeCell ref="A131:G131"/>
    <mergeCell ref="I120:J120"/>
    <mergeCell ref="I121:J121"/>
    <mergeCell ref="K122:L122"/>
    <mergeCell ref="M122:N122"/>
    <mergeCell ref="K143:L143"/>
    <mergeCell ref="M143:N143"/>
    <mergeCell ref="K137:L137"/>
    <mergeCell ref="M137:N137"/>
    <mergeCell ref="K139:L139"/>
    <mergeCell ref="M139:N139"/>
    <mergeCell ref="I198:J198"/>
    <mergeCell ref="A204:G204"/>
    <mergeCell ref="A205:G205"/>
    <mergeCell ref="A206:G206"/>
    <mergeCell ref="A207:G207"/>
    <mergeCell ref="A201:N201"/>
    <mergeCell ref="A202:G202"/>
    <mergeCell ref="I202:J202"/>
    <mergeCell ref="M202:N202"/>
    <mergeCell ref="A203:G203"/>
    <mergeCell ref="M203:N203"/>
    <mergeCell ref="M204:N204"/>
    <mergeCell ref="I203:J203"/>
    <mergeCell ref="I204:J204"/>
    <mergeCell ref="A132:G132"/>
    <mergeCell ref="I132:J132"/>
    <mergeCell ref="K132:L132"/>
    <mergeCell ref="M132:N132"/>
    <mergeCell ref="I133:J133"/>
    <mergeCell ref="K133:L133"/>
    <mergeCell ref="M133:N133"/>
    <mergeCell ref="A133:G133"/>
    <mergeCell ref="A135:G135"/>
    <mergeCell ref="I135:J135"/>
    <mergeCell ref="K135:L135"/>
    <mergeCell ref="M135:N135"/>
    <mergeCell ref="A136:G136"/>
    <mergeCell ref="A137:G137"/>
    <mergeCell ref="K136:L136"/>
    <mergeCell ref="M136:N136"/>
    <mergeCell ref="I136:J136"/>
    <mergeCell ref="I137:J137"/>
    <mergeCell ref="K220:L220"/>
    <mergeCell ref="M220:N220"/>
    <mergeCell ref="I193:J193"/>
    <mergeCell ref="I194:J194"/>
    <mergeCell ref="K194:L194"/>
    <mergeCell ref="M194:N194"/>
    <mergeCell ref="K190:L190"/>
    <mergeCell ref="M190:N190"/>
    <mergeCell ref="A192:N192"/>
    <mergeCell ref="A193:G193"/>
    <mergeCell ref="K193:L193"/>
    <mergeCell ref="M193:N193"/>
    <mergeCell ref="A194:G194"/>
    <mergeCell ref="A221:G221"/>
    <mergeCell ref="A222:G222"/>
    <mergeCell ref="A195:G195"/>
    <mergeCell ref="I195:J195"/>
    <mergeCell ref="K195:L195"/>
    <mergeCell ref="M195:N195"/>
    <mergeCell ref="I196:J196"/>
    <mergeCell ref="K196:L196"/>
    <mergeCell ref="M196:N196"/>
    <mergeCell ref="K198:L198"/>
    <mergeCell ref="M198:N198"/>
    <mergeCell ref="K199:L199"/>
    <mergeCell ref="M199:N199"/>
    <mergeCell ref="A196:G196"/>
    <mergeCell ref="A197:G197"/>
    <mergeCell ref="I197:J197"/>
    <mergeCell ref="K197:L197"/>
    <mergeCell ref="M197:N197"/>
    <mergeCell ref="A198:G198"/>
    <mergeCell ref="M222:N222"/>
    <mergeCell ref="K223:L223"/>
    <mergeCell ref="M223:N223"/>
    <mergeCell ref="K227:L227"/>
    <mergeCell ref="M227:N227"/>
    <mergeCell ref="K237:L237"/>
    <mergeCell ref="M237:N237"/>
    <mergeCell ref="A234:N234"/>
    <mergeCell ref="A235:G235"/>
    <mergeCell ref="I235:J235"/>
    <mergeCell ref="K235:L235"/>
    <mergeCell ref="M235:N235"/>
    <mergeCell ref="A236:G236"/>
    <mergeCell ref="A237:G237"/>
    <mergeCell ref="M176:N176"/>
    <mergeCell ref="I176:J176"/>
    <mergeCell ref="I177:J177"/>
    <mergeCell ref="K177:L177"/>
    <mergeCell ref="M177:N177"/>
    <mergeCell ref="I178:J178"/>
    <mergeCell ref="K178:L178"/>
    <mergeCell ref="M178:N178"/>
    <mergeCell ref="A218:G218"/>
    <mergeCell ref="I218:J218"/>
    <mergeCell ref="K218:L218"/>
    <mergeCell ref="M218:N218"/>
    <mergeCell ref="I219:J219"/>
    <mergeCell ref="K219:L219"/>
    <mergeCell ref="M219:N219"/>
    <mergeCell ref="A219:G219"/>
    <mergeCell ref="A220:G220"/>
    <mergeCell ref="I220:J220"/>
    <mergeCell ref="A231:G231"/>
    <mergeCell ref="I231:J231"/>
    <mergeCell ref="K231:L231"/>
    <mergeCell ref="M231:N231"/>
    <mergeCell ref="K232:L232"/>
    <mergeCell ref="M232:N232"/>
    <mergeCell ref="K236:L236"/>
    <mergeCell ref="M236:N236"/>
    <mergeCell ref="A239:G239"/>
    <mergeCell ref="I205:J205"/>
    <mergeCell ref="M205:N205"/>
    <mergeCell ref="I206:J206"/>
    <mergeCell ref="M206:N206"/>
    <mergeCell ref="I207:J207"/>
    <mergeCell ref="K216:L216"/>
    <mergeCell ref="M216:N216"/>
    <mergeCell ref="I216:J216"/>
    <mergeCell ref="I217:J217"/>
    <mergeCell ref="K217:L217"/>
    <mergeCell ref="M217:N217"/>
    <mergeCell ref="M207:N207"/>
    <mergeCell ref="K208:L208"/>
    <mergeCell ref="M208:N208"/>
    <mergeCell ref="A210:N211"/>
    <mergeCell ref="A215:N215"/>
    <mergeCell ref="A216:G216"/>
    <mergeCell ref="A217:G217"/>
    <mergeCell ref="K221:L221"/>
    <mergeCell ref="M221:N221"/>
    <mergeCell ref="I221:J221"/>
    <mergeCell ref="I222:J222"/>
    <mergeCell ref="K222:L222"/>
    <mergeCell ref="I227:J227"/>
    <mergeCell ref="I228:J228"/>
    <mergeCell ref="K228:L228"/>
    <mergeCell ref="M228:N228"/>
    <mergeCell ref="A225:N225"/>
    <mergeCell ref="A226:G226"/>
    <mergeCell ref="I226:J226"/>
    <mergeCell ref="K226:L226"/>
    <mergeCell ref="M226:N226"/>
    <mergeCell ref="A227:G227"/>
    <mergeCell ref="A228:G228"/>
    <mergeCell ref="A229:G229"/>
    <mergeCell ref="I229:J229"/>
    <mergeCell ref="K229:L229"/>
    <mergeCell ref="M229:N229"/>
    <mergeCell ref="I230:J230"/>
    <mergeCell ref="K230:L230"/>
    <mergeCell ref="M230:N230"/>
    <mergeCell ref="A230:G230"/>
    <mergeCell ref="I259:J259"/>
    <mergeCell ref="K259:L259"/>
    <mergeCell ref="M259:N259"/>
    <mergeCell ref="M249:N249"/>
    <mergeCell ref="K250:L250"/>
    <mergeCell ref="M250:N250"/>
    <mergeCell ref="A252:N253"/>
    <mergeCell ref="A257:N257"/>
    <mergeCell ref="A258:G258"/>
    <mergeCell ref="A259:G259"/>
    <mergeCell ref="I239:J239"/>
    <mergeCell ref="K239:L239"/>
    <mergeCell ref="I236:J236"/>
    <mergeCell ref="I237:J237"/>
    <mergeCell ref="A238:G238"/>
    <mergeCell ref="I238:J238"/>
    <mergeCell ref="K238:L238"/>
    <mergeCell ref="M238:N238"/>
    <mergeCell ref="M239:N239"/>
    <mergeCell ref="A269:G269"/>
    <mergeCell ref="A279:G279"/>
    <mergeCell ref="I279:J279"/>
    <mergeCell ref="K279:L279"/>
    <mergeCell ref="M279:N279"/>
    <mergeCell ref="A240:G240"/>
    <mergeCell ref="I240:J240"/>
    <mergeCell ref="K240:L240"/>
    <mergeCell ref="M240:N240"/>
    <mergeCell ref="K241:L241"/>
    <mergeCell ref="M241:N241"/>
    <mergeCell ref="A246:G246"/>
    <mergeCell ref="A247:G247"/>
    <mergeCell ref="A248:G248"/>
    <mergeCell ref="A249:G249"/>
    <mergeCell ref="A243:N243"/>
    <mergeCell ref="A244:G244"/>
    <mergeCell ref="I244:J244"/>
    <mergeCell ref="M244:N244"/>
    <mergeCell ref="A245:G245"/>
    <mergeCell ref="M245:N245"/>
    <mergeCell ref="M246:N246"/>
    <mergeCell ref="I245:J245"/>
    <mergeCell ref="I246:J246"/>
    <mergeCell ref="I247:J247"/>
    <mergeCell ref="M247:N247"/>
    <mergeCell ref="I248:J248"/>
    <mergeCell ref="M248:N248"/>
    <mergeCell ref="I249:J249"/>
    <mergeCell ref="K258:L258"/>
    <mergeCell ref="M258:N258"/>
    <mergeCell ref="I258:J258"/>
    <mergeCell ref="A277:G277"/>
    <mergeCell ref="A278:G278"/>
    <mergeCell ref="A260:G260"/>
    <mergeCell ref="I260:J260"/>
    <mergeCell ref="K260:L260"/>
    <mergeCell ref="M260:N260"/>
    <mergeCell ref="I261:J261"/>
    <mergeCell ref="K261:L261"/>
    <mergeCell ref="M261:N261"/>
    <mergeCell ref="K263:L263"/>
    <mergeCell ref="M263:N263"/>
    <mergeCell ref="K264:L264"/>
    <mergeCell ref="M264:N264"/>
    <mergeCell ref="A261:G261"/>
    <mergeCell ref="A262:G262"/>
    <mergeCell ref="I262:J262"/>
    <mergeCell ref="K262:L262"/>
    <mergeCell ref="M262:N262"/>
    <mergeCell ref="A263:G263"/>
    <mergeCell ref="I263:J263"/>
    <mergeCell ref="K268:L268"/>
    <mergeCell ref="M268:N268"/>
    <mergeCell ref="I268:J268"/>
    <mergeCell ref="I269:J269"/>
    <mergeCell ref="K269:L269"/>
    <mergeCell ref="M269:N269"/>
    <mergeCell ref="A266:N266"/>
    <mergeCell ref="A267:G267"/>
    <mergeCell ref="I267:J267"/>
    <mergeCell ref="K267:L267"/>
    <mergeCell ref="M267:N267"/>
    <mergeCell ref="A268:G268"/>
    <mergeCell ref="A288:G288"/>
    <mergeCell ref="I288:J288"/>
    <mergeCell ref="M288:N288"/>
    <mergeCell ref="A289:G289"/>
    <mergeCell ref="M289:N289"/>
    <mergeCell ref="M290:N290"/>
    <mergeCell ref="I299:J299"/>
    <mergeCell ref="A270:G270"/>
    <mergeCell ref="I270:J270"/>
    <mergeCell ref="K270:L270"/>
    <mergeCell ref="M270:N270"/>
    <mergeCell ref="I271:J271"/>
    <mergeCell ref="K271:L271"/>
    <mergeCell ref="M271:N271"/>
    <mergeCell ref="A271:G271"/>
    <mergeCell ref="A272:G272"/>
    <mergeCell ref="I272:J272"/>
    <mergeCell ref="K272:L272"/>
    <mergeCell ref="M272:N272"/>
    <mergeCell ref="K273:L273"/>
    <mergeCell ref="M273:N273"/>
    <mergeCell ref="K277:L277"/>
    <mergeCell ref="M277:N277"/>
    <mergeCell ref="I277:J277"/>
    <mergeCell ref="I278:J278"/>
    <mergeCell ref="K278:L278"/>
    <mergeCell ref="M278:N278"/>
    <mergeCell ref="A275:N275"/>
    <mergeCell ref="A276:G276"/>
    <mergeCell ref="I276:J276"/>
    <mergeCell ref="K276:L276"/>
    <mergeCell ref="M276:N276"/>
    <mergeCell ref="I280:J280"/>
    <mergeCell ref="K280:L280"/>
    <mergeCell ref="M280:N280"/>
    <mergeCell ref="A280:G280"/>
    <mergeCell ref="A281:G281"/>
    <mergeCell ref="I281:J281"/>
    <mergeCell ref="K281:L281"/>
    <mergeCell ref="M281:N281"/>
    <mergeCell ref="K282:L282"/>
    <mergeCell ref="M282:N282"/>
    <mergeCell ref="I286:J286"/>
    <mergeCell ref="I287:J287"/>
    <mergeCell ref="A284:N284"/>
    <mergeCell ref="A285:G285"/>
    <mergeCell ref="I285:J285"/>
    <mergeCell ref="M285:N285"/>
    <mergeCell ref="A286:G286"/>
    <mergeCell ref="M286:N286"/>
    <mergeCell ref="M287:N287"/>
    <mergeCell ref="A287:G287"/>
    <mergeCell ref="A319:G319"/>
    <mergeCell ref="A320:G320"/>
    <mergeCell ref="I320:J320"/>
    <mergeCell ref="K320:L320"/>
    <mergeCell ref="M320:N320"/>
    <mergeCell ref="I321:J321"/>
    <mergeCell ref="K321:L321"/>
    <mergeCell ref="M321:N321"/>
    <mergeCell ref="A321:G321"/>
    <mergeCell ref="M314:N314"/>
    <mergeCell ref="K318:L318"/>
    <mergeCell ref="M318:N318"/>
    <mergeCell ref="K309:L309"/>
    <mergeCell ref="M309:N309"/>
    <mergeCell ref="I309:J309"/>
    <mergeCell ref="I310:J310"/>
    <mergeCell ref="K310:L310"/>
    <mergeCell ref="M310:N310"/>
    <mergeCell ref="I318:J318"/>
    <mergeCell ref="I319:J319"/>
    <mergeCell ref="K319:L319"/>
    <mergeCell ref="M319:N319"/>
    <mergeCell ref="A316:N316"/>
    <mergeCell ref="A317:G317"/>
    <mergeCell ref="I317:J317"/>
    <mergeCell ref="K317:L317"/>
    <mergeCell ref="M317:N317"/>
    <mergeCell ref="A318:G318"/>
    <mergeCell ref="M312:N312"/>
    <mergeCell ref="A312:G312"/>
    <mergeCell ref="A313:G313"/>
    <mergeCell ref="I313:J313"/>
    <mergeCell ref="K313:L313"/>
    <mergeCell ref="M313:N313"/>
    <mergeCell ref="K314:L314"/>
    <mergeCell ref="I300:J300"/>
    <mergeCell ref="K300:L300"/>
    <mergeCell ref="M300:N300"/>
    <mergeCell ref="A290:G290"/>
    <mergeCell ref="A293:N294"/>
    <mergeCell ref="A298:N298"/>
    <mergeCell ref="A299:G299"/>
    <mergeCell ref="K299:L299"/>
    <mergeCell ref="M299:N299"/>
    <mergeCell ref="A300:G300"/>
    <mergeCell ref="A307:N307"/>
    <mergeCell ref="A308:G308"/>
    <mergeCell ref="I308:J308"/>
    <mergeCell ref="K308:L308"/>
    <mergeCell ref="I303:J303"/>
    <mergeCell ref="K303:L303"/>
    <mergeCell ref="M303:N303"/>
    <mergeCell ref="A304:G304"/>
    <mergeCell ref="I304:J304"/>
    <mergeCell ref="A322:G322"/>
    <mergeCell ref="I322:J322"/>
    <mergeCell ref="K322:L322"/>
    <mergeCell ref="M322:N322"/>
    <mergeCell ref="K323:L323"/>
    <mergeCell ref="M323:N323"/>
    <mergeCell ref="I289:J289"/>
    <mergeCell ref="I290:J290"/>
    <mergeCell ref="K291:L291"/>
    <mergeCell ref="M291:N291"/>
    <mergeCell ref="A301:G301"/>
    <mergeCell ref="I301:J301"/>
    <mergeCell ref="K301:L301"/>
    <mergeCell ref="M301:N301"/>
    <mergeCell ref="I302:J302"/>
    <mergeCell ref="K302:L302"/>
    <mergeCell ref="M302:N302"/>
    <mergeCell ref="K304:L304"/>
    <mergeCell ref="M304:N304"/>
    <mergeCell ref="K305:L305"/>
    <mergeCell ref="M305:N305"/>
    <mergeCell ref="A302:G302"/>
    <mergeCell ref="M308:N308"/>
    <mergeCell ref="A309:G309"/>
    <mergeCell ref="A310:G310"/>
    <mergeCell ref="A311:G311"/>
    <mergeCell ref="I311:J311"/>
    <mergeCell ref="K311:L311"/>
    <mergeCell ref="M311:N311"/>
    <mergeCell ref="A303:G303"/>
    <mergeCell ref="I312:J312"/>
    <mergeCell ref="K312:L312"/>
    <mergeCell ref="A347:G347"/>
    <mergeCell ref="A348:G348"/>
    <mergeCell ref="A340:G340"/>
    <mergeCell ref="A341:G341"/>
    <mergeCell ref="A342:G342"/>
    <mergeCell ref="A343:G343"/>
    <mergeCell ref="A344:G344"/>
    <mergeCell ref="A345:G345"/>
    <mergeCell ref="A346:G346"/>
    <mergeCell ref="K347:L347"/>
    <mergeCell ref="M347:N347"/>
    <mergeCell ref="I345:J345"/>
    <mergeCell ref="K345:L345"/>
    <mergeCell ref="M345:N345"/>
    <mergeCell ref="I346:J346"/>
    <mergeCell ref="K346:L346"/>
    <mergeCell ref="M346:N346"/>
    <mergeCell ref="I347:J347"/>
    <mergeCell ref="I340:J340"/>
    <mergeCell ref="K340:L340"/>
    <mergeCell ref="I341:J341"/>
    <mergeCell ref="K341:L341"/>
    <mergeCell ref="M341:N341"/>
    <mergeCell ref="K342:L342"/>
    <mergeCell ref="M342:N342"/>
    <mergeCell ref="I342:J342"/>
    <mergeCell ref="I343:J343"/>
    <mergeCell ref="K343:L343"/>
    <mergeCell ref="M343:N343"/>
    <mergeCell ref="I344:J344"/>
    <mergeCell ref="K344:L344"/>
    <mergeCell ref="M344:N344"/>
    <mergeCell ref="A325:N325"/>
    <mergeCell ref="A326:G326"/>
    <mergeCell ref="I326:J326"/>
    <mergeCell ref="M326:N326"/>
    <mergeCell ref="A327:G327"/>
    <mergeCell ref="M327:N327"/>
    <mergeCell ref="M328:N328"/>
    <mergeCell ref="A328:G328"/>
    <mergeCell ref="A329:G329"/>
    <mergeCell ref="A330:G330"/>
    <mergeCell ref="A331:G331"/>
    <mergeCell ref="A334:N335"/>
    <mergeCell ref="A339:N339"/>
    <mergeCell ref="M340:N340"/>
    <mergeCell ref="M331:N331"/>
    <mergeCell ref="K332:L332"/>
    <mergeCell ref="M332:N332"/>
    <mergeCell ref="I327:J327"/>
    <mergeCell ref="I328:J328"/>
    <mergeCell ref="I329:J329"/>
    <mergeCell ref="M329:N329"/>
    <mergeCell ref="I330:J330"/>
    <mergeCell ref="M330:N330"/>
    <mergeCell ref="I331:J331"/>
    <mergeCell ref="I370:J370"/>
    <mergeCell ref="I371:J371"/>
    <mergeCell ref="I366:J366"/>
    <mergeCell ref="K366:L366"/>
    <mergeCell ref="M366:N366"/>
    <mergeCell ref="A369:N369"/>
    <mergeCell ref="A370:G370"/>
    <mergeCell ref="M370:N370"/>
    <mergeCell ref="M371:N371"/>
    <mergeCell ref="I373:J373"/>
    <mergeCell ref="I374:J374"/>
    <mergeCell ref="A371:G371"/>
    <mergeCell ref="A372:G372"/>
    <mergeCell ref="I372:J372"/>
    <mergeCell ref="M372:N372"/>
    <mergeCell ref="A373:G373"/>
    <mergeCell ref="M373:N373"/>
    <mergeCell ref="M374:N374"/>
    <mergeCell ref="A374:G374"/>
    <mergeCell ref="M357:N357"/>
    <mergeCell ref="K358:L358"/>
    <mergeCell ref="M358:N358"/>
    <mergeCell ref="A360:N360"/>
    <mergeCell ref="M361:N361"/>
    <mergeCell ref="I361:J361"/>
    <mergeCell ref="K361:L361"/>
    <mergeCell ref="I362:J362"/>
    <mergeCell ref="K362:L362"/>
    <mergeCell ref="M362:N362"/>
    <mergeCell ref="K363:L363"/>
    <mergeCell ref="M363:N363"/>
    <mergeCell ref="K367:L367"/>
    <mergeCell ref="M367:N367"/>
    <mergeCell ref="I363:J363"/>
    <mergeCell ref="I364:J364"/>
    <mergeCell ref="K364:L364"/>
    <mergeCell ref="M364:N364"/>
    <mergeCell ref="I365:J365"/>
    <mergeCell ref="K365:L365"/>
    <mergeCell ref="M365:N365"/>
    <mergeCell ref="I348:J348"/>
    <mergeCell ref="K348:L348"/>
    <mergeCell ref="M348:N348"/>
    <mergeCell ref="K349:L349"/>
    <mergeCell ref="M349:N349"/>
    <mergeCell ref="A351:N351"/>
    <mergeCell ref="M352:N352"/>
    <mergeCell ref="I352:J352"/>
    <mergeCell ref="K352:L352"/>
    <mergeCell ref="I353:J353"/>
    <mergeCell ref="K353:L353"/>
    <mergeCell ref="M353:N353"/>
    <mergeCell ref="K354:L354"/>
    <mergeCell ref="M354:N354"/>
    <mergeCell ref="I354:J354"/>
    <mergeCell ref="I355:J355"/>
    <mergeCell ref="K355:L355"/>
    <mergeCell ref="M355:N355"/>
    <mergeCell ref="K438:L438"/>
    <mergeCell ref="M438:N438"/>
    <mergeCell ref="I439:J439"/>
    <mergeCell ref="K439:L439"/>
    <mergeCell ref="M439:N439"/>
    <mergeCell ref="A439:G439"/>
    <mergeCell ref="A440:G440"/>
    <mergeCell ref="I440:J440"/>
    <mergeCell ref="K440:L440"/>
    <mergeCell ref="M440:N440"/>
    <mergeCell ref="K441:L441"/>
    <mergeCell ref="M441:N441"/>
    <mergeCell ref="K445:L445"/>
    <mergeCell ref="M445:N445"/>
    <mergeCell ref="I445:J445"/>
    <mergeCell ref="A352:G352"/>
    <mergeCell ref="A353:G353"/>
    <mergeCell ref="A354:G354"/>
    <mergeCell ref="A355:G355"/>
    <mergeCell ref="A356:G356"/>
    <mergeCell ref="A357:G357"/>
    <mergeCell ref="I356:J356"/>
    <mergeCell ref="K356:L356"/>
    <mergeCell ref="M356:N356"/>
    <mergeCell ref="A361:G361"/>
    <mergeCell ref="A362:G362"/>
    <mergeCell ref="A363:G363"/>
    <mergeCell ref="A364:G364"/>
    <mergeCell ref="A365:G365"/>
    <mergeCell ref="A366:G366"/>
    <mergeCell ref="I357:J357"/>
    <mergeCell ref="K357:L357"/>
    <mergeCell ref="I604:J604"/>
    <mergeCell ref="I605:J605"/>
    <mergeCell ref="A606:G606"/>
    <mergeCell ref="I606:J606"/>
    <mergeCell ref="K606:L606"/>
    <mergeCell ref="M606:N606"/>
    <mergeCell ref="M607:N607"/>
    <mergeCell ref="A595:G595"/>
    <mergeCell ref="I595:J595"/>
    <mergeCell ref="K595:L595"/>
    <mergeCell ref="M595:N595"/>
    <mergeCell ref="I596:J596"/>
    <mergeCell ref="K596:L596"/>
    <mergeCell ref="M596:N596"/>
    <mergeCell ref="K598:L598"/>
    <mergeCell ref="M598:N598"/>
    <mergeCell ref="I598:J598"/>
    <mergeCell ref="I599:J599"/>
    <mergeCell ref="K599:L599"/>
    <mergeCell ref="M599:N599"/>
    <mergeCell ref="K600:L600"/>
    <mergeCell ref="M600:N600"/>
    <mergeCell ref="A596:G596"/>
    <mergeCell ref="A597:G597"/>
    <mergeCell ref="I597:J597"/>
    <mergeCell ref="K597:L597"/>
    <mergeCell ref="M597:N597"/>
    <mergeCell ref="A598:G598"/>
    <mergeCell ref="A599:G599"/>
    <mergeCell ref="K604:L604"/>
    <mergeCell ref="M604:N604"/>
    <mergeCell ref="A607:G607"/>
    <mergeCell ref="A615:G615"/>
    <mergeCell ref="I615:J615"/>
    <mergeCell ref="K615:L615"/>
    <mergeCell ref="M615:N615"/>
    <mergeCell ref="I616:J616"/>
    <mergeCell ref="K616:L616"/>
    <mergeCell ref="M616:N616"/>
    <mergeCell ref="A616:G616"/>
    <mergeCell ref="A617:G617"/>
    <mergeCell ref="I617:J617"/>
    <mergeCell ref="K617:L617"/>
    <mergeCell ref="M617:N617"/>
    <mergeCell ref="K618:L618"/>
    <mergeCell ref="M618:N618"/>
    <mergeCell ref="A623:G623"/>
    <mergeCell ref="A375:G375"/>
    <mergeCell ref="I375:J375"/>
    <mergeCell ref="M375:N375"/>
    <mergeCell ref="K376:L376"/>
    <mergeCell ref="M376:N376"/>
    <mergeCell ref="A378:N379"/>
    <mergeCell ref="K605:L605"/>
    <mergeCell ref="M605:N605"/>
    <mergeCell ref="A602:N602"/>
    <mergeCell ref="A603:G603"/>
    <mergeCell ref="I603:J603"/>
    <mergeCell ref="K603:L603"/>
    <mergeCell ref="M603:N603"/>
    <mergeCell ref="A604:G604"/>
    <mergeCell ref="A605:G605"/>
    <mergeCell ref="I607:J607"/>
    <mergeCell ref="K607:L607"/>
    <mergeCell ref="I654:J654"/>
    <mergeCell ref="K654:L654"/>
    <mergeCell ref="M654:N654"/>
    <mergeCell ref="A657:G657"/>
    <mergeCell ref="A608:G608"/>
    <mergeCell ref="I608:J608"/>
    <mergeCell ref="K608:L608"/>
    <mergeCell ref="M608:N608"/>
    <mergeCell ref="K609:L609"/>
    <mergeCell ref="M609:N609"/>
    <mergeCell ref="I622:J622"/>
    <mergeCell ref="I623:J623"/>
    <mergeCell ref="A620:N620"/>
    <mergeCell ref="A621:G621"/>
    <mergeCell ref="I621:J621"/>
    <mergeCell ref="M621:N621"/>
    <mergeCell ref="A622:G622"/>
    <mergeCell ref="M622:N622"/>
    <mergeCell ref="M623:N623"/>
    <mergeCell ref="K613:L613"/>
    <mergeCell ref="M613:N613"/>
    <mergeCell ref="I613:J613"/>
    <mergeCell ref="I614:J614"/>
    <mergeCell ref="K614:L614"/>
    <mergeCell ref="M614:N614"/>
    <mergeCell ref="A611:N611"/>
    <mergeCell ref="A612:G612"/>
    <mergeCell ref="I612:J612"/>
    <mergeCell ref="K612:L612"/>
    <mergeCell ref="M612:N612"/>
    <mergeCell ref="A613:G613"/>
    <mergeCell ref="A614:G614"/>
    <mergeCell ref="K656:L656"/>
    <mergeCell ref="M656:N656"/>
    <mergeCell ref="A655:G655"/>
    <mergeCell ref="A656:G656"/>
    <mergeCell ref="A667:G667"/>
    <mergeCell ref="A668:G668"/>
    <mergeCell ref="A647:G647"/>
    <mergeCell ref="I647:J647"/>
    <mergeCell ref="K647:L647"/>
    <mergeCell ref="M647:N647"/>
    <mergeCell ref="I648:J648"/>
    <mergeCell ref="K648:L648"/>
    <mergeCell ref="M648:N648"/>
    <mergeCell ref="K650:L650"/>
    <mergeCell ref="M650:N650"/>
    <mergeCell ref="K651:L651"/>
    <mergeCell ref="M651:N651"/>
    <mergeCell ref="A648:G648"/>
    <mergeCell ref="A649:G649"/>
    <mergeCell ref="I649:J649"/>
    <mergeCell ref="K649:L649"/>
    <mergeCell ref="M649:N649"/>
    <mergeCell ref="A650:G650"/>
    <mergeCell ref="I650:J650"/>
    <mergeCell ref="A659:G659"/>
    <mergeCell ref="I659:J659"/>
    <mergeCell ref="K659:L659"/>
    <mergeCell ref="M659:N659"/>
    <mergeCell ref="K660:L660"/>
    <mergeCell ref="M660:N660"/>
    <mergeCell ref="A653:N653"/>
    <mergeCell ref="A654:G654"/>
    <mergeCell ref="M680:N680"/>
    <mergeCell ref="I681:J681"/>
    <mergeCell ref="K681:L681"/>
    <mergeCell ref="M681:N681"/>
    <mergeCell ref="A677:G677"/>
    <mergeCell ref="A678:G678"/>
    <mergeCell ref="A679:G679"/>
    <mergeCell ref="A680:G680"/>
    <mergeCell ref="A681:G681"/>
    <mergeCell ref="K655:L655"/>
    <mergeCell ref="M655:N655"/>
    <mergeCell ref="M668:N668"/>
    <mergeCell ref="K669:L669"/>
    <mergeCell ref="M669:N669"/>
    <mergeCell ref="I664:J664"/>
    <mergeCell ref="I665:J665"/>
    <mergeCell ref="I666:J666"/>
    <mergeCell ref="M666:N666"/>
    <mergeCell ref="I667:J667"/>
    <mergeCell ref="M667:N667"/>
    <mergeCell ref="I668:J668"/>
    <mergeCell ref="A662:N662"/>
    <mergeCell ref="A663:G663"/>
    <mergeCell ref="I663:J663"/>
    <mergeCell ref="M663:N663"/>
    <mergeCell ref="A664:G664"/>
    <mergeCell ref="M664:N664"/>
    <mergeCell ref="M665:N665"/>
    <mergeCell ref="A665:G665"/>
    <mergeCell ref="A666:G666"/>
    <mergeCell ref="I655:J655"/>
    <mergeCell ref="I656:J656"/>
    <mergeCell ref="M698:N698"/>
    <mergeCell ref="I699:J699"/>
    <mergeCell ref="K699:L699"/>
    <mergeCell ref="M699:N699"/>
    <mergeCell ref="I657:J657"/>
    <mergeCell ref="K657:L657"/>
    <mergeCell ref="M657:N657"/>
    <mergeCell ref="I658:J658"/>
    <mergeCell ref="K658:L658"/>
    <mergeCell ref="M658:N658"/>
    <mergeCell ref="A658:G658"/>
    <mergeCell ref="M690:N690"/>
    <mergeCell ref="I690:J690"/>
    <mergeCell ref="I691:J691"/>
    <mergeCell ref="K691:L691"/>
    <mergeCell ref="M691:N691"/>
    <mergeCell ref="I692:J692"/>
    <mergeCell ref="K692:L692"/>
    <mergeCell ref="M692:N692"/>
    <mergeCell ref="A671:N672"/>
    <mergeCell ref="A676:N676"/>
    <mergeCell ref="M677:N677"/>
    <mergeCell ref="I677:J677"/>
    <mergeCell ref="K677:L677"/>
    <mergeCell ref="I678:J678"/>
    <mergeCell ref="K678:L678"/>
    <mergeCell ref="M678:N678"/>
    <mergeCell ref="K679:L679"/>
    <mergeCell ref="M679:N679"/>
    <mergeCell ref="I679:J679"/>
    <mergeCell ref="I680:J680"/>
    <mergeCell ref="K680:L680"/>
    <mergeCell ref="M682:N682"/>
    <mergeCell ref="I683:J683"/>
    <mergeCell ref="K683:L683"/>
    <mergeCell ref="M683:N683"/>
    <mergeCell ref="K684:L684"/>
    <mergeCell ref="A688:G688"/>
    <mergeCell ref="A689:G689"/>
    <mergeCell ref="A690:G690"/>
    <mergeCell ref="A691:G691"/>
    <mergeCell ref="A692:G692"/>
    <mergeCell ref="M684:N684"/>
    <mergeCell ref="A686:N686"/>
    <mergeCell ref="A687:G687"/>
    <mergeCell ref="I687:J687"/>
    <mergeCell ref="K687:L687"/>
    <mergeCell ref="M687:N687"/>
    <mergeCell ref="M688:N688"/>
    <mergeCell ref="I688:J688"/>
    <mergeCell ref="K688:L688"/>
    <mergeCell ref="I689:J689"/>
    <mergeCell ref="K689:L689"/>
    <mergeCell ref="M689:N689"/>
    <mergeCell ref="K690:L690"/>
    <mergeCell ref="A699:G699"/>
    <mergeCell ref="A700:G700"/>
    <mergeCell ref="I700:J700"/>
    <mergeCell ref="K700:L700"/>
    <mergeCell ref="M700:N700"/>
    <mergeCell ref="I708:J708"/>
    <mergeCell ref="M708:N708"/>
    <mergeCell ref="I709:J709"/>
    <mergeCell ref="M709:N709"/>
    <mergeCell ref="K432:L432"/>
    <mergeCell ref="M432:N432"/>
    <mergeCell ref="K436:L436"/>
    <mergeCell ref="M436:N436"/>
    <mergeCell ref="I436:J436"/>
    <mergeCell ref="I437:J437"/>
    <mergeCell ref="K437:L437"/>
    <mergeCell ref="M437:N437"/>
    <mergeCell ref="A434:N434"/>
    <mergeCell ref="A435:G435"/>
    <mergeCell ref="I435:J435"/>
    <mergeCell ref="K435:L435"/>
    <mergeCell ref="M435:N435"/>
    <mergeCell ref="A436:G436"/>
    <mergeCell ref="A437:G437"/>
    <mergeCell ref="A438:G438"/>
    <mergeCell ref="I438:J438"/>
    <mergeCell ref="I696:J696"/>
    <mergeCell ref="I697:J697"/>
    <mergeCell ref="A682:G682"/>
    <mergeCell ref="A683:G683"/>
    <mergeCell ref="I682:J682"/>
    <mergeCell ref="K682:L682"/>
    <mergeCell ref="A718:N718"/>
    <mergeCell ref="A719:G719"/>
    <mergeCell ref="A701:G701"/>
    <mergeCell ref="I701:J701"/>
    <mergeCell ref="A707:G707"/>
    <mergeCell ref="A708:G708"/>
    <mergeCell ref="A709:G709"/>
    <mergeCell ref="A710:G710"/>
    <mergeCell ref="A704:N704"/>
    <mergeCell ref="A705:G705"/>
    <mergeCell ref="I705:J705"/>
    <mergeCell ref="M705:N705"/>
    <mergeCell ref="A706:G706"/>
    <mergeCell ref="M706:N706"/>
    <mergeCell ref="M707:N707"/>
    <mergeCell ref="I706:J706"/>
    <mergeCell ref="I707:J707"/>
    <mergeCell ref="K719:L719"/>
    <mergeCell ref="M719:N719"/>
    <mergeCell ref="M710:N710"/>
    <mergeCell ref="K711:L711"/>
    <mergeCell ref="M711:N711"/>
    <mergeCell ref="A713:N714"/>
    <mergeCell ref="K701:L701"/>
    <mergeCell ref="M701:N701"/>
    <mergeCell ref="K702:L702"/>
    <mergeCell ref="M702:N702"/>
    <mergeCell ref="I710:J710"/>
    <mergeCell ref="A427:G427"/>
    <mergeCell ref="I427:J427"/>
    <mergeCell ref="K427:L427"/>
    <mergeCell ref="M427:N427"/>
    <mergeCell ref="I428:J428"/>
    <mergeCell ref="K428:L428"/>
    <mergeCell ref="M428:N428"/>
    <mergeCell ref="K430:L430"/>
    <mergeCell ref="M430:N430"/>
    <mergeCell ref="I430:J430"/>
    <mergeCell ref="I431:J431"/>
    <mergeCell ref="K431:L431"/>
    <mergeCell ref="M431:N431"/>
    <mergeCell ref="A428:G428"/>
    <mergeCell ref="A429:G429"/>
    <mergeCell ref="I429:J429"/>
    <mergeCell ref="K429:L429"/>
    <mergeCell ref="M429:N429"/>
    <mergeCell ref="A430:G430"/>
    <mergeCell ref="A431:G431"/>
    <mergeCell ref="A721:G721"/>
    <mergeCell ref="I721:J721"/>
    <mergeCell ref="K721:L721"/>
    <mergeCell ref="M721:N721"/>
    <mergeCell ref="I722:J722"/>
    <mergeCell ref="K722:L722"/>
    <mergeCell ref="M722:N722"/>
    <mergeCell ref="A722:G722"/>
    <mergeCell ref="A723:G723"/>
    <mergeCell ref="I723:J723"/>
    <mergeCell ref="K723:L723"/>
    <mergeCell ref="M723:N723"/>
    <mergeCell ref="A724:G724"/>
    <mergeCell ref="I719:J719"/>
    <mergeCell ref="I720:J720"/>
    <mergeCell ref="K720:L720"/>
    <mergeCell ref="M720:N720"/>
    <mergeCell ref="A720:G720"/>
    <mergeCell ref="K724:L724"/>
    <mergeCell ref="M724:N724"/>
    <mergeCell ref="I724:J724"/>
    <mergeCell ref="K697:L697"/>
    <mergeCell ref="A448:G448"/>
    <mergeCell ref="A449:G449"/>
    <mergeCell ref="I449:J449"/>
    <mergeCell ref="K449:L449"/>
    <mergeCell ref="M449:N449"/>
    <mergeCell ref="K450:L450"/>
    <mergeCell ref="M450:N450"/>
    <mergeCell ref="A455:G455"/>
    <mergeCell ref="A456:G456"/>
    <mergeCell ref="A457:G457"/>
    <mergeCell ref="A458:G458"/>
    <mergeCell ref="A452:N452"/>
    <mergeCell ref="A453:G453"/>
    <mergeCell ref="I453:J453"/>
    <mergeCell ref="M453:N453"/>
    <mergeCell ref="A454:G454"/>
    <mergeCell ref="M454:N454"/>
    <mergeCell ref="M455:N455"/>
    <mergeCell ref="A468:G468"/>
    <mergeCell ref="I512:J512"/>
    <mergeCell ref="K512:L512"/>
    <mergeCell ref="M512:N512"/>
    <mergeCell ref="K477:L477"/>
    <mergeCell ref="M477:N477"/>
    <mergeCell ref="I477:J477"/>
    <mergeCell ref="I478:J478"/>
    <mergeCell ref="K478:L478"/>
    <mergeCell ref="M478:N478"/>
    <mergeCell ref="I472:J472"/>
    <mergeCell ref="I473:J473"/>
    <mergeCell ref="K474:L474"/>
    <mergeCell ref="I388:J388"/>
    <mergeCell ref="K388:L388"/>
    <mergeCell ref="M388:N388"/>
    <mergeCell ref="A388:G388"/>
    <mergeCell ref="A389:G389"/>
    <mergeCell ref="I389:J389"/>
    <mergeCell ref="K389:L389"/>
    <mergeCell ref="M389:N389"/>
    <mergeCell ref="K390:L390"/>
    <mergeCell ref="M390:N390"/>
    <mergeCell ref="K394:L394"/>
    <mergeCell ref="M394:N394"/>
    <mergeCell ref="K404:L404"/>
    <mergeCell ref="M404:N404"/>
    <mergeCell ref="A401:N401"/>
    <mergeCell ref="A402:G402"/>
    <mergeCell ref="I402:J402"/>
    <mergeCell ref="K402:L402"/>
    <mergeCell ref="M402:N402"/>
    <mergeCell ref="A403:G403"/>
    <mergeCell ref="A404:G404"/>
    <mergeCell ref="A392:N392"/>
    <mergeCell ref="A393:G393"/>
    <mergeCell ref="I393:J393"/>
    <mergeCell ref="K393:L393"/>
    <mergeCell ref="M393:N393"/>
    <mergeCell ref="A394:G394"/>
    <mergeCell ref="A395:G395"/>
    <mergeCell ref="A396:G396"/>
    <mergeCell ref="I396:J396"/>
    <mergeCell ref="K396:L396"/>
    <mergeCell ref="M396:N396"/>
    <mergeCell ref="K385:L385"/>
    <mergeCell ref="M385:N385"/>
    <mergeCell ref="I385:J385"/>
    <mergeCell ref="I386:J386"/>
    <mergeCell ref="K386:L386"/>
    <mergeCell ref="M386:N386"/>
    <mergeCell ref="A383:N383"/>
    <mergeCell ref="A384:G384"/>
    <mergeCell ref="I384:J384"/>
    <mergeCell ref="K384:L384"/>
    <mergeCell ref="M384:N384"/>
    <mergeCell ref="A385:G385"/>
    <mergeCell ref="A386:G386"/>
    <mergeCell ref="A387:G387"/>
    <mergeCell ref="I387:J387"/>
    <mergeCell ref="K387:L387"/>
    <mergeCell ref="M387:N387"/>
    <mergeCell ref="I397:J397"/>
    <mergeCell ref="K397:L397"/>
    <mergeCell ref="M397:N397"/>
    <mergeCell ref="A397:G397"/>
    <mergeCell ref="A398:G398"/>
    <mergeCell ref="I398:J398"/>
    <mergeCell ref="K398:L398"/>
    <mergeCell ref="M398:N398"/>
    <mergeCell ref="M416:N416"/>
    <mergeCell ref="K417:L417"/>
    <mergeCell ref="M417:N417"/>
    <mergeCell ref="A419:N420"/>
    <mergeCell ref="A424:N424"/>
    <mergeCell ref="A425:G425"/>
    <mergeCell ref="A426:G426"/>
    <mergeCell ref="I406:J406"/>
    <mergeCell ref="K406:L406"/>
    <mergeCell ref="I403:J403"/>
    <mergeCell ref="I404:J404"/>
    <mergeCell ref="A405:G405"/>
    <mergeCell ref="I405:J405"/>
    <mergeCell ref="K405:L405"/>
    <mergeCell ref="M405:N405"/>
    <mergeCell ref="M406:N406"/>
    <mergeCell ref="I415:J415"/>
    <mergeCell ref="M415:N415"/>
    <mergeCell ref="I416:J416"/>
    <mergeCell ref="K425:L425"/>
    <mergeCell ref="M425:N425"/>
    <mergeCell ref="I425:J425"/>
    <mergeCell ref="I426:J426"/>
    <mergeCell ref="K426:L426"/>
    <mergeCell ref="I394:J394"/>
    <mergeCell ref="I395:J395"/>
    <mergeCell ref="K395:L395"/>
    <mergeCell ref="M395:N395"/>
    <mergeCell ref="K399:L399"/>
    <mergeCell ref="M399:N399"/>
    <mergeCell ref="K403:L403"/>
    <mergeCell ref="M403:N403"/>
    <mergeCell ref="A406:G406"/>
    <mergeCell ref="K472:L472"/>
    <mergeCell ref="M472:N472"/>
    <mergeCell ref="A407:G407"/>
    <mergeCell ref="I407:J407"/>
    <mergeCell ref="K407:L407"/>
    <mergeCell ref="M407:N407"/>
    <mergeCell ref="K408:L408"/>
    <mergeCell ref="M408:N408"/>
    <mergeCell ref="A413:G413"/>
    <mergeCell ref="A414:G414"/>
    <mergeCell ref="A415:G415"/>
    <mergeCell ref="A416:G416"/>
    <mergeCell ref="A410:N410"/>
    <mergeCell ref="A411:G411"/>
    <mergeCell ref="I411:J411"/>
    <mergeCell ref="M411:N411"/>
    <mergeCell ref="A412:G412"/>
    <mergeCell ref="M412:N412"/>
    <mergeCell ref="M413:N413"/>
    <mergeCell ref="I412:J412"/>
    <mergeCell ref="I413:J413"/>
    <mergeCell ref="I414:J414"/>
    <mergeCell ref="M414:N414"/>
    <mergeCell ref="M426:N426"/>
    <mergeCell ref="I470:J470"/>
    <mergeCell ref="K470:L470"/>
    <mergeCell ref="M470:N470"/>
    <mergeCell ref="K473:L473"/>
    <mergeCell ref="M473:N473"/>
    <mergeCell ref="A470:G470"/>
    <mergeCell ref="A471:G471"/>
    <mergeCell ref="I471:J471"/>
    <mergeCell ref="K471:L471"/>
    <mergeCell ref="M471:N471"/>
    <mergeCell ref="A472:G472"/>
    <mergeCell ref="A473:G473"/>
    <mergeCell ref="I454:J454"/>
    <mergeCell ref="I455:J455"/>
    <mergeCell ref="I456:J456"/>
    <mergeCell ref="M456:N456"/>
    <mergeCell ref="I457:J457"/>
    <mergeCell ref="M457:N457"/>
    <mergeCell ref="I458:J458"/>
    <mergeCell ref="K467:L467"/>
    <mergeCell ref="M467:N467"/>
    <mergeCell ref="I467:J467"/>
    <mergeCell ref="I468:J468"/>
    <mergeCell ref="K468:L468"/>
    <mergeCell ref="M468:N468"/>
    <mergeCell ref="M458:N458"/>
    <mergeCell ref="K459:L459"/>
    <mergeCell ref="M459:N459"/>
    <mergeCell ref="A461:N462"/>
    <mergeCell ref="A466:N466"/>
    <mergeCell ref="A467:G467"/>
    <mergeCell ref="M474:N474"/>
    <mergeCell ref="A476:N476"/>
    <mergeCell ref="A477:G477"/>
    <mergeCell ref="A478:G478"/>
    <mergeCell ref="A479:G479"/>
    <mergeCell ref="I479:J479"/>
    <mergeCell ref="K479:L479"/>
    <mergeCell ref="M479:N479"/>
    <mergeCell ref="I480:J480"/>
    <mergeCell ref="K480:L480"/>
    <mergeCell ref="M480:N480"/>
    <mergeCell ref="K482:L482"/>
    <mergeCell ref="M482:N482"/>
    <mergeCell ref="K483:L483"/>
    <mergeCell ref="M483:N483"/>
    <mergeCell ref="A480:G480"/>
    <mergeCell ref="A481:G481"/>
    <mergeCell ref="I481:J481"/>
    <mergeCell ref="K481:L481"/>
    <mergeCell ref="M481:N481"/>
    <mergeCell ref="K509:L509"/>
    <mergeCell ref="I510:J510"/>
    <mergeCell ref="K510:L510"/>
    <mergeCell ref="M510:N510"/>
    <mergeCell ref="K511:L511"/>
    <mergeCell ref="M511:N511"/>
    <mergeCell ref="I446:J446"/>
    <mergeCell ref="K446:L446"/>
    <mergeCell ref="M446:N446"/>
    <mergeCell ref="A443:N443"/>
    <mergeCell ref="A444:G444"/>
    <mergeCell ref="I444:J444"/>
    <mergeCell ref="K444:L444"/>
    <mergeCell ref="M444:N444"/>
    <mergeCell ref="A445:G445"/>
    <mergeCell ref="A446:G446"/>
    <mergeCell ref="A447:G447"/>
    <mergeCell ref="I447:J447"/>
    <mergeCell ref="K447:L447"/>
    <mergeCell ref="M447:N447"/>
    <mergeCell ref="I448:J448"/>
    <mergeCell ref="K448:L448"/>
    <mergeCell ref="M448:N448"/>
    <mergeCell ref="I511:J511"/>
    <mergeCell ref="A482:G482"/>
    <mergeCell ref="I482:J482"/>
    <mergeCell ref="K487:L487"/>
    <mergeCell ref="M487:N487"/>
    <mergeCell ref="A469:G469"/>
    <mergeCell ref="I469:J469"/>
    <mergeCell ref="K469:L469"/>
    <mergeCell ref="M469:N469"/>
    <mergeCell ref="K492:L492"/>
    <mergeCell ref="M492:N492"/>
    <mergeCell ref="A509:G509"/>
    <mergeCell ref="A510:G510"/>
    <mergeCell ref="A511:G511"/>
    <mergeCell ref="A512:G512"/>
    <mergeCell ref="A513:G513"/>
    <mergeCell ref="M500:N500"/>
    <mergeCell ref="K501:L501"/>
    <mergeCell ref="M501:N501"/>
    <mergeCell ref="I496:J496"/>
    <mergeCell ref="I497:J497"/>
    <mergeCell ref="I498:J498"/>
    <mergeCell ref="M498:N498"/>
    <mergeCell ref="I499:J499"/>
    <mergeCell ref="M499:N499"/>
    <mergeCell ref="I500:J500"/>
    <mergeCell ref="A494:N494"/>
    <mergeCell ref="A495:G495"/>
    <mergeCell ref="I495:J495"/>
    <mergeCell ref="M495:N495"/>
    <mergeCell ref="A496:G496"/>
    <mergeCell ref="M496:N496"/>
    <mergeCell ref="M497:N497"/>
    <mergeCell ref="A497:G497"/>
    <mergeCell ref="A498:G498"/>
    <mergeCell ref="A499:G499"/>
    <mergeCell ref="A500:G500"/>
    <mergeCell ref="A503:N504"/>
    <mergeCell ref="A508:N508"/>
    <mergeCell ref="M509:N509"/>
    <mergeCell ref="I509:J509"/>
    <mergeCell ref="I523:J523"/>
    <mergeCell ref="K523:L523"/>
    <mergeCell ref="M523:N523"/>
    <mergeCell ref="I524:J524"/>
    <mergeCell ref="K524:L524"/>
    <mergeCell ref="M524:N524"/>
    <mergeCell ref="I513:J513"/>
    <mergeCell ref="K513:L513"/>
    <mergeCell ref="M513:N513"/>
    <mergeCell ref="I487:J487"/>
    <mergeCell ref="I488:J488"/>
    <mergeCell ref="K488:L488"/>
    <mergeCell ref="M488:N488"/>
    <mergeCell ref="A485:N485"/>
    <mergeCell ref="A486:G486"/>
    <mergeCell ref="I486:J486"/>
    <mergeCell ref="K486:L486"/>
    <mergeCell ref="M486:N486"/>
    <mergeCell ref="A487:G487"/>
    <mergeCell ref="A488:G488"/>
    <mergeCell ref="A489:G489"/>
    <mergeCell ref="I489:J489"/>
    <mergeCell ref="K489:L489"/>
    <mergeCell ref="M489:N489"/>
    <mergeCell ref="I490:J490"/>
    <mergeCell ref="K490:L490"/>
    <mergeCell ref="M490:N490"/>
    <mergeCell ref="A490:G490"/>
    <mergeCell ref="A491:G491"/>
    <mergeCell ref="I491:J491"/>
    <mergeCell ref="K491:L491"/>
    <mergeCell ref="M491:N491"/>
    <mergeCell ref="I541:J541"/>
    <mergeCell ref="M541:N541"/>
    <mergeCell ref="I542:J542"/>
    <mergeCell ref="A514:G514"/>
    <mergeCell ref="A515:G515"/>
    <mergeCell ref="I514:J514"/>
    <mergeCell ref="K514:L514"/>
    <mergeCell ref="M514:N514"/>
    <mergeCell ref="I515:J515"/>
    <mergeCell ref="K515:L515"/>
    <mergeCell ref="M515:N515"/>
    <mergeCell ref="K516:L516"/>
    <mergeCell ref="A520:G520"/>
    <mergeCell ref="A521:G521"/>
    <mergeCell ref="A522:G522"/>
    <mergeCell ref="A523:G523"/>
    <mergeCell ref="A524:G524"/>
    <mergeCell ref="M516:N516"/>
    <mergeCell ref="A518:N518"/>
    <mergeCell ref="A519:G519"/>
    <mergeCell ref="I519:J519"/>
    <mergeCell ref="K519:L519"/>
    <mergeCell ref="M519:N519"/>
    <mergeCell ref="M520:N520"/>
    <mergeCell ref="I520:J520"/>
    <mergeCell ref="K520:L520"/>
    <mergeCell ref="I521:J521"/>
    <mergeCell ref="K521:L521"/>
    <mergeCell ref="M521:N521"/>
    <mergeCell ref="K522:L522"/>
    <mergeCell ref="M522:N522"/>
    <mergeCell ref="I522:J522"/>
    <mergeCell ref="K525:L525"/>
    <mergeCell ref="M525:N525"/>
    <mergeCell ref="A527:N527"/>
    <mergeCell ref="A528:G528"/>
    <mergeCell ref="K528:L528"/>
    <mergeCell ref="M528:N528"/>
    <mergeCell ref="A529:G529"/>
    <mergeCell ref="A530:G530"/>
    <mergeCell ref="I530:J530"/>
    <mergeCell ref="K530:L530"/>
    <mergeCell ref="M530:N530"/>
    <mergeCell ref="I531:J531"/>
    <mergeCell ref="K531:L531"/>
    <mergeCell ref="M531:N531"/>
    <mergeCell ref="K533:L533"/>
    <mergeCell ref="M533:N533"/>
    <mergeCell ref="K534:L534"/>
    <mergeCell ref="M534:N534"/>
    <mergeCell ref="A531:G531"/>
    <mergeCell ref="A532:G532"/>
    <mergeCell ref="I532:J532"/>
    <mergeCell ref="K532:L532"/>
    <mergeCell ref="M532:N532"/>
    <mergeCell ref="A533:G533"/>
    <mergeCell ref="I533:J533"/>
    <mergeCell ref="I528:J528"/>
    <mergeCell ref="I529:J529"/>
    <mergeCell ref="K529:L529"/>
    <mergeCell ref="M529:N529"/>
    <mergeCell ref="M555:N555"/>
    <mergeCell ref="A556:G556"/>
    <mergeCell ref="I557:J557"/>
    <mergeCell ref="K557:L557"/>
    <mergeCell ref="M557:N557"/>
    <mergeCell ref="A553:G553"/>
    <mergeCell ref="I553:J553"/>
    <mergeCell ref="K553:L553"/>
    <mergeCell ref="M553:N553"/>
    <mergeCell ref="I554:J554"/>
    <mergeCell ref="K554:L554"/>
    <mergeCell ref="M554:N554"/>
    <mergeCell ref="A554:G554"/>
    <mergeCell ref="A557:G557"/>
    <mergeCell ref="I552:J552"/>
    <mergeCell ref="K552:L552"/>
    <mergeCell ref="M552:N552"/>
    <mergeCell ref="K567:L567"/>
    <mergeCell ref="A539:G539"/>
    <mergeCell ref="A540:G540"/>
    <mergeCell ref="A541:G541"/>
    <mergeCell ref="A542:G542"/>
    <mergeCell ref="A536:N536"/>
    <mergeCell ref="A537:G537"/>
    <mergeCell ref="I537:J537"/>
    <mergeCell ref="M537:N537"/>
    <mergeCell ref="A538:G538"/>
    <mergeCell ref="M538:N538"/>
    <mergeCell ref="M539:N539"/>
    <mergeCell ref="I538:J538"/>
    <mergeCell ref="I539:J539"/>
    <mergeCell ref="I540:J540"/>
    <mergeCell ref="M540:N540"/>
    <mergeCell ref="K551:L551"/>
    <mergeCell ref="M551:N551"/>
    <mergeCell ref="I551:J551"/>
    <mergeCell ref="M542:N542"/>
    <mergeCell ref="K543:L543"/>
    <mergeCell ref="M543:N543"/>
    <mergeCell ref="A545:N546"/>
    <mergeCell ref="A550:N550"/>
    <mergeCell ref="A551:G551"/>
    <mergeCell ref="A552:G552"/>
    <mergeCell ref="K556:L556"/>
    <mergeCell ref="M556:N556"/>
    <mergeCell ref="I556:J556"/>
    <mergeCell ref="A555:G555"/>
    <mergeCell ref="I555:J555"/>
    <mergeCell ref="K555:L555"/>
    <mergeCell ref="I561:J561"/>
    <mergeCell ref="K561:L561"/>
    <mergeCell ref="M561:N561"/>
    <mergeCell ref="A562:G562"/>
    <mergeCell ref="A563:G563"/>
    <mergeCell ref="A564:G564"/>
    <mergeCell ref="I564:J564"/>
    <mergeCell ref="K564:L564"/>
    <mergeCell ref="M564:N564"/>
    <mergeCell ref="I565:J565"/>
    <mergeCell ref="K565:L565"/>
    <mergeCell ref="M565:N565"/>
    <mergeCell ref="A565:G565"/>
    <mergeCell ref="A566:G566"/>
    <mergeCell ref="I566:J566"/>
    <mergeCell ref="K566:L566"/>
    <mergeCell ref="M566:N566"/>
    <mergeCell ref="K593:L593"/>
    <mergeCell ref="M593:N593"/>
    <mergeCell ref="I593:J593"/>
    <mergeCell ref="I594:J594"/>
    <mergeCell ref="K594:L594"/>
    <mergeCell ref="M594:N594"/>
    <mergeCell ref="M584:N584"/>
    <mergeCell ref="K585:L585"/>
    <mergeCell ref="M585:N585"/>
    <mergeCell ref="A587:N588"/>
    <mergeCell ref="A592:N592"/>
    <mergeCell ref="A593:G593"/>
    <mergeCell ref="A594:G594"/>
    <mergeCell ref="A575:G575"/>
    <mergeCell ref="I575:J575"/>
    <mergeCell ref="K575:L575"/>
    <mergeCell ref="M575:N575"/>
    <mergeCell ref="K576:L576"/>
    <mergeCell ref="M576:N576"/>
    <mergeCell ref="A581:G581"/>
    <mergeCell ref="A582:G582"/>
    <mergeCell ref="A583:G583"/>
    <mergeCell ref="A584:G584"/>
    <mergeCell ref="A578:N578"/>
    <mergeCell ref="A579:G579"/>
    <mergeCell ref="I579:J579"/>
    <mergeCell ref="M579:N579"/>
    <mergeCell ref="A580:G580"/>
    <mergeCell ref="M580:N580"/>
    <mergeCell ref="M581:N581"/>
    <mergeCell ref="I580:J580"/>
    <mergeCell ref="I581:J581"/>
    <mergeCell ref="K558:L558"/>
    <mergeCell ref="M558:N558"/>
    <mergeCell ref="K562:L562"/>
    <mergeCell ref="M562:N562"/>
    <mergeCell ref="K572:L572"/>
    <mergeCell ref="M572:N572"/>
    <mergeCell ref="A569:N569"/>
    <mergeCell ref="A570:G570"/>
    <mergeCell ref="I570:J570"/>
    <mergeCell ref="K570:L570"/>
    <mergeCell ref="M570:N570"/>
    <mergeCell ref="A571:G571"/>
    <mergeCell ref="A572:G572"/>
    <mergeCell ref="I574:J574"/>
    <mergeCell ref="K574:L574"/>
    <mergeCell ref="I571:J571"/>
    <mergeCell ref="I572:J572"/>
    <mergeCell ref="A573:G573"/>
    <mergeCell ref="I573:J573"/>
    <mergeCell ref="M567:N567"/>
    <mergeCell ref="K571:L571"/>
    <mergeCell ref="M571:N571"/>
    <mergeCell ref="A574:G574"/>
    <mergeCell ref="K573:L573"/>
    <mergeCell ref="M573:N573"/>
    <mergeCell ref="M574:N574"/>
    <mergeCell ref="I562:J562"/>
    <mergeCell ref="I563:J563"/>
    <mergeCell ref="K563:L563"/>
    <mergeCell ref="M563:N563"/>
    <mergeCell ref="A560:N560"/>
    <mergeCell ref="A561:G561"/>
    <mergeCell ref="I582:J582"/>
    <mergeCell ref="M582:N582"/>
    <mergeCell ref="I583:J583"/>
    <mergeCell ref="M583:N583"/>
    <mergeCell ref="I584:J584"/>
    <mergeCell ref="I645:J645"/>
    <mergeCell ref="I646:J646"/>
    <mergeCell ref="K646:L646"/>
    <mergeCell ref="M646:N646"/>
    <mergeCell ref="K641:L641"/>
    <mergeCell ref="M641:N641"/>
    <mergeCell ref="K642:L642"/>
    <mergeCell ref="M642:N642"/>
    <mergeCell ref="A644:N644"/>
    <mergeCell ref="A645:G645"/>
    <mergeCell ref="A646:G646"/>
    <mergeCell ref="I625:J625"/>
    <mergeCell ref="I626:J626"/>
    <mergeCell ref="K627:L627"/>
    <mergeCell ref="M627:N627"/>
    <mergeCell ref="A637:G637"/>
    <mergeCell ref="I637:J637"/>
    <mergeCell ref="K637:L637"/>
    <mergeCell ref="M637:N637"/>
    <mergeCell ref="I638:J638"/>
    <mergeCell ref="K638:L638"/>
    <mergeCell ref="M638:N638"/>
    <mergeCell ref="A638:G638"/>
    <mergeCell ref="A639:G639"/>
    <mergeCell ref="I639:J639"/>
    <mergeCell ref="K639:L639"/>
    <mergeCell ref="M639:N639"/>
    <mergeCell ref="A640:G640"/>
    <mergeCell ref="A641:G641"/>
    <mergeCell ref="A734:G734"/>
    <mergeCell ref="I734:J734"/>
    <mergeCell ref="K734:L734"/>
    <mergeCell ref="M734:N734"/>
    <mergeCell ref="K735:L735"/>
    <mergeCell ref="M735:N735"/>
    <mergeCell ref="K739:L739"/>
    <mergeCell ref="M739:N739"/>
    <mergeCell ref="A742:G742"/>
    <mergeCell ref="A624:G624"/>
    <mergeCell ref="I624:J624"/>
    <mergeCell ref="M624:N624"/>
    <mergeCell ref="A625:G625"/>
    <mergeCell ref="M625:N625"/>
    <mergeCell ref="M626:N626"/>
    <mergeCell ref="I635:J635"/>
    <mergeCell ref="I636:J636"/>
    <mergeCell ref="K636:L636"/>
    <mergeCell ref="M636:N636"/>
    <mergeCell ref="A626:G626"/>
    <mergeCell ref="A629:N630"/>
    <mergeCell ref="A634:N634"/>
    <mergeCell ref="A635:G635"/>
    <mergeCell ref="K635:L635"/>
    <mergeCell ref="M635:N635"/>
    <mergeCell ref="A636:G636"/>
    <mergeCell ref="K640:L640"/>
    <mergeCell ref="M640:N640"/>
    <mergeCell ref="I640:J640"/>
    <mergeCell ref="I641:J641"/>
    <mergeCell ref="K645:L645"/>
    <mergeCell ref="M645:N645"/>
    <mergeCell ref="I730:J730"/>
    <mergeCell ref="I731:J731"/>
    <mergeCell ref="K731:L731"/>
    <mergeCell ref="M731:N731"/>
    <mergeCell ref="A728:N728"/>
    <mergeCell ref="A729:G729"/>
    <mergeCell ref="I729:J729"/>
    <mergeCell ref="K729:L729"/>
    <mergeCell ref="M729:N729"/>
    <mergeCell ref="A730:G730"/>
    <mergeCell ref="A731:G731"/>
    <mergeCell ref="K726:L726"/>
    <mergeCell ref="M726:N726"/>
    <mergeCell ref="K730:L730"/>
    <mergeCell ref="M730:N730"/>
    <mergeCell ref="A725:G725"/>
    <mergeCell ref="I725:J725"/>
    <mergeCell ref="K725:L725"/>
    <mergeCell ref="M725:N725"/>
    <mergeCell ref="M697:N697"/>
    <mergeCell ref="K693:L693"/>
    <mergeCell ref="M693:N693"/>
    <mergeCell ref="A695:N695"/>
    <mergeCell ref="A696:G696"/>
    <mergeCell ref="K696:L696"/>
    <mergeCell ref="M696:N696"/>
    <mergeCell ref="A697:G697"/>
    <mergeCell ref="A698:G698"/>
    <mergeCell ref="I698:J698"/>
    <mergeCell ref="K698:L698"/>
    <mergeCell ref="A732:G732"/>
    <mergeCell ref="I732:J732"/>
    <mergeCell ref="K732:L732"/>
    <mergeCell ref="M732:N732"/>
    <mergeCell ref="I733:J733"/>
    <mergeCell ref="K733:L733"/>
    <mergeCell ref="M733:N733"/>
    <mergeCell ref="A733:G733"/>
    <mergeCell ref="K761:L761"/>
    <mergeCell ref="M761:N761"/>
    <mergeCell ref="I761:J761"/>
    <mergeCell ref="I762:J762"/>
    <mergeCell ref="K762:L762"/>
    <mergeCell ref="M762:N762"/>
    <mergeCell ref="M752:N752"/>
    <mergeCell ref="K753:L753"/>
    <mergeCell ref="M753:N753"/>
    <mergeCell ref="A755:N756"/>
    <mergeCell ref="A760:N760"/>
    <mergeCell ref="A761:G761"/>
    <mergeCell ref="A762:G762"/>
    <mergeCell ref="K740:L740"/>
    <mergeCell ref="M740:N740"/>
    <mergeCell ref="A737:N737"/>
    <mergeCell ref="A738:G738"/>
    <mergeCell ref="I738:J738"/>
    <mergeCell ref="K738:L738"/>
    <mergeCell ref="M738:N738"/>
    <mergeCell ref="A739:G739"/>
    <mergeCell ref="A740:G740"/>
    <mergeCell ref="I742:J742"/>
    <mergeCell ref="K742:L742"/>
    <mergeCell ref="I739:J739"/>
    <mergeCell ref="I740:J740"/>
    <mergeCell ref="A741:G741"/>
    <mergeCell ref="I741:J741"/>
    <mergeCell ref="K741:L741"/>
    <mergeCell ref="M741:N741"/>
    <mergeCell ref="M742:N742"/>
    <mergeCell ref="A743:G743"/>
    <mergeCell ref="I743:J743"/>
    <mergeCell ref="K743:L743"/>
    <mergeCell ref="M743:N743"/>
    <mergeCell ref="K744:L744"/>
    <mergeCell ref="M744:N744"/>
    <mergeCell ref="A749:G749"/>
    <mergeCell ref="A750:G750"/>
    <mergeCell ref="A751:G751"/>
    <mergeCell ref="A752:G752"/>
    <mergeCell ref="A746:N746"/>
    <mergeCell ref="A747:G747"/>
    <mergeCell ref="I747:J747"/>
    <mergeCell ref="M747:N747"/>
    <mergeCell ref="A748:G748"/>
    <mergeCell ref="M748:N748"/>
    <mergeCell ref="M749:N749"/>
    <mergeCell ref="I748:J748"/>
    <mergeCell ref="I749:J749"/>
    <mergeCell ref="I750:J750"/>
    <mergeCell ref="M750:N750"/>
    <mergeCell ref="I751:J751"/>
    <mergeCell ref="M751:N751"/>
    <mergeCell ref="I752:J752"/>
    <mergeCell ref="K774:L774"/>
    <mergeCell ref="M774:N774"/>
    <mergeCell ref="A777:G777"/>
    <mergeCell ref="A768:G768"/>
    <mergeCell ref="I768:J768"/>
    <mergeCell ref="K768:L768"/>
    <mergeCell ref="M768:N768"/>
    <mergeCell ref="A769:G769"/>
    <mergeCell ref="I769:J769"/>
    <mergeCell ref="K769:L769"/>
    <mergeCell ref="M769:N769"/>
    <mergeCell ref="A772:N772"/>
    <mergeCell ref="A773:G773"/>
    <mergeCell ref="I773:J773"/>
    <mergeCell ref="K773:L773"/>
    <mergeCell ref="M773:N773"/>
    <mergeCell ref="A774:G774"/>
    <mergeCell ref="A775:G775"/>
    <mergeCell ref="I777:J777"/>
    <mergeCell ref="K777:L777"/>
    <mergeCell ref="I774:J774"/>
    <mergeCell ref="I775:J775"/>
    <mergeCell ref="A776:G776"/>
    <mergeCell ref="I776:J776"/>
    <mergeCell ref="K776:L776"/>
    <mergeCell ref="M776:N776"/>
    <mergeCell ref="A763:G763"/>
    <mergeCell ref="I763:J763"/>
    <mergeCell ref="K763:L763"/>
    <mergeCell ref="M763:N763"/>
    <mergeCell ref="I764:J764"/>
    <mergeCell ref="K764:L764"/>
    <mergeCell ref="M764:N764"/>
    <mergeCell ref="K766:L766"/>
    <mergeCell ref="M766:N766"/>
    <mergeCell ref="I766:J766"/>
    <mergeCell ref="I767:J767"/>
    <mergeCell ref="K767:L767"/>
    <mergeCell ref="M767:N767"/>
    <mergeCell ref="K770:L770"/>
    <mergeCell ref="M770:N770"/>
    <mergeCell ref="A764:G764"/>
    <mergeCell ref="A765:G765"/>
    <mergeCell ref="I765:J765"/>
    <mergeCell ref="K765:L765"/>
    <mergeCell ref="M765:N765"/>
    <mergeCell ref="A766:G766"/>
    <mergeCell ref="A767:G767"/>
    <mergeCell ref="I792:J792"/>
    <mergeCell ref="I793:J793"/>
    <mergeCell ref="A790:N790"/>
    <mergeCell ref="A791:G791"/>
    <mergeCell ref="I791:J791"/>
    <mergeCell ref="M791:N791"/>
    <mergeCell ref="A792:G792"/>
    <mergeCell ref="M792:N792"/>
    <mergeCell ref="M793:N793"/>
    <mergeCell ref="K783:L783"/>
    <mergeCell ref="M783:N783"/>
    <mergeCell ref="I783:J783"/>
    <mergeCell ref="I784:J784"/>
    <mergeCell ref="K784:L784"/>
    <mergeCell ref="M784:N784"/>
    <mergeCell ref="K775:L775"/>
    <mergeCell ref="M775:N775"/>
    <mergeCell ref="M777:N777"/>
    <mergeCell ref="M1121:N1121"/>
    <mergeCell ref="M1122:N1122"/>
    <mergeCell ref="A1110:G1110"/>
    <mergeCell ref="I1110:J1110"/>
    <mergeCell ref="K1110:L1110"/>
    <mergeCell ref="M1110:N1110"/>
    <mergeCell ref="I1111:J1111"/>
    <mergeCell ref="K1111:L1111"/>
    <mergeCell ref="M1111:N1111"/>
    <mergeCell ref="K1113:L1113"/>
    <mergeCell ref="M1113:N1113"/>
    <mergeCell ref="I1113:J1113"/>
    <mergeCell ref="I1114:J1114"/>
    <mergeCell ref="K1114:L1114"/>
    <mergeCell ref="M1114:N1114"/>
    <mergeCell ref="K1115:L1115"/>
    <mergeCell ref="M1115:N1115"/>
    <mergeCell ref="A1111:G1111"/>
    <mergeCell ref="A1112:G1112"/>
    <mergeCell ref="I1112:J1112"/>
    <mergeCell ref="K1112:L1112"/>
    <mergeCell ref="M1112:N1112"/>
    <mergeCell ref="A1113:G1113"/>
    <mergeCell ref="A1114:G1114"/>
    <mergeCell ref="K1119:L1119"/>
    <mergeCell ref="M1119:N1119"/>
    <mergeCell ref="A1122:G1122"/>
    <mergeCell ref="I1131:J1131"/>
    <mergeCell ref="K1131:L1131"/>
    <mergeCell ref="M1131:N1131"/>
    <mergeCell ref="A1131:G1131"/>
    <mergeCell ref="A1132:G1132"/>
    <mergeCell ref="I1132:J1132"/>
    <mergeCell ref="K1132:L1132"/>
    <mergeCell ref="M1132:N1132"/>
    <mergeCell ref="K1133:L1133"/>
    <mergeCell ref="M1133:N1133"/>
    <mergeCell ref="A778:G778"/>
    <mergeCell ref="I778:J778"/>
    <mergeCell ref="K778:L778"/>
    <mergeCell ref="M778:N778"/>
    <mergeCell ref="K779:L779"/>
    <mergeCell ref="M779:N779"/>
    <mergeCell ref="K1120:L1120"/>
    <mergeCell ref="M1120:N1120"/>
    <mergeCell ref="A1117:N1117"/>
    <mergeCell ref="A1118:G1118"/>
    <mergeCell ref="I1118:J1118"/>
    <mergeCell ref="K1118:L1118"/>
    <mergeCell ref="M1118:N1118"/>
    <mergeCell ref="A1119:G1119"/>
    <mergeCell ref="A1120:G1120"/>
    <mergeCell ref="I1122:J1122"/>
    <mergeCell ref="K1122:L1122"/>
    <mergeCell ref="I1119:J1119"/>
    <mergeCell ref="I1120:J1120"/>
    <mergeCell ref="A1121:G1121"/>
    <mergeCell ref="I1121:J1121"/>
    <mergeCell ref="K1121:L1121"/>
    <mergeCell ref="A1123:G1123"/>
    <mergeCell ref="I1123:J1123"/>
    <mergeCell ref="K1123:L1123"/>
    <mergeCell ref="M1123:N1123"/>
    <mergeCell ref="K1124:L1124"/>
    <mergeCell ref="M1124:N1124"/>
    <mergeCell ref="I1137:J1137"/>
    <mergeCell ref="I1138:J1138"/>
    <mergeCell ref="A1135:N1135"/>
    <mergeCell ref="A1136:G1136"/>
    <mergeCell ref="I1136:J1136"/>
    <mergeCell ref="M1136:N1136"/>
    <mergeCell ref="A1137:G1137"/>
    <mergeCell ref="M1137:N1137"/>
    <mergeCell ref="M1138:N1138"/>
    <mergeCell ref="K1128:L1128"/>
    <mergeCell ref="M1128:N1128"/>
    <mergeCell ref="I1128:J1128"/>
    <mergeCell ref="I1129:J1129"/>
    <mergeCell ref="K1129:L1129"/>
    <mergeCell ref="M1129:N1129"/>
    <mergeCell ref="A1126:N1126"/>
    <mergeCell ref="A1127:G1127"/>
    <mergeCell ref="I1127:J1127"/>
    <mergeCell ref="K1127:L1127"/>
    <mergeCell ref="M1127:N1127"/>
    <mergeCell ref="A1128:G1128"/>
    <mergeCell ref="A1129:G1129"/>
    <mergeCell ref="A1130:G1130"/>
    <mergeCell ref="I1130:J1130"/>
    <mergeCell ref="K1130:L1130"/>
    <mergeCell ref="M1130:N1130"/>
    <mergeCell ref="A1156:G1156"/>
    <mergeCell ref="A1138:G1138"/>
    <mergeCell ref="A1139:G1139"/>
    <mergeCell ref="I1139:J1139"/>
    <mergeCell ref="M1139:N1139"/>
    <mergeCell ref="A1140:G1140"/>
    <mergeCell ref="M1140:N1140"/>
    <mergeCell ref="M1141:N1141"/>
    <mergeCell ref="I1150:J1150"/>
    <mergeCell ref="I1151:J1151"/>
    <mergeCell ref="K1151:L1151"/>
    <mergeCell ref="M1151:N1151"/>
    <mergeCell ref="A1141:G1141"/>
    <mergeCell ref="A1144:N1145"/>
    <mergeCell ref="A1149:N1149"/>
    <mergeCell ref="A1150:G1150"/>
    <mergeCell ref="K1150:L1150"/>
    <mergeCell ref="M1150:N1150"/>
    <mergeCell ref="A1151:G1151"/>
    <mergeCell ref="K1155:L1155"/>
    <mergeCell ref="M1155:N1155"/>
    <mergeCell ref="I1155:J1155"/>
    <mergeCell ref="I1156:J1156"/>
    <mergeCell ref="I1140:J1140"/>
    <mergeCell ref="I1141:J1141"/>
    <mergeCell ref="K1142:L1142"/>
    <mergeCell ref="M1142:N1142"/>
    <mergeCell ref="A1152:G1152"/>
    <mergeCell ref="I1152:J1152"/>
    <mergeCell ref="K1152:L1152"/>
    <mergeCell ref="M1152:N1152"/>
    <mergeCell ref="I1153:J1153"/>
    <mergeCell ref="K1153:L1153"/>
    <mergeCell ref="M1153:N1153"/>
    <mergeCell ref="A1153:G1153"/>
    <mergeCell ref="A1154:G1154"/>
    <mergeCell ref="I1154:J1154"/>
    <mergeCell ref="K1154:L1154"/>
    <mergeCell ref="M1154:N1154"/>
    <mergeCell ref="A1155:G1155"/>
    <mergeCell ref="I1174:J1174"/>
    <mergeCell ref="K1174:L1174"/>
    <mergeCell ref="M1174:N1174"/>
    <mergeCell ref="A1174:G1174"/>
    <mergeCell ref="A1175:G1175"/>
    <mergeCell ref="I1175:J1175"/>
    <mergeCell ref="K1175:L1175"/>
    <mergeCell ref="M1175:N1175"/>
    <mergeCell ref="A1176:G1176"/>
    <mergeCell ref="I1176:J1176"/>
    <mergeCell ref="K1176:L1176"/>
    <mergeCell ref="M1176:N1176"/>
    <mergeCell ref="K1162:L1162"/>
    <mergeCell ref="M1162:N1162"/>
    <mergeCell ref="M1163:N1163"/>
    <mergeCell ref="I1163:J1163"/>
    <mergeCell ref="K1163:L1163"/>
    <mergeCell ref="I1164:J1164"/>
    <mergeCell ref="K1164:L1164"/>
    <mergeCell ref="M1164:N1164"/>
    <mergeCell ref="K1165:L1165"/>
    <mergeCell ref="M1165:N1165"/>
    <mergeCell ref="I1165:J1165"/>
    <mergeCell ref="I1166:J1166"/>
    <mergeCell ref="K1177:L1177"/>
    <mergeCell ref="M1177:N1177"/>
    <mergeCell ref="A1179:N1179"/>
    <mergeCell ref="I1180:J1180"/>
    <mergeCell ref="M1180:N1180"/>
    <mergeCell ref="A1180:G1180"/>
    <mergeCell ref="I1171:J1171"/>
    <mergeCell ref="I1172:J1172"/>
    <mergeCell ref="I1158:J1158"/>
    <mergeCell ref="K1158:L1158"/>
    <mergeCell ref="K1159:L1159"/>
    <mergeCell ref="M1159:N1159"/>
    <mergeCell ref="K1172:L1172"/>
    <mergeCell ref="M1172:N1172"/>
    <mergeCell ref="K1168:L1168"/>
    <mergeCell ref="M1168:N1168"/>
    <mergeCell ref="A1170:N1170"/>
    <mergeCell ref="A1171:G1171"/>
    <mergeCell ref="K1171:L1171"/>
    <mergeCell ref="M1171:N1171"/>
    <mergeCell ref="A1172:G1172"/>
    <mergeCell ref="A1173:G1173"/>
    <mergeCell ref="I1173:J1173"/>
    <mergeCell ref="K1173:L1173"/>
    <mergeCell ref="M1173:N1173"/>
    <mergeCell ref="A1165:G1165"/>
    <mergeCell ref="A1166:G1166"/>
    <mergeCell ref="A1167:G1167"/>
    <mergeCell ref="A1158:G1158"/>
    <mergeCell ref="A1161:N1161"/>
    <mergeCell ref="A1162:G1162"/>
    <mergeCell ref="I1162:J1162"/>
    <mergeCell ref="K1166:L1166"/>
    <mergeCell ref="M1166:N1166"/>
    <mergeCell ref="I1167:J1167"/>
    <mergeCell ref="K1167:L1167"/>
    <mergeCell ref="M1167:N1167"/>
    <mergeCell ref="K1202:L1202"/>
    <mergeCell ref="M1202:N1202"/>
    <mergeCell ref="K1203:L1203"/>
    <mergeCell ref="M1203:N1203"/>
    <mergeCell ref="A1200:G1200"/>
    <mergeCell ref="A1201:G1201"/>
    <mergeCell ref="I1201:J1201"/>
    <mergeCell ref="K1201:L1201"/>
    <mergeCell ref="M1201:N1201"/>
    <mergeCell ref="A1202:G1202"/>
    <mergeCell ref="I1202:J1202"/>
    <mergeCell ref="K1207:L1207"/>
    <mergeCell ref="M1207:N1207"/>
    <mergeCell ref="A1181:G1181"/>
    <mergeCell ref="I1181:J1181"/>
    <mergeCell ref="M1181:N1181"/>
    <mergeCell ref="A1182:G1182"/>
    <mergeCell ref="M1182:N1182"/>
    <mergeCell ref="A1183:G1183"/>
    <mergeCell ref="M1183:N1183"/>
    <mergeCell ref="M1185:N1185"/>
    <mergeCell ref="K1186:L1186"/>
    <mergeCell ref="M1186:N1186"/>
    <mergeCell ref="I1182:J1182"/>
    <mergeCell ref="I1183:J1183"/>
    <mergeCell ref="A1184:G1184"/>
    <mergeCell ref="I1184:J1184"/>
    <mergeCell ref="M1184:N1184"/>
    <mergeCell ref="A1185:G1185"/>
    <mergeCell ref="I1185:J1185"/>
    <mergeCell ref="I1195:J1195"/>
    <mergeCell ref="K1195:L1195"/>
    <mergeCell ref="I1198:J1198"/>
    <mergeCell ref="K1198:L1198"/>
    <mergeCell ref="M1198:N1198"/>
    <mergeCell ref="A1195:G1195"/>
    <mergeCell ref="A1196:G1196"/>
    <mergeCell ref="I1196:J1196"/>
    <mergeCell ref="K1196:L1196"/>
    <mergeCell ref="M1196:N1196"/>
    <mergeCell ref="A1197:G1197"/>
    <mergeCell ref="A1198:G1198"/>
    <mergeCell ref="A1199:G1199"/>
    <mergeCell ref="I1199:J1199"/>
    <mergeCell ref="K1199:L1199"/>
    <mergeCell ref="M1199:N1199"/>
    <mergeCell ref="I1200:J1200"/>
    <mergeCell ref="K1200:L1200"/>
    <mergeCell ref="M1200:N1200"/>
    <mergeCell ref="M1195:N1195"/>
    <mergeCell ref="K788:L788"/>
    <mergeCell ref="M788:N788"/>
    <mergeCell ref="I795:J795"/>
    <mergeCell ref="I796:J796"/>
    <mergeCell ref="K797:L797"/>
    <mergeCell ref="M797:N797"/>
    <mergeCell ref="A807:G807"/>
    <mergeCell ref="I807:J807"/>
    <mergeCell ref="K807:L807"/>
    <mergeCell ref="M807:N807"/>
    <mergeCell ref="I808:J808"/>
    <mergeCell ref="K808:L808"/>
    <mergeCell ref="M808:N808"/>
    <mergeCell ref="A808:G808"/>
    <mergeCell ref="K1197:L1197"/>
    <mergeCell ref="M1197:N1197"/>
    <mergeCell ref="I1197:J1197"/>
    <mergeCell ref="A1188:N1189"/>
    <mergeCell ref="A1193:N1193"/>
    <mergeCell ref="A1194:G1194"/>
    <mergeCell ref="I1194:J1194"/>
    <mergeCell ref="K1194:L1194"/>
    <mergeCell ref="M1194:N1194"/>
    <mergeCell ref="K1156:L1156"/>
    <mergeCell ref="M1156:N1156"/>
    <mergeCell ref="A1157:G1157"/>
    <mergeCell ref="I1157:J1157"/>
    <mergeCell ref="K1157:L1157"/>
    <mergeCell ref="M1157:N1157"/>
    <mergeCell ref="M1158:N1158"/>
    <mergeCell ref="A1163:G1163"/>
    <mergeCell ref="A1164:G1164"/>
    <mergeCell ref="A781:N781"/>
    <mergeCell ref="A782:G782"/>
    <mergeCell ref="I782:J782"/>
    <mergeCell ref="K782:L782"/>
    <mergeCell ref="M782:N782"/>
    <mergeCell ref="A783:G783"/>
    <mergeCell ref="A784:G784"/>
    <mergeCell ref="A785:G785"/>
    <mergeCell ref="I785:J785"/>
    <mergeCell ref="K785:L785"/>
    <mergeCell ref="M785:N785"/>
    <mergeCell ref="I786:J786"/>
    <mergeCell ref="K786:L786"/>
    <mergeCell ref="M786:N786"/>
    <mergeCell ref="A786:G786"/>
    <mergeCell ref="A787:G787"/>
    <mergeCell ref="I787:J787"/>
    <mergeCell ref="K787:L787"/>
    <mergeCell ref="M787:N787"/>
    <mergeCell ref="I811:J811"/>
    <mergeCell ref="K818:L818"/>
    <mergeCell ref="M818:N818"/>
    <mergeCell ref="I818:J818"/>
    <mergeCell ref="I819:J819"/>
    <mergeCell ref="K819:L819"/>
    <mergeCell ref="M819:N819"/>
    <mergeCell ref="K811:L811"/>
    <mergeCell ref="M811:N811"/>
    <mergeCell ref="K815:L815"/>
    <mergeCell ref="M815:N815"/>
    <mergeCell ref="A817:N817"/>
    <mergeCell ref="A818:G818"/>
    <mergeCell ref="A819:G819"/>
    <mergeCell ref="A813:G813"/>
    <mergeCell ref="I813:J813"/>
    <mergeCell ref="K813:L813"/>
    <mergeCell ref="M813:N813"/>
    <mergeCell ref="A812:G812"/>
    <mergeCell ref="I812:J812"/>
    <mergeCell ref="K812:L812"/>
    <mergeCell ref="M812:N812"/>
    <mergeCell ref="A814:G814"/>
    <mergeCell ref="I814:J814"/>
    <mergeCell ref="K814:L814"/>
    <mergeCell ref="M814:N814"/>
    <mergeCell ref="I850:J850"/>
    <mergeCell ref="K850:L850"/>
    <mergeCell ref="I851:J851"/>
    <mergeCell ref="K851:L851"/>
    <mergeCell ref="M851:N851"/>
    <mergeCell ref="A809:G809"/>
    <mergeCell ref="I809:J809"/>
    <mergeCell ref="K809:L809"/>
    <mergeCell ref="M809:N809"/>
    <mergeCell ref="A810:G810"/>
    <mergeCell ref="A811:G811"/>
    <mergeCell ref="A793:G793"/>
    <mergeCell ref="A794:G794"/>
    <mergeCell ref="I794:J794"/>
    <mergeCell ref="M794:N794"/>
    <mergeCell ref="A795:G795"/>
    <mergeCell ref="M795:N795"/>
    <mergeCell ref="M796:N796"/>
    <mergeCell ref="I805:J805"/>
    <mergeCell ref="I806:J806"/>
    <mergeCell ref="K806:L806"/>
    <mergeCell ref="M806:N806"/>
    <mergeCell ref="A796:G796"/>
    <mergeCell ref="A799:N800"/>
    <mergeCell ref="A804:N804"/>
    <mergeCell ref="A805:G805"/>
    <mergeCell ref="K805:L805"/>
    <mergeCell ref="M805:N805"/>
    <mergeCell ref="A806:G806"/>
    <mergeCell ref="K810:L810"/>
    <mergeCell ref="M810:N810"/>
    <mergeCell ref="I810:J810"/>
    <mergeCell ref="A832:G832"/>
    <mergeCell ref="I832:J832"/>
    <mergeCell ref="K832:L832"/>
    <mergeCell ref="M832:N832"/>
    <mergeCell ref="K833:L833"/>
    <mergeCell ref="M833:N833"/>
    <mergeCell ref="A850:G850"/>
    <mergeCell ref="A851:G851"/>
    <mergeCell ref="A852:G852"/>
    <mergeCell ref="A853:G853"/>
    <mergeCell ref="A854:G854"/>
    <mergeCell ref="A820:G820"/>
    <mergeCell ref="I820:J820"/>
    <mergeCell ref="K820:L820"/>
    <mergeCell ref="M820:N820"/>
    <mergeCell ref="I821:J821"/>
    <mergeCell ref="K821:L821"/>
    <mergeCell ref="M821:N821"/>
    <mergeCell ref="K823:L823"/>
    <mergeCell ref="M823:N823"/>
    <mergeCell ref="K824:L824"/>
    <mergeCell ref="M824:N824"/>
    <mergeCell ref="A821:G821"/>
    <mergeCell ref="A822:G822"/>
    <mergeCell ref="I822:J822"/>
    <mergeCell ref="K822:L822"/>
    <mergeCell ref="M822:N822"/>
    <mergeCell ref="A823:G823"/>
    <mergeCell ref="I823:J823"/>
    <mergeCell ref="K828:L828"/>
    <mergeCell ref="M828:N828"/>
    <mergeCell ref="M841:N841"/>
    <mergeCell ref="I828:J828"/>
    <mergeCell ref="I829:J829"/>
    <mergeCell ref="K829:L829"/>
    <mergeCell ref="M829:N829"/>
    <mergeCell ref="A826:N826"/>
    <mergeCell ref="A827:G827"/>
    <mergeCell ref="I827:J827"/>
    <mergeCell ref="K827:L827"/>
    <mergeCell ref="M827:N827"/>
    <mergeCell ref="A828:G828"/>
    <mergeCell ref="A829:G829"/>
    <mergeCell ref="A830:G830"/>
    <mergeCell ref="I830:J830"/>
    <mergeCell ref="K830:L830"/>
    <mergeCell ref="M830:N830"/>
    <mergeCell ref="I831:J831"/>
    <mergeCell ref="K831:L831"/>
    <mergeCell ref="M831:N831"/>
    <mergeCell ref="A831:G831"/>
    <mergeCell ref="K852:L852"/>
    <mergeCell ref="M852:N852"/>
    <mergeCell ref="I852:J852"/>
    <mergeCell ref="I853:J853"/>
    <mergeCell ref="K853:L853"/>
    <mergeCell ref="M853:N853"/>
    <mergeCell ref="I854:J854"/>
    <mergeCell ref="K854:L854"/>
    <mergeCell ref="M854:N854"/>
    <mergeCell ref="A835:N835"/>
    <mergeCell ref="A836:G836"/>
    <mergeCell ref="I836:J836"/>
    <mergeCell ref="M836:N836"/>
    <mergeCell ref="A837:G837"/>
    <mergeCell ref="M837:N837"/>
    <mergeCell ref="M838:N838"/>
    <mergeCell ref="A838:G838"/>
    <mergeCell ref="A839:G839"/>
    <mergeCell ref="A840:G840"/>
    <mergeCell ref="A841:G841"/>
    <mergeCell ref="A844:N845"/>
    <mergeCell ref="A849:N849"/>
    <mergeCell ref="M850:N850"/>
    <mergeCell ref="K842:L842"/>
    <mergeCell ref="M842:N842"/>
    <mergeCell ref="I837:J837"/>
    <mergeCell ref="I838:J838"/>
    <mergeCell ref="I839:J839"/>
    <mergeCell ref="M839:N839"/>
    <mergeCell ref="I840:J840"/>
    <mergeCell ref="M840:N840"/>
    <mergeCell ref="I841:J841"/>
    <mergeCell ref="I867:J867"/>
    <mergeCell ref="K867:L867"/>
    <mergeCell ref="M867:N867"/>
    <mergeCell ref="I868:J868"/>
    <mergeCell ref="K868:L868"/>
    <mergeCell ref="M868:N868"/>
    <mergeCell ref="A857:G857"/>
    <mergeCell ref="I857:J857"/>
    <mergeCell ref="K857:L857"/>
    <mergeCell ref="M857:N857"/>
    <mergeCell ref="A858:G858"/>
    <mergeCell ref="I858:J858"/>
    <mergeCell ref="K858:L858"/>
    <mergeCell ref="M858:N858"/>
    <mergeCell ref="A859:G859"/>
    <mergeCell ref="I859:J859"/>
    <mergeCell ref="K859:L859"/>
    <mergeCell ref="M859:N859"/>
    <mergeCell ref="I885:J885"/>
    <mergeCell ref="M885:N885"/>
    <mergeCell ref="I886:J886"/>
    <mergeCell ref="A855:G855"/>
    <mergeCell ref="A856:G856"/>
    <mergeCell ref="I855:J855"/>
    <mergeCell ref="K855:L855"/>
    <mergeCell ref="M855:N855"/>
    <mergeCell ref="I856:J856"/>
    <mergeCell ref="K856:L856"/>
    <mergeCell ref="M856:N856"/>
    <mergeCell ref="K860:L860"/>
    <mergeCell ref="A864:G864"/>
    <mergeCell ref="A865:G865"/>
    <mergeCell ref="A866:G866"/>
    <mergeCell ref="A867:G867"/>
    <mergeCell ref="A868:G868"/>
    <mergeCell ref="M860:N860"/>
    <mergeCell ref="A862:N862"/>
    <mergeCell ref="A863:G863"/>
    <mergeCell ref="I863:J863"/>
    <mergeCell ref="K863:L863"/>
    <mergeCell ref="M863:N863"/>
    <mergeCell ref="M864:N864"/>
    <mergeCell ref="I864:J864"/>
    <mergeCell ref="K864:L864"/>
    <mergeCell ref="I865:J865"/>
    <mergeCell ref="K865:L865"/>
    <mergeCell ref="M865:N865"/>
    <mergeCell ref="K866:L866"/>
    <mergeCell ref="M866:N866"/>
    <mergeCell ref="I866:J866"/>
    <mergeCell ref="K869:L869"/>
    <mergeCell ref="M869:N869"/>
    <mergeCell ref="A871:N871"/>
    <mergeCell ref="A872:G872"/>
    <mergeCell ref="K872:L872"/>
    <mergeCell ref="M872:N872"/>
    <mergeCell ref="A873:G873"/>
    <mergeCell ref="A874:G874"/>
    <mergeCell ref="I874:J874"/>
    <mergeCell ref="K874:L874"/>
    <mergeCell ref="M874:N874"/>
    <mergeCell ref="I875:J875"/>
    <mergeCell ref="K875:L875"/>
    <mergeCell ref="M875:N875"/>
    <mergeCell ref="K877:L877"/>
    <mergeCell ref="M877:N877"/>
    <mergeCell ref="K878:L878"/>
    <mergeCell ref="M878:N878"/>
    <mergeCell ref="A875:G875"/>
    <mergeCell ref="A876:G876"/>
    <mergeCell ref="I876:J876"/>
    <mergeCell ref="K876:L876"/>
    <mergeCell ref="M876:N876"/>
    <mergeCell ref="A877:G877"/>
    <mergeCell ref="I877:J877"/>
    <mergeCell ref="M886:N886"/>
    <mergeCell ref="K887:L887"/>
    <mergeCell ref="M887:N887"/>
    <mergeCell ref="A889:N890"/>
    <mergeCell ref="A894:N894"/>
    <mergeCell ref="A895:G895"/>
    <mergeCell ref="A896:G896"/>
    <mergeCell ref="K900:L900"/>
    <mergeCell ref="M900:N900"/>
    <mergeCell ref="I900:J900"/>
    <mergeCell ref="I901:J901"/>
    <mergeCell ref="K901:L901"/>
    <mergeCell ref="M901:N901"/>
    <mergeCell ref="I872:J872"/>
    <mergeCell ref="I873:J873"/>
    <mergeCell ref="K873:L873"/>
    <mergeCell ref="M873:N873"/>
    <mergeCell ref="A883:G883"/>
    <mergeCell ref="A884:G884"/>
    <mergeCell ref="A885:G885"/>
    <mergeCell ref="A886:G886"/>
    <mergeCell ref="A880:N880"/>
    <mergeCell ref="A881:G881"/>
    <mergeCell ref="I881:J881"/>
    <mergeCell ref="M881:N881"/>
    <mergeCell ref="A882:G882"/>
    <mergeCell ref="M882:N882"/>
    <mergeCell ref="M883:N883"/>
    <mergeCell ref="I882:J882"/>
    <mergeCell ref="I883:J883"/>
    <mergeCell ref="I884:J884"/>
    <mergeCell ref="M884:N884"/>
    <mergeCell ref="K895:L895"/>
    <mergeCell ref="M895:N895"/>
    <mergeCell ref="A897:G897"/>
    <mergeCell ref="I897:J897"/>
    <mergeCell ref="K897:L897"/>
    <mergeCell ref="M897:N897"/>
    <mergeCell ref="I898:J898"/>
    <mergeCell ref="K898:L898"/>
    <mergeCell ref="M898:N898"/>
    <mergeCell ref="A898:G898"/>
    <mergeCell ref="A899:G899"/>
    <mergeCell ref="I899:J899"/>
    <mergeCell ref="K899:L899"/>
    <mergeCell ref="M899:N899"/>
    <mergeCell ref="A900:G900"/>
    <mergeCell ref="A901:G901"/>
    <mergeCell ref="I895:J895"/>
    <mergeCell ref="I896:J896"/>
    <mergeCell ref="K896:L896"/>
    <mergeCell ref="M896:N896"/>
    <mergeCell ref="K920:L920"/>
    <mergeCell ref="M920:N920"/>
    <mergeCell ref="M921:N921"/>
    <mergeCell ref="I909:J909"/>
    <mergeCell ref="I910:J910"/>
    <mergeCell ref="K910:L910"/>
    <mergeCell ref="M910:N910"/>
    <mergeCell ref="A907:N907"/>
    <mergeCell ref="A908:G908"/>
    <mergeCell ref="I908:J908"/>
    <mergeCell ref="K908:L908"/>
    <mergeCell ref="M908:N908"/>
    <mergeCell ref="A909:G909"/>
    <mergeCell ref="A910:G910"/>
    <mergeCell ref="A911:G911"/>
    <mergeCell ref="I911:J911"/>
    <mergeCell ref="K911:L911"/>
    <mergeCell ref="M911:N911"/>
    <mergeCell ref="I912:J912"/>
    <mergeCell ref="K912:L912"/>
    <mergeCell ref="M912:N912"/>
    <mergeCell ref="A912:G912"/>
    <mergeCell ref="A913:G913"/>
    <mergeCell ref="I913:J913"/>
    <mergeCell ref="K913:L913"/>
    <mergeCell ref="M913:N913"/>
    <mergeCell ref="K914:L914"/>
    <mergeCell ref="M914:N914"/>
    <mergeCell ref="K918:L918"/>
    <mergeCell ref="M918:N918"/>
    <mergeCell ref="A921:G921"/>
    <mergeCell ref="K940:L940"/>
    <mergeCell ref="M940:N940"/>
    <mergeCell ref="I940:J940"/>
    <mergeCell ref="I941:J941"/>
    <mergeCell ref="K941:L941"/>
    <mergeCell ref="M941:N941"/>
    <mergeCell ref="M931:N931"/>
    <mergeCell ref="K932:L932"/>
    <mergeCell ref="M932:N932"/>
    <mergeCell ref="A934:N935"/>
    <mergeCell ref="A939:N939"/>
    <mergeCell ref="A940:G940"/>
    <mergeCell ref="A941:G941"/>
    <mergeCell ref="K905:L905"/>
    <mergeCell ref="M905:N905"/>
    <mergeCell ref="K909:L909"/>
    <mergeCell ref="M909:N909"/>
    <mergeCell ref="K919:L919"/>
    <mergeCell ref="M919:N919"/>
    <mergeCell ref="A916:N916"/>
    <mergeCell ref="A917:G917"/>
    <mergeCell ref="I917:J917"/>
    <mergeCell ref="K917:L917"/>
    <mergeCell ref="M917:N917"/>
    <mergeCell ref="A918:G918"/>
    <mergeCell ref="A919:G919"/>
    <mergeCell ref="I921:J921"/>
    <mergeCell ref="K921:L921"/>
    <mergeCell ref="I918:J918"/>
    <mergeCell ref="I919:J919"/>
    <mergeCell ref="A920:G920"/>
    <mergeCell ref="I920:J920"/>
    <mergeCell ref="A922:G922"/>
    <mergeCell ref="I922:J922"/>
    <mergeCell ref="K922:L922"/>
    <mergeCell ref="M922:N922"/>
    <mergeCell ref="K923:L923"/>
    <mergeCell ref="M923:N923"/>
    <mergeCell ref="A928:G928"/>
    <mergeCell ref="A929:G929"/>
    <mergeCell ref="A930:G930"/>
    <mergeCell ref="A931:G931"/>
    <mergeCell ref="A925:N925"/>
    <mergeCell ref="A926:G926"/>
    <mergeCell ref="I926:J926"/>
    <mergeCell ref="M926:N926"/>
    <mergeCell ref="A927:G927"/>
    <mergeCell ref="M927:N927"/>
    <mergeCell ref="M928:N928"/>
    <mergeCell ref="I927:J927"/>
    <mergeCell ref="I928:J928"/>
    <mergeCell ref="I929:J929"/>
    <mergeCell ref="M929:N929"/>
    <mergeCell ref="I930:J930"/>
    <mergeCell ref="M930:N930"/>
    <mergeCell ref="I931:J931"/>
    <mergeCell ref="I963:J963"/>
    <mergeCell ref="K963:L963"/>
    <mergeCell ref="M963:N963"/>
    <mergeCell ref="A963:G963"/>
    <mergeCell ref="A964:G964"/>
    <mergeCell ref="I964:J964"/>
    <mergeCell ref="K964:L964"/>
    <mergeCell ref="A942:G942"/>
    <mergeCell ref="I942:J942"/>
    <mergeCell ref="K942:L942"/>
    <mergeCell ref="M942:N942"/>
    <mergeCell ref="I943:J943"/>
    <mergeCell ref="K943:L943"/>
    <mergeCell ref="M943:N943"/>
    <mergeCell ref="K945:L945"/>
    <mergeCell ref="M945:N945"/>
    <mergeCell ref="I945:J945"/>
    <mergeCell ref="I946:J946"/>
    <mergeCell ref="K946:L946"/>
    <mergeCell ref="M946:N946"/>
    <mergeCell ref="K947:L947"/>
    <mergeCell ref="M947:N947"/>
    <mergeCell ref="A943:G943"/>
    <mergeCell ref="A944:G944"/>
    <mergeCell ref="I944:J944"/>
    <mergeCell ref="K944:L944"/>
    <mergeCell ref="M944:N944"/>
    <mergeCell ref="A945:G945"/>
    <mergeCell ref="A946:G946"/>
    <mergeCell ref="K952:L952"/>
    <mergeCell ref="M952:N952"/>
    <mergeCell ref="A949:N949"/>
    <mergeCell ref="A950:G950"/>
    <mergeCell ref="I950:J950"/>
    <mergeCell ref="K950:L950"/>
    <mergeCell ref="M950:N950"/>
    <mergeCell ref="A951:G951"/>
    <mergeCell ref="A952:G952"/>
    <mergeCell ref="I954:J954"/>
    <mergeCell ref="K954:L954"/>
    <mergeCell ref="I951:J951"/>
    <mergeCell ref="I952:J952"/>
    <mergeCell ref="A953:G953"/>
    <mergeCell ref="I953:J953"/>
    <mergeCell ref="K953:L953"/>
    <mergeCell ref="M953:N953"/>
    <mergeCell ref="M954:N954"/>
    <mergeCell ref="K951:L951"/>
    <mergeCell ref="M951:N951"/>
    <mergeCell ref="A954:G954"/>
    <mergeCell ref="A1024:G1024"/>
    <mergeCell ref="M973:N973"/>
    <mergeCell ref="I982:J982"/>
    <mergeCell ref="I983:J983"/>
    <mergeCell ref="K983:L983"/>
    <mergeCell ref="M983:N983"/>
    <mergeCell ref="A973:G973"/>
    <mergeCell ref="A976:N977"/>
    <mergeCell ref="A981:N981"/>
    <mergeCell ref="A982:G982"/>
    <mergeCell ref="I985:J985"/>
    <mergeCell ref="K985:L985"/>
    <mergeCell ref="M985:N985"/>
    <mergeCell ref="A985:G985"/>
    <mergeCell ref="A986:G986"/>
    <mergeCell ref="I986:J986"/>
    <mergeCell ref="K986:L986"/>
    <mergeCell ref="M986:N986"/>
    <mergeCell ref="A987:G987"/>
    <mergeCell ref="A988:G988"/>
    <mergeCell ref="A984:G984"/>
    <mergeCell ref="I984:J984"/>
    <mergeCell ref="A994:G994"/>
    <mergeCell ref="I994:J994"/>
    <mergeCell ref="K994:L994"/>
    <mergeCell ref="M994:N994"/>
    <mergeCell ref="M982:N982"/>
    <mergeCell ref="A983:G983"/>
    <mergeCell ref="K987:L987"/>
    <mergeCell ref="M987:N987"/>
    <mergeCell ref="I987:J987"/>
    <mergeCell ref="I988:J988"/>
    <mergeCell ref="M964:N964"/>
    <mergeCell ref="K965:L965"/>
    <mergeCell ref="M965:N965"/>
    <mergeCell ref="I972:J972"/>
    <mergeCell ref="I973:J973"/>
    <mergeCell ref="K974:L974"/>
    <mergeCell ref="M974:N974"/>
    <mergeCell ref="A1018:N1019"/>
    <mergeCell ref="A1023:N1023"/>
    <mergeCell ref="M1024:N1024"/>
    <mergeCell ref="I1002:J1002"/>
    <mergeCell ref="I1003:J1003"/>
    <mergeCell ref="K1003:L1003"/>
    <mergeCell ref="M1003:N1003"/>
    <mergeCell ref="A1000:N1000"/>
    <mergeCell ref="A1001:G1001"/>
    <mergeCell ref="I1001:J1001"/>
    <mergeCell ref="K1001:L1001"/>
    <mergeCell ref="M1001:N1001"/>
    <mergeCell ref="A1002:G1002"/>
    <mergeCell ref="A1003:G1003"/>
    <mergeCell ref="A1004:G1004"/>
    <mergeCell ref="I1004:J1004"/>
    <mergeCell ref="K1004:L1004"/>
    <mergeCell ref="M1004:N1004"/>
    <mergeCell ref="A970:G970"/>
    <mergeCell ref="A971:G971"/>
    <mergeCell ref="I971:J971"/>
    <mergeCell ref="M971:N971"/>
    <mergeCell ref="A972:G972"/>
    <mergeCell ref="M972:N972"/>
    <mergeCell ref="K982:L982"/>
    <mergeCell ref="A955:G955"/>
    <mergeCell ref="I955:J955"/>
    <mergeCell ref="K955:L955"/>
    <mergeCell ref="M955:N955"/>
    <mergeCell ref="K956:L956"/>
    <mergeCell ref="M956:N956"/>
    <mergeCell ref="I969:J969"/>
    <mergeCell ref="I970:J970"/>
    <mergeCell ref="A967:N967"/>
    <mergeCell ref="A968:G968"/>
    <mergeCell ref="I968:J968"/>
    <mergeCell ref="M968:N968"/>
    <mergeCell ref="A969:G969"/>
    <mergeCell ref="M969:N969"/>
    <mergeCell ref="M970:N970"/>
    <mergeCell ref="K960:L960"/>
    <mergeCell ref="M960:N960"/>
    <mergeCell ref="I960:J960"/>
    <mergeCell ref="I961:J961"/>
    <mergeCell ref="K961:L961"/>
    <mergeCell ref="M961:N961"/>
    <mergeCell ref="A958:N958"/>
    <mergeCell ref="A959:G959"/>
    <mergeCell ref="I959:J959"/>
    <mergeCell ref="K959:L959"/>
    <mergeCell ref="M959:N959"/>
    <mergeCell ref="A960:G960"/>
    <mergeCell ref="A961:G961"/>
    <mergeCell ref="A962:G962"/>
    <mergeCell ref="I962:J962"/>
    <mergeCell ref="K962:L962"/>
    <mergeCell ref="M962:N962"/>
    <mergeCell ref="K992:L992"/>
    <mergeCell ref="M992:N992"/>
    <mergeCell ref="I992:J992"/>
    <mergeCell ref="I993:J993"/>
    <mergeCell ref="K993:L993"/>
    <mergeCell ref="K984:L984"/>
    <mergeCell ref="M984:N984"/>
    <mergeCell ref="M993:N993"/>
    <mergeCell ref="K988:L988"/>
    <mergeCell ref="M988:N988"/>
    <mergeCell ref="K989:L989"/>
    <mergeCell ref="M989:N989"/>
    <mergeCell ref="A991:N991"/>
    <mergeCell ref="A992:G992"/>
    <mergeCell ref="A993:G993"/>
    <mergeCell ref="K1016:L1016"/>
    <mergeCell ref="M1016:N1016"/>
    <mergeCell ref="I1011:J1011"/>
    <mergeCell ref="I1012:J1012"/>
    <mergeCell ref="I1013:J1013"/>
    <mergeCell ref="M1013:N1013"/>
    <mergeCell ref="I1014:J1014"/>
    <mergeCell ref="M1014:N1014"/>
    <mergeCell ref="I1015:J1015"/>
    <mergeCell ref="A1009:N1009"/>
    <mergeCell ref="A1010:G1010"/>
    <mergeCell ref="I1010:J1010"/>
    <mergeCell ref="M1010:N1010"/>
    <mergeCell ref="A1011:G1011"/>
    <mergeCell ref="M1011:N1011"/>
    <mergeCell ref="M1012:N1012"/>
    <mergeCell ref="A1012:G1012"/>
    <mergeCell ref="A1013:G1013"/>
    <mergeCell ref="A1014:G1014"/>
    <mergeCell ref="A1015:G1015"/>
    <mergeCell ref="I995:J995"/>
    <mergeCell ref="K995:L995"/>
    <mergeCell ref="M995:N995"/>
    <mergeCell ref="K997:L997"/>
    <mergeCell ref="M997:N997"/>
    <mergeCell ref="K998:L998"/>
    <mergeCell ref="M998:N998"/>
    <mergeCell ref="A995:G995"/>
    <mergeCell ref="A996:G996"/>
    <mergeCell ref="I996:J996"/>
    <mergeCell ref="K996:L996"/>
    <mergeCell ref="M996:N996"/>
    <mergeCell ref="A997:G997"/>
    <mergeCell ref="I997:J997"/>
    <mergeCell ref="K1002:L1002"/>
    <mergeCell ref="M1002:N1002"/>
    <mergeCell ref="M1015:N1015"/>
    <mergeCell ref="I1005:J1005"/>
    <mergeCell ref="K1005:L1005"/>
    <mergeCell ref="M1005:N1005"/>
    <mergeCell ref="A1005:G1005"/>
    <mergeCell ref="A1006:G1006"/>
    <mergeCell ref="I1006:J1006"/>
    <mergeCell ref="K1006:L1006"/>
    <mergeCell ref="M1006:N1006"/>
    <mergeCell ref="K1007:L1007"/>
    <mergeCell ref="M1007:N1007"/>
    <mergeCell ref="K1036:L1036"/>
    <mergeCell ref="M1036:N1036"/>
    <mergeCell ref="K1037:L1037"/>
    <mergeCell ref="M1037:N1037"/>
    <mergeCell ref="I1037:J1037"/>
    <mergeCell ref="I1038:J1038"/>
    <mergeCell ref="K1038:L1038"/>
    <mergeCell ref="M1038:N1038"/>
    <mergeCell ref="I1039:J1039"/>
    <mergeCell ref="K1039:L1039"/>
    <mergeCell ref="M1039:N1039"/>
    <mergeCell ref="A1025:G1025"/>
    <mergeCell ref="A1026:G1026"/>
    <mergeCell ref="A1027:G1027"/>
    <mergeCell ref="A1028:G1028"/>
    <mergeCell ref="A1029:G1029"/>
    <mergeCell ref="A1030:G1030"/>
    <mergeCell ref="I1029:J1029"/>
    <mergeCell ref="K1029:L1029"/>
    <mergeCell ref="M1029:N1029"/>
    <mergeCell ref="I1030:J1030"/>
    <mergeCell ref="K1030:L1030"/>
    <mergeCell ref="M1030:N1030"/>
    <mergeCell ref="K1031:L1031"/>
    <mergeCell ref="I1024:J1024"/>
    <mergeCell ref="K1024:L1024"/>
    <mergeCell ref="I1025:J1025"/>
    <mergeCell ref="K1025:L1025"/>
    <mergeCell ref="M1025:N1025"/>
    <mergeCell ref="K1026:L1026"/>
    <mergeCell ref="M1026:N1026"/>
    <mergeCell ref="I1026:J1026"/>
    <mergeCell ref="I1027:J1027"/>
    <mergeCell ref="K1027:L1027"/>
    <mergeCell ref="M1027:N1027"/>
    <mergeCell ref="I1028:J1028"/>
    <mergeCell ref="K1028:L1028"/>
    <mergeCell ref="M1028:N1028"/>
    <mergeCell ref="K1040:L1040"/>
    <mergeCell ref="M1040:N1040"/>
    <mergeCell ref="A1042:N1042"/>
    <mergeCell ref="A1035:G1035"/>
    <mergeCell ref="A1036:G1036"/>
    <mergeCell ref="A1037:G1037"/>
    <mergeCell ref="A1038:G1038"/>
    <mergeCell ref="A1039:G1039"/>
    <mergeCell ref="M1031:N1031"/>
    <mergeCell ref="A1033:N1033"/>
    <mergeCell ref="A1034:G1034"/>
    <mergeCell ref="I1034:J1034"/>
    <mergeCell ref="K1034:L1034"/>
    <mergeCell ref="M1034:N1034"/>
    <mergeCell ref="M1035:N1035"/>
    <mergeCell ref="I1035:J1035"/>
    <mergeCell ref="K1035:L1035"/>
    <mergeCell ref="I1036:J1036"/>
    <mergeCell ref="I1047:J1047"/>
    <mergeCell ref="K1047:L1047"/>
    <mergeCell ref="M1047:N1047"/>
    <mergeCell ref="A1048:G1048"/>
    <mergeCell ref="I1048:J1048"/>
    <mergeCell ref="M1057:N1057"/>
    <mergeCell ref="K1058:L1058"/>
    <mergeCell ref="M1058:N1058"/>
    <mergeCell ref="A1060:N1061"/>
    <mergeCell ref="A1065:N1065"/>
    <mergeCell ref="A1066:G1066"/>
    <mergeCell ref="A1067:G1067"/>
    <mergeCell ref="I1056:J1056"/>
    <mergeCell ref="M1056:N1056"/>
    <mergeCell ref="I1057:J1057"/>
    <mergeCell ref="I1046:J1046"/>
    <mergeCell ref="K1046:L1046"/>
    <mergeCell ref="M1046:N1046"/>
    <mergeCell ref="K1048:L1048"/>
    <mergeCell ref="I1066:J1066"/>
    <mergeCell ref="I1067:J1067"/>
    <mergeCell ref="K1067:L1067"/>
    <mergeCell ref="M1067:N1067"/>
    <mergeCell ref="I1043:J1043"/>
    <mergeCell ref="I1044:J1044"/>
    <mergeCell ref="K1044:L1044"/>
    <mergeCell ref="M1044:N1044"/>
    <mergeCell ref="A1054:G1054"/>
    <mergeCell ref="A1055:G1055"/>
    <mergeCell ref="A1056:G1056"/>
    <mergeCell ref="A1057:G1057"/>
    <mergeCell ref="A1051:N1051"/>
    <mergeCell ref="A1052:G1052"/>
    <mergeCell ref="I1052:J1052"/>
    <mergeCell ref="M1052:N1052"/>
    <mergeCell ref="A1053:G1053"/>
    <mergeCell ref="M1053:N1053"/>
    <mergeCell ref="M1054:N1054"/>
    <mergeCell ref="I1053:J1053"/>
    <mergeCell ref="I1054:J1054"/>
    <mergeCell ref="I1055:J1055"/>
    <mergeCell ref="M1055:N1055"/>
    <mergeCell ref="A1043:G1043"/>
    <mergeCell ref="K1043:L1043"/>
    <mergeCell ref="M1043:N1043"/>
    <mergeCell ref="A1044:G1044"/>
    <mergeCell ref="A1045:G1045"/>
    <mergeCell ref="I1045:J1045"/>
    <mergeCell ref="K1045:L1045"/>
    <mergeCell ref="M1045:N1045"/>
    <mergeCell ref="M1048:N1048"/>
    <mergeCell ref="K1049:L1049"/>
    <mergeCell ref="M1049:N1049"/>
    <mergeCell ref="A1046:G1046"/>
    <mergeCell ref="A1047:G1047"/>
    <mergeCell ref="I1088:J1088"/>
    <mergeCell ref="K1088:L1088"/>
    <mergeCell ref="M1088:N1088"/>
    <mergeCell ref="M1089:N1089"/>
    <mergeCell ref="I1077:J1077"/>
    <mergeCell ref="I1078:J1078"/>
    <mergeCell ref="K1078:L1078"/>
    <mergeCell ref="M1078:N1078"/>
    <mergeCell ref="A1075:N1075"/>
    <mergeCell ref="A1076:G1076"/>
    <mergeCell ref="I1076:J1076"/>
    <mergeCell ref="K1076:L1076"/>
    <mergeCell ref="M1076:N1076"/>
    <mergeCell ref="A1077:G1077"/>
    <mergeCell ref="A1078:G1078"/>
    <mergeCell ref="A1079:G1079"/>
    <mergeCell ref="I1079:J1079"/>
    <mergeCell ref="K1079:L1079"/>
    <mergeCell ref="M1079:N1079"/>
    <mergeCell ref="A1089:G1089"/>
    <mergeCell ref="A1087:G1087"/>
    <mergeCell ref="I1089:J1089"/>
    <mergeCell ref="K1089:L1089"/>
    <mergeCell ref="I1087:J1087"/>
    <mergeCell ref="A1088:G1088"/>
    <mergeCell ref="K1071:L1071"/>
    <mergeCell ref="M1071:N1071"/>
    <mergeCell ref="I1071:J1071"/>
    <mergeCell ref="I1072:J1072"/>
    <mergeCell ref="K1072:L1072"/>
    <mergeCell ref="M1072:N1072"/>
    <mergeCell ref="K1066:L1066"/>
    <mergeCell ref="M1066:N1066"/>
    <mergeCell ref="A1068:G1068"/>
    <mergeCell ref="A1081:G1081"/>
    <mergeCell ref="I1081:J1081"/>
    <mergeCell ref="K1081:L1081"/>
    <mergeCell ref="M1081:N1081"/>
    <mergeCell ref="K1082:L1082"/>
    <mergeCell ref="M1082:N1082"/>
    <mergeCell ref="K1086:L1086"/>
    <mergeCell ref="M1086:N1086"/>
    <mergeCell ref="K1085:L1085"/>
    <mergeCell ref="M1085:N1085"/>
    <mergeCell ref="A1086:G1086"/>
    <mergeCell ref="I1086:J1086"/>
    <mergeCell ref="I1080:J1080"/>
    <mergeCell ref="K1080:L1080"/>
    <mergeCell ref="M1080:N1080"/>
    <mergeCell ref="A1080:G1080"/>
    <mergeCell ref="I1068:J1068"/>
    <mergeCell ref="K1068:L1068"/>
    <mergeCell ref="M1068:N1068"/>
    <mergeCell ref="I1069:J1069"/>
    <mergeCell ref="I1099:J1099"/>
    <mergeCell ref="K1108:L1108"/>
    <mergeCell ref="M1108:N1108"/>
    <mergeCell ref="I1108:J1108"/>
    <mergeCell ref="K1069:L1069"/>
    <mergeCell ref="M1069:N1069"/>
    <mergeCell ref="A1069:G1069"/>
    <mergeCell ref="A1070:G1070"/>
    <mergeCell ref="I1070:J1070"/>
    <mergeCell ref="K1070:L1070"/>
    <mergeCell ref="M1070:N1070"/>
    <mergeCell ref="A1071:G1071"/>
    <mergeCell ref="A1072:G1072"/>
    <mergeCell ref="I1109:J1109"/>
    <mergeCell ref="K1109:L1109"/>
    <mergeCell ref="M1109:N1109"/>
    <mergeCell ref="M1099:N1099"/>
    <mergeCell ref="K1100:L1100"/>
    <mergeCell ref="M1100:N1100"/>
    <mergeCell ref="A1102:N1103"/>
    <mergeCell ref="A1107:N1107"/>
    <mergeCell ref="A1108:G1108"/>
    <mergeCell ref="A1109:G1109"/>
    <mergeCell ref="K1073:L1073"/>
    <mergeCell ref="M1073:N1073"/>
    <mergeCell ref="K1077:L1077"/>
    <mergeCell ref="M1077:N1077"/>
    <mergeCell ref="K1087:L1087"/>
    <mergeCell ref="M1087:N1087"/>
    <mergeCell ref="A1084:N1084"/>
    <mergeCell ref="A1085:G1085"/>
    <mergeCell ref="I1085:J1085"/>
    <mergeCell ref="A1211:G1211"/>
    <mergeCell ref="I1211:J1211"/>
    <mergeCell ref="K1211:L1211"/>
    <mergeCell ref="M1211:N1211"/>
    <mergeCell ref="K1212:L1212"/>
    <mergeCell ref="M1212:N1212"/>
    <mergeCell ref="K1216:L1216"/>
    <mergeCell ref="M1216:N1216"/>
    <mergeCell ref="A1219:G1219"/>
    <mergeCell ref="A1090:G1090"/>
    <mergeCell ref="I1090:J1090"/>
    <mergeCell ref="K1090:L1090"/>
    <mergeCell ref="M1090:N1090"/>
    <mergeCell ref="K1091:L1091"/>
    <mergeCell ref="M1091:N1091"/>
    <mergeCell ref="A1096:G1096"/>
    <mergeCell ref="A1097:G1097"/>
    <mergeCell ref="A1098:G1098"/>
    <mergeCell ref="A1099:G1099"/>
    <mergeCell ref="A1093:N1093"/>
    <mergeCell ref="A1094:G1094"/>
    <mergeCell ref="I1094:J1094"/>
    <mergeCell ref="M1094:N1094"/>
    <mergeCell ref="A1095:G1095"/>
    <mergeCell ref="M1095:N1095"/>
    <mergeCell ref="M1096:N1096"/>
    <mergeCell ref="I1095:J1095"/>
    <mergeCell ref="I1096:J1096"/>
    <mergeCell ref="I1097:J1097"/>
    <mergeCell ref="M1097:N1097"/>
    <mergeCell ref="I1098:J1098"/>
    <mergeCell ref="M1098:N1098"/>
    <mergeCell ref="I1207:J1207"/>
    <mergeCell ref="I1208:J1208"/>
    <mergeCell ref="K1208:L1208"/>
    <mergeCell ref="M1208:N1208"/>
    <mergeCell ref="A1205:N1205"/>
    <mergeCell ref="A1206:G1206"/>
    <mergeCell ref="I1206:J1206"/>
    <mergeCell ref="K1206:L1206"/>
    <mergeCell ref="M1206:N1206"/>
    <mergeCell ref="A1207:G1207"/>
    <mergeCell ref="A1208:G1208"/>
    <mergeCell ref="A1209:G1209"/>
    <mergeCell ref="I1209:J1209"/>
    <mergeCell ref="K1209:L1209"/>
    <mergeCell ref="M1209:N1209"/>
    <mergeCell ref="I1210:J1210"/>
    <mergeCell ref="K1210:L1210"/>
    <mergeCell ref="M1210:N1210"/>
    <mergeCell ref="A1210:G1210"/>
    <mergeCell ref="K1238:L1238"/>
    <mergeCell ref="M1238:N1238"/>
    <mergeCell ref="I1238:J1238"/>
    <mergeCell ref="I1239:J1239"/>
    <mergeCell ref="K1239:L1239"/>
    <mergeCell ref="M1239:N1239"/>
    <mergeCell ref="M1229:N1229"/>
    <mergeCell ref="K1230:L1230"/>
    <mergeCell ref="M1230:N1230"/>
    <mergeCell ref="A1232:N1233"/>
    <mergeCell ref="A1237:N1237"/>
    <mergeCell ref="A1238:G1238"/>
    <mergeCell ref="A1239:G1239"/>
    <mergeCell ref="K1217:L1217"/>
    <mergeCell ref="M1217:N1217"/>
    <mergeCell ref="A1214:N1214"/>
    <mergeCell ref="A1215:G1215"/>
    <mergeCell ref="I1215:J1215"/>
    <mergeCell ref="K1215:L1215"/>
    <mergeCell ref="M1215:N1215"/>
    <mergeCell ref="A1216:G1216"/>
    <mergeCell ref="A1217:G1217"/>
    <mergeCell ref="I1219:J1219"/>
    <mergeCell ref="K1219:L1219"/>
    <mergeCell ref="I1216:J1216"/>
    <mergeCell ref="I1217:J1217"/>
    <mergeCell ref="A1218:G1218"/>
    <mergeCell ref="I1218:J1218"/>
    <mergeCell ref="K1218:L1218"/>
    <mergeCell ref="M1218:N1218"/>
    <mergeCell ref="M1219:N1219"/>
    <mergeCell ref="A1220:G1220"/>
    <mergeCell ref="I1220:J1220"/>
    <mergeCell ref="K1220:L1220"/>
    <mergeCell ref="M1220:N1220"/>
    <mergeCell ref="K1221:L1221"/>
    <mergeCell ref="M1221:N1221"/>
    <mergeCell ref="A1226:G1226"/>
    <mergeCell ref="A1227:G1227"/>
    <mergeCell ref="A1228:G1228"/>
    <mergeCell ref="A1229:G1229"/>
    <mergeCell ref="A1223:N1223"/>
    <mergeCell ref="A1224:G1224"/>
    <mergeCell ref="I1224:J1224"/>
    <mergeCell ref="M1224:N1224"/>
    <mergeCell ref="A1225:G1225"/>
    <mergeCell ref="M1225:N1225"/>
    <mergeCell ref="M1226:N1226"/>
    <mergeCell ref="I1225:J1225"/>
    <mergeCell ref="I1226:J1226"/>
    <mergeCell ref="I1227:J1227"/>
    <mergeCell ref="M1227:N1227"/>
    <mergeCell ref="I1228:J1228"/>
    <mergeCell ref="M1228:N1228"/>
    <mergeCell ref="I1229:J1229"/>
    <mergeCell ref="A1249:N1249"/>
    <mergeCell ref="A1250:G1250"/>
    <mergeCell ref="I1250:J1250"/>
    <mergeCell ref="K1250:L1250"/>
    <mergeCell ref="M1250:N1250"/>
    <mergeCell ref="M1251:N1251"/>
    <mergeCell ref="K1260:L1260"/>
    <mergeCell ref="M1260:N1260"/>
    <mergeCell ref="K1256:L1256"/>
    <mergeCell ref="M1256:N1256"/>
    <mergeCell ref="A1258:N1258"/>
    <mergeCell ref="A1259:G1259"/>
    <mergeCell ref="K1259:L1259"/>
    <mergeCell ref="M1259:N1259"/>
    <mergeCell ref="A1260:G1260"/>
    <mergeCell ref="I1262:J1262"/>
    <mergeCell ref="K1262:L1262"/>
    <mergeCell ref="I1259:J1259"/>
    <mergeCell ref="I1260:J1260"/>
    <mergeCell ref="A1261:G1261"/>
    <mergeCell ref="I1261:J1261"/>
    <mergeCell ref="K1261:L1261"/>
    <mergeCell ref="M1261:N1261"/>
    <mergeCell ref="M1262:N1262"/>
    <mergeCell ref="A1251:G1251"/>
    <mergeCell ref="A1252:G1252"/>
    <mergeCell ref="A1253:G1253"/>
    <mergeCell ref="A1254:G1254"/>
    <mergeCell ref="A1255:G1255"/>
    <mergeCell ref="I1251:J1251"/>
    <mergeCell ref="K1251:L1251"/>
    <mergeCell ref="I1252:J1252"/>
    <mergeCell ref="A1240:G1240"/>
    <mergeCell ref="I1240:J1240"/>
    <mergeCell ref="K1240:L1240"/>
    <mergeCell ref="M1240:N1240"/>
    <mergeCell ref="I1241:J1241"/>
    <mergeCell ref="K1241:L1241"/>
    <mergeCell ref="M1241:N1241"/>
    <mergeCell ref="K1243:L1243"/>
    <mergeCell ref="M1243:N1243"/>
    <mergeCell ref="I1243:J1243"/>
    <mergeCell ref="I1244:J1244"/>
    <mergeCell ref="K1244:L1244"/>
    <mergeCell ref="M1244:N1244"/>
    <mergeCell ref="K1247:L1247"/>
    <mergeCell ref="M1247:N1247"/>
    <mergeCell ref="A1241:G1241"/>
    <mergeCell ref="A1242:G1242"/>
    <mergeCell ref="I1242:J1242"/>
    <mergeCell ref="K1242:L1242"/>
    <mergeCell ref="M1242:N1242"/>
    <mergeCell ref="A1243:G1243"/>
    <mergeCell ref="A1244:G1244"/>
    <mergeCell ref="A1245:G1245"/>
    <mergeCell ref="I1245:J1245"/>
    <mergeCell ref="K1245:L1245"/>
    <mergeCell ref="M1245:N1245"/>
    <mergeCell ref="I1246:J1246"/>
    <mergeCell ref="K1246:L1246"/>
    <mergeCell ref="M1246:N1246"/>
    <mergeCell ref="A1246:G1246"/>
    <mergeCell ref="A1262:G1262"/>
    <mergeCell ref="A1263:G1263"/>
    <mergeCell ref="I1263:J1263"/>
    <mergeCell ref="K1263:L1263"/>
    <mergeCell ref="M1263:N1263"/>
    <mergeCell ref="A1264:G1264"/>
    <mergeCell ref="I1264:J1264"/>
    <mergeCell ref="I1269:J1269"/>
    <mergeCell ref="K1264:L1264"/>
    <mergeCell ref="M1264:N1264"/>
    <mergeCell ref="K1265:L1265"/>
    <mergeCell ref="M1265:N1265"/>
    <mergeCell ref="K1252:L1252"/>
    <mergeCell ref="M1252:N1252"/>
    <mergeCell ref="K1253:L1253"/>
    <mergeCell ref="M1253:N1253"/>
    <mergeCell ref="I1253:J1253"/>
    <mergeCell ref="I1254:J1254"/>
    <mergeCell ref="K1254:L1254"/>
    <mergeCell ref="M1254:N1254"/>
    <mergeCell ref="I1255:J1255"/>
    <mergeCell ref="K1255:L1255"/>
    <mergeCell ref="M1255:N1255"/>
    <mergeCell ref="I1270:J1270"/>
    <mergeCell ref="A1267:N1267"/>
    <mergeCell ref="A1268:G1268"/>
    <mergeCell ref="I1268:J1268"/>
    <mergeCell ref="M1268:N1268"/>
    <mergeCell ref="A1269:G1269"/>
    <mergeCell ref="M1269:N1269"/>
    <mergeCell ref="M1270:N1270"/>
    <mergeCell ref="A1270:G1270"/>
    <mergeCell ref="K1293:L1293"/>
    <mergeCell ref="M1293:N1293"/>
    <mergeCell ref="K1297:L1297"/>
    <mergeCell ref="M1297:N1297"/>
    <mergeCell ref="K1301:L1301"/>
    <mergeCell ref="M1301:N1301"/>
    <mergeCell ref="A1304:G1304"/>
    <mergeCell ref="I1294:J1294"/>
    <mergeCell ref="K1294:L1294"/>
    <mergeCell ref="M1294:N1294"/>
    <mergeCell ref="I1295:J1295"/>
    <mergeCell ref="I1301:J1301"/>
    <mergeCell ref="I1302:J1302"/>
    <mergeCell ref="K1292:L1292"/>
    <mergeCell ref="M1292:N1292"/>
    <mergeCell ref="A1271:G1271"/>
    <mergeCell ref="I1271:J1271"/>
    <mergeCell ref="M1271:N1271"/>
    <mergeCell ref="A1272:G1272"/>
    <mergeCell ref="M1272:N1272"/>
    <mergeCell ref="M1273:N1273"/>
    <mergeCell ref="I1282:J1282"/>
    <mergeCell ref="A1273:G1273"/>
    <mergeCell ref="A1276:N1277"/>
    <mergeCell ref="A1281:N1281"/>
    <mergeCell ref="A1282:G1282"/>
    <mergeCell ref="K1282:L1282"/>
    <mergeCell ref="M1282:N1282"/>
    <mergeCell ref="A1283:G1283"/>
    <mergeCell ref="K1286:L1286"/>
    <mergeCell ref="M1286:N1286"/>
    <mergeCell ref="A1287:G1287"/>
    <mergeCell ref="I1287:J1287"/>
    <mergeCell ref="I1300:J1300"/>
    <mergeCell ref="K1300:L1300"/>
    <mergeCell ref="M1300:N1300"/>
    <mergeCell ref="A1301:G1301"/>
    <mergeCell ref="A1290:N1290"/>
    <mergeCell ref="A1291:G1291"/>
    <mergeCell ref="I1291:J1291"/>
    <mergeCell ref="K1291:L1291"/>
    <mergeCell ref="M1291:N1291"/>
    <mergeCell ref="A1292:G1292"/>
    <mergeCell ref="A1293:G1293"/>
    <mergeCell ref="A1294:G1294"/>
    <mergeCell ref="K1295:L1295"/>
    <mergeCell ref="M1295:N1295"/>
    <mergeCell ref="A1295:G1295"/>
    <mergeCell ref="A1296:G1296"/>
    <mergeCell ref="I1296:J1296"/>
    <mergeCell ref="K1296:L1296"/>
    <mergeCell ref="M1296:N1296"/>
    <mergeCell ref="I1292:J1292"/>
    <mergeCell ref="I1293:J1293"/>
    <mergeCell ref="M1325:N1325"/>
    <mergeCell ref="I1325:J1325"/>
    <mergeCell ref="M1323:N1323"/>
    <mergeCell ref="I1323:J1323"/>
    <mergeCell ref="K1323:L1323"/>
    <mergeCell ref="A1316:N1317"/>
    <mergeCell ref="A1321:N1321"/>
    <mergeCell ref="A1322:G1322"/>
    <mergeCell ref="I1322:J1322"/>
    <mergeCell ref="K1322:L1322"/>
    <mergeCell ref="M1322:N1322"/>
    <mergeCell ref="I1272:J1272"/>
    <mergeCell ref="I1273:J1273"/>
    <mergeCell ref="K1274:L1274"/>
    <mergeCell ref="M1274:N1274"/>
    <mergeCell ref="A1284:G1284"/>
    <mergeCell ref="I1284:J1284"/>
    <mergeCell ref="K1284:L1284"/>
    <mergeCell ref="M1284:N1284"/>
    <mergeCell ref="I1285:J1285"/>
    <mergeCell ref="K1285:L1285"/>
    <mergeCell ref="M1285:N1285"/>
    <mergeCell ref="K1287:L1287"/>
    <mergeCell ref="M1287:N1287"/>
    <mergeCell ref="K1288:L1288"/>
    <mergeCell ref="M1288:N1288"/>
    <mergeCell ref="A1285:G1285"/>
    <mergeCell ref="A1286:G1286"/>
    <mergeCell ref="I1286:J1286"/>
    <mergeCell ref="I1283:J1283"/>
    <mergeCell ref="K1283:L1283"/>
    <mergeCell ref="M1283:N1283"/>
    <mergeCell ref="A1302:G1302"/>
    <mergeCell ref="A1303:G1303"/>
    <mergeCell ref="I1303:J1303"/>
    <mergeCell ref="K1303:L1303"/>
    <mergeCell ref="M1303:N1303"/>
    <mergeCell ref="I1304:J1304"/>
    <mergeCell ref="K1304:L1304"/>
    <mergeCell ref="M1304:N1304"/>
    <mergeCell ref="I1311:J1311"/>
    <mergeCell ref="I1312:J1312"/>
    <mergeCell ref="K1302:L1302"/>
    <mergeCell ref="M1302:N1302"/>
    <mergeCell ref="K1305:L1305"/>
    <mergeCell ref="M1305:N1305"/>
    <mergeCell ref="A1299:N1299"/>
    <mergeCell ref="A1300:G1300"/>
    <mergeCell ref="A1339:G1339"/>
    <mergeCell ref="I1339:J1339"/>
    <mergeCell ref="K1339:L1339"/>
    <mergeCell ref="M1339:N1339"/>
    <mergeCell ref="K1326:L1326"/>
    <mergeCell ref="M1326:N1326"/>
    <mergeCell ref="A1323:G1323"/>
    <mergeCell ref="A1324:G1324"/>
    <mergeCell ref="I1324:J1324"/>
    <mergeCell ref="K1324:L1324"/>
    <mergeCell ref="M1324:N1324"/>
    <mergeCell ref="A1325:G1325"/>
    <mergeCell ref="A1326:G1326"/>
    <mergeCell ref="I1313:J1313"/>
    <mergeCell ref="M1313:N1313"/>
    <mergeCell ref="K1314:L1314"/>
    <mergeCell ref="A1343:G1343"/>
    <mergeCell ref="I1343:J1343"/>
    <mergeCell ref="K1343:L1343"/>
    <mergeCell ref="M1343:N1343"/>
    <mergeCell ref="A1307:N1307"/>
    <mergeCell ref="A1308:G1308"/>
    <mergeCell ref="I1308:J1308"/>
    <mergeCell ref="M1308:N1308"/>
    <mergeCell ref="I1309:J1309"/>
    <mergeCell ref="M1309:N1309"/>
    <mergeCell ref="A1309:G1309"/>
    <mergeCell ref="A1310:G1310"/>
    <mergeCell ref="I1310:J1310"/>
    <mergeCell ref="M1310:N1310"/>
    <mergeCell ref="A1311:G1311"/>
    <mergeCell ref="A1333:N1333"/>
    <mergeCell ref="A1334:G1334"/>
    <mergeCell ref="I1334:J1334"/>
    <mergeCell ref="K1334:L1334"/>
    <mergeCell ref="M1334:N1334"/>
    <mergeCell ref="A1335:G1335"/>
    <mergeCell ref="A1327:G1327"/>
    <mergeCell ref="I1327:J1327"/>
    <mergeCell ref="K1327:L1327"/>
    <mergeCell ref="M1327:N1327"/>
    <mergeCell ref="M1311:N1311"/>
    <mergeCell ref="M1312:N1312"/>
    <mergeCell ref="I1326:J1326"/>
    <mergeCell ref="M1314:N1314"/>
    <mergeCell ref="A1312:G1312"/>
    <mergeCell ref="A1313:G1313"/>
    <mergeCell ref="K1325:L1325"/>
    <mergeCell ref="K1345:L1345"/>
    <mergeCell ref="M1345:N1345"/>
    <mergeCell ref="A1342:N1342"/>
    <mergeCell ref="A1344:G1344"/>
    <mergeCell ref="A1345:G1345"/>
    <mergeCell ref="I1347:J1347"/>
    <mergeCell ref="K1347:L1347"/>
    <mergeCell ref="I1344:J1344"/>
    <mergeCell ref="I1345:J1345"/>
    <mergeCell ref="A1346:G1346"/>
    <mergeCell ref="I1346:J1346"/>
    <mergeCell ref="K1346:L1346"/>
    <mergeCell ref="M1346:N1346"/>
    <mergeCell ref="M1347:N1347"/>
    <mergeCell ref="I1335:J1335"/>
    <mergeCell ref="I1336:J1336"/>
    <mergeCell ref="K1336:L1336"/>
    <mergeCell ref="M1336:N1336"/>
    <mergeCell ref="K1340:L1340"/>
    <mergeCell ref="M1340:N1340"/>
    <mergeCell ref="K1344:L1344"/>
    <mergeCell ref="M1344:N1344"/>
    <mergeCell ref="A1347:G1347"/>
    <mergeCell ref="A1336:G1336"/>
    <mergeCell ref="A1337:G1337"/>
    <mergeCell ref="I1337:J1337"/>
    <mergeCell ref="K1337:L1337"/>
    <mergeCell ref="M1337:N1337"/>
    <mergeCell ref="I1338:J1338"/>
    <mergeCell ref="K1338:L1338"/>
    <mergeCell ref="M1338:N1338"/>
    <mergeCell ref="A1338:G1338"/>
    <mergeCell ref="I1369:J1369"/>
    <mergeCell ref="K1369:L1369"/>
    <mergeCell ref="M1369:N1369"/>
    <mergeCell ref="K1371:L1371"/>
    <mergeCell ref="M1371:N1371"/>
    <mergeCell ref="I1371:J1371"/>
    <mergeCell ref="I1372:J1372"/>
    <mergeCell ref="K1372:L1372"/>
    <mergeCell ref="M1372:N1372"/>
    <mergeCell ref="K1375:L1375"/>
    <mergeCell ref="M1375:N1375"/>
    <mergeCell ref="A1369:G1369"/>
    <mergeCell ref="A1370:G1370"/>
    <mergeCell ref="I1370:J1370"/>
    <mergeCell ref="K1370:L1370"/>
    <mergeCell ref="M1370:N1370"/>
    <mergeCell ref="I1328:J1328"/>
    <mergeCell ref="K1328:L1328"/>
    <mergeCell ref="M1328:N1328"/>
    <mergeCell ref="K1330:L1330"/>
    <mergeCell ref="M1330:N1330"/>
    <mergeCell ref="K1331:L1331"/>
    <mergeCell ref="M1331:N1331"/>
    <mergeCell ref="A1328:G1328"/>
    <mergeCell ref="A1329:G1329"/>
    <mergeCell ref="I1329:J1329"/>
    <mergeCell ref="K1329:L1329"/>
    <mergeCell ref="M1329:N1329"/>
    <mergeCell ref="A1330:G1330"/>
    <mergeCell ref="I1330:J1330"/>
    <mergeCell ref="K1335:L1335"/>
    <mergeCell ref="M1335:N1335"/>
    <mergeCell ref="K1366:L1366"/>
    <mergeCell ref="M1366:N1366"/>
    <mergeCell ref="I1366:J1366"/>
    <mergeCell ref="I1367:J1367"/>
    <mergeCell ref="K1367:L1367"/>
    <mergeCell ref="M1367:N1367"/>
    <mergeCell ref="M1357:N1357"/>
    <mergeCell ref="K1358:L1358"/>
    <mergeCell ref="M1358:N1358"/>
    <mergeCell ref="A1360:N1361"/>
    <mergeCell ref="A1365:N1365"/>
    <mergeCell ref="A1366:G1366"/>
    <mergeCell ref="A1367:G1367"/>
    <mergeCell ref="A1368:G1368"/>
    <mergeCell ref="I1368:J1368"/>
    <mergeCell ref="K1368:L1368"/>
    <mergeCell ref="M1368:N1368"/>
    <mergeCell ref="A1348:G1348"/>
    <mergeCell ref="I1348:J1348"/>
    <mergeCell ref="K1348:L1348"/>
    <mergeCell ref="M1348:N1348"/>
    <mergeCell ref="K1349:L1349"/>
    <mergeCell ref="M1349:N1349"/>
    <mergeCell ref="A1354:G1354"/>
    <mergeCell ref="A1355:G1355"/>
    <mergeCell ref="A1356:G1356"/>
    <mergeCell ref="A1357:G1357"/>
    <mergeCell ref="A1351:N1351"/>
    <mergeCell ref="A1352:G1352"/>
    <mergeCell ref="I1352:J1352"/>
    <mergeCell ref="M1352:N1352"/>
    <mergeCell ref="A1353:G1353"/>
    <mergeCell ref="M1353:N1353"/>
    <mergeCell ref="M1354:N1354"/>
    <mergeCell ref="I1353:J1353"/>
    <mergeCell ref="I1354:J1354"/>
    <mergeCell ref="I1355:J1355"/>
    <mergeCell ref="M1355:N1355"/>
    <mergeCell ref="I1356:J1356"/>
    <mergeCell ref="M1356:N1356"/>
    <mergeCell ref="I1357:J1357"/>
    <mergeCell ref="A1386:N1386"/>
    <mergeCell ref="A1387:G1387"/>
    <mergeCell ref="K1387:L1387"/>
    <mergeCell ref="M1387:N1387"/>
    <mergeCell ref="A1388:G1388"/>
    <mergeCell ref="I1390:J1390"/>
    <mergeCell ref="K1390:L1390"/>
    <mergeCell ref="I1387:J1387"/>
    <mergeCell ref="I1388:J1388"/>
    <mergeCell ref="A1389:G1389"/>
    <mergeCell ref="I1389:J1389"/>
    <mergeCell ref="K1389:L1389"/>
    <mergeCell ref="M1389:N1389"/>
    <mergeCell ref="M1390:N1390"/>
    <mergeCell ref="K1392:L1392"/>
    <mergeCell ref="M1392:N1392"/>
    <mergeCell ref="K1393:L1393"/>
    <mergeCell ref="M1393:N1393"/>
    <mergeCell ref="A1390:G1390"/>
    <mergeCell ref="A1391:G1391"/>
    <mergeCell ref="I1391:J1391"/>
    <mergeCell ref="K1391:L1391"/>
    <mergeCell ref="M1391:N1391"/>
    <mergeCell ref="A1392:G1392"/>
    <mergeCell ref="I1392:J1392"/>
    <mergeCell ref="M1378:N1378"/>
    <mergeCell ref="M1379:N1379"/>
    <mergeCell ref="I1379:J1379"/>
    <mergeCell ref="K1379:L1379"/>
    <mergeCell ref="I1380:J1380"/>
    <mergeCell ref="K1380:L1380"/>
    <mergeCell ref="M1380:N1380"/>
    <mergeCell ref="K1381:L1381"/>
    <mergeCell ref="M1381:N1381"/>
    <mergeCell ref="I1381:J1381"/>
    <mergeCell ref="I1382:J1382"/>
    <mergeCell ref="K1382:L1382"/>
    <mergeCell ref="M1382:N1382"/>
    <mergeCell ref="I1383:J1383"/>
    <mergeCell ref="K1383:L1383"/>
    <mergeCell ref="M1383:N1383"/>
    <mergeCell ref="K1384:L1384"/>
    <mergeCell ref="M1384:N1384"/>
    <mergeCell ref="I1436:J1436"/>
    <mergeCell ref="M1435:N1435"/>
    <mergeCell ref="K1410:L1410"/>
    <mergeCell ref="M1410:N1410"/>
    <mergeCell ref="A1411:G1411"/>
    <mergeCell ref="K1415:L1415"/>
    <mergeCell ref="M1415:N1415"/>
    <mergeCell ref="I1415:J1415"/>
    <mergeCell ref="I1416:J1416"/>
    <mergeCell ref="I1418:J1418"/>
    <mergeCell ref="K1418:L1418"/>
    <mergeCell ref="K1419:L1419"/>
    <mergeCell ref="M1419:N1419"/>
    <mergeCell ref="A1371:G1371"/>
    <mergeCell ref="A1372:G1372"/>
    <mergeCell ref="A1379:G1379"/>
    <mergeCell ref="A1380:G1380"/>
    <mergeCell ref="A1381:G1381"/>
    <mergeCell ref="A1382:G1382"/>
    <mergeCell ref="A1383:G1383"/>
    <mergeCell ref="A1373:G1373"/>
    <mergeCell ref="I1373:J1373"/>
    <mergeCell ref="K1373:L1373"/>
    <mergeCell ref="M1373:N1373"/>
    <mergeCell ref="I1374:J1374"/>
    <mergeCell ref="K1374:L1374"/>
    <mergeCell ref="M1374:N1374"/>
    <mergeCell ref="A1374:G1374"/>
    <mergeCell ref="A1377:N1377"/>
    <mergeCell ref="A1378:G1378"/>
    <mergeCell ref="I1378:J1378"/>
    <mergeCell ref="K1378:L1378"/>
    <mergeCell ref="A1435:G1435"/>
    <mergeCell ref="I1435:J1435"/>
    <mergeCell ref="K1388:L1388"/>
    <mergeCell ref="M1388:N1388"/>
    <mergeCell ref="M1433:N1433"/>
    <mergeCell ref="I1434:J1434"/>
    <mergeCell ref="K1434:L1434"/>
    <mergeCell ref="M1434:N1434"/>
    <mergeCell ref="A1434:G1434"/>
    <mergeCell ref="I1455:J1455"/>
    <mergeCell ref="K1455:L1455"/>
    <mergeCell ref="A1448:N1449"/>
    <mergeCell ref="A1453:N1453"/>
    <mergeCell ref="A1454:G1454"/>
    <mergeCell ref="I1454:J1454"/>
    <mergeCell ref="K1454:L1454"/>
    <mergeCell ref="M1454:N1454"/>
    <mergeCell ref="M1455:N1455"/>
    <mergeCell ref="K1416:L1416"/>
    <mergeCell ref="M1416:N1416"/>
    <mergeCell ref="A1417:G1417"/>
    <mergeCell ref="I1417:J1417"/>
    <mergeCell ref="K1417:L1417"/>
    <mergeCell ref="M1417:N1417"/>
    <mergeCell ref="M1418:N1418"/>
    <mergeCell ref="A1423:G1423"/>
    <mergeCell ref="A1424:G1424"/>
    <mergeCell ref="A1425:G1425"/>
    <mergeCell ref="A1426:G1426"/>
    <mergeCell ref="A1427:G1427"/>
    <mergeCell ref="K1422:L1422"/>
    <mergeCell ref="M1422:N1422"/>
    <mergeCell ref="A1410:G1410"/>
    <mergeCell ref="K1432:L1432"/>
    <mergeCell ref="M1432:N1432"/>
    <mergeCell ref="K1428:L1428"/>
    <mergeCell ref="M1428:N1428"/>
    <mergeCell ref="A1430:N1430"/>
    <mergeCell ref="A1431:G1431"/>
    <mergeCell ref="K1431:L1431"/>
    <mergeCell ref="M1431:N1431"/>
    <mergeCell ref="A1432:G1432"/>
    <mergeCell ref="I1400:J1400"/>
    <mergeCell ref="I1401:J1401"/>
    <mergeCell ref="K1402:L1402"/>
    <mergeCell ref="M1402:N1402"/>
    <mergeCell ref="A1418:G1418"/>
    <mergeCell ref="A1421:N1421"/>
    <mergeCell ref="A1422:G1422"/>
    <mergeCell ref="I1422:J1422"/>
    <mergeCell ref="I1431:J1431"/>
    <mergeCell ref="I1432:J1432"/>
    <mergeCell ref="A1412:G1412"/>
    <mergeCell ref="I1412:J1412"/>
    <mergeCell ref="K1412:L1412"/>
    <mergeCell ref="M1412:N1412"/>
    <mergeCell ref="I1413:J1413"/>
    <mergeCell ref="K1413:L1413"/>
    <mergeCell ref="M1413:N1413"/>
    <mergeCell ref="A1413:G1413"/>
    <mergeCell ref="A1414:G1414"/>
    <mergeCell ref="I1414:J1414"/>
    <mergeCell ref="K1414:L1414"/>
    <mergeCell ref="M1414:N1414"/>
    <mergeCell ref="I1397:J1397"/>
    <mergeCell ref="I1398:J1398"/>
    <mergeCell ref="A1395:N1395"/>
    <mergeCell ref="A1396:G1396"/>
    <mergeCell ref="I1396:J1396"/>
    <mergeCell ref="M1396:N1396"/>
    <mergeCell ref="A1397:G1397"/>
    <mergeCell ref="M1397:N1397"/>
    <mergeCell ref="M1398:N1398"/>
    <mergeCell ref="M1461:N1461"/>
    <mergeCell ref="A1455:G1455"/>
    <mergeCell ref="A1456:G1456"/>
    <mergeCell ref="I1456:J1456"/>
    <mergeCell ref="K1456:L1456"/>
    <mergeCell ref="M1456:N1456"/>
    <mergeCell ref="A1398:G1398"/>
    <mergeCell ref="A1399:G1399"/>
    <mergeCell ref="I1399:J1399"/>
    <mergeCell ref="M1399:N1399"/>
    <mergeCell ref="A1400:G1400"/>
    <mergeCell ref="M1400:N1400"/>
    <mergeCell ref="M1401:N1401"/>
    <mergeCell ref="I1410:J1410"/>
    <mergeCell ref="I1411:J1411"/>
    <mergeCell ref="K1411:L1411"/>
    <mergeCell ref="M1411:N1411"/>
    <mergeCell ref="A1401:G1401"/>
    <mergeCell ref="A1404:N1405"/>
    <mergeCell ref="A1409:N1409"/>
    <mergeCell ref="A1457:G1457"/>
    <mergeCell ref="K1436:L1436"/>
    <mergeCell ref="M1436:N1436"/>
    <mergeCell ref="K1437:L1437"/>
    <mergeCell ref="M1437:N1437"/>
    <mergeCell ref="A1439:N1439"/>
    <mergeCell ref="I1440:J1440"/>
    <mergeCell ref="M1440:N1440"/>
    <mergeCell ref="A1440:G1440"/>
    <mergeCell ref="A1441:G1441"/>
    <mergeCell ref="I1441:J1441"/>
    <mergeCell ref="M1441:N1441"/>
    <mergeCell ref="A1442:G1442"/>
    <mergeCell ref="M1442:N1442"/>
    <mergeCell ref="A1443:G1443"/>
    <mergeCell ref="M1443:N1443"/>
    <mergeCell ref="A1477:G1477"/>
    <mergeCell ref="I1477:J1477"/>
    <mergeCell ref="K1477:L1477"/>
    <mergeCell ref="M1477:N1477"/>
    <mergeCell ref="I1457:J1457"/>
    <mergeCell ref="I1458:J1458"/>
    <mergeCell ref="K1458:L1458"/>
    <mergeCell ref="M1458:N1458"/>
    <mergeCell ref="I1442:J1442"/>
    <mergeCell ref="I1443:J1443"/>
    <mergeCell ref="A1444:G1444"/>
    <mergeCell ref="I1444:J1444"/>
    <mergeCell ref="M1444:N1444"/>
    <mergeCell ref="A1445:G1445"/>
    <mergeCell ref="I1445:J1445"/>
    <mergeCell ref="I1465:J1465"/>
    <mergeCell ref="M1465:N1465"/>
    <mergeCell ref="K1465:L1465"/>
    <mergeCell ref="I1466:J1466"/>
    <mergeCell ref="A1415:G1415"/>
    <mergeCell ref="A1416:G1416"/>
    <mergeCell ref="A1433:G1433"/>
    <mergeCell ref="I1433:J1433"/>
    <mergeCell ref="K1433:L1433"/>
    <mergeCell ref="M1423:N1423"/>
    <mergeCell ref="I1423:J1423"/>
    <mergeCell ref="K1423:L1423"/>
    <mergeCell ref="I1424:J1424"/>
    <mergeCell ref="K1424:L1424"/>
    <mergeCell ref="M1424:N1424"/>
    <mergeCell ref="K1425:L1425"/>
    <mergeCell ref="M1425:N1425"/>
    <mergeCell ref="I1425:J1425"/>
    <mergeCell ref="I1426:J1426"/>
    <mergeCell ref="K1426:L1426"/>
    <mergeCell ref="M1426:N1426"/>
    <mergeCell ref="I1427:J1427"/>
    <mergeCell ref="K1427:L1427"/>
    <mergeCell ref="M1427:N1427"/>
    <mergeCell ref="K1435:L1435"/>
    <mergeCell ref="I1508:J1508"/>
    <mergeCell ref="K1508:L1508"/>
    <mergeCell ref="M1508:N1508"/>
    <mergeCell ref="A1458:G1458"/>
    <mergeCell ref="A1459:G1459"/>
    <mergeCell ref="I1459:J1459"/>
    <mergeCell ref="K1459:L1459"/>
    <mergeCell ref="M1459:N1459"/>
    <mergeCell ref="I1460:J1460"/>
    <mergeCell ref="K1460:L1460"/>
    <mergeCell ref="M1460:N1460"/>
    <mergeCell ref="A1465:G1465"/>
    <mergeCell ref="A1466:G1466"/>
    <mergeCell ref="K1457:L1457"/>
    <mergeCell ref="M1457:N1457"/>
    <mergeCell ref="A1436:G1436"/>
    <mergeCell ref="I1486:J1486"/>
    <mergeCell ref="I1487:J1487"/>
    <mergeCell ref="K1488:L1488"/>
    <mergeCell ref="M1488:N1488"/>
    <mergeCell ref="A1498:G1498"/>
    <mergeCell ref="I1498:J1498"/>
    <mergeCell ref="K1498:L1498"/>
    <mergeCell ref="M1498:N1498"/>
    <mergeCell ref="I1499:J1499"/>
    <mergeCell ref="K1499:L1499"/>
    <mergeCell ref="A1490:N1491"/>
    <mergeCell ref="A1495:N1495"/>
    <mergeCell ref="A1496:G1496"/>
    <mergeCell ref="K1496:L1496"/>
    <mergeCell ref="M1496:N1496"/>
    <mergeCell ref="I1483:J1483"/>
    <mergeCell ref="I1484:J1484"/>
    <mergeCell ref="A1481:N1481"/>
    <mergeCell ref="A1482:G1482"/>
    <mergeCell ref="I1482:J1482"/>
    <mergeCell ref="M1482:N1482"/>
    <mergeCell ref="A1483:G1483"/>
    <mergeCell ref="M1483:N1483"/>
    <mergeCell ref="M1484:N1484"/>
    <mergeCell ref="A1484:G1484"/>
    <mergeCell ref="M1479:N1479"/>
    <mergeCell ref="I1478:J1478"/>
    <mergeCell ref="K1467:L1467"/>
    <mergeCell ref="M1467:N1467"/>
    <mergeCell ref="I1467:J1467"/>
    <mergeCell ref="I1468:J1468"/>
    <mergeCell ref="K1468:L1468"/>
    <mergeCell ref="M1468:N1468"/>
    <mergeCell ref="I1469:J1469"/>
    <mergeCell ref="K1469:L1469"/>
    <mergeCell ref="M1469:N1469"/>
    <mergeCell ref="A1478:G1478"/>
    <mergeCell ref="K1466:L1466"/>
    <mergeCell ref="M1466:N1466"/>
    <mergeCell ref="M1512:N1512"/>
    <mergeCell ref="A1509:G1509"/>
    <mergeCell ref="A1510:G1510"/>
    <mergeCell ref="I1510:J1510"/>
    <mergeCell ref="K1510:L1510"/>
    <mergeCell ref="M1510:N1510"/>
    <mergeCell ref="A1511:G1511"/>
    <mergeCell ref="I1511:J1511"/>
    <mergeCell ref="K1478:L1478"/>
    <mergeCell ref="M1478:N1478"/>
    <mergeCell ref="K1479:L1479"/>
    <mergeCell ref="A1485:G1485"/>
    <mergeCell ref="I1485:J1485"/>
    <mergeCell ref="M1485:N1485"/>
    <mergeCell ref="A1486:G1486"/>
    <mergeCell ref="M1486:N1486"/>
    <mergeCell ref="M1487:N1487"/>
    <mergeCell ref="I1496:J1496"/>
    <mergeCell ref="I1497:J1497"/>
    <mergeCell ref="K1497:L1497"/>
    <mergeCell ref="M1497:N1497"/>
    <mergeCell ref="A1487:G1487"/>
    <mergeCell ref="M1499:N1499"/>
    <mergeCell ref="A1499:G1499"/>
    <mergeCell ref="A1500:G1500"/>
    <mergeCell ref="I1500:J1500"/>
    <mergeCell ref="K1500:L1500"/>
    <mergeCell ref="M1500:N1500"/>
    <mergeCell ref="A1497:G1497"/>
    <mergeCell ref="A1501:G1501"/>
    <mergeCell ref="A1502:G1502"/>
    <mergeCell ref="M1445:N1445"/>
    <mergeCell ref="K1446:L1446"/>
    <mergeCell ref="M1446:N1446"/>
    <mergeCell ref="K1474:L1474"/>
    <mergeCell ref="M1474:N1474"/>
    <mergeCell ref="K1470:L1470"/>
    <mergeCell ref="M1470:N1470"/>
    <mergeCell ref="A1472:N1472"/>
    <mergeCell ref="A1473:G1473"/>
    <mergeCell ref="K1473:L1473"/>
    <mergeCell ref="M1473:N1473"/>
    <mergeCell ref="A1474:G1474"/>
    <mergeCell ref="I1476:J1476"/>
    <mergeCell ref="K1476:L1476"/>
    <mergeCell ref="I1473:J1473"/>
    <mergeCell ref="I1474:J1474"/>
    <mergeCell ref="A1475:G1475"/>
    <mergeCell ref="I1475:J1475"/>
    <mergeCell ref="K1475:L1475"/>
    <mergeCell ref="M1475:N1475"/>
    <mergeCell ref="M1476:N1476"/>
    <mergeCell ref="A1476:G1476"/>
    <mergeCell ref="K1461:L1461"/>
    <mergeCell ref="A1467:G1467"/>
    <mergeCell ref="A1468:G1468"/>
    <mergeCell ref="A1469:G1469"/>
    <mergeCell ref="A1460:G1460"/>
    <mergeCell ref="A1463:N1463"/>
    <mergeCell ref="A1464:G1464"/>
    <mergeCell ref="I1464:J1464"/>
    <mergeCell ref="K1464:L1464"/>
    <mergeCell ref="M1464:N1464"/>
    <mergeCell ref="A1525:G1525"/>
    <mergeCell ref="M1525:N1525"/>
    <mergeCell ref="M1526:N1526"/>
    <mergeCell ref="A1526:G1526"/>
    <mergeCell ref="A1527:G1527"/>
    <mergeCell ref="A1528:G1528"/>
    <mergeCell ref="A1529:G1529"/>
    <mergeCell ref="M1516:N1516"/>
    <mergeCell ref="K1501:L1501"/>
    <mergeCell ref="M1501:N1501"/>
    <mergeCell ref="I1501:J1501"/>
    <mergeCell ref="I1502:J1502"/>
    <mergeCell ref="K1506:L1506"/>
    <mergeCell ref="M1506:N1506"/>
    <mergeCell ref="I1506:J1506"/>
    <mergeCell ref="I1507:J1507"/>
    <mergeCell ref="K1507:L1507"/>
    <mergeCell ref="M1507:N1507"/>
    <mergeCell ref="K1502:L1502"/>
    <mergeCell ref="M1502:N1502"/>
    <mergeCell ref="K1503:L1503"/>
    <mergeCell ref="M1503:N1503"/>
    <mergeCell ref="A1505:N1505"/>
    <mergeCell ref="A1506:G1506"/>
    <mergeCell ref="A1507:G1507"/>
    <mergeCell ref="A1508:G1508"/>
    <mergeCell ref="I1509:J1509"/>
    <mergeCell ref="K1509:L1509"/>
    <mergeCell ref="M1509:N1509"/>
    <mergeCell ref="K1511:L1511"/>
    <mergeCell ref="M1511:N1511"/>
    <mergeCell ref="K1512:L1512"/>
    <mergeCell ref="I2005:J2005"/>
    <mergeCell ref="K2005:L2005"/>
    <mergeCell ref="M2005:N2005"/>
    <mergeCell ref="A2006:G2006"/>
    <mergeCell ref="A2007:G2007"/>
    <mergeCell ref="I1988:J1988"/>
    <mergeCell ref="A1514:N1514"/>
    <mergeCell ref="A1515:G1515"/>
    <mergeCell ref="I1515:J1515"/>
    <mergeCell ref="K1515:L1515"/>
    <mergeCell ref="M1515:N1515"/>
    <mergeCell ref="A1516:G1516"/>
    <mergeCell ref="A1517:G1517"/>
    <mergeCell ref="A1518:G1518"/>
    <mergeCell ref="I1518:J1518"/>
    <mergeCell ref="K1518:L1518"/>
    <mergeCell ref="M1518:N1518"/>
    <mergeCell ref="I1519:J1519"/>
    <mergeCell ref="K1519:L1519"/>
    <mergeCell ref="M1519:N1519"/>
    <mergeCell ref="A1519:G1519"/>
    <mergeCell ref="A1520:G1520"/>
    <mergeCell ref="I1520:J1520"/>
    <mergeCell ref="K1520:L1520"/>
    <mergeCell ref="M1520:N1520"/>
    <mergeCell ref="K1521:L1521"/>
    <mergeCell ref="M1521:N1521"/>
    <mergeCell ref="K1516:L1516"/>
    <mergeCell ref="A1523:N1523"/>
    <mergeCell ref="A1524:G1524"/>
    <mergeCell ref="I1524:J1524"/>
    <mergeCell ref="M1524:N1524"/>
    <mergeCell ref="M1529:N1529"/>
    <mergeCell ref="K1530:L1530"/>
    <mergeCell ref="M1530:N1530"/>
    <mergeCell ref="I1525:J1525"/>
    <mergeCell ref="I1526:J1526"/>
    <mergeCell ref="I1527:J1527"/>
    <mergeCell ref="M1527:N1527"/>
    <mergeCell ref="I1528:J1528"/>
    <mergeCell ref="M1528:N1528"/>
    <mergeCell ref="I1529:J1529"/>
    <mergeCell ref="I1516:J1516"/>
    <mergeCell ref="I1517:J1517"/>
    <mergeCell ref="K1517:L1517"/>
    <mergeCell ref="M1517:N1517"/>
    <mergeCell ref="K2008:L2008"/>
    <mergeCell ref="M2008:N2008"/>
    <mergeCell ref="A1532:N1533"/>
    <mergeCell ref="A1537:N1537"/>
    <mergeCell ref="M1538:N1538"/>
    <mergeCell ref="I1538:J1538"/>
    <mergeCell ref="K1538:L1538"/>
    <mergeCell ref="I1539:J1539"/>
    <mergeCell ref="K1539:L1539"/>
    <mergeCell ref="M1539:N1539"/>
    <mergeCell ref="K1540:L1540"/>
    <mergeCell ref="M1540:N1540"/>
    <mergeCell ref="A2003:G2003"/>
    <mergeCell ref="I2003:J2003"/>
    <mergeCell ref="K2003:L2003"/>
    <mergeCell ref="M2003:N2003"/>
    <mergeCell ref="I2004:J2004"/>
    <mergeCell ref="K2004:L2004"/>
    <mergeCell ref="A2025:G2025"/>
    <mergeCell ref="I2025:J2025"/>
    <mergeCell ref="K2025:L2025"/>
    <mergeCell ref="M2025:N2025"/>
    <mergeCell ref="K2026:L2026"/>
    <mergeCell ref="K2021:L2021"/>
    <mergeCell ref="I2047:J2047"/>
    <mergeCell ref="K2047:L2047"/>
    <mergeCell ref="M2047:N2047"/>
    <mergeCell ref="A2028:N2028"/>
    <mergeCell ref="A2029:G2029"/>
    <mergeCell ref="I2029:J2029"/>
    <mergeCell ref="M2029:N2029"/>
    <mergeCell ref="A2030:G2030"/>
    <mergeCell ref="M2030:N2030"/>
    <mergeCell ref="M2031:N2031"/>
    <mergeCell ref="A2031:G2031"/>
    <mergeCell ref="A2045:G2045"/>
    <mergeCell ref="A2046:G2046"/>
    <mergeCell ref="A2047:G2047"/>
    <mergeCell ref="K2006:L2006"/>
    <mergeCell ref="M2006:N2006"/>
    <mergeCell ref="I2006:J2006"/>
    <mergeCell ref="I2007:J2007"/>
    <mergeCell ref="I2020:J2020"/>
    <mergeCell ref="K2020:L2020"/>
    <mergeCell ref="A2010:N2010"/>
    <mergeCell ref="M2004:N2004"/>
    <mergeCell ref="K2007:L2007"/>
    <mergeCell ref="M2007:N2007"/>
    <mergeCell ref="A2004:G2004"/>
    <mergeCell ref="I1989:J1989"/>
    <mergeCell ref="I1990:J1990"/>
    <mergeCell ref="M1990:N1990"/>
    <mergeCell ref="I1991:J1991"/>
    <mergeCell ref="M1991:N1991"/>
    <mergeCell ref="I1992:J1992"/>
    <mergeCell ref="K2001:L2001"/>
    <mergeCell ref="M2001:N2001"/>
    <mergeCell ref="I2001:J2001"/>
    <mergeCell ref="I2002:J2002"/>
    <mergeCell ref="K2002:L2002"/>
    <mergeCell ref="M2002:N2002"/>
    <mergeCell ref="M1992:N1992"/>
    <mergeCell ref="K1993:L1993"/>
    <mergeCell ref="M1993:N1993"/>
    <mergeCell ref="A1995:N1996"/>
    <mergeCell ref="A2000:N2000"/>
    <mergeCell ref="A2001:G2001"/>
    <mergeCell ref="A2002:G2002"/>
    <mergeCell ref="A2005:G2005"/>
    <mergeCell ref="A3167:G3167"/>
    <mergeCell ref="I3167:J3167"/>
    <mergeCell ref="K3167:L3167"/>
    <mergeCell ref="M3167:N3167"/>
    <mergeCell ref="I3168:J3168"/>
    <mergeCell ref="K3168:L3168"/>
    <mergeCell ref="M3168:N3168"/>
    <mergeCell ref="A3168:G3168"/>
    <mergeCell ref="A2011:G2011"/>
    <mergeCell ref="A2012:G2012"/>
    <mergeCell ref="K2043:L2043"/>
    <mergeCell ref="I2044:J2044"/>
    <mergeCell ref="K2044:L2044"/>
    <mergeCell ref="M2044:N2044"/>
    <mergeCell ref="K2045:L2045"/>
    <mergeCell ref="M2045:N2045"/>
    <mergeCell ref="I2045:J2045"/>
    <mergeCell ref="I2046:J2046"/>
    <mergeCell ref="K2046:L2046"/>
    <mergeCell ref="M2046:N2046"/>
    <mergeCell ref="K2011:L2011"/>
    <mergeCell ref="M2011:N2011"/>
    <mergeCell ref="I2011:J2011"/>
    <mergeCell ref="I2012:J2012"/>
    <mergeCell ref="K2012:L2012"/>
    <mergeCell ref="M2012:N2012"/>
    <mergeCell ref="I3165:J3165"/>
    <mergeCell ref="I3166:J3166"/>
    <mergeCell ref="K3166:L3166"/>
    <mergeCell ref="M3166:N3166"/>
    <mergeCell ref="A3163:N3163"/>
    <mergeCell ref="A3164:G3164"/>
    <mergeCell ref="I3164:J3164"/>
    <mergeCell ref="K3164:L3164"/>
    <mergeCell ref="M3164:N3164"/>
    <mergeCell ref="A3165:G3165"/>
    <mergeCell ref="A3166:G3166"/>
    <mergeCell ref="A2033:G2033"/>
    <mergeCell ref="A2034:G2034"/>
    <mergeCell ref="A2037:N2038"/>
    <mergeCell ref="A2042:N2042"/>
    <mergeCell ref="K2035:L2035"/>
    <mergeCell ref="M2035:N2035"/>
    <mergeCell ref="I2030:J2030"/>
    <mergeCell ref="I2031:J2031"/>
    <mergeCell ref="I2032:J2032"/>
    <mergeCell ref="I2034:J2034"/>
    <mergeCell ref="I2043:J2043"/>
    <mergeCell ref="A2052:G2052"/>
    <mergeCell ref="A2053:G2053"/>
    <mergeCell ref="I2053:J2053"/>
    <mergeCell ref="K2053:L2053"/>
    <mergeCell ref="M2094:N2094"/>
    <mergeCell ref="I2094:J2094"/>
    <mergeCell ref="M2116:N2116"/>
    <mergeCell ref="I2117:J2117"/>
    <mergeCell ref="K2174:L2174"/>
    <mergeCell ref="M2174:N2174"/>
    <mergeCell ref="I2085:J2085"/>
    <mergeCell ref="K2085:L2085"/>
    <mergeCell ref="M2085:N2085"/>
    <mergeCell ref="M2075:N2075"/>
    <mergeCell ref="K2076:L2076"/>
    <mergeCell ref="A2032:G2032"/>
    <mergeCell ref="I2095:J2095"/>
    <mergeCell ref="K2095:L2095"/>
    <mergeCell ref="A2111:N2111"/>
    <mergeCell ref="A2112:G2112"/>
    <mergeCell ref="I2112:J2112"/>
    <mergeCell ref="M2053:N2053"/>
    <mergeCell ref="M2043:N2043"/>
    <mergeCell ref="K2087:L2087"/>
    <mergeCell ref="M2087:N2087"/>
    <mergeCell ref="K2089:L2089"/>
    <mergeCell ref="M2089:N2089"/>
    <mergeCell ref="I2089:J2089"/>
    <mergeCell ref="I2090:J2090"/>
    <mergeCell ref="K2090:L2090"/>
    <mergeCell ref="M2090:N2090"/>
    <mergeCell ref="K2055:L2055"/>
    <mergeCell ref="M2055:N2055"/>
    <mergeCell ref="K2058:L2058"/>
    <mergeCell ref="A2087:G2087"/>
    <mergeCell ref="A2088:G2088"/>
    <mergeCell ref="I2088:J2088"/>
    <mergeCell ref="K2088:L2088"/>
    <mergeCell ref="M2088:N2088"/>
    <mergeCell ref="A2089:G2089"/>
    <mergeCell ref="A2090:G2090"/>
    <mergeCell ref="I2063:J2063"/>
    <mergeCell ref="K2063:L2063"/>
    <mergeCell ref="M2063:N2063"/>
    <mergeCell ref="K2064:L2064"/>
    <mergeCell ref="I2087:J2087"/>
    <mergeCell ref="I2075:J2075"/>
    <mergeCell ref="I3469:J3469"/>
    <mergeCell ref="I3470:J3470"/>
    <mergeCell ref="K3471:L3471"/>
    <mergeCell ref="M3471:N3471"/>
    <mergeCell ref="A3467:G3467"/>
    <mergeCell ref="A3468:G3468"/>
    <mergeCell ref="I3468:J3468"/>
    <mergeCell ref="M3468:N3468"/>
    <mergeCell ref="A3469:G3469"/>
    <mergeCell ref="M3469:N3469"/>
    <mergeCell ref="M3470:N3470"/>
    <mergeCell ref="I3479:J3479"/>
    <mergeCell ref="I3480:J3480"/>
    <mergeCell ref="M2032:N2032"/>
    <mergeCell ref="A3169:G3169"/>
    <mergeCell ref="I3169:J3169"/>
    <mergeCell ref="K3169:L3169"/>
    <mergeCell ref="M3169:N3169"/>
    <mergeCell ref="K3170:L3170"/>
    <mergeCell ref="M3170:N3170"/>
    <mergeCell ref="A3172:N3172"/>
    <mergeCell ref="A3173:G3173"/>
    <mergeCell ref="I3173:J3173"/>
    <mergeCell ref="M2070:N2070"/>
    <mergeCell ref="M2071:N2071"/>
    <mergeCell ref="A2072:G2072"/>
    <mergeCell ref="A2073:G2073"/>
    <mergeCell ref="A2074:G2074"/>
    <mergeCell ref="A2075:G2075"/>
    <mergeCell ref="K2091:L2091"/>
    <mergeCell ref="M2091:N2091"/>
    <mergeCell ref="K2094:L2094"/>
    <mergeCell ref="A3481:G3481"/>
    <mergeCell ref="I3481:J3481"/>
    <mergeCell ref="K3481:L3481"/>
    <mergeCell ref="M3481:N3481"/>
    <mergeCell ref="I3482:J3482"/>
    <mergeCell ref="K3482:L3482"/>
    <mergeCell ref="M3482:N3482"/>
    <mergeCell ref="K3484:L3484"/>
    <mergeCell ref="M3484:N3484"/>
    <mergeCell ref="K3485:L3485"/>
    <mergeCell ref="M3485:N3485"/>
    <mergeCell ref="A3482:G3482"/>
    <mergeCell ref="A3483:G3483"/>
    <mergeCell ref="I3483:J3483"/>
    <mergeCell ref="K3483:L3483"/>
    <mergeCell ref="M3483:N3483"/>
    <mergeCell ref="A3484:G3484"/>
    <mergeCell ref="I3484:J3484"/>
    <mergeCell ref="K3480:L3480"/>
    <mergeCell ref="M3480:N3480"/>
    <mergeCell ref="A3470:G3470"/>
    <mergeCell ref="A3473:N3474"/>
    <mergeCell ref="A3478:N3478"/>
    <mergeCell ref="A3479:G3479"/>
    <mergeCell ref="K3479:L3479"/>
    <mergeCell ref="M3479:N3479"/>
    <mergeCell ref="A3480:G3480"/>
    <mergeCell ref="I3492:J3492"/>
    <mergeCell ref="K3492:L3492"/>
    <mergeCell ref="M3492:N3492"/>
    <mergeCell ref="A3492:G3492"/>
    <mergeCell ref="A3493:G3493"/>
    <mergeCell ref="I3493:J3493"/>
    <mergeCell ref="K3493:L3493"/>
    <mergeCell ref="M3493:N3493"/>
    <mergeCell ref="K3489:L3489"/>
    <mergeCell ref="M3489:N3489"/>
    <mergeCell ref="I3489:J3489"/>
    <mergeCell ref="I3490:J3490"/>
    <mergeCell ref="K3490:L3490"/>
    <mergeCell ref="M3490:N3490"/>
    <mergeCell ref="A3487:N3487"/>
    <mergeCell ref="A3488:G3488"/>
    <mergeCell ref="I3488:J3488"/>
    <mergeCell ref="K3488:L3488"/>
    <mergeCell ref="M3488:N3488"/>
    <mergeCell ref="A3489:G3489"/>
    <mergeCell ref="A3490:G3490"/>
    <mergeCell ref="A3491:G3491"/>
    <mergeCell ref="I3491:J3491"/>
    <mergeCell ref="A3506:G3506"/>
    <mergeCell ref="I3506:J3506"/>
    <mergeCell ref="M3506:N3506"/>
    <mergeCell ref="A3507:G3507"/>
    <mergeCell ref="M3507:N3507"/>
    <mergeCell ref="M3508:N3508"/>
    <mergeCell ref="A3508:G3508"/>
    <mergeCell ref="A3509:G3509"/>
    <mergeCell ref="A3510:G3510"/>
    <mergeCell ref="I3498:J3498"/>
    <mergeCell ref="I3499:J3499"/>
    <mergeCell ref="K3499:L3499"/>
    <mergeCell ref="M3499:N3499"/>
    <mergeCell ref="A3496:N3496"/>
    <mergeCell ref="A3497:G3497"/>
    <mergeCell ref="I3497:J3497"/>
    <mergeCell ref="K3497:L3497"/>
    <mergeCell ref="A3499:G3499"/>
    <mergeCell ref="A3500:G3500"/>
    <mergeCell ref="I3500:J3500"/>
    <mergeCell ref="K3500:L3500"/>
    <mergeCell ref="M3500:N3500"/>
    <mergeCell ref="I3501:J3501"/>
    <mergeCell ref="K3501:L3501"/>
    <mergeCell ref="M3501:N3501"/>
    <mergeCell ref="A3501:G3501"/>
    <mergeCell ref="A3502:G3502"/>
    <mergeCell ref="I3502:J3502"/>
    <mergeCell ref="K3502:L3502"/>
    <mergeCell ref="M3502:N3502"/>
    <mergeCell ref="K3503:L3503"/>
    <mergeCell ref="M3503:N3503"/>
    <mergeCell ref="A3531:G3531"/>
    <mergeCell ref="I3531:J3531"/>
    <mergeCell ref="I3533:J3533"/>
    <mergeCell ref="K3533:L3533"/>
    <mergeCell ref="K3531:L3531"/>
    <mergeCell ref="M3531:N3531"/>
    <mergeCell ref="A3532:G3532"/>
    <mergeCell ref="I3532:J3532"/>
    <mergeCell ref="K3532:L3532"/>
    <mergeCell ref="M3532:N3532"/>
    <mergeCell ref="M3533:N3533"/>
    <mergeCell ref="A3533:G3533"/>
    <mergeCell ref="A3521:G3521"/>
    <mergeCell ref="A3522:G3522"/>
    <mergeCell ref="A3523:G3523"/>
    <mergeCell ref="A3524:G3524"/>
    <mergeCell ref="I3520:J3520"/>
    <mergeCell ref="K3520:L3520"/>
    <mergeCell ref="I3521:J3521"/>
    <mergeCell ref="K3521:L3521"/>
    <mergeCell ref="M3521:N3521"/>
    <mergeCell ref="M3525:N3525"/>
    <mergeCell ref="A3525:G3525"/>
    <mergeCell ref="A3514:N3515"/>
    <mergeCell ref="A3519:N3519"/>
    <mergeCell ref="M3520:N3520"/>
    <mergeCell ref="A3520:G3520"/>
    <mergeCell ref="K3491:L3491"/>
    <mergeCell ref="M3491:N3491"/>
    <mergeCell ref="A3528:N3528"/>
    <mergeCell ref="I3529:J3529"/>
    <mergeCell ref="K3529:L3529"/>
    <mergeCell ref="M3529:N3529"/>
    <mergeCell ref="A3529:G3529"/>
    <mergeCell ref="A3530:G3530"/>
    <mergeCell ref="I3530:J3530"/>
    <mergeCell ref="K3530:L3530"/>
    <mergeCell ref="M3530:N3530"/>
    <mergeCell ref="K3494:L3494"/>
    <mergeCell ref="M3494:N3494"/>
    <mergeCell ref="K3498:L3498"/>
    <mergeCell ref="M3498:N3498"/>
    <mergeCell ref="M3511:N3511"/>
    <mergeCell ref="K3512:L3512"/>
    <mergeCell ref="M3512:N3512"/>
    <mergeCell ref="I3507:J3507"/>
    <mergeCell ref="I3508:J3508"/>
    <mergeCell ref="I3509:J3509"/>
    <mergeCell ref="M3509:N3509"/>
    <mergeCell ref="I3510:J3510"/>
    <mergeCell ref="M3510:N3510"/>
    <mergeCell ref="I3511:J3511"/>
    <mergeCell ref="A3505:N3505"/>
    <mergeCell ref="M3497:N3497"/>
    <mergeCell ref="A3498:G3498"/>
    <mergeCell ref="A3511:G3511"/>
    <mergeCell ref="K3538:L3538"/>
    <mergeCell ref="M3538:N3538"/>
    <mergeCell ref="A3539:G3539"/>
    <mergeCell ref="A3540:G3540"/>
    <mergeCell ref="A3541:G3541"/>
    <mergeCell ref="I3541:J3541"/>
    <mergeCell ref="K3541:L3541"/>
    <mergeCell ref="M3541:N3541"/>
    <mergeCell ref="I3542:J3542"/>
    <mergeCell ref="K3542:L3542"/>
    <mergeCell ref="M3542:N3542"/>
    <mergeCell ref="A3542:G3542"/>
    <mergeCell ref="A3543:G3543"/>
    <mergeCell ref="I3543:J3543"/>
    <mergeCell ref="K3543:L3543"/>
    <mergeCell ref="M3543:N3543"/>
    <mergeCell ref="A3538:G3538"/>
    <mergeCell ref="I3538:J3538"/>
    <mergeCell ref="K3522:L3522"/>
    <mergeCell ref="M3522:N3522"/>
    <mergeCell ref="K3526:L3526"/>
    <mergeCell ref="M3526:N3526"/>
    <mergeCell ref="I3522:J3522"/>
    <mergeCell ref="I3523:J3523"/>
    <mergeCell ref="K3523:L3523"/>
    <mergeCell ref="M3523:N3523"/>
    <mergeCell ref="I3524:J3524"/>
    <mergeCell ref="K3524:L3524"/>
    <mergeCell ref="M3524:N3524"/>
    <mergeCell ref="I3525:J3525"/>
    <mergeCell ref="K3525:L3525"/>
    <mergeCell ref="K3544:L3544"/>
    <mergeCell ref="M3544:N3544"/>
    <mergeCell ref="A3561:G3561"/>
    <mergeCell ref="K3561:L3561"/>
    <mergeCell ref="M3561:N3561"/>
    <mergeCell ref="A3562:G3562"/>
    <mergeCell ref="K3566:L3566"/>
    <mergeCell ref="M3566:N3566"/>
    <mergeCell ref="I3566:J3566"/>
    <mergeCell ref="I3567:J3567"/>
    <mergeCell ref="A3534:G3534"/>
    <mergeCell ref="I3534:J3534"/>
    <mergeCell ref="K3534:L3534"/>
    <mergeCell ref="M3534:N3534"/>
    <mergeCell ref="K3535:L3535"/>
    <mergeCell ref="M3535:N3535"/>
    <mergeCell ref="I3548:J3548"/>
    <mergeCell ref="I3549:J3549"/>
    <mergeCell ref="A3546:N3546"/>
    <mergeCell ref="A3547:G3547"/>
    <mergeCell ref="I3547:J3547"/>
    <mergeCell ref="M3547:N3547"/>
    <mergeCell ref="A3548:G3548"/>
    <mergeCell ref="M3548:N3548"/>
    <mergeCell ref="M3549:N3549"/>
    <mergeCell ref="K3539:L3539"/>
    <mergeCell ref="M3539:N3539"/>
    <mergeCell ref="I3539:J3539"/>
    <mergeCell ref="I3540:J3540"/>
    <mergeCell ref="K3540:L3540"/>
    <mergeCell ref="M3540:N3540"/>
    <mergeCell ref="A3537:N3537"/>
    <mergeCell ref="I3201:J3201"/>
    <mergeCell ref="K3206:L3206"/>
    <mergeCell ref="M3206:N3206"/>
    <mergeCell ref="I3206:J3206"/>
    <mergeCell ref="I3207:J3207"/>
    <mergeCell ref="K3207:L3207"/>
    <mergeCell ref="M3207:N3207"/>
    <mergeCell ref="A3204:N3204"/>
    <mergeCell ref="A3205:G3205"/>
    <mergeCell ref="I3205:J3205"/>
    <mergeCell ref="K3205:L3205"/>
    <mergeCell ref="M3205:N3205"/>
    <mergeCell ref="A3206:G3206"/>
    <mergeCell ref="A3207:G3207"/>
    <mergeCell ref="A3229:G3229"/>
    <mergeCell ref="I3229:J3229"/>
    <mergeCell ref="K3229:L3229"/>
    <mergeCell ref="M3229:N3229"/>
    <mergeCell ref="A3215:G3215"/>
    <mergeCell ref="M3215:N3215"/>
    <mergeCell ref="M3216:N3216"/>
    <mergeCell ref="K3227:L3227"/>
    <mergeCell ref="M3227:N3227"/>
    <mergeCell ref="I3227:J3227"/>
    <mergeCell ref="I3228:J3228"/>
    <mergeCell ref="K3228:L3228"/>
    <mergeCell ref="M3228:N3228"/>
    <mergeCell ref="A3605:G3605"/>
    <mergeCell ref="I3605:J3605"/>
    <mergeCell ref="K3605:L3605"/>
    <mergeCell ref="M3605:N3605"/>
    <mergeCell ref="I3606:J3606"/>
    <mergeCell ref="K3606:L3606"/>
    <mergeCell ref="M3606:N3606"/>
    <mergeCell ref="K3609:L3609"/>
    <mergeCell ref="M3609:N3609"/>
    <mergeCell ref="A3606:G3606"/>
    <mergeCell ref="A3607:G3607"/>
    <mergeCell ref="I3607:J3607"/>
    <mergeCell ref="K3607:L3607"/>
    <mergeCell ref="M3607:N3607"/>
    <mergeCell ref="A3608:G3608"/>
    <mergeCell ref="A3609:G3609"/>
    <mergeCell ref="I3174:J3174"/>
    <mergeCell ref="I3175:J3175"/>
    <mergeCell ref="I3176:J3176"/>
    <mergeCell ref="M3176:N3176"/>
    <mergeCell ref="I3177:J3177"/>
    <mergeCell ref="M3177:N3177"/>
    <mergeCell ref="K3178:L3178"/>
    <mergeCell ref="M3178:N3178"/>
    <mergeCell ref="A3175:G3175"/>
    <mergeCell ref="A3176:G3176"/>
    <mergeCell ref="A3177:G3177"/>
    <mergeCell ref="A3180:N3181"/>
    <mergeCell ref="A3185:N3185"/>
    <mergeCell ref="A3186:G3186"/>
    <mergeCell ref="I3186:J3186"/>
    <mergeCell ref="I3199:J3199"/>
    <mergeCell ref="K3192:L3192"/>
    <mergeCell ref="M3192:N3192"/>
    <mergeCell ref="A3195:N3195"/>
    <mergeCell ref="A3196:G3196"/>
    <mergeCell ref="A3197:G3197"/>
    <mergeCell ref="A3198:G3198"/>
    <mergeCell ref="I3198:J3198"/>
    <mergeCell ref="K3198:L3198"/>
    <mergeCell ref="M3198:N3198"/>
    <mergeCell ref="I3215:J3215"/>
    <mergeCell ref="I3216:J3216"/>
    <mergeCell ref="I3217:J3217"/>
    <mergeCell ref="M3217:N3217"/>
    <mergeCell ref="I3218:J3218"/>
    <mergeCell ref="M3218:N3218"/>
    <mergeCell ref="K3219:L3219"/>
    <mergeCell ref="M3219:N3219"/>
    <mergeCell ref="A3216:G3216"/>
    <mergeCell ref="A3217:G3217"/>
    <mergeCell ref="A3218:G3218"/>
    <mergeCell ref="K3199:L3199"/>
    <mergeCell ref="M3199:N3199"/>
    <mergeCell ref="K3201:L3201"/>
    <mergeCell ref="M3201:N3201"/>
    <mergeCell ref="K3202:L3202"/>
    <mergeCell ref="M3202:N3202"/>
    <mergeCell ref="A3199:G3199"/>
    <mergeCell ref="A3200:G3200"/>
    <mergeCell ref="I3200:J3200"/>
    <mergeCell ref="K3200:L3200"/>
    <mergeCell ref="M3200:N3200"/>
    <mergeCell ref="A3201:G3201"/>
    <mergeCell ref="A3239:G3239"/>
    <mergeCell ref="I3239:J3239"/>
    <mergeCell ref="K3239:L3239"/>
    <mergeCell ref="M3239:N3239"/>
    <mergeCell ref="M3240:N3240"/>
    <mergeCell ref="M3173:N3173"/>
    <mergeCell ref="A3174:G3174"/>
    <mergeCell ref="M3174:N3174"/>
    <mergeCell ref="M3175:N3175"/>
    <mergeCell ref="K3190:L3190"/>
    <mergeCell ref="M3190:N3190"/>
    <mergeCell ref="I3190:J3190"/>
    <mergeCell ref="I3191:J3191"/>
    <mergeCell ref="K3191:L3191"/>
    <mergeCell ref="M3191:N3191"/>
    <mergeCell ref="K3193:L3193"/>
    <mergeCell ref="M3193:N3193"/>
    <mergeCell ref="A3188:G3188"/>
    <mergeCell ref="A3189:G3189"/>
    <mergeCell ref="I3189:J3189"/>
    <mergeCell ref="K3189:L3189"/>
    <mergeCell ref="M3189:N3189"/>
    <mergeCell ref="A3190:G3190"/>
    <mergeCell ref="A3191:G3191"/>
    <mergeCell ref="K3196:L3196"/>
    <mergeCell ref="M3196:N3196"/>
    <mergeCell ref="I3196:J3196"/>
    <mergeCell ref="I3197:J3197"/>
    <mergeCell ref="K3197:L3197"/>
    <mergeCell ref="M3197:N3197"/>
    <mergeCell ref="A3192:G3192"/>
    <mergeCell ref="I3192:J3192"/>
    <mergeCell ref="I3232:J3232"/>
    <mergeCell ref="K3232:L3232"/>
    <mergeCell ref="M3232:N3232"/>
    <mergeCell ref="A3233:G3233"/>
    <mergeCell ref="I3233:J3233"/>
    <mergeCell ref="K3233:L3233"/>
    <mergeCell ref="M3233:N3233"/>
    <mergeCell ref="K3234:L3234"/>
    <mergeCell ref="M3234:N3234"/>
    <mergeCell ref="A3236:N3236"/>
    <mergeCell ref="A3237:G3237"/>
    <mergeCell ref="I3237:J3237"/>
    <mergeCell ref="K3237:L3237"/>
    <mergeCell ref="M3237:N3237"/>
    <mergeCell ref="A3238:G3238"/>
    <mergeCell ref="M3238:N3238"/>
    <mergeCell ref="I3238:J3238"/>
    <mergeCell ref="K3238:L3238"/>
    <mergeCell ref="M3249:N3249"/>
    <mergeCell ref="I3230:J3230"/>
    <mergeCell ref="K3230:L3230"/>
    <mergeCell ref="M3230:N3230"/>
    <mergeCell ref="A3230:G3230"/>
    <mergeCell ref="A3231:G3231"/>
    <mergeCell ref="I3231:J3231"/>
    <mergeCell ref="K3231:L3231"/>
    <mergeCell ref="M3231:N3231"/>
    <mergeCell ref="A3221:N3222"/>
    <mergeCell ref="A3226:N3226"/>
    <mergeCell ref="A3227:G3227"/>
    <mergeCell ref="A3228:G3228"/>
    <mergeCell ref="A3208:G3208"/>
    <mergeCell ref="I3208:J3208"/>
    <mergeCell ref="K3208:L3208"/>
    <mergeCell ref="M3208:N3208"/>
    <mergeCell ref="I3209:J3209"/>
    <mergeCell ref="K3209:L3209"/>
    <mergeCell ref="M3209:N3209"/>
    <mergeCell ref="A3209:G3209"/>
    <mergeCell ref="A3210:G3210"/>
    <mergeCell ref="I3210:J3210"/>
    <mergeCell ref="K3210:L3210"/>
    <mergeCell ref="M3210:N3210"/>
    <mergeCell ref="K3211:L3211"/>
    <mergeCell ref="M3211:N3211"/>
    <mergeCell ref="A3213:N3213"/>
    <mergeCell ref="A3214:G3214"/>
    <mergeCell ref="I3214:J3214"/>
    <mergeCell ref="M3214:N3214"/>
    <mergeCell ref="A3232:G3232"/>
    <mergeCell ref="K3242:L3242"/>
    <mergeCell ref="M3242:N3242"/>
    <mergeCell ref="K3243:L3243"/>
    <mergeCell ref="M3243:N3243"/>
    <mergeCell ref="A3240:G3240"/>
    <mergeCell ref="A3241:G3241"/>
    <mergeCell ref="I3241:J3241"/>
    <mergeCell ref="K3241:L3241"/>
    <mergeCell ref="M3241:N3241"/>
    <mergeCell ref="A3242:G3242"/>
    <mergeCell ref="I3242:J3242"/>
    <mergeCell ref="I3240:J3240"/>
    <mergeCell ref="K3240:L3240"/>
    <mergeCell ref="A3245:N3245"/>
    <mergeCell ref="A3246:G3246"/>
    <mergeCell ref="I3246:J3246"/>
    <mergeCell ref="K3246:L3246"/>
    <mergeCell ref="M3246:N3246"/>
    <mergeCell ref="A3282:G3282"/>
    <mergeCell ref="K3247:L3247"/>
    <mergeCell ref="M3247:N3247"/>
    <mergeCell ref="I3256:J3256"/>
    <mergeCell ref="I3257:J3257"/>
    <mergeCell ref="I3258:J3258"/>
    <mergeCell ref="M3258:N3258"/>
    <mergeCell ref="I3259:J3259"/>
    <mergeCell ref="M3259:N3259"/>
    <mergeCell ref="K3260:L3260"/>
    <mergeCell ref="M3260:N3260"/>
    <mergeCell ref="A3257:G3257"/>
    <mergeCell ref="A3258:G3258"/>
    <mergeCell ref="A3259:G3259"/>
    <mergeCell ref="A3262:N3263"/>
    <mergeCell ref="A3267:N3267"/>
    <mergeCell ref="A3268:G3268"/>
    <mergeCell ref="I3268:J3268"/>
    <mergeCell ref="I3270:J3270"/>
    <mergeCell ref="K3270:L3270"/>
    <mergeCell ref="K3268:L3268"/>
    <mergeCell ref="M3268:N3268"/>
    <mergeCell ref="A3269:G3269"/>
    <mergeCell ref="I3269:J3269"/>
    <mergeCell ref="M3252:N3252"/>
    <mergeCell ref="A3254:N3254"/>
    <mergeCell ref="A3255:G3255"/>
    <mergeCell ref="I3255:J3255"/>
    <mergeCell ref="M3255:N3255"/>
    <mergeCell ref="A3256:G3256"/>
    <mergeCell ref="M3256:N3256"/>
    <mergeCell ref="M3257:N3257"/>
    <mergeCell ref="K3269:L3269"/>
    <mergeCell ref="M3269:N3269"/>
    <mergeCell ref="M3270:N3270"/>
    <mergeCell ref="I3247:J3247"/>
    <mergeCell ref="I3248:J3248"/>
    <mergeCell ref="K3248:L3248"/>
    <mergeCell ref="M3248:N3248"/>
    <mergeCell ref="K3252:L3252"/>
    <mergeCell ref="K3273:L3273"/>
    <mergeCell ref="M3273:N3273"/>
    <mergeCell ref="A3270:G3270"/>
    <mergeCell ref="A3271:G3271"/>
    <mergeCell ref="I3271:J3271"/>
    <mergeCell ref="K3271:L3271"/>
    <mergeCell ref="M3271:N3271"/>
    <mergeCell ref="A3272:G3272"/>
    <mergeCell ref="A3273:G3273"/>
    <mergeCell ref="K3272:L3272"/>
    <mergeCell ref="M3272:N3272"/>
    <mergeCell ref="I3250:J3250"/>
    <mergeCell ref="K3250:L3250"/>
    <mergeCell ref="M3250:N3250"/>
    <mergeCell ref="A3250:G3250"/>
    <mergeCell ref="A3251:G3251"/>
    <mergeCell ref="I3251:J3251"/>
    <mergeCell ref="K3251:L3251"/>
    <mergeCell ref="M3251:N3251"/>
    <mergeCell ref="A3247:G3247"/>
    <mergeCell ref="A3248:G3248"/>
    <mergeCell ref="A3249:G3249"/>
    <mergeCell ref="I3249:J3249"/>
    <mergeCell ref="K3249:L3249"/>
    <mergeCell ref="A3274:G3274"/>
    <mergeCell ref="I3274:J3274"/>
    <mergeCell ref="K3274:L3274"/>
    <mergeCell ref="M3274:N3274"/>
    <mergeCell ref="K3275:L3275"/>
    <mergeCell ref="M3275:N3275"/>
    <mergeCell ref="K3279:L3279"/>
    <mergeCell ref="M3279:N3279"/>
    <mergeCell ref="I3291:J3291"/>
    <mergeCell ref="K3291:L3291"/>
    <mergeCell ref="M3291:N3291"/>
    <mergeCell ref="A3291:G3291"/>
    <mergeCell ref="A3292:G3292"/>
    <mergeCell ref="I3292:J3292"/>
    <mergeCell ref="K3292:L3292"/>
    <mergeCell ref="M3292:N3292"/>
    <mergeCell ref="K3293:L3293"/>
    <mergeCell ref="M3293:N3293"/>
    <mergeCell ref="K3280:L3280"/>
    <mergeCell ref="M3280:N3280"/>
    <mergeCell ref="A3277:N3277"/>
    <mergeCell ref="A3278:G3278"/>
    <mergeCell ref="I3278:J3278"/>
    <mergeCell ref="K3278:L3278"/>
    <mergeCell ref="M3278:N3278"/>
    <mergeCell ref="A3279:G3279"/>
    <mergeCell ref="A3280:G3280"/>
    <mergeCell ref="I3282:J3282"/>
    <mergeCell ref="K3282:L3282"/>
    <mergeCell ref="I3279:J3279"/>
    <mergeCell ref="I3280:J3280"/>
    <mergeCell ref="A3281:G3281"/>
    <mergeCell ref="I3281:J3281"/>
    <mergeCell ref="K3281:L3281"/>
    <mergeCell ref="M3281:N3281"/>
    <mergeCell ref="M3282:N3282"/>
    <mergeCell ref="I3272:J3272"/>
    <mergeCell ref="I3273:J3273"/>
    <mergeCell ref="A3283:G3283"/>
    <mergeCell ref="I3283:J3283"/>
    <mergeCell ref="K3283:L3283"/>
    <mergeCell ref="M3283:N3283"/>
    <mergeCell ref="K3284:L3284"/>
    <mergeCell ref="M3284:N3284"/>
    <mergeCell ref="I3297:J3297"/>
    <mergeCell ref="I3298:J3298"/>
    <mergeCell ref="A3295:N3295"/>
    <mergeCell ref="A3296:G3296"/>
    <mergeCell ref="I3296:J3296"/>
    <mergeCell ref="M3296:N3296"/>
    <mergeCell ref="A3297:G3297"/>
    <mergeCell ref="M3297:N3297"/>
    <mergeCell ref="M3298:N3298"/>
    <mergeCell ref="K3288:L3288"/>
    <mergeCell ref="M3288:N3288"/>
    <mergeCell ref="I3288:J3288"/>
    <mergeCell ref="I3289:J3289"/>
    <mergeCell ref="K3289:L3289"/>
    <mergeCell ref="M3289:N3289"/>
    <mergeCell ref="A3286:N3286"/>
    <mergeCell ref="A3287:G3287"/>
    <mergeCell ref="I3287:J3287"/>
    <mergeCell ref="K3287:L3287"/>
    <mergeCell ref="M3287:N3287"/>
    <mergeCell ref="A3288:G3288"/>
    <mergeCell ref="A3289:G3289"/>
    <mergeCell ref="A3290:G3290"/>
    <mergeCell ref="I3290:J3290"/>
    <mergeCell ref="K3290:L3290"/>
    <mergeCell ref="M3290:N3290"/>
    <mergeCell ref="A3312:G3312"/>
    <mergeCell ref="I3312:J3312"/>
    <mergeCell ref="K3312:L3312"/>
    <mergeCell ref="M3312:N3312"/>
    <mergeCell ref="I3313:J3313"/>
    <mergeCell ref="K3313:L3313"/>
    <mergeCell ref="M3313:N3313"/>
    <mergeCell ref="K3315:L3315"/>
    <mergeCell ref="M3315:N3315"/>
    <mergeCell ref="K3316:L3316"/>
    <mergeCell ref="M3316:N3316"/>
    <mergeCell ref="A3313:G3313"/>
    <mergeCell ref="A3314:G3314"/>
    <mergeCell ref="I3314:J3314"/>
    <mergeCell ref="K3314:L3314"/>
    <mergeCell ref="M3314:N3314"/>
    <mergeCell ref="A3315:G3315"/>
    <mergeCell ref="I3315:J3315"/>
    <mergeCell ref="I3337:J3337"/>
    <mergeCell ref="M3337:N3337"/>
    <mergeCell ref="A3338:G3338"/>
    <mergeCell ref="M3338:N3338"/>
    <mergeCell ref="M3339:N3339"/>
    <mergeCell ref="A3339:G3339"/>
    <mergeCell ref="A3340:G3340"/>
    <mergeCell ref="A3341:G3341"/>
    <mergeCell ref="A3342:G3342"/>
    <mergeCell ref="I3300:J3300"/>
    <mergeCell ref="I3301:J3301"/>
    <mergeCell ref="K3302:L3302"/>
    <mergeCell ref="M3302:N3302"/>
    <mergeCell ref="A3298:G3298"/>
    <mergeCell ref="A3299:G3299"/>
    <mergeCell ref="I3299:J3299"/>
    <mergeCell ref="M3299:N3299"/>
    <mergeCell ref="A3300:G3300"/>
    <mergeCell ref="M3300:N3300"/>
    <mergeCell ref="M3301:N3301"/>
    <mergeCell ref="I3310:J3310"/>
    <mergeCell ref="I3311:J3311"/>
    <mergeCell ref="K3311:L3311"/>
    <mergeCell ref="M3311:N3311"/>
    <mergeCell ref="A3301:G3301"/>
    <mergeCell ref="A3304:N3305"/>
    <mergeCell ref="A3309:N3309"/>
    <mergeCell ref="A3310:G3310"/>
    <mergeCell ref="K3310:L3310"/>
    <mergeCell ref="M3310:N3310"/>
    <mergeCell ref="A3311:G3311"/>
    <mergeCell ref="A3318:N3318"/>
    <mergeCell ref="A3319:G3319"/>
    <mergeCell ref="I3319:J3319"/>
    <mergeCell ref="K3319:L3319"/>
    <mergeCell ref="M3319:N3319"/>
    <mergeCell ref="A3320:G3320"/>
    <mergeCell ref="A3321:G3321"/>
    <mergeCell ref="A3322:G3322"/>
    <mergeCell ref="I3322:J3322"/>
    <mergeCell ref="K3322:L3322"/>
    <mergeCell ref="M3322:N3322"/>
    <mergeCell ref="I3323:J3323"/>
    <mergeCell ref="K3323:L3323"/>
    <mergeCell ref="M3323:N3323"/>
    <mergeCell ref="A3323:G3323"/>
    <mergeCell ref="A3324:G3324"/>
    <mergeCell ref="I3324:J3324"/>
    <mergeCell ref="K3324:L3324"/>
    <mergeCell ref="M3324:N3324"/>
    <mergeCell ref="I3333:J3333"/>
    <mergeCell ref="K3333:L3333"/>
    <mergeCell ref="M3333:N3333"/>
    <mergeCell ref="K3334:L3334"/>
    <mergeCell ref="M3334:N3334"/>
    <mergeCell ref="A3351:G3351"/>
    <mergeCell ref="A3352:G3352"/>
    <mergeCell ref="A3353:G3353"/>
    <mergeCell ref="A3354:G3354"/>
    <mergeCell ref="A3355:G3355"/>
    <mergeCell ref="K3320:L3320"/>
    <mergeCell ref="M3320:N3320"/>
    <mergeCell ref="I3320:J3320"/>
    <mergeCell ref="I3321:J3321"/>
    <mergeCell ref="K3321:L3321"/>
    <mergeCell ref="M3321:N3321"/>
    <mergeCell ref="K3325:L3325"/>
    <mergeCell ref="M3325:N3325"/>
    <mergeCell ref="K3329:L3329"/>
    <mergeCell ref="M3329:N3329"/>
    <mergeCell ref="M3342:N3342"/>
    <mergeCell ref="K3343:L3343"/>
    <mergeCell ref="M3343:N3343"/>
    <mergeCell ref="I3338:J3338"/>
    <mergeCell ref="I3339:J3339"/>
    <mergeCell ref="I3340:J3340"/>
    <mergeCell ref="M3340:N3340"/>
    <mergeCell ref="I3341:J3341"/>
    <mergeCell ref="M3341:N3341"/>
    <mergeCell ref="I3342:J3342"/>
    <mergeCell ref="A3336:N3336"/>
    <mergeCell ref="A3337:G3337"/>
    <mergeCell ref="A3356:G3356"/>
    <mergeCell ref="A3357:G3357"/>
    <mergeCell ref="I3356:J3356"/>
    <mergeCell ref="K3356:L3356"/>
    <mergeCell ref="M3356:N3356"/>
    <mergeCell ref="I3357:J3357"/>
    <mergeCell ref="K3357:L3357"/>
    <mergeCell ref="M3357:N3357"/>
    <mergeCell ref="K3361:L3361"/>
    <mergeCell ref="A3365:G3365"/>
    <mergeCell ref="A3366:G3366"/>
    <mergeCell ref="A3367:G3367"/>
    <mergeCell ref="I3329:J3329"/>
    <mergeCell ref="I3330:J3330"/>
    <mergeCell ref="K3330:L3330"/>
    <mergeCell ref="M3330:N3330"/>
    <mergeCell ref="A3327:N3327"/>
    <mergeCell ref="A3328:G3328"/>
    <mergeCell ref="I3328:J3328"/>
    <mergeCell ref="K3328:L3328"/>
    <mergeCell ref="M3328:N3328"/>
    <mergeCell ref="A3329:G3329"/>
    <mergeCell ref="A3330:G3330"/>
    <mergeCell ref="A3331:G3331"/>
    <mergeCell ref="I3331:J3331"/>
    <mergeCell ref="K3331:L3331"/>
    <mergeCell ref="M3331:N3331"/>
    <mergeCell ref="I3332:J3332"/>
    <mergeCell ref="K3332:L3332"/>
    <mergeCell ref="M3332:N3332"/>
    <mergeCell ref="A3332:G3332"/>
    <mergeCell ref="A3333:G3333"/>
    <mergeCell ref="A3345:N3346"/>
    <mergeCell ref="A3350:N3350"/>
    <mergeCell ref="M3351:N3351"/>
    <mergeCell ref="I3351:J3351"/>
    <mergeCell ref="K3351:L3351"/>
    <mergeCell ref="I3352:J3352"/>
    <mergeCell ref="K3352:L3352"/>
    <mergeCell ref="M3352:N3352"/>
    <mergeCell ref="K3353:L3353"/>
    <mergeCell ref="M3353:N3353"/>
    <mergeCell ref="I3353:J3353"/>
    <mergeCell ref="I3354:J3354"/>
    <mergeCell ref="K3354:L3354"/>
    <mergeCell ref="M3354:N3354"/>
    <mergeCell ref="I3355:J3355"/>
    <mergeCell ref="K3355:L3355"/>
    <mergeCell ref="M3355:N3355"/>
    <mergeCell ref="K3377:L3377"/>
    <mergeCell ref="M3377:N3377"/>
    <mergeCell ref="A3378:G3378"/>
    <mergeCell ref="I3378:J3378"/>
    <mergeCell ref="I3373:J3373"/>
    <mergeCell ref="I3374:J3374"/>
    <mergeCell ref="K3374:L3374"/>
    <mergeCell ref="M3374:N3374"/>
    <mergeCell ref="A3368:G3368"/>
    <mergeCell ref="A3369:G3369"/>
    <mergeCell ref="M3361:N3361"/>
    <mergeCell ref="A3363:N3363"/>
    <mergeCell ref="A3364:G3364"/>
    <mergeCell ref="I3364:J3364"/>
    <mergeCell ref="K3364:L3364"/>
    <mergeCell ref="M3364:N3364"/>
    <mergeCell ref="M3365:N3365"/>
    <mergeCell ref="I3365:J3365"/>
    <mergeCell ref="K3365:L3365"/>
    <mergeCell ref="I3366:J3366"/>
    <mergeCell ref="K3366:L3366"/>
    <mergeCell ref="M3366:N3366"/>
    <mergeCell ref="K3367:L3367"/>
    <mergeCell ref="M3367:N3367"/>
    <mergeCell ref="I3367:J3367"/>
    <mergeCell ref="I3368:J3368"/>
    <mergeCell ref="K3368:L3368"/>
    <mergeCell ref="M3368:N3368"/>
    <mergeCell ref="I3369:J3369"/>
    <mergeCell ref="K3369:L3369"/>
    <mergeCell ref="M3369:N3369"/>
    <mergeCell ref="A3398:G3398"/>
    <mergeCell ref="I3398:J3398"/>
    <mergeCell ref="K3398:L3398"/>
    <mergeCell ref="M3398:N3398"/>
    <mergeCell ref="I3399:J3399"/>
    <mergeCell ref="K3399:L3399"/>
    <mergeCell ref="M3399:N3399"/>
    <mergeCell ref="A3399:G3399"/>
    <mergeCell ref="A3400:G3400"/>
    <mergeCell ref="I3400:J3400"/>
    <mergeCell ref="K3400:L3400"/>
    <mergeCell ref="K3370:L3370"/>
    <mergeCell ref="M3370:N3370"/>
    <mergeCell ref="A3372:N3372"/>
    <mergeCell ref="A3373:G3373"/>
    <mergeCell ref="K3373:L3373"/>
    <mergeCell ref="M3373:N3373"/>
    <mergeCell ref="A3374:G3374"/>
    <mergeCell ref="A3375:G3375"/>
    <mergeCell ref="I3375:J3375"/>
    <mergeCell ref="K3375:L3375"/>
    <mergeCell ref="M3375:N3375"/>
    <mergeCell ref="I3376:J3376"/>
    <mergeCell ref="K3376:L3376"/>
    <mergeCell ref="M3376:N3376"/>
    <mergeCell ref="K3378:L3378"/>
    <mergeCell ref="M3378:N3378"/>
    <mergeCell ref="K3379:L3379"/>
    <mergeCell ref="M3379:N3379"/>
    <mergeCell ref="A3376:G3376"/>
    <mergeCell ref="A3377:G3377"/>
    <mergeCell ref="I3377:J3377"/>
    <mergeCell ref="A3384:G3384"/>
    <mergeCell ref="A3385:G3385"/>
    <mergeCell ref="A3386:G3386"/>
    <mergeCell ref="A3387:G3387"/>
    <mergeCell ref="A3381:N3381"/>
    <mergeCell ref="A3382:G3382"/>
    <mergeCell ref="I3382:J3382"/>
    <mergeCell ref="M3382:N3382"/>
    <mergeCell ref="A3383:G3383"/>
    <mergeCell ref="M3383:N3383"/>
    <mergeCell ref="M3384:N3384"/>
    <mergeCell ref="I3383:J3383"/>
    <mergeCell ref="I3384:J3384"/>
    <mergeCell ref="I3385:J3385"/>
    <mergeCell ref="M3385:N3385"/>
    <mergeCell ref="I3386:J3386"/>
    <mergeCell ref="M3386:N3386"/>
    <mergeCell ref="I3387:J3387"/>
    <mergeCell ref="K3397:L3397"/>
    <mergeCell ref="M3397:N3397"/>
    <mergeCell ref="A3408:G3408"/>
    <mergeCell ref="A3409:G3409"/>
    <mergeCell ref="I3409:J3409"/>
    <mergeCell ref="K3409:L3409"/>
    <mergeCell ref="M3409:N3409"/>
    <mergeCell ref="I3410:J3410"/>
    <mergeCell ref="K3410:L3410"/>
    <mergeCell ref="M3410:N3410"/>
    <mergeCell ref="A3410:G3410"/>
    <mergeCell ref="A3411:G3411"/>
    <mergeCell ref="I3411:J3411"/>
    <mergeCell ref="M3387:N3387"/>
    <mergeCell ref="K3388:L3388"/>
    <mergeCell ref="M3388:N3388"/>
    <mergeCell ref="A3390:N3391"/>
    <mergeCell ref="A3395:N3395"/>
    <mergeCell ref="A3396:G3396"/>
    <mergeCell ref="A3397:G3397"/>
    <mergeCell ref="K3401:L3401"/>
    <mergeCell ref="M3401:N3401"/>
    <mergeCell ref="I3401:J3401"/>
    <mergeCell ref="I3402:J3402"/>
    <mergeCell ref="K3402:L3402"/>
    <mergeCell ref="M3402:N3402"/>
    <mergeCell ref="K3403:L3403"/>
    <mergeCell ref="M3403:N3403"/>
    <mergeCell ref="K3407:L3407"/>
    <mergeCell ref="M3407:N3407"/>
    <mergeCell ref="K3396:L3396"/>
    <mergeCell ref="M3396:N3396"/>
    <mergeCell ref="M3400:N3400"/>
    <mergeCell ref="A3401:G3401"/>
    <mergeCell ref="A3402:G3402"/>
    <mergeCell ref="I3396:J3396"/>
    <mergeCell ref="I3397:J3397"/>
    <mergeCell ref="A3418:G3418"/>
    <mergeCell ref="I3418:J3418"/>
    <mergeCell ref="K3418:L3418"/>
    <mergeCell ref="M3418:N3418"/>
    <mergeCell ref="M3419:N3419"/>
    <mergeCell ref="I3407:J3407"/>
    <mergeCell ref="I3408:J3408"/>
    <mergeCell ref="K3408:L3408"/>
    <mergeCell ref="M3408:N3408"/>
    <mergeCell ref="A3405:N3405"/>
    <mergeCell ref="A3406:G3406"/>
    <mergeCell ref="I3406:J3406"/>
    <mergeCell ref="K3406:L3406"/>
    <mergeCell ref="M3406:N3406"/>
    <mergeCell ref="A3407:G3407"/>
    <mergeCell ref="K3411:L3411"/>
    <mergeCell ref="M3411:N3411"/>
    <mergeCell ref="K3412:L3412"/>
    <mergeCell ref="M3412:N3412"/>
    <mergeCell ref="K3416:L3416"/>
    <mergeCell ref="M3416:N3416"/>
    <mergeCell ref="K3417:L3417"/>
    <mergeCell ref="M3417:N3417"/>
    <mergeCell ref="A3414:N3414"/>
    <mergeCell ref="A3415:G3415"/>
    <mergeCell ref="I3415:J3415"/>
    <mergeCell ref="K3415:L3415"/>
    <mergeCell ref="M3415:N3415"/>
    <mergeCell ref="A3416:G3416"/>
    <mergeCell ref="A3417:G3417"/>
    <mergeCell ref="A3419:G3419"/>
    <mergeCell ref="I3419:J3419"/>
    <mergeCell ref="M3427:N3427"/>
    <mergeCell ref="I3428:J3428"/>
    <mergeCell ref="M3428:N3428"/>
    <mergeCell ref="I3429:J3429"/>
    <mergeCell ref="K3438:L3438"/>
    <mergeCell ref="M3438:N3438"/>
    <mergeCell ref="I3438:J3438"/>
    <mergeCell ref="I3439:J3439"/>
    <mergeCell ref="K3439:L3439"/>
    <mergeCell ref="M3439:N3439"/>
    <mergeCell ref="M3429:N3429"/>
    <mergeCell ref="K3430:L3430"/>
    <mergeCell ref="M3430:N3430"/>
    <mergeCell ref="A3432:N3433"/>
    <mergeCell ref="A3437:N3437"/>
    <mergeCell ref="A3438:G3438"/>
    <mergeCell ref="A3439:G3439"/>
    <mergeCell ref="K3419:L3419"/>
    <mergeCell ref="I3416:J3416"/>
    <mergeCell ref="I3417:J3417"/>
    <mergeCell ref="M3457:N3457"/>
    <mergeCell ref="I3457:J3457"/>
    <mergeCell ref="I3458:J3458"/>
    <mergeCell ref="K3458:L3458"/>
    <mergeCell ref="M3458:N3458"/>
    <mergeCell ref="A3455:N3455"/>
    <mergeCell ref="A3456:G3456"/>
    <mergeCell ref="I3456:J3456"/>
    <mergeCell ref="K3456:L3456"/>
    <mergeCell ref="M3456:N3456"/>
    <mergeCell ref="A3457:G3457"/>
    <mergeCell ref="A3458:G3458"/>
    <mergeCell ref="A3420:G3420"/>
    <mergeCell ref="I3420:J3420"/>
    <mergeCell ref="K3420:L3420"/>
    <mergeCell ref="M3420:N3420"/>
    <mergeCell ref="K3421:L3421"/>
    <mergeCell ref="M3421:N3421"/>
    <mergeCell ref="A3426:G3426"/>
    <mergeCell ref="A3427:G3427"/>
    <mergeCell ref="A3428:G3428"/>
    <mergeCell ref="A3429:G3429"/>
    <mergeCell ref="A3423:N3423"/>
    <mergeCell ref="A3424:G3424"/>
    <mergeCell ref="I3424:J3424"/>
    <mergeCell ref="M3424:N3424"/>
    <mergeCell ref="A3425:G3425"/>
    <mergeCell ref="M3425:N3425"/>
    <mergeCell ref="M3426:N3426"/>
    <mergeCell ref="I3425:J3425"/>
    <mergeCell ref="I3426:J3426"/>
    <mergeCell ref="I3427:J3427"/>
    <mergeCell ref="K3448:L3448"/>
    <mergeCell ref="M3448:N3448"/>
    <mergeCell ref="I3448:J3448"/>
    <mergeCell ref="I3449:J3449"/>
    <mergeCell ref="K3449:L3449"/>
    <mergeCell ref="M3449:N3449"/>
    <mergeCell ref="A3446:N3446"/>
    <mergeCell ref="A3447:G3447"/>
    <mergeCell ref="I3447:J3447"/>
    <mergeCell ref="K3447:L3447"/>
    <mergeCell ref="M3447:N3447"/>
    <mergeCell ref="A3448:G3448"/>
    <mergeCell ref="A3449:G3449"/>
    <mergeCell ref="A3459:G3459"/>
    <mergeCell ref="I3459:J3459"/>
    <mergeCell ref="K3459:L3459"/>
    <mergeCell ref="M3459:N3459"/>
    <mergeCell ref="A3450:G3450"/>
    <mergeCell ref="I3450:J3450"/>
    <mergeCell ref="K3450:L3450"/>
    <mergeCell ref="M3450:N3450"/>
    <mergeCell ref="I3451:J3451"/>
    <mergeCell ref="K3451:L3451"/>
    <mergeCell ref="M3451:N3451"/>
    <mergeCell ref="A3451:G3451"/>
    <mergeCell ref="A3452:G3452"/>
    <mergeCell ref="I3452:J3452"/>
    <mergeCell ref="K3452:L3452"/>
    <mergeCell ref="M3452:N3452"/>
    <mergeCell ref="K3453:L3453"/>
    <mergeCell ref="M3453:N3453"/>
    <mergeCell ref="K3457:L3457"/>
    <mergeCell ref="A3440:G3440"/>
    <mergeCell ref="I3440:J3440"/>
    <mergeCell ref="K3440:L3440"/>
    <mergeCell ref="M3440:N3440"/>
    <mergeCell ref="I3441:J3441"/>
    <mergeCell ref="K3441:L3441"/>
    <mergeCell ref="M3441:N3441"/>
    <mergeCell ref="K3443:L3443"/>
    <mergeCell ref="M3443:N3443"/>
    <mergeCell ref="K3444:L3444"/>
    <mergeCell ref="M3444:N3444"/>
    <mergeCell ref="A3441:G3441"/>
    <mergeCell ref="A3442:G3442"/>
    <mergeCell ref="I3442:J3442"/>
    <mergeCell ref="K3442:L3442"/>
    <mergeCell ref="M3442:N3442"/>
    <mergeCell ref="A3443:G3443"/>
    <mergeCell ref="I3443:J3443"/>
    <mergeCell ref="K3553:L3553"/>
    <mergeCell ref="M3553:N3553"/>
    <mergeCell ref="A3563:G3563"/>
    <mergeCell ref="I3563:J3563"/>
    <mergeCell ref="K3563:L3563"/>
    <mergeCell ref="M3563:N3563"/>
    <mergeCell ref="I3564:J3564"/>
    <mergeCell ref="K3564:L3564"/>
    <mergeCell ref="M3564:N3564"/>
    <mergeCell ref="A3564:G3564"/>
    <mergeCell ref="A3565:G3565"/>
    <mergeCell ref="I3565:J3565"/>
    <mergeCell ref="K3565:L3565"/>
    <mergeCell ref="M3565:N3565"/>
    <mergeCell ref="A3566:G3566"/>
    <mergeCell ref="A3567:G3567"/>
    <mergeCell ref="A3549:G3549"/>
    <mergeCell ref="A3550:G3550"/>
    <mergeCell ref="I3550:J3550"/>
    <mergeCell ref="M3550:N3550"/>
    <mergeCell ref="A3551:G3551"/>
    <mergeCell ref="M3551:N3551"/>
    <mergeCell ref="M3552:N3552"/>
    <mergeCell ref="I3561:J3561"/>
    <mergeCell ref="I3562:J3562"/>
    <mergeCell ref="K3562:L3562"/>
    <mergeCell ref="M3562:N3562"/>
    <mergeCell ref="A3552:G3552"/>
    <mergeCell ref="I3551:J3551"/>
    <mergeCell ref="I3552:J3552"/>
    <mergeCell ref="A3555:N3556"/>
    <mergeCell ref="A3560:N3560"/>
    <mergeCell ref="I3571:J3571"/>
    <mergeCell ref="I3572:J3572"/>
    <mergeCell ref="K3572:L3572"/>
    <mergeCell ref="M3572:N3572"/>
    <mergeCell ref="K3567:L3567"/>
    <mergeCell ref="M3567:N3567"/>
    <mergeCell ref="K3568:L3568"/>
    <mergeCell ref="M3568:N3568"/>
    <mergeCell ref="A3570:N3570"/>
    <mergeCell ref="A3571:G3571"/>
    <mergeCell ref="A3572:G3572"/>
    <mergeCell ref="A3573:G3573"/>
    <mergeCell ref="I3573:J3573"/>
    <mergeCell ref="K3573:L3573"/>
    <mergeCell ref="M3573:N3573"/>
    <mergeCell ref="K3571:L3571"/>
    <mergeCell ref="M3571:N3571"/>
    <mergeCell ref="I3460:J3460"/>
    <mergeCell ref="K3460:L3460"/>
    <mergeCell ref="M3460:N3460"/>
    <mergeCell ref="A3460:G3460"/>
    <mergeCell ref="A3461:G3461"/>
    <mergeCell ref="I3461:J3461"/>
    <mergeCell ref="K3461:L3461"/>
    <mergeCell ref="M3461:N3461"/>
    <mergeCell ref="K3462:L3462"/>
    <mergeCell ref="M3462:N3462"/>
    <mergeCell ref="I3466:J3466"/>
    <mergeCell ref="I3467:J3467"/>
    <mergeCell ref="A3464:N3464"/>
    <mergeCell ref="A3465:G3465"/>
    <mergeCell ref="I3465:J3465"/>
    <mergeCell ref="M3465:N3465"/>
    <mergeCell ref="A3466:G3466"/>
    <mergeCell ref="M3466:N3466"/>
    <mergeCell ref="M3467:N3467"/>
    <mergeCell ref="I3582:J3582"/>
    <mergeCell ref="K3582:L3582"/>
    <mergeCell ref="M3582:N3582"/>
    <mergeCell ref="A3579:N3579"/>
    <mergeCell ref="A3580:G3580"/>
    <mergeCell ref="I3580:J3580"/>
    <mergeCell ref="K3580:L3580"/>
    <mergeCell ref="M3580:N3580"/>
    <mergeCell ref="A3581:G3581"/>
    <mergeCell ref="A3582:G3582"/>
    <mergeCell ref="A3583:G3583"/>
    <mergeCell ref="I3583:J3583"/>
    <mergeCell ref="K3583:L3583"/>
    <mergeCell ref="M3583:N3583"/>
    <mergeCell ref="I3584:J3584"/>
    <mergeCell ref="K3584:L3584"/>
    <mergeCell ref="M3584:N3584"/>
    <mergeCell ref="A3584:G3584"/>
    <mergeCell ref="M3593:N3593"/>
    <mergeCell ref="I3594:J3594"/>
    <mergeCell ref="K3603:L3603"/>
    <mergeCell ref="M3603:N3603"/>
    <mergeCell ref="I3603:J3603"/>
    <mergeCell ref="I3604:J3604"/>
    <mergeCell ref="K3604:L3604"/>
    <mergeCell ref="M3604:N3604"/>
    <mergeCell ref="M3594:N3594"/>
    <mergeCell ref="K3595:L3595"/>
    <mergeCell ref="M3595:N3595"/>
    <mergeCell ref="A3597:N3598"/>
    <mergeCell ref="A3602:N3602"/>
    <mergeCell ref="A3603:G3603"/>
    <mergeCell ref="A3604:G3604"/>
    <mergeCell ref="I3574:J3574"/>
    <mergeCell ref="K3574:L3574"/>
    <mergeCell ref="M3574:N3574"/>
    <mergeCell ref="K3576:L3576"/>
    <mergeCell ref="M3576:N3576"/>
    <mergeCell ref="K3577:L3577"/>
    <mergeCell ref="M3577:N3577"/>
    <mergeCell ref="A3574:G3574"/>
    <mergeCell ref="A3575:G3575"/>
    <mergeCell ref="I3575:J3575"/>
    <mergeCell ref="K3575:L3575"/>
    <mergeCell ref="M3575:N3575"/>
    <mergeCell ref="A3576:G3576"/>
    <mergeCell ref="I3576:J3576"/>
    <mergeCell ref="K3581:L3581"/>
    <mergeCell ref="M3581:N3581"/>
    <mergeCell ref="I3581:J3581"/>
    <mergeCell ref="M3618:N3618"/>
    <mergeCell ref="K3619:L3619"/>
    <mergeCell ref="M3619:N3619"/>
    <mergeCell ref="A3616:G3616"/>
    <mergeCell ref="A3617:G3617"/>
    <mergeCell ref="I3617:J3617"/>
    <mergeCell ref="K3617:L3617"/>
    <mergeCell ref="M3617:N3617"/>
    <mergeCell ref="A3618:G3618"/>
    <mergeCell ref="I3618:J3618"/>
    <mergeCell ref="A3585:G3585"/>
    <mergeCell ref="I3585:J3585"/>
    <mergeCell ref="K3585:L3585"/>
    <mergeCell ref="M3585:N3585"/>
    <mergeCell ref="K3586:L3586"/>
    <mergeCell ref="M3586:N3586"/>
    <mergeCell ref="A3591:G3591"/>
    <mergeCell ref="A3592:G3592"/>
    <mergeCell ref="A3593:G3593"/>
    <mergeCell ref="A3594:G3594"/>
    <mergeCell ref="A3588:N3588"/>
    <mergeCell ref="A3589:G3589"/>
    <mergeCell ref="I3589:J3589"/>
    <mergeCell ref="M3589:N3589"/>
    <mergeCell ref="A3590:G3590"/>
    <mergeCell ref="M3590:N3590"/>
    <mergeCell ref="M3591:N3591"/>
    <mergeCell ref="I3590:J3590"/>
    <mergeCell ref="I3591:J3591"/>
    <mergeCell ref="I3592:J3592"/>
    <mergeCell ref="M3592:N3592"/>
    <mergeCell ref="I3593:J3593"/>
    <mergeCell ref="M3645:N3645"/>
    <mergeCell ref="I3645:J3645"/>
    <mergeCell ref="K3645:L3645"/>
    <mergeCell ref="I3646:J3646"/>
    <mergeCell ref="K3646:L3646"/>
    <mergeCell ref="M3646:N3646"/>
    <mergeCell ref="K3647:L3647"/>
    <mergeCell ref="M3647:N3647"/>
    <mergeCell ref="I3647:J3647"/>
    <mergeCell ref="K3608:L3608"/>
    <mergeCell ref="M3608:N3608"/>
    <mergeCell ref="K3613:L3613"/>
    <mergeCell ref="M3613:N3613"/>
    <mergeCell ref="I3613:J3613"/>
    <mergeCell ref="I3614:J3614"/>
    <mergeCell ref="K3614:L3614"/>
    <mergeCell ref="M3614:N3614"/>
    <mergeCell ref="I3608:J3608"/>
    <mergeCell ref="I3609:J3609"/>
    <mergeCell ref="K3610:L3610"/>
    <mergeCell ref="M3610:N3610"/>
    <mergeCell ref="A3612:N3612"/>
    <mergeCell ref="A3613:G3613"/>
    <mergeCell ref="A3614:G3614"/>
    <mergeCell ref="A3615:G3615"/>
    <mergeCell ref="I3615:J3615"/>
    <mergeCell ref="K3615:L3615"/>
    <mergeCell ref="M3615:N3615"/>
    <mergeCell ref="I3616:J3616"/>
    <mergeCell ref="K3616:L3616"/>
    <mergeCell ref="M3616:N3616"/>
    <mergeCell ref="K3618:L3618"/>
    <mergeCell ref="K3628:L3628"/>
    <mergeCell ref="M3628:N3628"/>
    <mergeCell ref="A3645:G3645"/>
    <mergeCell ref="A3646:G3646"/>
    <mergeCell ref="A3647:G3647"/>
    <mergeCell ref="A3648:G3648"/>
    <mergeCell ref="A3649:G3649"/>
    <mergeCell ref="K3623:L3623"/>
    <mergeCell ref="M3623:N3623"/>
    <mergeCell ref="M3636:N3636"/>
    <mergeCell ref="K3637:L3637"/>
    <mergeCell ref="M3637:N3637"/>
    <mergeCell ref="I3632:J3632"/>
    <mergeCell ref="I3633:J3633"/>
    <mergeCell ref="I3634:J3634"/>
    <mergeCell ref="M3634:N3634"/>
    <mergeCell ref="I3635:J3635"/>
    <mergeCell ref="M3635:N3635"/>
    <mergeCell ref="I3636:J3636"/>
    <mergeCell ref="A3630:N3630"/>
    <mergeCell ref="A3631:G3631"/>
    <mergeCell ref="I3631:J3631"/>
    <mergeCell ref="M3631:N3631"/>
    <mergeCell ref="A3632:G3632"/>
    <mergeCell ref="M3632:N3632"/>
    <mergeCell ref="M3633:N3633"/>
    <mergeCell ref="A3633:G3633"/>
    <mergeCell ref="A3634:G3634"/>
    <mergeCell ref="A3635:G3635"/>
    <mergeCell ref="A3636:G3636"/>
    <mergeCell ref="A3639:N3640"/>
    <mergeCell ref="A3644:N3644"/>
    <mergeCell ref="I3660:J3660"/>
    <mergeCell ref="K3660:L3660"/>
    <mergeCell ref="M3660:N3660"/>
    <mergeCell ref="I3648:J3648"/>
    <mergeCell ref="K3648:L3648"/>
    <mergeCell ref="M3648:N3648"/>
    <mergeCell ref="I3649:J3649"/>
    <mergeCell ref="K3649:L3649"/>
    <mergeCell ref="M3649:N3649"/>
    <mergeCell ref="I3623:J3623"/>
    <mergeCell ref="I3624:J3624"/>
    <mergeCell ref="K3624:L3624"/>
    <mergeCell ref="M3624:N3624"/>
    <mergeCell ref="A3621:N3621"/>
    <mergeCell ref="A3622:G3622"/>
    <mergeCell ref="I3622:J3622"/>
    <mergeCell ref="K3622:L3622"/>
    <mergeCell ref="M3622:N3622"/>
    <mergeCell ref="A3623:G3623"/>
    <mergeCell ref="A3624:G3624"/>
    <mergeCell ref="A3625:G3625"/>
    <mergeCell ref="I3625:J3625"/>
    <mergeCell ref="K3625:L3625"/>
    <mergeCell ref="M3625:N3625"/>
    <mergeCell ref="I3626:J3626"/>
    <mergeCell ref="K3626:L3626"/>
    <mergeCell ref="M3626:N3626"/>
    <mergeCell ref="A3626:G3626"/>
    <mergeCell ref="A3627:G3627"/>
    <mergeCell ref="I3627:J3627"/>
    <mergeCell ref="K3627:L3627"/>
    <mergeCell ref="M3627:N3627"/>
    <mergeCell ref="A3650:G3650"/>
    <mergeCell ref="A3651:G3651"/>
    <mergeCell ref="I3650:J3650"/>
    <mergeCell ref="K3650:L3650"/>
    <mergeCell ref="M3650:N3650"/>
    <mergeCell ref="I3651:J3651"/>
    <mergeCell ref="K3651:L3651"/>
    <mergeCell ref="M3651:N3651"/>
    <mergeCell ref="K3652:L3652"/>
    <mergeCell ref="A3656:G3656"/>
    <mergeCell ref="A3657:G3657"/>
    <mergeCell ref="A3658:G3658"/>
    <mergeCell ref="A3659:G3659"/>
    <mergeCell ref="A3660:G3660"/>
    <mergeCell ref="M3652:N3652"/>
    <mergeCell ref="A3654:N3654"/>
    <mergeCell ref="A3655:G3655"/>
    <mergeCell ref="I3655:J3655"/>
    <mergeCell ref="K3655:L3655"/>
    <mergeCell ref="M3655:N3655"/>
    <mergeCell ref="M3656:N3656"/>
    <mergeCell ref="I3656:J3656"/>
    <mergeCell ref="K3656:L3656"/>
    <mergeCell ref="I3657:J3657"/>
    <mergeCell ref="K3657:L3657"/>
    <mergeCell ref="M3657:N3657"/>
    <mergeCell ref="K3658:L3658"/>
    <mergeCell ref="M3658:N3658"/>
    <mergeCell ref="I3658:J3658"/>
    <mergeCell ref="I3659:J3659"/>
    <mergeCell ref="K3659:L3659"/>
    <mergeCell ref="M3659:N3659"/>
    <mergeCell ref="K3661:L3661"/>
    <mergeCell ref="M3661:N3661"/>
    <mergeCell ref="A3663:N3663"/>
    <mergeCell ref="A3664:G3664"/>
    <mergeCell ref="K3664:L3664"/>
    <mergeCell ref="M3664:N3664"/>
    <mergeCell ref="A3665:G3665"/>
    <mergeCell ref="A3666:G3666"/>
    <mergeCell ref="I3666:J3666"/>
    <mergeCell ref="K3666:L3666"/>
    <mergeCell ref="M3666:N3666"/>
    <mergeCell ref="I3667:J3667"/>
    <mergeCell ref="K3667:L3667"/>
    <mergeCell ref="M3667:N3667"/>
    <mergeCell ref="K3669:L3669"/>
    <mergeCell ref="M3669:N3669"/>
    <mergeCell ref="K3670:L3670"/>
    <mergeCell ref="M3670:N3670"/>
    <mergeCell ref="A3667:G3667"/>
    <mergeCell ref="A3668:G3668"/>
    <mergeCell ref="I3668:J3668"/>
    <mergeCell ref="K3668:L3668"/>
    <mergeCell ref="M3668:N3668"/>
    <mergeCell ref="A3669:G3669"/>
    <mergeCell ref="I3669:J3669"/>
    <mergeCell ref="I3664:J3664"/>
    <mergeCell ref="I3665:J3665"/>
    <mergeCell ref="K3665:L3665"/>
    <mergeCell ref="M3665:N3665"/>
    <mergeCell ref="A3692:G3692"/>
    <mergeCell ref="A3675:G3675"/>
    <mergeCell ref="A3676:G3676"/>
    <mergeCell ref="A3677:G3677"/>
    <mergeCell ref="A3678:G3678"/>
    <mergeCell ref="A3672:N3672"/>
    <mergeCell ref="A3673:G3673"/>
    <mergeCell ref="I3673:J3673"/>
    <mergeCell ref="M3673:N3673"/>
    <mergeCell ref="A3674:G3674"/>
    <mergeCell ref="M3674:N3674"/>
    <mergeCell ref="M3675:N3675"/>
    <mergeCell ref="I3674:J3674"/>
    <mergeCell ref="I3675:J3675"/>
    <mergeCell ref="I3676:J3676"/>
    <mergeCell ref="M3676:N3676"/>
    <mergeCell ref="I3677:J3677"/>
    <mergeCell ref="M3677:N3677"/>
    <mergeCell ref="I3678:J3678"/>
    <mergeCell ref="K3707:L3707"/>
    <mergeCell ref="M3697:N3697"/>
    <mergeCell ref="A3698:G3698"/>
    <mergeCell ref="A3699:G3699"/>
    <mergeCell ref="A3700:G3700"/>
    <mergeCell ref="M3678:N3678"/>
    <mergeCell ref="K3679:L3679"/>
    <mergeCell ref="M3679:N3679"/>
    <mergeCell ref="A3681:N3682"/>
    <mergeCell ref="A3686:N3686"/>
    <mergeCell ref="A3687:G3687"/>
    <mergeCell ref="A3688:G3688"/>
    <mergeCell ref="K3692:L3692"/>
    <mergeCell ref="M3692:N3692"/>
    <mergeCell ref="I3692:J3692"/>
    <mergeCell ref="I3693:J3693"/>
    <mergeCell ref="K3693:L3693"/>
    <mergeCell ref="M3693:N3693"/>
    <mergeCell ref="K3687:L3687"/>
    <mergeCell ref="M3687:N3687"/>
    <mergeCell ref="A3689:G3689"/>
    <mergeCell ref="I3689:J3689"/>
    <mergeCell ref="K3689:L3689"/>
    <mergeCell ref="M3689:N3689"/>
    <mergeCell ref="I3690:J3690"/>
    <mergeCell ref="K3690:L3690"/>
    <mergeCell ref="M3690:N3690"/>
    <mergeCell ref="A3690:G3690"/>
    <mergeCell ref="A3691:G3691"/>
    <mergeCell ref="I3691:J3691"/>
    <mergeCell ref="K3691:L3691"/>
    <mergeCell ref="M3691:N3691"/>
    <mergeCell ref="A3696:N3696"/>
    <mergeCell ref="K3729:L3729"/>
    <mergeCell ref="M3729:N3729"/>
    <mergeCell ref="I3729:J3729"/>
    <mergeCell ref="A3693:G3693"/>
    <mergeCell ref="I3687:J3687"/>
    <mergeCell ref="I3688:J3688"/>
    <mergeCell ref="K3688:L3688"/>
    <mergeCell ref="M3688:N3688"/>
    <mergeCell ref="I3702:J3702"/>
    <mergeCell ref="K3702:L3702"/>
    <mergeCell ref="M3702:N3702"/>
    <mergeCell ref="I3732:J3732"/>
    <mergeCell ref="K3732:L3732"/>
    <mergeCell ref="M3732:N3732"/>
    <mergeCell ref="K3734:L3734"/>
    <mergeCell ref="M3734:N3734"/>
    <mergeCell ref="K3694:L3694"/>
    <mergeCell ref="M3694:N3694"/>
    <mergeCell ref="K3698:L3698"/>
    <mergeCell ref="M3698:N3698"/>
    <mergeCell ref="K3708:L3708"/>
    <mergeCell ref="M3708:N3708"/>
    <mergeCell ref="A3705:N3705"/>
    <mergeCell ref="A3706:G3706"/>
    <mergeCell ref="I3706:J3706"/>
    <mergeCell ref="K3706:L3706"/>
    <mergeCell ref="M3706:N3706"/>
    <mergeCell ref="A3707:G3707"/>
    <mergeCell ref="A3708:G3708"/>
    <mergeCell ref="I3710:J3710"/>
    <mergeCell ref="K3710:L3710"/>
    <mergeCell ref="K3721:L3721"/>
    <mergeCell ref="M3721:N3721"/>
    <mergeCell ref="A3723:N3724"/>
    <mergeCell ref="A3728:N3728"/>
    <mergeCell ref="A3729:G3729"/>
    <mergeCell ref="A3730:G3730"/>
    <mergeCell ref="I3700:J3700"/>
    <mergeCell ref="K3700:L3700"/>
    <mergeCell ref="M3700:N3700"/>
    <mergeCell ref="I3701:J3701"/>
    <mergeCell ref="K3701:L3701"/>
    <mergeCell ref="M3701:N3701"/>
    <mergeCell ref="A3701:G3701"/>
    <mergeCell ref="A3702:G3702"/>
    <mergeCell ref="M3707:N3707"/>
    <mergeCell ref="A3710:G3710"/>
    <mergeCell ref="A3697:G3697"/>
    <mergeCell ref="I3697:J3697"/>
    <mergeCell ref="K3697:L3697"/>
    <mergeCell ref="I3708:J3708"/>
    <mergeCell ref="A3709:G3709"/>
    <mergeCell ref="I3709:J3709"/>
    <mergeCell ref="K3709:L3709"/>
    <mergeCell ref="M3709:N3709"/>
    <mergeCell ref="M3710:N3710"/>
    <mergeCell ref="I3698:J3698"/>
    <mergeCell ref="I3699:J3699"/>
    <mergeCell ref="K3699:L3699"/>
    <mergeCell ref="M3699:N3699"/>
    <mergeCell ref="I3707:J3707"/>
    <mergeCell ref="K3703:L3703"/>
    <mergeCell ref="M3703:N3703"/>
    <mergeCell ref="A3731:G3731"/>
    <mergeCell ref="I3731:J3731"/>
    <mergeCell ref="K3731:L3731"/>
    <mergeCell ref="M3731:N3731"/>
    <mergeCell ref="A3711:G3711"/>
    <mergeCell ref="I3711:J3711"/>
    <mergeCell ref="K3711:L3711"/>
    <mergeCell ref="M3711:N3711"/>
    <mergeCell ref="K3712:L3712"/>
    <mergeCell ref="M3712:N3712"/>
    <mergeCell ref="A3717:G3717"/>
    <mergeCell ref="A3718:G3718"/>
    <mergeCell ref="A3719:G3719"/>
    <mergeCell ref="A3720:G3720"/>
    <mergeCell ref="A3714:N3714"/>
    <mergeCell ref="A3715:G3715"/>
    <mergeCell ref="I3715:J3715"/>
    <mergeCell ref="M3715:N3715"/>
    <mergeCell ref="A3716:G3716"/>
    <mergeCell ref="M3716:N3716"/>
    <mergeCell ref="M3717:N3717"/>
    <mergeCell ref="I3716:J3716"/>
    <mergeCell ref="I3717:J3717"/>
    <mergeCell ref="I3718:J3718"/>
    <mergeCell ref="M3718:N3718"/>
    <mergeCell ref="I3719:J3719"/>
    <mergeCell ref="M3719:N3719"/>
    <mergeCell ref="I3720:J3720"/>
    <mergeCell ref="I3730:J3730"/>
    <mergeCell ref="K3730:L3730"/>
    <mergeCell ref="M3730:N3730"/>
    <mergeCell ref="M3720:N3720"/>
    <mergeCell ref="A3785:G3785"/>
    <mergeCell ref="I3785:J3785"/>
    <mergeCell ref="K3785:L3785"/>
    <mergeCell ref="M3785:N3785"/>
    <mergeCell ref="K3786:L3786"/>
    <mergeCell ref="M3786:N3786"/>
    <mergeCell ref="K3790:L3790"/>
    <mergeCell ref="M3790:N3790"/>
    <mergeCell ref="I3790:J3790"/>
    <mergeCell ref="I3791:J3791"/>
    <mergeCell ref="K3791:L3791"/>
    <mergeCell ref="M3791:N3791"/>
    <mergeCell ref="A3788:N3788"/>
    <mergeCell ref="A3789:G3789"/>
    <mergeCell ref="I3789:J3789"/>
    <mergeCell ref="K3789:L3789"/>
    <mergeCell ref="M3789:N3789"/>
    <mergeCell ref="A3790:G3790"/>
    <mergeCell ref="A3791:G3791"/>
    <mergeCell ref="I3782:J3782"/>
    <mergeCell ref="K3782:L3782"/>
    <mergeCell ref="M3782:N3782"/>
    <mergeCell ref="A3779:N3779"/>
    <mergeCell ref="A3780:G3780"/>
    <mergeCell ref="I3780:J3780"/>
    <mergeCell ref="K3780:L3780"/>
    <mergeCell ref="M3780:N3780"/>
    <mergeCell ref="A3781:G3781"/>
    <mergeCell ref="A3782:G3782"/>
    <mergeCell ref="A3783:G3783"/>
    <mergeCell ref="I3783:J3783"/>
    <mergeCell ref="K3783:L3783"/>
    <mergeCell ref="M3783:N3783"/>
    <mergeCell ref="I3784:J3784"/>
    <mergeCell ref="K3784:L3784"/>
    <mergeCell ref="M3784:N3784"/>
    <mergeCell ref="A3784:G3784"/>
    <mergeCell ref="M3763:N3763"/>
    <mergeCell ref="A3759:G3759"/>
    <mergeCell ref="A3760:G3760"/>
    <mergeCell ref="I3760:J3760"/>
    <mergeCell ref="M3760:N3760"/>
    <mergeCell ref="A3761:G3761"/>
    <mergeCell ref="M3761:N3761"/>
    <mergeCell ref="M3762:N3762"/>
    <mergeCell ref="I3771:J3771"/>
    <mergeCell ref="I3772:J3772"/>
    <mergeCell ref="K3772:L3772"/>
    <mergeCell ref="M3772:N3772"/>
    <mergeCell ref="A3762:G3762"/>
    <mergeCell ref="A3765:N3766"/>
    <mergeCell ref="A3770:N3770"/>
    <mergeCell ref="K3781:L3781"/>
    <mergeCell ref="M3781:N3781"/>
    <mergeCell ref="I3781:J3781"/>
    <mergeCell ref="K3775:L3775"/>
    <mergeCell ref="M3775:N3775"/>
    <mergeCell ref="A3776:G3776"/>
    <mergeCell ref="I3776:J3776"/>
    <mergeCell ref="M3752:N3752"/>
    <mergeCell ref="A3752:G3752"/>
    <mergeCell ref="A3753:G3753"/>
    <mergeCell ref="I3753:J3753"/>
    <mergeCell ref="K3753:L3753"/>
    <mergeCell ref="A3799:G3799"/>
    <mergeCell ref="M3799:N3799"/>
    <mergeCell ref="M3800:N3800"/>
    <mergeCell ref="K3741:L3741"/>
    <mergeCell ref="M3741:N3741"/>
    <mergeCell ref="A3738:N3738"/>
    <mergeCell ref="A3739:G3739"/>
    <mergeCell ref="I3739:J3739"/>
    <mergeCell ref="K3739:L3739"/>
    <mergeCell ref="M3739:N3739"/>
    <mergeCell ref="A3740:G3740"/>
    <mergeCell ref="A3741:G3741"/>
    <mergeCell ref="I3743:J3743"/>
    <mergeCell ref="K3743:L3743"/>
    <mergeCell ref="I3740:J3740"/>
    <mergeCell ref="I3741:J3741"/>
    <mergeCell ref="A3742:G3742"/>
    <mergeCell ref="I3742:J3742"/>
    <mergeCell ref="K3742:L3742"/>
    <mergeCell ref="M3742:N3742"/>
    <mergeCell ref="M3743:N3743"/>
    <mergeCell ref="M3753:N3753"/>
    <mergeCell ref="K3754:L3754"/>
    <mergeCell ref="M3754:N3754"/>
    <mergeCell ref="I3761:J3761"/>
    <mergeCell ref="I3762:J3762"/>
    <mergeCell ref="K3763:L3763"/>
    <mergeCell ref="A3732:G3732"/>
    <mergeCell ref="A3733:G3733"/>
    <mergeCell ref="I3733:J3733"/>
    <mergeCell ref="K3733:L3733"/>
    <mergeCell ref="M3733:N3733"/>
    <mergeCell ref="A3734:G3734"/>
    <mergeCell ref="A3735:G3735"/>
    <mergeCell ref="K3740:L3740"/>
    <mergeCell ref="M3740:N3740"/>
    <mergeCell ref="A3743:G3743"/>
    <mergeCell ref="A3744:G3744"/>
    <mergeCell ref="I3744:J3744"/>
    <mergeCell ref="K3744:L3744"/>
    <mergeCell ref="M3744:N3744"/>
    <mergeCell ref="K3745:L3745"/>
    <mergeCell ref="M3745:N3745"/>
    <mergeCell ref="I3758:J3758"/>
    <mergeCell ref="A3756:N3756"/>
    <mergeCell ref="A3757:G3757"/>
    <mergeCell ref="I3757:J3757"/>
    <mergeCell ref="M3757:N3757"/>
    <mergeCell ref="A3758:G3758"/>
    <mergeCell ref="M3758:N3758"/>
    <mergeCell ref="K3749:L3749"/>
    <mergeCell ref="M3749:N3749"/>
    <mergeCell ref="I3749:J3749"/>
    <mergeCell ref="I3750:J3750"/>
    <mergeCell ref="K3750:L3750"/>
    <mergeCell ref="M3750:N3750"/>
    <mergeCell ref="A3747:N3747"/>
    <mergeCell ref="A3748:G3748"/>
    <mergeCell ref="I3748:J3748"/>
    <mergeCell ref="A3794:G3794"/>
    <mergeCell ref="I3794:J3794"/>
    <mergeCell ref="K3794:L3794"/>
    <mergeCell ref="M3794:N3794"/>
    <mergeCell ref="K3795:L3795"/>
    <mergeCell ref="M3795:N3795"/>
    <mergeCell ref="A3800:G3800"/>
    <mergeCell ref="A3801:G3801"/>
    <mergeCell ref="A3802:G3802"/>
    <mergeCell ref="A3803:G3803"/>
    <mergeCell ref="A3797:N3797"/>
    <mergeCell ref="A3798:G3798"/>
    <mergeCell ref="I3798:J3798"/>
    <mergeCell ref="M3798:N3798"/>
    <mergeCell ref="I3734:J3734"/>
    <mergeCell ref="I3735:J3735"/>
    <mergeCell ref="K3735:L3735"/>
    <mergeCell ref="M3735:N3735"/>
    <mergeCell ref="K3736:L3736"/>
    <mergeCell ref="M3736:N3736"/>
    <mergeCell ref="I3759:J3759"/>
    <mergeCell ref="M3759:N3759"/>
    <mergeCell ref="K3748:L3748"/>
    <mergeCell ref="M3748:N3748"/>
    <mergeCell ref="A3749:G3749"/>
    <mergeCell ref="A3750:G3750"/>
    <mergeCell ref="A3751:G3751"/>
    <mergeCell ref="I3751:J3751"/>
    <mergeCell ref="K3751:L3751"/>
    <mergeCell ref="M3751:N3751"/>
    <mergeCell ref="I3752:J3752"/>
    <mergeCell ref="K3752:L3752"/>
    <mergeCell ref="I3821:J3821"/>
    <mergeCell ref="I3822:J3822"/>
    <mergeCell ref="K3822:L3822"/>
    <mergeCell ref="M3822:N3822"/>
    <mergeCell ref="A3819:N3819"/>
    <mergeCell ref="A3820:G3820"/>
    <mergeCell ref="I3820:J3820"/>
    <mergeCell ref="K3820:L3820"/>
    <mergeCell ref="M3820:N3820"/>
    <mergeCell ref="A3821:G3821"/>
    <mergeCell ref="A3822:G3822"/>
    <mergeCell ref="I3799:J3799"/>
    <mergeCell ref="I3800:J3800"/>
    <mergeCell ref="I3801:J3801"/>
    <mergeCell ref="M3801:N3801"/>
    <mergeCell ref="I3802:J3802"/>
    <mergeCell ref="M3802:N3802"/>
    <mergeCell ref="I3803:J3803"/>
    <mergeCell ref="K3812:L3812"/>
    <mergeCell ref="M3812:N3812"/>
    <mergeCell ref="I3812:J3812"/>
    <mergeCell ref="I3813:J3813"/>
    <mergeCell ref="K3813:L3813"/>
    <mergeCell ref="M3813:N3813"/>
    <mergeCell ref="M3803:N3803"/>
    <mergeCell ref="K3804:L3804"/>
    <mergeCell ref="M3804:N3804"/>
    <mergeCell ref="A3806:N3807"/>
    <mergeCell ref="A3811:N3811"/>
    <mergeCell ref="A3812:G3812"/>
    <mergeCell ref="A3813:G3813"/>
    <mergeCell ref="A3823:G3823"/>
    <mergeCell ref="A3771:G3771"/>
    <mergeCell ref="K3771:L3771"/>
    <mergeCell ref="M3771:N3771"/>
    <mergeCell ref="A3772:G3772"/>
    <mergeCell ref="A3773:G3773"/>
    <mergeCell ref="I3773:J3773"/>
    <mergeCell ref="K3773:L3773"/>
    <mergeCell ref="M3773:N3773"/>
    <mergeCell ref="I3774:J3774"/>
    <mergeCell ref="K3774:L3774"/>
    <mergeCell ref="M3774:N3774"/>
    <mergeCell ref="K3776:L3776"/>
    <mergeCell ref="M3776:N3776"/>
    <mergeCell ref="K3777:L3777"/>
    <mergeCell ref="M3777:N3777"/>
    <mergeCell ref="A3774:G3774"/>
    <mergeCell ref="A3775:G3775"/>
    <mergeCell ref="I3775:J3775"/>
    <mergeCell ref="I3823:J3823"/>
    <mergeCell ref="K3823:L3823"/>
    <mergeCell ref="M3823:N3823"/>
    <mergeCell ref="A3792:G3792"/>
    <mergeCell ref="I3792:J3792"/>
    <mergeCell ref="K3792:L3792"/>
    <mergeCell ref="M3792:N3792"/>
    <mergeCell ref="I3793:J3793"/>
    <mergeCell ref="K3793:L3793"/>
    <mergeCell ref="M3793:N3793"/>
    <mergeCell ref="A3793:G3793"/>
    <mergeCell ref="K3821:L3821"/>
    <mergeCell ref="M3821:N3821"/>
    <mergeCell ref="K3875:L3875"/>
    <mergeCell ref="M3875:N3875"/>
    <mergeCell ref="A3876:G3876"/>
    <mergeCell ref="I3876:J3876"/>
    <mergeCell ref="A3882:G3882"/>
    <mergeCell ref="A3846:N3847"/>
    <mergeCell ref="A3851:N3851"/>
    <mergeCell ref="M3852:N3852"/>
    <mergeCell ref="I3852:J3852"/>
    <mergeCell ref="K3852:L3852"/>
    <mergeCell ref="I3853:J3853"/>
    <mergeCell ref="K3853:L3853"/>
    <mergeCell ref="M3853:N3853"/>
    <mergeCell ref="K3854:L3854"/>
    <mergeCell ref="M3854:N3854"/>
    <mergeCell ref="I3854:J3854"/>
    <mergeCell ref="I3855:J3855"/>
    <mergeCell ref="K3855:L3855"/>
    <mergeCell ref="A3866:G3866"/>
    <mergeCell ref="A3867:G3867"/>
    <mergeCell ref="M3859:N3859"/>
    <mergeCell ref="A3861:N3861"/>
    <mergeCell ref="A3862:G3862"/>
    <mergeCell ref="I3862:J3862"/>
    <mergeCell ref="K3862:L3862"/>
    <mergeCell ref="M3862:N3862"/>
    <mergeCell ref="M3863:N3863"/>
    <mergeCell ref="I3863:J3863"/>
    <mergeCell ref="K3863:L3863"/>
    <mergeCell ref="I3864:J3864"/>
    <mergeCell ref="K3864:L3864"/>
    <mergeCell ref="M3864:N3864"/>
    <mergeCell ref="I3885:J3885"/>
    <mergeCell ref="M3885:N3885"/>
    <mergeCell ref="K3886:L3886"/>
    <mergeCell ref="M3886:N3886"/>
    <mergeCell ref="A3814:G3814"/>
    <mergeCell ref="I3814:J3814"/>
    <mergeCell ref="K3814:L3814"/>
    <mergeCell ref="M3814:N3814"/>
    <mergeCell ref="I3815:J3815"/>
    <mergeCell ref="K3815:L3815"/>
    <mergeCell ref="M3815:N3815"/>
    <mergeCell ref="A3815:G3815"/>
    <mergeCell ref="A3816:G3816"/>
    <mergeCell ref="I3816:J3816"/>
    <mergeCell ref="K3816:L3816"/>
    <mergeCell ref="M3816:N3816"/>
    <mergeCell ref="K3817:L3817"/>
    <mergeCell ref="M3817:N3817"/>
    <mergeCell ref="A3873:G3873"/>
    <mergeCell ref="I3873:J3873"/>
    <mergeCell ref="K3873:L3873"/>
    <mergeCell ref="M3873:N3873"/>
    <mergeCell ref="I3874:J3874"/>
    <mergeCell ref="K3874:L3874"/>
    <mergeCell ref="M3874:N3874"/>
    <mergeCell ref="K3876:L3876"/>
    <mergeCell ref="M3876:N3876"/>
    <mergeCell ref="K3877:L3877"/>
    <mergeCell ref="M3877:N3877"/>
    <mergeCell ref="A3874:G3874"/>
    <mergeCell ref="A3875:G3875"/>
    <mergeCell ref="I3875:J3875"/>
    <mergeCell ref="A3843:G3843"/>
    <mergeCell ref="I3830:J3830"/>
    <mergeCell ref="I3831:J3831"/>
    <mergeCell ref="K3831:L3831"/>
    <mergeCell ref="M3831:N3831"/>
    <mergeCell ref="A3828:N3828"/>
    <mergeCell ref="A3829:G3829"/>
    <mergeCell ref="I3829:J3829"/>
    <mergeCell ref="K3829:L3829"/>
    <mergeCell ref="M3829:N3829"/>
    <mergeCell ref="A3830:G3830"/>
    <mergeCell ref="A3831:G3831"/>
    <mergeCell ref="A3832:G3832"/>
    <mergeCell ref="I3832:J3832"/>
    <mergeCell ref="K3832:L3832"/>
    <mergeCell ref="M3832:N3832"/>
    <mergeCell ref="I3833:J3833"/>
    <mergeCell ref="K3833:L3833"/>
    <mergeCell ref="M3833:N3833"/>
    <mergeCell ref="A3833:G3833"/>
    <mergeCell ref="A3834:G3834"/>
    <mergeCell ref="I3834:J3834"/>
    <mergeCell ref="K3834:L3834"/>
    <mergeCell ref="M3834:N3834"/>
    <mergeCell ref="K3835:L3835"/>
    <mergeCell ref="M3835:N3835"/>
    <mergeCell ref="I3824:J3824"/>
    <mergeCell ref="K3824:L3824"/>
    <mergeCell ref="M3824:N3824"/>
    <mergeCell ref="A3824:G3824"/>
    <mergeCell ref="A3825:G3825"/>
    <mergeCell ref="I3825:J3825"/>
    <mergeCell ref="K3825:L3825"/>
    <mergeCell ref="M3825:N3825"/>
    <mergeCell ref="K3826:L3826"/>
    <mergeCell ref="M3826:N3826"/>
    <mergeCell ref="K3830:L3830"/>
    <mergeCell ref="M3830:N3830"/>
    <mergeCell ref="M3843:N3843"/>
    <mergeCell ref="K3844:L3844"/>
    <mergeCell ref="M3844:N3844"/>
    <mergeCell ref="I3839:J3839"/>
    <mergeCell ref="I3840:J3840"/>
    <mergeCell ref="I3841:J3841"/>
    <mergeCell ref="M3841:N3841"/>
    <mergeCell ref="I3842:J3842"/>
    <mergeCell ref="M3842:N3842"/>
    <mergeCell ref="I3843:J3843"/>
    <mergeCell ref="A3837:N3837"/>
    <mergeCell ref="A3838:G3838"/>
    <mergeCell ref="I3838:J3838"/>
    <mergeCell ref="M3838:N3838"/>
    <mergeCell ref="A3839:G3839"/>
    <mergeCell ref="M3839:N3839"/>
    <mergeCell ref="M3840:N3840"/>
    <mergeCell ref="A3840:G3840"/>
    <mergeCell ref="A3841:G3841"/>
    <mergeCell ref="A3842:G3842"/>
    <mergeCell ref="K3865:L3865"/>
    <mergeCell ref="M3865:N3865"/>
    <mergeCell ref="I3865:J3865"/>
    <mergeCell ref="I3866:J3866"/>
    <mergeCell ref="K3866:L3866"/>
    <mergeCell ref="M3866:N3866"/>
    <mergeCell ref="I3867:J3867"/>
    <mergeCell ref="K3867:L3867"/>
    <mergeCell ref="M3867:N3867"/>
    <mergeCell ref="A3852:G3852"/>
    <mergeCell ref="A3853:G3853"/>
    <mergeCell ref="A3854:G3854"/>
    <mergeCell ref="A3855:G3855"/>
    <mergeCell ref="A3856:G3856"/>
    <mergeCell ref="A3857:G3857"/>
    <mergeCell ref="A3858:G3858"/>
    <mergeCell ref="I3857:J3857"/>
    <mergeCell ref="K3857:L3857"/>
    <mergeCell ref="M3857:N3857"/>
    <mergeCell ref="I3858:J3858"/>
    <mergeCell ref="K3858:L3858"/>
    <mergeCell ref="M3858:N3858"/>
    <mergeCell ref="K3859:L3859"/>
    <mergeCell ref="A3863:G3863"/>
    <mergeCell ref="A3864:G3864"/>
    <mergeCell ref="A3865:G3865"/>
    <mergeCell ref="M3855:N3855"/>
    <mergeCell ref="I3856:J3856"/>
    <mergeCell ref="K3856:L3856"/>
    <mergeCell ref="M3856:N3856"/>
    <mergeCell ref="A3883:G3883"/>
    <mergeCell ref="A3884:G3884"/>
    <mergeCell ref="A3885:G3885"/>
    <mergeCell ref="A3879:N3879"/>
    <mergeCell ref="A3880:G3880"/>
    <mergeCell ref="I3880:J3880"/>
    <mergeCell ref="M3880:N3880"/>
    <mergeCell ref="A3881:G3881"/>
    <mergeCell ref="M3881:N3881"/>
    <mergeCell ref="M3882:N3882"/>
    <mergeCell ref="I3881:J3881"/>
    <mergeCell ref="I3882:J3882"/>
    <mergeCell ref="I3883:J3883"/>
    <mergeCell ref="M3883:N3883"/>
    <mergeCell ref="I3884:J3884"/>
    <mergeCell ref="M3884:N3884"/>
    <mergeCell ref="I1540:J1540"/>
    <mergeCell ref="I1541:J1541"/>
    <mergeCell ref="K1541:L1541"/>
    <mergeCell ref="M1541:N1541"/>
    <mergeCell ref="I1542:J1542"/>
    <mergeCell ref="K1542:L1542"/>
    <mergeCell ref="M1542:N1542"/>
    <mergeCell ref="I1557:J1557"/>
    <mergeCell ref="I1558:J1558"/>
    <mergeCell ref="K1558:L1558"/>
    <mergeCell ref="M1558:N1558"/>
    <mergeCell ref="K1554:L1554"/>
    <mergeCell ref="M1554:N1554"/>
    <mergeCell ref="A1556:N1556"/>
    <mergeCell ref="A1557:G1557"/>
    <mergeCell ref="K1557:L1557"/>
    <mergeCell ref="I1550:J1550"/>
    <mergeCell ref="K1550:L1550"/>
    <mergeCell ref="M1550:N1550"/>
    <mergeCell ref="K1551:L1551"/>
    <mergeCell ref="M1551:N1551"/>
    <mergeCell ref="I1551:J1551"/>
    <mergeCell ref="I1552:J1552"/>
    <mergeCell ref="K1552:L1552"/>
    <mergeCell ref="M1552:N1552"/>
    <mergeCell ref="I1553:J1553"/>
    <mergeCell ref="K1553:L1553"/>
    <mergeCell ref="M1553:N1553"/>
    <mergeCell ref="I3871:J3871"/>
    <mergeCell ref="I3872:J3872"/>
    <mergeCell ref="K3872:L3872"/>
    <mergeCell ref="M3872:N3872"/>
    <mergeCell ref="K3868:L3868"/>
    <mergeCell ref="M3868:N3868"/>
    <mergeCell ref="A3870:N3870"/>
    <mergeCell ref="A3871:G3871"/>
    <mergeCell ref="K3871:L3871"/>
    <mergeCell ref="M3871:N3871"/>
    <mergeCell ref="A3872:G3872"/>
    <mergeCell ref="M1557:N1557"/>
    <mergeCell ref="A1558:G1558"/>
    <mergeCell ref="A1582:G1582"/>
    <mergeCell ref="I1582:J1582"/>
    <mergeCell ref="K1582:L1582"/>
    <mergeCell ref="M1582:N1582"/>
    <mergeCell ref="I1583:J1583"/>
    <mergeCell ref="K1583:L1583"/>
    <mergeCell ref="M1583:N1583"/>
    <mergeCell ref="A1609:N1609"/>
    <mergeCell ref="A1610:G1610"/>
    <mergeCell ref="I1610:J1610"/>
    <mergeCell ref="M1610:N1610"/>
    <mergeCell ref="A1538:G1538"/>
    <mergeCell ref="A1539:G1539"/>
    <mergeCell ref="A1540:G1540"/>
    <mergeCell ref="A1541:G1541"/>
    <mergeCell ref="A1542:G1542"/>
    <mergeCell ref="A1543:G1543"/>
    <mergeCell ref="A1544:G1544"/>
    <mergeCell ref="I1543:J1543"/>
    <mergeCell ref="K1543:L1543"/>
    <mergeCell ref="M1543:N1543"/>
    <mergeCell ref="I1544:J1544"/>
    <mergeCell ref="K1544:L1544"/>
    <mergeCell ref="M1544:N1544"/>
    <mergeCell ref="K1545:L1545"/>
    <mergeCell ref="A1549:G1549"/>
    <mergeCell ref="A1550:G1550"/>
    <mergeCell ref="A1551:G1551"/>
    <mergeCell ref="A1552:G1552"/>
    <mergeCell ref="A1553:G1553"/>
    <mergeCell ref="M1545:N1545"/>
    <mergeCell ref="A1547:N1547"/>
    <mergeCell ref="A1548:G1548"/>
    <mergeCell ref="I1548:J1548"/>
    <mergeCell ref="K1548:L1548"/>
    <mergeCell ref="M1548:N1548"/>
    <mergeCell ref="M1549:N1549"/>
    <mergeCell ref="I1549:J1549"/>
    <mergeCell ref="K1549:L1549"/>
    <mergeCell ref="M1606:N1606"/>
    <mergeCell ref="K1607:L1607"/>
    <mergeCell ref="M1607:N1607"/>
    <mergeCell ref="K1588:L1588"/>
    <mergeCell ref="M1588:N1588"/>
    <mergeCell ref="A1588:G1588"/>
    <mergeCell ref="M1572:N1572"/>
    <mergeCell ref="A1574:N1575"/>
    <mergeCell ref="A1579:N1579"/>
    <mergeCell ref="A1580:G1580"/>
    <mergeCell ref="A1581:G1581"/>
    <mergeCell ref="K1585:L1585"/>
    <mergeCell ref="M1585:N1585"/>
    <mergeCell ref="I1585:J1585"/>
    <mergeCell ref="I1586:J1586"/>
    <mergeCell ref="K1586:L1586"/>
    <mergeCell ref="M1586:N1586"/>
    <mergeCell ref="K1572:L1572"/>
    <mergeCell ref="A1591:N1591"/>
    <mergeCell ref="A1592:G1592"/>
    <mergeCell ref="I1592:J1592"/>
    <mergeCell ref="K1592:L1592"/>
    <mergeCell ref="M1592:N1592"/>
    <mergeCell ref="A1593:G1593"/>
    <mergeCell ref="M1593:N1593"/>
    <mergeCell ref="I1595:J1595"/>
    <mergeCell ref="K1595:L1595"/>
    <mergeCell ref="I1593:J1593"/>
    <mergeCell ref="K1593:L1593"/>
    <mergeCell ref="A1594:G1594"/>
    <mergeCell ref="I1594:J1594"/>
    <mergeCell ref="K1594:L1594"/>
    <mergeCell ref="A1611:G1611"/>
    <mergeCell ref="M1611:N1611"/>
    <mergeCell ref="M1612:N1612"/>
    <mergeCell ref="A1612:G1612"/>
    <mergeCell ref="A1613:G1613"/>
    <mergeCell ref="A1614:G1614"/>
    <mergeCell ref="A1615:G1615"/>
    <mergeCell ref="A1618:N1619"/>
    <mergeCell ref="A1623:N1623"/>
    <mergeCell ref="M1624:N1624"/>
    <mergeCell ref="I1602:J1602"/>
    <mergeCell ref="I1603:J1603"/>
    <mergeCell ref="K1603:L1603"/>
    <mergeCell ref="M1603:N1603"/>
    <mergeCell ref="A1600:N1600"/>
    <mergeCell ref="A1601:G1601"/>
    <mergeCell ref="I1601:J1601"/>
    <mergeCell ref="K1601:L1601"/>
    <mergeCell ref="M1601:N1601"/>
    <mergeCell ref="A1602:G1602"/>
    <mergeCell ref="A1603:G1603"/>
    <mergeCell ref="A1604:G1604"/>
    <mergeCell ref="I1604:J1604"/>
    <mergeCell ref="K1604:L1604"/>
    <mergeCell ref="M1604:N1604"/>
    <mergeCell ref="I1605:J1605"/>
    <mergeCell ref="K1605:L1605"/>
    <mergeCell ref="M1605:N1605"/>
    <mergeCell ref="A1605:G1605"/>
    <mergeCell ref="A1606:G1606"/>
    <mergeCell ref="I1606:J1606"/>
    <mergeCell ref="K1606:L1606"/>
    <mergeCell ref="K1580:L1580"/>
    <mergeCell ref="M1580:N1580"/>
    <mergeCell ref="K1597:L1597"/>
    <mergeCell ref="M1597:N1597"/>
    <mergeCell ref="K1598:L1598"/>
    <mergeCell ref="M1598:N1598"/>
    <mergeCell ref="A1595:G1595"/>
    <mergeCell ref="A1596:G1596"/>
    <mergeCell ref="I1596:J1596"/>
    <mergeCell ref="K1596:L1596"/>
    <mergeCell ref="M1596:N1596"/>
    <mergeCell ref="A1597:G1597"/>
    <mergeCell ref="I1597:J1597"/>
    <mergeCell ref="I1580:J1580"/>
    <mergeCell ref="I1581:J1581"/>
    <mergeCell ref="K1581:L1581"/>
    <mergeCell ref="M1581:N1581"/>
    <mergeCell ref="M1594:N1594"/>
    <mergeCell ref="M1595:N1595"/>
    <mergeCell ref="A1583:G1583"/>
    <mergeCell ref="A1584:G1584"/>
    <mergeCell ref="I1584:J1584"/>
    <mergeCell ref="K1584:L1584"/>
    <mergeCell ref="M1584:N1584"/>
    <mergeCell ref="A1585:G1585"/>
    <mergeCell ref="A1586:G1586"/>
    <mergeCell ref="A1587:G1587"/>
    <mergeCell ref="I1587:J1587"/>
    <mergeCell ref="K1587:L1587"/>
    <mergeCell ref="M1587:N1587"/>
    <mergeCell ref="I1588:J1588"/>
    <mergeCell ref="A1568:G1568"/>
    <mergeCell ref="A1569:G1569"/>
    <mergeCell ref="A1570:G1570"/>
    <mergeCell ref="A1571:G1571"/>
    <mergeCell ref="A1565:N1565"/>
    <mergeCell ref="A1566:G1566"/>
    <mergeCell ref="I1566:J1566"/>
    <mergeCell ref="M1566:N1566"/>
    <mergeCell ref="A1567:G1567"/>
    <mergeCell ref="M1567:N1567"/>
    <mergeCell ref="M1568:N1568"/>
    <mergeCell ref="I1567:J1567"/>
    <mergeCell ref="I1568:J1568"/>
    <mergeCell ref="I1569:J1569"/>
    <mergeCell ref="M1569:N1569"/>
    <mergeCell ref="I1570:J1570"/>
    <mergeCell ref="M1570:N1570"/>
    <mergeCell ref="I1571:J1571"/>
    <mergeCell ref="M1571:N1571"/>
    <mergeCell ref="A1559:G1559"/>
    <mergeCell ref="I1559:J1559"/>
    <mergeCell ref="K1559:L1559"/>
    <mergeCell ref="M1559:N1559"/>
    <mergeCell ref="I1560:J1560"/>
    <mergeCell ref="K1560:L1560"/>
    <mergeCell ref="M1560:N1560"/>
    <mergeCell ref="K1562:L1562"/>
    <mergeCell ref="M1562:N1562"/>
    <mergeCell ref="K1563:L1563"/>
    <mergeCell ref="M1563:N1563"/>
    <mergeCell ref="A1560:G1560"/>
    <mergeCell ref="A1561:G1561"/>
    <mergeCell ref="I1561:J1561"/>
    <mergeCell ref="K1561:L1561"/>
    <mergeCell ref="M1561:N1561"/>
    <mergeCell ref="A1562:G1562"/>
    <mergeCell ref="I1562:J1562"/>
    <mergeCell ref="I1627:J1627"/>
    <mergeCell ref="K1627:L1627"/>
    <mergeCell ref="M1627:N1627"/>
    <mergeCell ref="I1628:J1628"/>
    <mergeCell ref="K1628:L1628"/>
    <mergeCell ref="M1628:N1628"/>
    <mergeCell ref="A1631:G1631"/>
    <mergeCell ref="A1632:G1632"/>
    <mergeCell ref="A1624:G1624"/>
    <mergeCell ref="A1625:G1625"/>
    <mergeCell ref="A1626:G1626"/>
    <mergeCell ref="A1627:G1627"/>
    <mergeCell ref="A1628:G1628"/>
    <mergeCell ref="A1629:G1629"/>
    <mergeCell ref="A1630:G1630"/>
    <mergeCell ref="K1631:L1631"/>
    <mergeCell ref="M1631:N1631"/>
    <mergeCell ref="I1629:J1629"/>
    <mergeCell ref="K1629:L1629"/>
    <mergeCell ref="M1629:N1629"/>
    <mergeCell ref="I1630:J1630"/>
    <mergeCell ref="K1630:L1630"/>
    <mergeCell ref="M1630:N1630"/>
    <mergeCell ref="I1631:J1631"/>
    <mergeCell ref="I1657:J1657"/>
    <mergeCell ref="I1658:J1658"/>
    <mergeCell ref="A1655:G1655"/>
    <mergeCell ref="A1656:G1656"/>
    <mergeCell ref="I1656:J1656"/>
    <mergeCell ref="M1656:N1656"/>
    <mergeCell ref="A1657:G1657"/>
    <mergeCell ref="M1657:N1657"/>
    <mergeCell ref="M1658:N1658"/>
    <mergeCell ref="A1658:G1658"/>
    <mergeCell ref="K1589:L1589"/>
    <mergeCell ref="M1589:N1589"/>
    <mergeCell ref="K1602:L1602"/>
    <mergeCell ref="M1602:N1602"/>
    <mergeCell ref="M1615:N1615"/>
    <mergeCell ref="K1616:L1616"/>
    <mergeCell ref="M1616:N1616"/>
    <mergeCell ref="I1611:J1611"/>
    <mergeCell ref="I1612:J1612"/>
    <mergeCell ref="I1613:J1613"/>
    <mergeCell ref="M1613:N1613"/>
    <mergeCell ref="I1614:J1614"/>
    <mergeCell ref="M1614:N1614"/>
    <mergeCell ref="I1615:J1615"/>
    <mergeCell ref="I1624:J1624"/>
    <mergeCell ref="K1624:L1624"/>
    <mergeCell ref="I1625:J1625"/>
    <mergeCell ref="K1625:L1625"/>
    <mergeCell ref="M1625:N1625"/>
    <mergeCell ref="K1626:L1626"/>
    <mergeCell ref="M1626:N1626"/>
    <mergeCell ref="I1626:J1626"/>
    <mergeCell ref="K1651:L1651"/>
    <mergeCell ref="M1651:N1651"/>
    <mergeCell ref="I1647:J1647"/>
    <mergeCell ref="I1648:J1648"/>
    <mergeCell ref="K1648:L1648"/>
    <mergeCell ref="M1648:N1648"/>
    <mergeCell ref="I1649:J1649"/>
    <mergeCell ref="K1649:L1649"/>
    <mergeCell ref="M1649:N1649"/>
    <mergeCell ref="I1654:J1654"/>
    <mergeCell ref="I1655:J1655"/>
    <mergeCell ref="I1650:J1650"/>
    <mergeCell ref="K1650:L1650"/>
    <mergeCell ref="M1650:N1650"/>
    <mergeCell ref="A1653:N1653"/>
    <mergeCell ref="A1654:G1654"/>
    <mergeCell ref="M1654:N1654"/>
    <mergeCell ref="M1655:N1655"/>
    <mergeCell ref="A1645:G1645"/>
    <mergeCell ref="A1646:G1646"/>
    <mergeCell ref="A1647:G1647"/>
    <mergeCell ref="A1648:G1648"/>
    <mergeCell ref="A1649:G1649"/>
    <mergeCell ref="A1650:G1650"/>
    <mergeCell ref="I1641:J1641"/>
    <mergeCell ref="K1641:L1641"/>
    <mergeCell ref="M1641:N1641"/>
    <mergeCell ref="K1642:L1642"/>
    <mergeCell ref="M1642:N1642"/>
    <mergeCell ref="A1644:N1644"/>
    <mergeCell ref="M1645:N1645"/>
    <mergeCell ref="I1645:J1645"/>
    <mergeCell ref="K1645:L1645"/>
    <mergeCell ref="I1646:J1646"/>
    <mergeCell ref="K1646:L1646"/>
    <mergeCell ref="M1646:N1646"/>
    <mergeCell ref="K1647:L1647"/>
    <mergeCell ref="M1647:N1647"/>
    <mergeCell ref="A1636:G1636"/>
    <mergeCell ref="A1637:G1637"/>
    <mergeCell ref="A1638:G1638"/>
    <mergeCell ref="A1639:G1639"/>
    <mergeCell ref="A1640:G1640"/>
    <mergeCell ref="A1641:G1641"/>
    <mergeCell ref="I1632:J1632"/>
    <mergeCell ref="K1632:L1632"/>
    <mergeCell ref="M1632:N1632"/>
    <mergeCell ref="K1633:L1633"/>
    <mergeCell ref="M1633:N1633"/>
    <mergeCell ref="A1635:N1635"/>
    <mergeCell ref="M1636:N1636"/>
    <mergeCell ref="I1636:J1636"/>
    <mergeCell ref="K1636:L1636"/>
    <mergeCell ref="I1637:J1637"/>
    <mergeCell ref="K1637:L1637"/>
    <mergeCell ref="M1637:N1637"/>
    <mergeCell ref="K1638:L1638"/>
    <mergeCell ref="M1638:N1638"/>
    <mergeCell ref="I1638:J1638"/>
    <mergeCell ref="I1639:J1639"/>
    <mergeCell ref="K1639:L1639"/>
    <mergeCell ref="M1639:N1639"/>
    <mergeCell ref="I1640:J1640"/>
    <mergeCell ref="K1640:L1640"/>
    <mergeCell ref="M1640:N1640"/>
    <mergeCell ref="A1674:G1674"/>
    <mergeCell ref="K1675:L1675"/>
    <mergeCell ref="M1675:N1675"/>
    <mergeCell ref="K1669:L1669"/>
    <mergeCell ref="M1669:N1669"/>
    <mergeCell ref="I1669:J1669"/>
    <mergeCell ref="I1670:J1670"/>
    <mergeCell ref="K1670:L1670"/>
    <mergeCell ref="M1670:N1670"/>
    <mergeCell ref="A1667:N1667"/>
    <mergeCell ref="A1668:G1668"/>
    <mergeCell ref="I1668:J1668"/>
    <mergeCell ref="K1668:L1668"/>
    <mergeCell ref="M1668:N1668"/>
    <mergeCell ref="A1669:G1669"/>
    <mergeCell ref="A1670:G1670"/>
    <mergeCell ref="K1674:L1674"/>
    <mergeCell ref="M1674:N1674"/>
    <mergeCell ref="I1674:J1674"/>
    <mergeCell ref="A1659:G1659"/>
    <mergeCell ref="I1659:J1659"/>
    <mergeCell ref="M1659:N1659"/>
    <mergeCell ref="K1660:L1660"/>
    <mergeCell ref="M1660:N1660"/>
    <mergeCell ref="A1662:N1663"/>
    <mergeCell ref="A1671:G1671"/>
    <mergeCell ref="I1671:J1671"/>
    <mergeCell ref="K1671:L1671"/>
    <mergeCell ref="M1671:N1671"/>
    <mergeCell ref="I1672:J1672"/>
    <mergeCell ref="K1672:L1672"/>
    <mergeCell ref="M1672:N1672"/>
    <mergeCell ref="A1672:G1672"/>
    <mergeCell ref="A1673:G1673"/>
    <mergeCell ref="I1673:J1673"/>
    <mergeCell ref="K1673:L1673"/>
    <mergeCell ref="M1673:N1673"/>
    <mergeCell ref="A1677:N1677"/>
    <mergeCell ref="A1678:G1678"/>
    <mergeCell ref="I1678:J1678"/>
    <mergeCell ref="K1678:L1678"/>
    <mergeCell ref="M1678:N1678"/>
    <mergeCell ref="A1679:G1679"/>
    <mergeCell ref="A1680:G1680"/>
    <mergeCell ref="A1681:G1681"/>
    <mergeCell ref="I1681:J1681"/>
    <mergeCell ref="K1681:L1681"/>
    <mergeCell ref="M1681:N1681"/>
    <mergeCell ref="I1682:J1682"/>
    <mergeCell ref="K1682:L1682"/>
    <mergeCell ref="M1682:N1682"/>
    <mergeCell ref="A1682:G1682"/>
    <mergeCell ref="A1683:G1683"/>
    <mergeCell ref="I1683:J1683"/>
    <mergeCell ref="K1683:L1683"/>
    <mergeCell ref="M1683:N1683"/>
    <mergeCell ref="A1714:G1714"/>
    <mergeCell ref="K1679:L1679"/>
    <mergeCell ref="M1679:N1679"/>
    <mergeCell ref="K1689:L1689"/>
    <mergeCell ref="M1689:N1689"/>
    <mergeCell ref="A1686:N1686"/>
    <mergeCell ref="A1687:G1687"/>
    <mergeCell ref="I1687:J1687"/>
    <mergeCell ref="K1687:L1687"/>
    <mergeCell ref="M1687:N1687"/>
    <mergeCell ref="A1688:G1688"/>
    <mergeCell ref="A1689:G1689"/>
    <mergeCell ref="I1691:J1691"/>
    <mergeCell ref="K1691:L1691"/>
    <mergeCell ref="I1688:J1688"/>
    <mergeCell ref="I1689:J1689"/>
    <mergeCell ref="A1690:G1690"/>
    <mergeCell ref="I1690:J1690"/>
    <mergeCell ref="K1690:L1690"/>
    <mergeCell ref="M1690:N1690"/>
    <mergeCell ref="M1691:N1691"/>
    <mergeCell ref="I1679:J1679"/>
    <mergeCell ref="I1680:J1680"/>
    <mergeCell ref="K1680:L1680"/>
    <mergeCell ref="M1680:N1680"/>
    <mergeCell ref="K1684:L1684"/>
    <mergeCell ref="M1684:N1684"/>
    <mergeCell ref="K1688:L1688"/>
    <mergeCell ref="M1688:N1688"/>
    <mergeCell ref="A1691:G1691"/>
    <mergeCell ref="M1709:N1709"/>
    <mergeCell ref="I1709:J1709"/>
    <mergeCell ref="K1709:L1709"/>
    <mergeCell ref="I1710:J1710"/>
    <mergeCell ref="K1710:L1710"/>
    <mergeCell ref="M1710:N1710"/>
    <mergeCell ref="K1711:L1711"/>
    <mergeCell ref="M1711:N1711"/>
    <mergeCell ref="I1711:J1711"/>
    <mergeCell ref="I1712:J1712"/>
    <mergeCell ref="K1712:L1712"/>
    <mergeCell ref="M1712:N1712"/>
    <mergeCell ref="I1713:J1713"/>
    <mergeCell ref="K1713:L1713"/>
    <mergeCell ref="M1713:N1713"/>
    <mergeCell ref="A1709:G1709"/>
    <mergeCell ref="A1710:G1710"/>
    <mergeCell ref="A1711:G1711"/>
    <mergeCell ref="A1712:G1712"/>
    <mergeCell ref="A1713:G1713"/>
    <mergeCell ref="A1692:G1692"/>
    <mergeCell ref="I1692:J1692"/>
    <mergeCell ref="K1692:L1692"/>
    <mergeCell ref="M1692:N1692"/>
    <mergeCell ref="K1693:L1693"/>
    <mergeCell ref="M1693:N1693"/>
    <mergeCell ref="K1715:L1715"/>
    <mergeCell ref="M1715:N1715"/>
    <mergeCell ref="I1714:J1714"/>
    <mergeCell ref="K1714:L1714"/>
    <mergeCell ref="M1714:N1714"/>
    <mergeCell ref="I1697:J1697"/>
    <mergeCell ref="I1698:J1698"/>
    <mergeCell ref="I1699:J1699"/>
    <mergeCell ref="M1699:N1699"/>
    <mergeCell ref="K1700:L1700"/>
    <mergeCell ref="M1700:N1700"/>
    <mergeCell ref="A1698:G1698"/>
    <mergeCell ref="A1699:G1699"/>
    <mergeCell ref="A1695:N1695"/>
    <mergeCell ref="A1696:G1696"/>
    <mergeCell ref="I1696:J1696"/>
    <mergeCell ref="M1696:N1696"/>
    <mergeCell ref="A1697:G1697"/>
    <mergeCell ref="M1697:N1697"/>
    <mergeCell ref="M1698:N1698"/>
    <mergeCell ref="A1702:N1703"/>
    <mergeCell ref="A1707:N1707"/>
    <mergeCell ref="A1708:G1708"/>
    <mergeCell ref="I1708:J1708"/>
    <mergeCell ref="K1708:L1708"/>
    <mergeCell ref="M1708:N1708"/>
    <mergeCell ref="A1740:G1740"/>
    <mergeCell ref="A1741:G1741"/>
    <mergeCell ref="I1741:J1741"/>
    <mergeCell ref="M1741:N1741"/>
    <mergeCell ref="K1742:L1742"/>
    <mergeCell ref="M1742:N1742"/>
    <mergeCell ref="A1744:N1745"/>
    <mergeCell ref="A1753:G1753"/>
    <mergeCell ref="I1753:J1753"/>
    <mergeCell ref="K1753:L1753"/>
    <mergeCell ref="I1751:J1751"/>
    <mergeCell ref="I1752:J1752"/>
    <mergeCell ref="K1752:L1752"/>
    <mergeCell ref="M1752:N1752"/>
    <mergeCell ref="A1749:N1749"/>
    <mergeCell ref="A1750:G1750"/>
    <mergeCell ref="I1750:J1750"/>
    <mergeCell ref="K1750:L1750"/>
    <mergeCell ref="M1750:N1750"/>
    <mergeCell ref="A1751:G1751"/>
    <mergeCell ref="A1752:G1752"/>
    <mergeCell ref="K1751:L1751"/>
    <mergeCell ref="M1751:N1751"/>
    <mergeCell ref="M1753:N1753"/>
    <mergeCell ref="K1836:L1836"/>
    <mergeCell ref="M1836:N1836"/>
    <mergeCell ref="I1837:J1837"/>
    <mergeCell ref="K1837:L1837"/>
    <mergeCell ref="M1837:N1837"/>
    <mergeCell ref="K1839:L1839"/>
    <mergeCell ref="M1839:N1839"/>
    <mergeCell ref="I1839:J1839"/>
    <mergeCell ref="I1840:J1840"/>
    <mergeCell ref="K1840:L1840"/>
    <mergeCell ref="M1840:N1840"/>
    <mergeCell ref="M1812:N1812"/>
    <mergeCell ref="A1815:G1815"/>
    <mergeCell ref="I1737:J1737"/>
    <mergeCell ref="A1771:G1771"/>
    <mergeCell ref="I1771:J1771"/>
    <mergeCell ref="K1771:L1771"/>
    <mergeCell ref="M1771:N1771"/>
    <mergeCell ref="I1772:J1772"/>
    <mergeCell ref="K1772:L1772"/>
    <mergeCell ref="M1772:N1772"/>
    <mergeCell ref="A1772:G1772"/>
    <mergeCell ref="A1773:G1773"/>
    <mergeCell ref="I1773:J1773"/>
    <mergeCell ref="K1773:L1773"/>
    <mergeCell ref="M1773:N1773"/>
    <mergeCell ref="A1774:G1774"/>
    <mergeCell ref="I1774:J1774"/>
    <mergeCell ref="M1783:N1783"/>
    <mergeCell ref="K1784:L1784"/>
    <mergeCell ref="M1784:N1784"/>
    <mergeCell ref="A1761:G1761"/>
    <mergeCell ref="K1841:L1841"/>
    <mergeCell ref="M1841:N1841"/>
    <mergeCell ref="A1816:G1816"/>
    <mergeCell ref="I1816:J1816"/>
    <mergeCell ref="K1816:L1816"/>
    <mergeCell ref="M1816:N1816"/>
    <mergeCell ref="K1817:L1817"/>
    <mergeCell ref="M1817:N1817"/>
    <mergeCell ref="A1822:G1822"/>
    <mergeCell ref="A1823:G1823"/>
    <mergeCell ref="A1824:G1824"/>
    <mergeCell ref="A1825:G1825"/>
    <mergeCell ref="A1819:N1819"/>
    <mergeCell ref="A1820:G1820"/>
    <mergeCell ref="I1820:J1820"/>
    <mergeCell ref="M1820:N1820"/>
    <mergeCell ref="A1821:G1821"/>
    <mergeCell ref="M1821:N1821"/>
    <mergeCell ref="M1822:N1822"/>
    <mergeCell ref="I1821:J1821"/>
    <mergeCell ref="I1822:J1822"/>
    <mergeCell ref="I1823:J1823"/>
    <mergeCell ref="M1823:N1823"/>
    <mergeCell ref="I1824:J1824"/>
    <mergeCell ref="M1824:N1824"/>
    <mergeCell ref="I1825:J1825"/>
    <mergeCell ref="K1834:L1834"/>
    <mergeCell ref="M1834:N1834"/>
    <mergeCell ref="I1834:J1834"/>
    <mergeCell ref="I1835:J1835"/>
    <mergeCell ref="M1825:N1825"/>
    <mergeCell ref="K1826:L1826"/>
    <mergeCell ref="I1754:J1754"/>
    <mergeCell ref="K1754:L1754"/>
    <mergeCell ref="M1754:N1754"/>
    <mergeCell ref="A1754:G1754"/>
    <mergeCell ref="A1755:G1755"/>
    <mergeCell ref="I1755:J1755"/>
    <mergeCell ref="K1755:L1755"/>
    <mergeCell ref="M1755:N1755"/>
    <mergeCell ref="A1756:G1756"/>
    <mergeCell ref="A1762:G1762"/>
    <mergeCell ref="A1763:G1763"/>
    <mergeCell ref="A1764:G1764"/>
    <mergeCell ref="A1765:G1765"/>
    <mergeCell ref="A1759:N1759"/>
    <mergeCell ref="A1760:G1760"/>
    <mergeCell ref="I1760:J1760"/>
    <mergeCell ref="K1760:L1760"/>
    <mergeCell ref="M1760:N1760"/>
    <mergeCell ref="M1761:N1761"/>
    <mergeCell ref="K1756:L1756"/>
    <mergeCell ref="M1756:N1756"/>
    <mergeCell ref="I1756:J1756"/>
    <mergeCell ref="I1761:J1761"/>
    <mergeCell ref="K1761:L1761"/>
    <mergeCell ref="I1762:J1762"/>
    <mergeCell ref="K1762:L1762"/>
    <mergeCell ref="M1762:N1762"/>
    <mergeCell ref="K1763:L1763"/>
    <mergeCell ref="M1763:N1763"/>
    <mergeCell ref="I1763:J1763"/>
    <mergeCell ref="I1764:J1764"/>
    <mergeCell ref="K1764:L1764"/>
    <mergeCell ref="A1803:G1803"/>
    <mergeCell ref="A1804:G1804"/>
    <mergeCell ref="A1805:G1805"/>
    <mergeCell ref="I1805:J1805"/>
    <mergeCell ref="K1805:L1805"/>
    <mergeCell ref="M1805:N1805"/>
    <mergeCell ref="I1806:J1806"/>
    <mergeCell ref="K1806:L1806"/>
    <mergeCell ref="M1806:N1806"/>
    <mergeCell ref="A1806:G1806"/>
    <mergeCell ref="A1807:G1807"/>
    <mergeCell ref="I1807:J1807"/>
    <mergeCell ref="K1807:L1807"/>
    <mergeCell ref="M1807:N1807"/>
    <mergeCell ref="K1808:L1808"/>
    <mergeCell ref="M1808:N1808"/>
    <mergeCell ref="K1812:L1812"/>
    <mergeCell ref="I1803:J1803"/>
    <mergeCell ref="I1804:J1804"/>
    <mergeCell ref="I1736:J1736"/>
    <mergeCell ref="A1837:G1837"/>
    <mergeCell ref="A1838:G1838"/>
    <mergeCell ref="I1838:J1838"/>
    <mergeCell ref="K1838:L1838"/>
    <mergeCell ref="M1838:N1838"/>
    <mergeCell ref="A1839:G1839"/>
    <mergeCell ref="A1840:G1840"/>
    <mergeCell ref="I1739:J1739"/>
    <mergeCell ref="I1740:J1740"/>
    <mergeCell ref="A1737:G1737"/>
    <mergeCell ref="A1738:G1738"/>
    <mergeCell ref="I1738:J1738"/>
    <mergeCell ref="M1738:N1738"/>
    <mergeCell ref="A1739:G1739"/>
    <mergeCell ref="M1739:N1739"/>
    <mergeCell ref="M1740:N1740"/>
    <mergeCell ref="I1815:J1815"/>
    <mergeCell ref="K1815:L1815"/>
    <mergeCell ref="I1812:J1812"/>
    <mergeCell ref="I1813:J1813"/>
    <mergeCell ref="A1814:G1814"/>
    <mergeCell ref="I1814:J1814"/>
    <mergeCell ref="K1814:L1814"/>
    <mergeCell ref="M1814:N1814"/>
    <mergeCell ref="K1804:L1804"/>
    <mergeCell ref="M1804:N1804"/>
    <mergeCell ref="A1801:N1801"/>
    <mergeCell ref="A1802:G1802"/>
    <mergeCell ref="I1802:J1802"/>
    <mergeCell ref="K1802:L1802"/>
    <mergeCell ref="M1802:N1802"/>
    <mergeCell ref="A1717:N1717"/>
    <mergeCell ref="M1718:N1718"/>
    <mergeCell ref="I1718:J1718"/>
    <mergeCell ref="K1718:L1718"/>
    <mergeCell ref="I1719:J1719"/>
    <mergeCell ref="K1719:L1719"/>
    <mergeCell ref="M1719:N1719"/>
    <mergeCell ref="K1720:L1720"/>
    <mergeCell ref="M1720:N1720"/>
    <mergeCell ref="I1720:J1720"/>
    <mergeCell ref="I1721:J1721"/>
    <mergeCell ref="K1721:L1721"/>
    <mergeCell ref="M1721:N1721"/>
    <mergeCell ref="I1722:J1722"/>
    <mergeCell ref="K1722:L1722"/>
    <mergeCell ref="M1722:N1722"/>
    <mergeCell ref="A1727:G1727"/>
    <mergeCell ref="I1723:J1723"/>
    <mergeCell ref="K1723:L1723"/>
    <mergeCell ref="M1723:N1723"/>
    <mergeCell ref="K1724:L1724"/>
    <mergeCell ref="M1724:N1724"/>
    <mergeCell ref="A1726:N1726"/>
    <mergeCell ref="M1727:N1727"/>
    <mergeCell ref="I1727:J1727"/>
    <mergeCell ref="K1727:L1727"/>
    <mergeCell ref="I1732:J1732"/>
    <mergeCell ref="K1732:L1732"/>
    <mergeCell ref="M1732:N1732"/>
    <mergeCell ref="A1735:N1735"/>
    <mergeCell ref="A1736:G1736"/>
    <mergeCell ref="M1736:N1736"/>
    <mergeCell ref="M1737:N1737"/>
    <mergeCell ref="A1718:G1718"/>
    <mergeCell ref="A1719:G1719"/>
    <mergeCell ref="A1720:G1720"/>
    <mergeCell ref="A1721:G1721"/>
    <mergeCell ref="A1722:G1722"/>
    <mergeCell ref="A1723:G1723"/>
    <mergeCell ref="A1728:G1728"/>
    <mergeCell ref="A1729:G1729"/>
    <mergeCell ref="A1730:G1730"/>
    <mergeCell ref="A1731:G1731"/>
    <mergeCell ref="A1732:G1732"/>
    <mergeCell ref="I1728:J1728"/>
    <mergeCell ref="K1728:L1728"/>
    <mergeCell ref="M1728:N1728"/>
    <mergeCell ref="K1729:L1729"/>
    <mergeCell ref="M1729:N1729"/>
    <mergeCell ref="K1733:L1733"/>
    <mergeCell ref="M1733:N1733"/>
    <mergeCell ref="I1729:J1729"/>
    <mergeCell ref="I1730:J1730"/>
    <mergeCell ref="K1730:L1730"/>
    <mergeCell ref="M1730:N1730"/>
    <mergeCell ref="I1731:J1731"/>
    <mergeCell ref="K1731:L1731"/>
    <mergeCell ref="M1731:N1731"/>
    <mergeCell ref="M1764:N1764"/>
    <mergeCell ref="I1765:J1765"/>
    <mergeCell ref="K1765:L1765"/>
    <mergeCell ref="M1765:N1765"/>
    <mergeCell ref="I1769:J1769"/>
    <mergeCell ref="I1770:J1770"/>
    <mergeCell ref="K1757:L1757"/>
    <mergeCell ref="M1757:N1757"/>
    <mergeCell ref="K1770:L1770"/>
    <mergeCell ref="M1770:N1770"/>
    <mergeCell ref="K1766:L1766"/>
    <mergeCell ref="M1766:N1766"/>
    <mergeCell ref="A1768:N1768"/>
    <mergeCell ref="A1769:G1769"/>
    <mergeCell ref="K1769:L1769"/>
    <mergeCell ref="M1769:N1769"/>
    <mergeCell ref="A1770:G1770"/>
    <mergeCell ref="M1856:N1856"/>
    <mergeCell ref="I1857:J1857"/>
    <mergeCell ref="K1857:L1857"/>
    <mergeCell ref="M1857:N1857"/>
    <mergeCell ref="A1857:G1857"/>
    <mergeCell ref="A1858:G1858"/>
    <mergeCell ref="I1858:J1858"/>
    <mergeCell ref="K1858:L1858"/>
    <mergeCell ref="M1858:N1858"/>
    <mergeCell ref="A1856:G1856"/>
    <mergeCell ref="I1856:J1856"/>
    <mergeCell ref="K1856:L1856"/>
    <mergeCell ref="I1846:J1846"/>
    <mergeCell ref="K1846:L1846"/>
    <mergeCell ref="M1846:N1846"/>
    <mergeCell ref="A1843:N1843"/>
    <mergeCell ref="A1844:G1844"/>
    <mergeCell ref="I1844:J1844"/>
    <mergeCell ref="K1844:L1844"/>
    <mergeCell ref="M1844:N1844"/>
    <mergeCell ref="A1845:G1845"/>
    <mergeCell ref="A1846:G1846"/>
    <mergeCell ref="A1849:G1849"/>
    <mergeCell ref="I1849:J1849"/>
    <mergeCell ref="K1849:L1849"/>
    <mergeCell ref="M1849:N1849"/>
    <mergeCell ref="K1850:L1850"/>
    <mergeCell ref="M1850:N1850"/>
    <mergeCell ref="K1854:L1854"/>
    <mergeCell ref="M1854:N1854"/>
    <mergeCell ref="I1854:J1854"/>
    <mergeCell ref="I1855:J1855"/>
    <mergeCell ref="K1855:L1855"/>
    <mergeCell ref="M1855:N1855"/>
    <mergeCell ref="A1852:N1852"/>
    <mergeCell ref="A1853:G1853"/>
    <mergeCell ref="I1853:J1853"/>
    <mergeCell ref="K1853:L1853"/>
    <mergeCell ref="M1853:N1853"/>
    <mergeCell ref="A1854:G1854"/>
    <mergeCell ref="A1855:G1855"/>
    <mergeCell ref="K1845:L1845"/>
    <mergeCell ref="M1845:N1845"/>
    <mergeCell ref="I1845:J1845"/>
    <mergeCell ref="K1813:L1813"/>
    <mergeCell ref="M1813:N1813"/>
    <mergeCell ref="A1810:N1810"/>
    <mergeCell ref="A1811:G1811"/>
    <mergeCell ref="I1811:J1811"/>
    <mergeCell ref="K1811:L1811"/>
    <mergeCell ref="M1811:N1811"/>
    <mergeCell ref="A1812:G1812"/>
    <mergeCell ref="A1813:G1813"/>
    <mergeCell ref="A1847:G1847"/>
    <mergeCell ref="I1847:J1847"/>
    <mergeCell ref="K1847:L1847"/>
    <mergeCell ref="M1847:N1847"/>
    <mergeCell ref="I1848:J1848"/>
    <mergeCell ref="K1848:L1848"/>
    <mergeCell ref="M1848:N1848"/>
    <mergeCell ref="A1848:G1848"/>
    <mergeCell ref="M1815:N1815"/>
    <mergeCell ref="K1835:L1835"/>
    <mergeCell ref="M1835:N1835"/>
    <mergeCell ref="M1826:N1826"/>
    <mergeCell ref="A1828:N1829"/>
    <mergeCell ref="A1833:N1833"/>
    <mergeCell ref="A1834:G1834"/>
    <mergeCell ref="A1835:G1835"/>
    <mergeCell ref="A1836:G1836"/>
    <mergeCell ref="I1836:J1836"/>
    <mergeCell ref="A1786:N1787"/>
    <mergeCell ref="A1791:N1791"/>
    <mergeCell ref="A1792:G1792"/>
    <mergeCell ref="I1792:J1792"/>
    <mergeCell ref="K1792:L1792"/>
    <mergeCell ref="M1792:N1792"/>
    <mergeCell ref="M1793:N1793"/>
    <mergeCell ref="K1795:L1795"/>
    <mergeCell ref="M1795:N1795"/>
    <mergeCell ref="A1797:G1797"/>
    <mergeCell ref="I1797:J1797"/>
    <mergeCell ref="K1797:L1797"/>
    <mergeCell ref="M1797:N1797"/>
    <mergeCell ref="I1798:J1798"/>
    <mergeCell ref="K1798:L1798"/>
    <mergeCell ref="M1798:N1798"/>
    <mergeCell ref="A1798:G1798"/>
    <mergeCell ref="I1795:J1795"/>
    <mergeCell ref="I1796:J1796"/>
    <mergeCell ref="K1796:L1796"/>
    <mergeCell ref="M1796:N1796"/>
    <mergeCell ref="A1793:G1793"/>
    <mergeCell ref="A1794:G1794"/>
    <mergeCell ref="I1794:J1794"/>
    <mergeCell ref="K1794:L1794"/>
    <mergeCell ref="M1794:N1794"/>
    <mergeCell ref="A1795:G1795"/>
    <mergeCell ref="A1796:G1796"/>
    <mergeCell ref="K1881:L1881"/>
    <mergeCell ref="M1881:N1881"/>
    <mergeCell ref="K1859:L1859"/>
    <mergeCell ref="M1859:N1859"/>
    <mergeCell ref="A1864:G1864"/>
    <mergeCell ref="A1865:G1865"/>
    <mergeCell ref="A1866:G1866"/>
    <mergeCell ref="A1867:G1867"/>
    <mergeCell ref="A1861:N1861"/>
    <mergeCell ref="A1862:G1862"/>
    <mergeCell ref="I1862:J1862"/>
    <mergeCell ref="M1862:N1862"/>
    <mergeCell ref="A1863:G1863"/>
    <mergeCell ref="M1863:N1863"/>
    <mergeCell ref="M1864:N1864"/>
    <mergeCell ref="I1863:J1863"/>
    <mergeCell ref="I1864:J1864"/>
    <mergeCell ref="I1865:J1865"/>
    <mergeCell ref="M1865:N1865"/>
    <mergeCell ref="I1866:J1866"/>
    <mergeCell ref="M1866:N1866"/>
    <mergeCell ref="I1867:J1867"/>
    <mergeCell ref="K1876:L1876"/>
    <mergeCell ref="M1876:N1876"/>
    <mergeCell ref="I1876:J1876"/>
    <mergeCell ref="I1877:J1877"/>
    <mergeCell ref="K1877:L1877"/>
    <mergeCell ref="M1877:N1877"/>
    <mergeCell ref="M1867:N1867"/>
    <mergeCell ref="K1774:L1774"/>
    <mergeCell ref="M1774:N1774"/>
    <mergeCell ref="K1775:L1775"/>
    <mergeCell ref="M1775:N1775"/>
    <mergeCell ref="A1777:N1777"/>
    <mergeCell ref="I1778:J1778"/>
    <mergeCell ref="M1778:N1778"/>
    <mergeCell ref="A1778:G1778"/>
    <mergeCell ref="A1779:G1779"/>
    <mergeCell ref="I1779:J1779"/>
    <mergeCell ref="M1779:N1779"/>
    <mergeCell ref="A1780:G1780"/>
    <mergeCell ref="M1780:N1780"/>
    <mergeCell ref="A1781:G1781"/>
    <mergeCell ref="M1781:N1781"/>
    <mergeCell ref="I1793:J1793"/>
    <mergeCell ref="K1793:L1793"/>
    <mergeCell ref="I1780:J1780"/>
    <mergeCell ref="I1781:J1781"/>
    <mergeCell ref="A1782:G1782"/>
    <mergeCell ref="I1782:J1782"/>
    <mergeCell ref="M1782:N1782"/>
    <mergeCell ref="A1783:G1783"/>
    <mergeCell ref="I1783:J1783"/>
    <mergeCell ref="K1868:L1868"/>
    <mergeCell ref="M1868:N1868"/>
    <mergeCell ref="A1870:N1871"/>
    <mergeCell ref="A1875:N1875"/>
    <mergeCell ref="A1876:G1876"/>
    <mergeCell ref="A1877:G1877"/>
    <mergeCell ref="I1890:J1890"/>
    <mergeCell ref="K1890:L1890"/>
    <mergeCell ref="M1890:N1890"/>
    <mergeCell ref="A1890:G1890"/>
    <mergeCell ref="A1891:G1891"/>
    <mergeCell ref="I1891:J1891"/>
    <mergeCell ref="K1891:L1891"/>
    <mergeCell ref="M1891:N1891"/>
    <mergeCell ref="K1892:L1892"/>
    <mergeCell ref="M1892:N1892"/>
    <mergeCell ref="K1799:L1799"/>
    <mergeCell ref="M1799:N1799"/>
    <mergeCell ref="K1803:L1803"/>
    <mergeCell ref="M1803:N1803"/>
    <mergeCell ref="I1881:J1881"/>
    <mergeCell ref="I1882:J1882"/>
    <mergeCell ref="A1878:G1878"/>
    <mergeCell ref="I1878:J1878"/>
    <mergeCell ref="K1878:L1878"/>
    <mergeCell ref="M1878:N1878"/>
    <mergeCell ref="I1879:J1879"/>
    <mergeCell ref="K1879:L1879"/>
    <mergeCell ref="M1879:N1879"/>
    <mergeCell ref="K1882:L1882"/>
    <mergeCell ref="M1882:N1882"/>
    <mergeCell ref="A1879:G1879"/>
    <mergeCell ref="A1880:G1880"/>
    <mergeCell ref="I1880:J1880"/>
    <mergeCell ref="K1880:L1880"/>
    <mergeCell ref="M1880:N1880"/>
    <mergeCell ref="A1881:G1881"/>
    <mergeCell ref="A1882:G1882"/>
    <mergeCell ref="K1883:L1883"/>
    <mergeCell ref="M1883:N1883"/>
    <mergeCell ref="K1887:L1887"/>
    <mergeCell ref="M1887:N1887"/>
    <mergeCell ref="I1887:J1887"/>
    <mergeCell ref="I1888:J1888"/>
    <mergeCell ref="K1888:L1888"/>
    <mergeCell ref="M1888:N1888"/>
    <mergeCell ref="A1885:N1885"/>
    <mergeCell ref="A1886:G1886"/>
    <mergeCell ref="I1886:J1886"/>
    <mergeCell ref="K1886:L1886"/>
    <mergeCell ref="M1886:N1886"/>
    <mergeCell ref="A1887:G1887"/>
    <mergeCell ref="A1888:G1888"/>
    <mergeCell ref="A1889:G1889"/>
    <mergeCell ref="I1889:J1889"/>
    <mergeCell ref="K1889:L1889"/>
    <mergeCell ref="M1889:N1889"/>
    <mergeCell ref="M1901:N1901"/>
    <mergeCell ref="A1903:N1903"/>
    <mergeCell ref="A1904:G1904"/>
    <mergeCell ref="I1904:J1904"/>
    <mergeCell ref="M1904:N1904"/>
    <mergeCell ref="A1905:G1905"/>
    <mergeCell ref="M1905:N1905"/>
    <mergeCell ref="M1906:N1906"/>
    <mergeCell ref="A1906:G1906"/>
    <mergeCell ref="A1907:G1907"/>
    <mergeCell ref="A1908:G1908"/>
    <mergeCell ref="A1909:G1909"/>
    <mergeCell ref="A1894:N1894"/>
    <mergeCell ref="A1895:G1895"/>
    <mergeCell ref="I1895:J1895"/>
    <mergeCell ref="K1895:L1895"/>
    <mergeCell ref="M1895:N1895"/>
    <mergeCell ref="K1900:L1900"/>
    <mergeCell ref="M1900:N1900"/>
    <mergeCell ref="K1901:L1901"/>
    <mergeCell ref="K1896:L1896"/>
    <mergeCell ref="M1896:N1896"/>
    <mergeCell ref="M1909:N1909"/>
    <mergeCell ref="A1979:G1979"/>
    <mergeCell ref="I1940:J1940"/>
    <mergeCell ref="K1940:L1940"/>
    <mergeCell ref="M1940:N1940"/>
    <mergeCell ref="A1940:G1940"/>
    <mergeCell ref="I1918:J1918"/>
    <mergeCell ref="K1918:L1918"/>
    <mergeCell ref="I1919:J1919"/>
    <mergeCell ref="K1919:L1919"/>
    <mergeCell ref="M1919:N1919"/>
    <mergeCell ref="K1920:L1920"/>
    <mergeCell ref="M1920:N1920"/>
    <mergeCell ref="I1896:J1896"/>
    <mergeCell ref="I1897:J1897"/>
    <mergeCell ref="K1897:L1897"/>
    <mergeCell ref="M1897:N1897"/>
    <mergeCell ref="M1937:N1937"/>
    <mergeCell ref="M1962:N1962"/>
    <mergeCell ref="A1962:G1962"/>
    <mergeCell ref="A1896:G1896"/>
    <mergeCell ref="A1897:G1897"/>
    <mergeCell ref="A1898:G1898"/>
    <mergeCell ref="I1898:J1898"/>
    <mergeCell ref="K1898:L1898"/>
    <mergeCell ref="M1898:N1898"/>
    <mergeCell ref="I1899:J1899"/>
    <mergeCell ref="K1899:L1899"/>
    <mergeCell ref="M1899:N1899"/>
    <mergeCell ref="A1899:G1899"/>
    <mergeCell ref="A1900:G1900"/>
    <mergeCell ref="I1900:J1900"/>
    <mergeCell ref="A1912:N1913"/>
    <mergeCell ref="K1910:L1910"/>
    <mergeCell ref="M1910:N1910"/>
    <mergeCell ref="I1905:J1905"/>
    <mergeCell ref="I1906:J1906"/>
    <mergeCell ref="I1907:J1907"/>
    <mergeCell ref="M1907:N1907"/>
    <mergeCell ref="I1908:J1908"/>
    <mergeCell ref="M1908:N1908"/>
    <mergeCell ref="I1909:J1909"/>
    <mergeCell ref="A1980:G1980"/>
    <mergeCell ref="K1969:L1969"/>
    <mergeCell ref="M1969:N1969"/>
    <mergeCell ref="I1969:J1969"/>
    <mergeCell ref="K1941:L1941"/>
    <mergeCell ref="M1941:N1941"/>
    <mergeCell ref="K1942:L1942"/>
    <mergeCell ref="M1942:N1942"/>
    <mergeCell ref="I1949:J1949"/>
    <mergeCell ref="I1950:J1950"/>
    <mergeCell ref="K1951:L1951"/>
    <mergeCell ref="M1951:N1951"/>
    <mergeCell ref="A1961:G1961"/>
    <mergeCell ref="I1961:J1961"/>
    <mergeCell ref="K1961:L1961"/>
    <mergeCell ref="M1965:N1965"/>
    <mergeCell ref="K1966:L1966"/>
    <mergeCell ref="M1966:N1966"/>
    <mergeCell ref="A1968:N1968"/>
    <mergeCell ref="A1969:G1969"/>
    <mergeCell ref="I1946:J1946"/>
    <mergeCell ref="I1947:J1947"/>
    <mergeCell ref="A1944:N1944"/>
    <mergeCell ref="I1962:J1962"/>
    <mergeCell ref="K1962:L1962"/>
    <mergeCell ref="A1917:N1917"/>
    <mergeCell ref="M1918:N1918"/>
    <mergeCell ref="A1918:G1918"/>
    <mergeCell ref="A1919:G1919"/>
    <mergeCell ref="A1920:G1920"/>
    <mergeCell ref="A1921:G1921"/>
    <mergeCell ref="A1922:G1922"/>
    <mergeCell ref="A1923:G1923"/>
    <mergeCell ref="A1931:G1931"/>
    <mergeCell ref="A1932:G1932"/>
    <mergeCell ref="I1932:J1932"/>
    <mergeCell ref="K1932:L1932"/>
    <mergeCell ref="M1932:N1932"/>
    <mergeCell ref="M1930:N1930"/>
    <mergeCell ref="M1931:N1931"/>
    <mergeCell ref="K1933:L1933"/>
    <mergeCell ref="M1933:N1933"/>
    <mergeCell ref="K1924:L1924"/>
    <mergeCell ref="M1924:N1924"/>
    <mergeCell ref="I1920:J1920"/>
    <mergeCell ref="I1921:J1921"/>
    <mergeCell ref="K1921:L1921"/>
    <mergeCell ref="M1921:N1921"/>
    <mergeCell ref="I1922:J1922"/>
    <mergeCell ref="K1922:L1922"/>
    <mergeCell ref="M1922:N1922"/>
    <mergeCell ref="I1923:J1923"/>
    <mergeCell ref="K1923:L1923"/>
    <mergeCell ref="M1923:N1923"/>
    <mergeCell ref="K1927:L1927"/>
    <mergeCell ref="I1927:J1927"/>
    <mergeCell ref="M1927:N1927"/>
    <mergeCell ref="A1927:G1927"/>
    <mergeCell ref="A1928:G1928"/>
    <mergeCell ref="I1928:J1928"/>
    <mergeCell ref="K1928:L1928"/>
    <mergeCell ref="M1928:N1928"/>
    <mergeCell ref="A1929:G1929"/>
    <mergeCell ref="I1929:J1929"/>
    <mergeCell ref="A1926:N1926"/>
    <mergeCell ref="I1931:J1931"/>
    <mergeCell ref="K1931:L1931"/>
    <mergeCell ref="K1929:L1929"/>
    <mergeCell ref="M1929:N1929"/>
    <mergeCell ref="A1930:G1930"/>
    <mergeCell ref="I1930:J1930"/>
    <mergeCell ref="K1930:L1930"/>
    <mergeCell ref="M1961:N1961"/>
    <mergeCell ref="K1937:L1937"/>
    <mergeCell ref="I1938:J1938"/>
    <mergeCell ref="K1938:L1938"/>
    <mergeCell ref="M1938:N1938"/>
    <mergeCell ref="A1935:N1935"/>
    <mergeCell ref="A1936:G1936"/>
    <mergeCell ref="I1936:J1936"/>
    <mergeCell ref="K1936:L1936"/>
    <mergeCell ref="M1936:N1936"/>
    <mergeCell ref="A1937:G1937"/>
    <mergeCell ref="A1938:G1938"/>
    <mergeCell ref="A1939:G1939"/>
    <mergeCell ref="I1939:J1939"/>
    <mergeCell ref="K1939:L1939"/>
    <mergeCell ref="M1939:N1939"/>
    <mergeCell ref="I1937:J1937"/>
    <mergeCell ref="A1945:G1945"/>
    <mergeCell ref="I1945:J1945"/>
    <mergeCell ref="A1941:G1941"/>
    <mergeCell ref="I1941:J1941"/>
    <mergeCell ref="A1947:G1947"/>
    <mergeCell ref="A1963:G1963"/>
    <mergeCell ref="I1963:J1963"/>
    <mergeCell ref="K1963:L1963"/>
    <mergeCell ref="M1963:N1963"/>
    <mergeCell ref="A1964:G1964"/>
    <mergeCell ref="A1965:G1965"/>
    <mergeCell ref="I1983:J1983"/>
    <mergeCell ref="K1983:L1983"/>
    <mergeCell ref="M1983:N1983"/>
    <mergeCell ref="M1945:N1945"/>
    <mergeCell ref="A1946:G1946"/>
    <mergeCell ref="M1946:N1946"/>
    <mergeCell ref="M1947:N1947"/>
    <mergeCell ref="M1973:N1973"/>
    <mergeCell ref="A1974:G1974"/>
    <mergeCell ref="I1974:J1974"/>
    <mergeCell ref="K1979:L1979"/>
    <mergeCell ref="M1979:N1979"/>
    <mergeCell ref="I1979:J1979"/>
    <mergeCell ref="I1980:J1980"/>
    <mergeCell ref="K1980:L1980"/>
    <mergeCell ref="M1980:N1980"/>
    <mergeCell ref="A1977:N1977"/>
    <mergeCell ref="A1978:G1978"/>
    <mergeCell ref="I1978:J1978"/>
    <mergeCell ref="K1978:L1978"/>
    <mergeCell ref="M1978:N1978"/>
    <mergeCell ref="K1970:L1970"/>
    <mergeCell ref="M1970:N1970"/>
    <mergeCell ref="K1965:L1965"/>
    <mergeCell ref="A1970:G1970"/>
    <mergeCell ref="A1971:G1971"/>
    <mergeCell ref="I1971:J1971"/>
    <mergeCell ref="K1971:L1971"/>
    <mergeCell ref="M1971:N1971"/>
    <mergeCell ref="I1972:J1972"/>
    <mergeCell ref="K1972:L1972"/>
    <mergeCell ref="M1972:N1972"/>
    <mergeCell ref="K1974:L1974"/>
    <mergeCell ref="M1974:N1974"/>
    <mergeCell ref="K1975:L1975"/>
    <mergeCell ref="M1975:N1975"/>
    <mergeCell ref="A1972:G1972"/>
    <mergeCell ref="A1973:G1973"/>
    <mergeCell ref="I1973:J1973"/>
    <mergeCell ref="K1973:L1973"/>
    <mergeCell ref="I2024:J2024"/>
    <mergeCell ref="A1948:G1948"/>
    <mergeCell ref="I1948:J1948"/>
    <mergeCell ref="M1948:N1948"/>
    <mergeCell ref="A1949:G1949"/>
    <mergeCell ref="M1949:N1949"/>
    <mergeCell ref="M1950:N1950"/>
    <mergeCell ref="I1959:J1959"/>
    <mergeCell ref="I1960:J1960"/>
    <mergeCell ref="K1960:L1960"/>
    <mergeCell ref="M1960:N1960"/>
    <mergeCell ref="A1950:G1950"/>
    <mergeCell ref="A1953:N1954"/>
    <mergeCell ref="A1958:N1958"/>
    <mergeCell ref="A1959:G1959"/>
    <mergeCell ref="K1959:L1959"/>
    <mergeCell ref="M1959:N1959"/>
    <mergeCell ref="A1960:G1960"/>
    <mergeCell ref="K1964:L1964"/>
    <mergeCell ref="M1964:N1964"/>
    <mergeCell ref="I1964:J1964"/>
    <mergeCell ref="I1965:J1965"/>
    <mergeCell ref="A1981:G1981"/>
    <mergeCell ref="I1981:J1981"/>
    <mergeCell ref="K1981:L1981"/>
    <mergeCell ref="M1981:N1981"/>
    <mergeCell ref="I1982:J1982"/>
    <mergeCell ref="K1982:L1982"/>
    <mergeCell ref="M1982:N1982"/>
    <mergeCell ref="A1982:G1982"/>
    <mergeCell ref="A1983:G1983"/>
    <mergeCell ref="I1970:J1970"/>
    <mergeCell ref="M2021:N2021"/>
    <mergeCell ref="M2034:N2034"/>
    <mergeCell ref="A2013:G2013"/>
    <mergeCell ref="I2013:J2013"/>
    <mergeCell ref="K2013:L2013"/>
    <mergeCell ref="M2013:N2013"/>
    <mergeCell ref="I2014:J2014"/>
    <mergeCell ref="K2014:L2014"/>
    <mergeCell ref="M2014:N2014"/>
    <mergeCell ref="K2016:L2016"/>
    <mergeCell ref="M2016:N2016"/>
    <mergeCell ref="K2017:L2017"/>
    <mergeCell ref="M2017:N2017"/>
    <mergeCell ref="A2014:G2014"/>
    <mergeCell ref="A2015:G2015"/>
    <mergeCell ref="I2015:J2015"/>
    <mergeCell ref="K2015:L2015"/>
    <mergeCell ref="M2015:N2015"/>
    <mergeCell ref="M2020:N2020"/>
    <mergeCell ref="A2021:G2021"/>
    <mergeCell ref="A2022:G2022"/>
    <mergeCell ref="A2023:G2023"/>
    <mergeCell ref="I2023:J2023"/>
    <mergeCell ref="K2023:L2023"/>
    <mergeCell ref="M2023:N2023"/>
    <mergeCell ref="I2065:J2065"/>
    <mergeCell ref="K2065:L2065"/>
    <mergeCell ref="A2062:G2062"/>
    <mergeCell ref="A2043:G2043"/>
    <mergeCell ref="I2052:J2052"/>
    <mergeCell ref="K2052:L2052"/>
    <mergeCell ref="I2048:J2048"/>
    <mergeCell ref="K2048:L2048"/>
    <mergeCell ref="M2048:N2048"/>
    <mergeCell ref="K2049:L2049"/>
    <mergeCell ref="M2049:N2049"/>
    <mergeCell ref="A2051:N2051"/>
    <mergeCell ref="M2052:N2052"/>
    <mergeCell ref="A2048:G2048"/>
    <mergeCell ref="M2064:N2064"/>
    <mergeCell ref="I2064:J2064"/>
    <mergeCell ref="A2054:G2054"/>
    <mergeCell ref="A2044:G2044"/>
    <mergeCell ref="I2021:J2021"/>
    <mergeCell ref="I2022:J2022"/>
    <mergeCell ref="K2022:L2022"/>
    <mergeCell ref="M2022:N2022"/>
    <mergeCell ref="K2024:L2024"/>
    <mergeCell ref="M2024:N2024"/>
    <mergeCell ref="A2024:G2024"/>
    <mergeCell ref="K2084:L2084"/>
    <mergeCell ref="M2084:N2084"/>
    <mergeCell ref="A2086:G2086"/>
    <mergeCell ref="I2103:J2103"/>
    <mergeCell ref="K2103:L2103"/>
    <mergeCell ref="M2103:N2103"/>
    <mergeCell ref="A2106:G2106"/>
    <mergeCell ref="I2106:J2106"/>
    <mergeCell ref="K2106:L2106"/>
    <mergeCell ref="I2086:J2086"/>
    <mergeCell ref="K2086:L2086"/>
    <mergeCell ref="M2086:N2086"/>
    <mergeCell ref="M2065:N2065"/>
    <mergeCell ref="I2066:J2066"/>
    <mergeCell ref="K2066:L2066"/>
    <mergeCell ref="M2066:N2066"/>
    <mergeCell ref="M2095:N2095"/>
    <mergeCell ref="A2093:N2093"/>
    <mergeCell ref="A2094:G2094"/>
    <mergeCell ref="A2095:G2095"/>
    <mergeCell ref="A2096:G2096"/>
    <mergeCell ref="I2096:J2096"/>
    <mergeCell ref="K2096:L2096"/>
    <mergeCell ref="M2076:N2076"/>
    <mergeCell ref="M2096:N2096"/>
    <mergeCell ref="I2097:J2097"/>
    <mergeCell ref="K2097:L2097"/>
    <mergeCell ref="M2097:N2097"/>
    <mergeCell ref="K2099:L2099"/>
    <mergeCell ref="M2099:N2099"/>
    <mergeCell ref="K2100:L2100"/>
    <mergeCell ref="M2100:N2100"/>
    <mergeCell ref="I2131:J2131"/>
    <mergeCell ref="K2131:L2131"/>
    <mergeCell ref="M2131:N2131"/>
    <mergeCell ref="I2132:J2132"/>
    <mergeCell ref="K2132:L2132"/>
    <mergeCell ref="M2132:N2132"/>
    <mergeCell ref="A2117:G2117"/>
    <mergeCell ref="I2128:J2128"/>
    <mergeCell ref="K2128:L2128"/>
    <mergeCell ref="M2128:N2128"/>
    <mergeCell ref="I2129:J2129"/>
    <mergeCell ref="K2129:L2129"/>
    <mergeCell ref="M2129:N2129"/>
    <mergeCell ref="I2130:J2130"/>
    <mergeCell ref="K2130:L2130"/>
    <mergeCell ref="M2130:N2130"/>
    <mergeCell ref="A2104:G2104"/>
    <mergeCell ref="A2105:G2105"/>
    <mergeCell ref="M2112:N2112"/>
    <mergeCell ref="A2113:G2113"/>
    <mergeCell ref="M2113:N2113"/>
    <mergeCell ref="M2114:N2114"/>
    <mergeCell ref="I2105:J2105"/>
    <mergeCell ref="K2105:L2105"/>
    <mergeCell ref="M2109:N2109"/>
    <mergeCell ref="A2131:G2131"/>
    <mergeCell ref="A2120:N2121"/>
    <mergeCell ref="A2125:N2125"/>
    <mergeCell ref="I2126:J2126"/>
    <mergeCell ref="K2126:L2126"/>
    <mergeCell ref="I2127:J2127"/>
    <mergeCell ref="K2127:L2127"/>
    <mergeCell ref="I2138:J2138"/>
    <mergeCell ref="K2138:L2138"/>
    <mergeCell ref="M2138:N2138"/>
    <mergeCell ref="K2133:L2133"/>
    <mergeCell ref="M2133:N2133"/>
    <mergeCell ref="K2134:L2134"/>
    <mergeCell ref="M2134:N2134"/>
    <mergeCell ref="A2136:N2136"/>
    <mergeCell ref="A2137:G2137"/>
    <mergeCell ref="M2098:N2098"/>
    <mergeCell ref="A2099:G2099"/>
    <mergeCell ref="I2099:J2099"/>
    <mergeCell ref="K2104:L2104"/>
    <mergeCell ref="M2104:N2104"/>
    <mergeCell ref="M2117:N2117"/>
    <mergeCell ref="K2118:L2118"/>
    <mergeCell ref="M2118:N2118"/>
    <mergeCell ref="I2113:J2113"/>
    <mergeCell ref="I2114:J2114"/>
    <mergeCell ref="I2115:J2115"/>
    <mergeCell ref="A2132:G2132"/>
    <mergeCell ref="I2104:J2104"/>
    <mergeCell ref="M2126:N2126"/>
    <mergeCell ref="M2105:N2105"/>
    <mergeCell ref="A2102:N2102"/>
    <mergeCell ref="A2103:G2103"/>
    <mergeCell ref="K2137:L2137"/>
    <mergeCell ref="M2137:N2137"/>
    <mergeCell ref="I2137:J2137"/>
    <mergeCell ref="M2106:N2106"/>
    <mergeCell ref="I2107:J2107"/>
    <mergeCell ref="K2107:L2107"/>
    <mergeCell ref="I2054:J2054"/>
    <mergeCell ref="I2055:J2055"/>
    <mergeCell ref="A2078:N2079"/>
    <mergeCell ref="A2083:N2083"/>
    <mergeCell ref="A2084:G2084"/>
    <mergeCell ref="A2085:G2085"/>
    <mergeCell ref="K2054:L2054"/>
    <mergeCell ref="M2054:N2054"/>
    <mergeCell ref="I2062:J2062"/>
    <mergeCell ref="K2062:L2062"/>
    <mergeCell ref="A2063:G2063"/>
    <mergeCell ref="A2064:G2064"/>
    <mergeCell ref="A2065:G2065"/>
    <mergeCell ref="A2066:G2066"/>
    <mergeCell ref="A2057:G2057"/>
    <mergeCell ref="A2060:N2060"/>
    <mergeCell ref="M2062:N2062"/>
    <mergeCell ref="I2084:J2084"/>
    <mergeCell ref="I2072:J2072"/>
    <mergeCell ref="I2073:J2073"/>
    <mergeCell ref="A2071:G2071"/>
    <mergeCell ref="M2072:N2072"/>
    <mergeCell ref="I2071:J2071"/>
    <mergeCell ref="M2058:N2058"/>
    <mergeCell ref="I2057:J2057"/>
    <mergeCell ref="M2073:N2073"/>
    <mergeCell ref="I2074:J2074"/>
    <mergeCell ref="A2061:G2061"/>
    <mergeCell ref="I2061:J2061"/>
    <mergeCell ref="K2061:L2061"/>
    <mergeCell ref="M2061:N2061"/>
    <mergeCell ref="M2074:N2074"/>
    <mergeCell ref="K1984:L1984"/>
    <mergeCell ref="M1984:N1984"/>
    <mergeCell ref="A1989:G1989"/>
    <mergeCell ref="A1990:G1990"/>
    <mergeCell ref="A1991:G1991"/>
    <mergeCell ref="A1992:G1992"/>
    <mergeCell ref="A1986:N1986"/>
    <mergeCell ref="A1987:G1987"/>
    <mergeCell ref="I1987:J1987"/>
    <mergeCell ref="M1987:N1987"/>
    <mergeCell ref="A1988:G1988"/>
    <mergeCell ref="M1988:N1988"/>
    <mergeCell ref="M1989:N1989"/>
    <mergeCell ref="K2067:L2067"/>
    <mergeCell ref="M2067:N2067"/>
    <mergeCell ref="A2069:N2069"/>
    <mergeCell ref="A2070:G2070"/>
    <mergeCell ref="I2070:J2070"/>
    <mergeCell ref="K2057:L2057"/>
    <mergeCell ref="M2057:N2057"/>
    <mergeCell ref="A2055:G2055"/>
    <mergeCell ref="A2056:G2056"/>
    <mergeCell ref="I2056:J2056"/>
    <mergeCell ref="K2056:L2056"/>
    <mergeCell ref="M2056:N2056"/>
    <mergeCell ref="A2016:G2016"/>
    <mergeCell ref="I2016:J2016"/>
    <mergeCell ref="M2026:N2026"/>
    <mergeCell ref="A2019:N2019"/>
    <mergeCell ref="A2020:G2020"/>
    <mergeCell ref="I2033:J2033"/>
    <mergeCell ref="M2033:N2033"/>
    <mergeCell ref="M2127:N2127"/>
    <mergeCell ref="A2126:G2126"/>
    <mergeCell ref="A2127:G2127"/>
    <mergeCell ref="A2128:G2128"/>
    <mergeCell ref="A2129:G2129"/>
    <mergeCell ref="A2130:G2130"/>
    <mergeCell ref="M2115:N2115"/>
    <mergeCell ref="I2116:J2116"/>
    <mergeCell ref="A2114:G2114"/>
    <mergeCell ref="A2115:G2115"/>
    <mergeCell ref="A2116:G2116"/>
    <mergeCell ref="M2143:N2143"/>
    <mergeCell ref="A2159:G2159"/>
    <mergeCell ref="A2160:G2160"/>
    <mergeCell ref="A2154:N2154"/>
    <mergeCell ref="A2155:G2155"/>
    <mergeCell ref="I2133:J2133"/>
    <mergeCell ref="M2147:N2147"/>
    <mergeCell ref="I2147:J2147"/>
    <mergeCell ref="A2133:G2133"/>
    <mergeCell ref="I2148:J2148"/>
    <mergeCell ref="K2148:L2148"/>
    <mergeCell ref="M2148:N2148"/>
    <mergeCell ref="A2145:N2145"/>
    <mergeCell ref="A2146:G2146"/>
    <mergeCell ref="I2146:J2146"/>
    <mergeCell ref="K2146:L2146"/>
    <mergeCell ref="M2146:N2146"/>
    <mergeCell ref="A2147:G2147"/>
    <mergeCell ref="A2148:G2148"/>
    <mergeCell ref="A2138:G2138"/>
    <mergeCell ref="A2139:G2139"/>
    <mergeCell ref="A2097:G2097"/>
    <mergeCell ref="A2098:G2098"/>
    <mergeCell ref="I2098:J2098"/>
    <mergeCell ref="K2098:L2098"/>
    <mergeCell ref="M2107:N2107"/>
    <mergeCell ref="A2107:G2107"/>
    <mergeCell ref="A2108:G2108"/>
    <mergeCell ref="I2108:J2108"/>
    <mergeCell ref="K2108:L2108"/>
    <mergeCell ref="M2108:N2108"/>
    <mergeCell ref="K2109:L2109"/>
    <mergeCell ref="A2149:G2149"/>
    <mergeCell ref="I2149:J2149"/>
    <mergeCell ref="K2149:L2149"/>
    <mergeCell ref="M2149:N2149"/>
    <mergeCell ref="A2140:G2140"/>
    <mergeCell ref="A2141:G2141"/>
    <mergeCell ref="I2141:J2141"/>
    <mergeCell ref="K2141:L2141"/>
    <mergeCell ref="M2141:N2141"/>
    <mergeCell ref="A2142:G2142"/>
    <mergeCell ref="I2142:J2142"/>
    <mergeCell ref="K2147:L2147"/>
    <mergeCell ref="I2139:J2139"/>
    <mergeCell ref="K2139:L2139"/>
    <mergeCell ref="M2139:N2139"/>
    <mergeCell ref="I2140:J2140"/>
    <mergeCell ref="K2140:L2140"/>
    <mergeCell ref="M2140:N2140"/>
    <mergeCell ref="K2142:L2142"/>
    <mergeCell ref="M2142:N2142"/>
    <mergeCell ref="K2143:L2143"/>
    <mergeCell ref="I2150:J2150"/>
    <mergeCell ref="K2150:L2150"/>
    <mergeCell ref="M2150:N2150"/>
    <mergeCell ref="A2150:G2150"/>
    <mergeCell ref="A2151:G2151"/>
    <mergeCell ref="I2151:J2151"/>
    <mergeCell ref="K2151:L2151"/>
    <mergeCell ref="M2151:N2151"/>
    <mergeCell ref="K2152:L2152"/>
    <mergeCell ref="M2152:N2152"/>
    <mergeCell ref="A2157:G2157"/>
    <mergeCell ref="A2158:G2158"/>
    <mergeCell ref="A2156:G2156"/>
    <mergeCell ref="M2156:N2156"/>
    <mergeCell ref="M2157:N2157"/>
    <mergeCell ref="I2156:J2156"/>
    <mergeCell ref="I2157:J2157"/>
    <mergeCell ref="I2158:J2158"/>
    <mergeCell ref="M2155:N2155"/>
    <mergeCell ref="I2155:J2155"/>
    <mergeCell ref="M2184:N2184"/>
    <mergeCell ref="A2180:G2180"/>
    <mergeCell ref="A2181:G2181"/>
    <mergeCell ref="A2182:G2182"/>
    <mergeCell ref="A2183:G2183"/>
    <mergeCell ref="A2184:G2184"/>
    <mergeCell ref="M2158:N2158"/>
    <mergeCell ref="I2159:J2159"/>
    <mergeCell ref="M2159:N2159"/>
    <mergeCell ref="I2160:J2160"/>
    <mergeCell ref="K2169:L2169"/>
    <mergeCell ref="M2169:N2169"/>
    <mergeCell ref="K2170:L2170"/>
    <mergeCell ref="M2170:N2170"/>
    <mergeCell ref="M2160:N2160"/>
    <mergeCell ref="K2161:L2161"/>
    <mergeCell ref="M2161:N2161"/>
    <mergeCell ref="A2163:N2164"/>
    <mergeCell ref="A2168:N2168"/>
    <mergeCell ref="A2169:G2169"/>
    <mergeCell ref="A2170:G2170"/>
    <mergeCell ref="I2172:J2172"/>
    <mergeCell ref="K2172:L2172"/>
    <mergeCell ref="I2169:J2169"/>
    <mergeCell ref="I2170:J2170"/>
    <mergeCell ref="A2171:G2171"/>
    <mergeCell ref="I2171:J2171"/>
    <mergeCell ref="K2171:L2171"/>
    <mergeCell ref="M2171:N2171"/>
    <mergeCell ref="M2172:N2172"/>
    <mergeCell ref="I2180:J2180"/>
    <mergeCell ref="K2180:L2180"/>
    <mergeCell ref="K2193:L2193"/>
    <mergeCell ref="M2193:N2193"/>
    <mergeCell ref="I2174:J2174"/>
    <mergeCell ref="I2175:J2175"/>
    <mergeCell ref="K2175:L2175"/>
    <mergeCell ref="M2175:N2175"/>
    <mergeCell ref="K2176:L2176"/>
    <mergeCell ref="M2176:N2176"/>
    <mergeCell ref="A2172:G2172"/>
    <mergeCell ref="A2173:G2173"/>
    <mergeCell ref="I2173:J2173"/>
    <mergeCell ref="K2173:L2173"/>
    <mergeCell ref="M2173:N2173"/>
    <mergeCell ref="A2174:G2174"/>
    <mergeCell ref="A2175:G2175"/>
    <mergeCell ref="A2178:N2178"/>
    <mergeCell ref="A2179:G2179"/>
    <mergeCell ref="I2179:J2179"/>
    <mergeCell ref="K2179:L2179"/>
    <mergeCell ref="M2179:N2179"/>
    <mergeCell ref="M2180:N2180"/>
    <mergeCell ref="I2181:J2181"/>
    <mergeCell ref="K2181:L2181"/>
    <mergeCell ref="M2181:N2181"/>
    <mergeCell ref="K2182:L2182"/>
    <mergeCell ref="M2182:N2182"/>
    <mergeCell ref="I2182:J2182"/>
    <mergeCell ref="I2183:J2183"/>
    <mergeCell ref="K2183:L2183"/>
    <mergeCell ref="M2183:N2183"/>
    <mergeCell ref="I2184:J2184"/>
    <mergeCell ref="K2184:L2184"/>
    <mergeCell ref="K2185:L2185"/>
    <mergeCell ref="M2185:N2185"/>
    <mergeCell ref="I2197:J2197"/>
    <mergeCell ref="I2198:J2198"/>
    <mergeCell ref="A2195:N2195"/>
    <mergeCell ref="A2196:G2196"/>
    <mergeCell ref="I2196:J2196"/>
    <mergeCell ref="M2196:N2196"/>
    <mergeCell ref="A2197:G2197"/>
    <mergeCell ref="M2197:N2197"/>
    <mergeCell ref="M2198:N2198"/>
    <mergeCell ref="I2188:J2188"/>
    <mergeCell ref="I2189:J2189"/>
    <mergeCell ref="K2189:L2189"/>
    <mergeCell ref="M2189:N2189"/>
    <mergeCell ref="A2187:N2187"/>
    <mergeCell ref="A2188:G2188"/>
    <mergeCell ref="K2188:L2188"/>
    <mergeCell ref="M2188:N2188"/>
    <mergeCell ref="A2189:G2189"/>
    <mergeCell ref="A2190:G2190"/>
    <mergeCell ref="I2190:J2190"/>
    <mergeCell ref="K2190:L2190"/>
    <mergeCell ref="M2190:N2190"/>
    <mergeCell ref="I2191:J2191"/>
    <mergeCell ref="K2191:L2191"/>
    <mergeCell ref="M2191:N2191"/>
    <mergeCell ref="A2191:G2191"/>
    <mergeCell ref="A2192:G2192"/>
    <mergeCell ref="I2192:J2192"/>
    <mergeCell ref="K2192:L2192"/>
    <mergeCell ref="M2192:N2192"/>
    <mergeCell ref="A2198:G2198"/>
    <mergeCell ref="A2199:G2199"/>
    <mergeCell ref="I2199:J2199"/>
    <mergeCell ref="M2199:N2199"/>
    <mergeCell ref="A2200:G2200"/>
    <mergeCell ref="M2200:N2200"/>
    <mergeCell ref="M2201:N2201"/>
    <mergeCell ref="I2210:J2210"/>
    <mergeCell ref="I2211:J2211"/>
    <mergeCell ref="K2211:L2211"/>
    <mergeCell ref="M2211:N2211"/>
    <mergeCell ref="A2201:G2201"/>
    <mergeCell ref="A2204:N2205"/>
    <mergeCell ref="A2209:N2209"/>
    <mergeCell ref="A2210:G2210"/>
    <mergeCell ref="K2210:L2210"/>
    <mergeCell ref="M2210:N2210"/>
    <mergeCell ref="A2211:G2211"/>
    <mergeCell ref="I2200:J2200"/>
    <mergeCell ref="I2201:J2201"/>
    <mergeCell ref="K2202:L2202"/>
    <mergeCell ref="M2202:N2202"/>
    <mergeCell ref="A2212:G2212"/>
    <mergeCell ref="I2212:J2212"/>
    <mergeCell ref="K2212:L2212"/>
    <mergeCell ref="M2212:N2212"/>
    <mergeCell ref="I2213:J2213"/>
    <mergeCell ref="K2213:L2213"/>
    <mergeCell ref="M2213:N2213"/>
    <mergeCell ref="A2213:G2213"/>
    <mergeCell ref="A2214:G2214"/>
    <mergeCell ref="I2214:J2214"/>
    <mergeCell ref="K2214:L2214"/>
    <mergeCell ref="M2214:N2214"/>
    <mergeCell ref="A2215:G2215"/>
    <mergeCell ref="K2215:L2215"/>
    <mergeCell ref="M2215:N2215"/>
    <mergeCell ref="I2215:J2215"/>
    <mergeCell ref="I2223:J2223"/>
    <mergeCell ref="K2223:L2223"/>
    <mergeCell ref="M2223:N2223"/>
    <mergeCell ref="K2216:L2216"/>
    <mergeCell ref="M2216:N2216"/>
    <mergeCell ref="K2217:L2217"/>
    <mergeCell ref="M2217:N2217"/>
    <mergeCell ref="A2219:N2219"/>
    <mergeCell ref="A2216:G2216"/>
    <mergeCell ref="I2216:J2216"/>
    <mergeCell ref="K2225:L2225"/>
    <mergeCell ref="M2225:N2225"/>
    <mergeCell ref="K2226:L2226"/>
    <mergeCell ref="M2226:N2226"/>
    <mergeCell ref="A2223:G2223"/>
    <mergeCell ref="A2224:G2224"/>
    <mergeCell ref="I2224:J2224"/>
    <mergeCell ref="K2224:L2224"/>
    <mergeCell ref="M2224:N2224"/>
    <mergeCell ref="A2225:G2225"/>
    <mergeCell ref="I2225:J2225"/>
    <mergeCell ref="K2230:L2230"/>
    <mergeCell ref="M2230:N2230"/>
    <mergeCell ref="A2252:G2252"/>
    <mergeCell ref="K2220:L2220"/>
    <mergeCell ref="M2220:N2220"/>
    <mergeCell ref="I2220:J2220"/>
    <mergeCell ref="I2221:J2221"/>
    <mergeCell ref="K2221:L2221"/>
    <mergeCell ref="M2221:N2221"/>
    <mergeCell ref="A2220:G2220"/>
    <mergeCell ref="A2221:G2221"/>
    <mergeCell ref="A2222:G2222"/>
    <mergeCell ref="I2222:J2222"/>
    <mergeCell ref="K2222:L2222"/>
    <mergeCell ref="M2222:N2222"/>
    <mergeCell ref="A2240:G2240"/>
    <mergeCell ref="A2241:G2241"/>
    <mergeCell ref="A2242:G2242"/>
    <mergeCell ref="A2243:G2243"/>
    <mergeCell ref="A2246:N2247"/>
    <mergeCell ref="A2251:N2251"/>
    <mergeCell ref="K2254:L2254"/>
    <mergeCell ref="M2254:N2254"/>
    <mergeCell ref="I2254:J2254"/>
    <mergeCell ref="I2255:J2255"/>
    <mergeCell ref="K2255:L2255"/>
    <mergeCell ref="M2255:N2255"/>
    <mergeCell ref="A2253:G2253"/>
    <mergeCell ref="A2254:G2254"/>
    <mergeCell ref="A2255:G2255"/>
    <mergeCell ref="A2234:G2234"/>
    <mergeCell ref="I2234:J2234"/>
    <mergeCell ref="K2234:L2234"/>
    <mergeCell ref="M2234:N2234"/>
    <mergeCell ref="K2235:L2235"/>
    <mergeCell ref="M2235:N2235"/>
    <mergeCell ref="A2237:N2237"/>
    <mergeCell ref="A2238:G2238"/>
    <mergeCell ref="I2238:J2238"/>
    <mergeCell ref="M2238:N2238"/>
    <mergeCell ref="A2239:G2239"/>
    <mergeCell ref="M2243:N2243"/>
    <mergeCell ref="K2244:L2244"/>
    <mergeCell ref="M2244:N2244"/>
    <mergeCell ref="I2239:J2239"/>
    <mergeCell ref="I2240:J2240"/>
    <mergeCell ref="I2241:J2241"/>
    <mergeCell ref="M2241:N2241"/>
    <mergeCell ref="I2242:J2242"/>
    <mergeCell ref="M2242:N2242"/>
    <mergeCell ref="I2243:J2243"/>
    <mergeCell ref="M2239:N2239"/>
    <mergeCell ref="M2240:N2240"/>
    <mergeCell ref="M2252:N2252"/>
    <mergeCell ref="I2252:J2252"/>
    <mergeCell ref="K2252:L2252"/>
    <mergeCell ref="I2253:J2253"/>
    <mergeCell ref="K2253:L2253"/>
    <mergeCell ref="M2253:N2253"/>
    <mergeCell ref="I2230:J2230"/>
    <mergeCell ref="I2231:J2231"/>
    <mergeCell ref="K2231:L2231"/>
    <mergeCell ref="M2231:N2231"/>
    <mergeCell ref="A2228:N2228"/>
    <mergeCell ref="A2229:G2229"/>
    <mergeCell ref="I2229:J2229"/>
    <mergeCell ref="K2229:L2229"/>
    <mergeCell ref="M2229:N2229"/>
    <mergeCell ref="A2230:G2230"/>
    <mergeCell ref="A2231:G2231"/>
    <mergeCell ref="A2232:G2232"/>
    <mergeCell ref="I2232:J2232"/>
    <mergeCell ref="K2232:L2232"/>
    <mergeCell ref="M2232:N2232"/>
    <mergeCell ref="I2233:J2233"/>
    <mergeCell ref="K2233:L2233"/>
    <mergeCell ref="M2233:N2233"/>
    <mergeCell ref="A2233:G2233"/>
    <mergeCell ref="I2265:J2265"/>
    <mergeCell ref="K2265:L2265"/>
    <mergeCell ref="M2265:N2265"/>
    <mergeCell ref="K2266:L2266"/>
    <mergeCell ref="M2266:N2266"/>
    <mergeCell ref="I2266:J2266"/>
    <mergeCell ref="I2267:J2267"/>
    <mergeCell ref="K2267:L2267"/>
    <mergeCell ref="M2267:N2267"/>
    <mergeCell ref="I2268:J2268"/>
    <mergeCell ref="K2268:L2268"/>
    <mergeCell ref="M2268:N2268"/>
    <mergeCell ref="A2273:G2273"/>
    <mergeCell ref="A2276:G2276"/>
    <mergeCell ref="A2256:G2256"/>
    <mergeCell ref="A2257:G2257"/>
    <mergeCell ref="A2258:G2258"/>
    <mergeCell ref="K2259:L2259"/>
    <mergeCell ref="M2259:N2259"/>
    <mergeCell ref="I2257:J2257"/>
    <mergeCell ref="K2257:L2257"/>
    <mergeCell ref="M2257:N2257"/>
    <mergeCell ref="I2258:J2258"/>
    <mergeCell ref="K2258:L2258"/>
    <mergeCell ref="M2258:N2258"/>
    <mergeCell ref="I2259:J2259"/>
    <mergeCell ref="I2285:J2285"/>
    <mergeCell ref="I2286:J2286"/>
    <mergeCell ref="A2283:G2283"/>
    <mergeCell ref="A2284:G2284"/>
    <mergeCell ref="I2284:J2284"/>
    <mergeCell ref="M2284:N2284"/>
    <mergeCell ref="A2285:G2285"/>
    <mergeCell ref="M2285:N2285"/>
    <mergeCell ref="M2286:N2286"/>
    <mergeCell ref="A2286:G2286"/>
    <mergeCell ref="A2274:G2274"/>
    <mergeCell ref="A2275:G2275"/>
    <mergeCell ref="I2256:J2256"/>
    <mergeCell ref="K2256:L2256"/>
    <mergeCell ref="M2256:N2256"/>
    <mergeCell ref="A2259:G2259"/>
    <mergeCell ref="A2260:G2260"/>
    <mergeCell ref="A2264:G2264"/>
    <mergeCell ref="A2265:G2265"/>
    <mergeCell ref="A2266:G2266"/>
    <mergeCell ref="A2267:G2267"/>
    <mergeCell ref="A2268:G2268"/>
    <mergeCell ref="A2269:G2269"/>
    <mergeCell ref="I2260:J2260"/>
    <mergeCell ref="K2260:L2260"/>
    <mergeCell ref="M2260:N2260"/>
    <mergeCell ref="K2261:L2261"/>
    <mergeCell ref="M2261:N2261"/>
    <mergeCell ref="A2263:N2263"/>
    <mergeCell ref="M2264:N2264"/>
    <mergeCell ref="I2264:J2264"/>
    <mergeCell ref="K2264:L2264"/>
    <mergeCell ref="K2279:L2279"/>
    <mergeCell ref="M2279:N2279"/>
    <mergeCell ref="I2275:J2275"/>
    <mergeCell ref="I2276:J2276"/>
    <mergeCell ref="K2276:L2276"/>
    <mergeCell ref="M2276:N2276"/>
    <mergeCell ref="I2277:J2277"/>
    <mergeCell ref="K2277:L2277"/>
    <mergeCell ref="M2277:N2277"/>
    <mergeCell ref="I2282:J2282"/>
    <mergeCell ref="I2283:J2283"/>
    <mergeCell ref="I2278:J2278"/>
    <mergeCell ref="K2278:L2278"/>
    <mergeCell ref="M2278:N2278"/>
    <mergeCell ref="A2281:N2281"/>
    <mergeCell ref="A2282:G2282"/>
    <mergeCell ref="M2282:N2282"/>
    <mergeCell ref="M2283:N2283"/>
    <mergeCell ref="M2314:N2314"/>
    <mergeCell ref="A2309:G2309"/>
    <mergeCell ref="A2310:G2310"/>
    <mergeCell ref="I2310:J2310"/>
    <mergeCell ref="K2310:L2310"/>
    <mergeCell ref="M2310:N2310"/>
    <mergeCell ref="A2311:G2311"/>
    <mergeCell ref="A2312:G2312"/>
    <mergeCell ref="K2317:L2317"/>
    <mergeCell ref="M2317:N2317"/>
    <mergeCell ref="A2277:G2277"/>
    <mergeCell ref="A2278:G2278"/>
    <mergeCell ref="I2269:J2269"/>
    <mergeCell ref="K2269:L2269"/>
    <mergeCell ref="M2269:N2269"/>
    <mergeCell ref="K2270:L2270"/>
    <mergeCell ref="M2270:N2270"/>
    <mergeCell ref="A2272:N2272"/>
    <mergeCell ref="M2273:N2273"/>
    <mergeCell ref="I2273:J2273"/>
    <mergeCell ref="K2273:L2273"/>
    <mergeCell ref="I2274:J2274"/>
    <mergeCell ref="K2274:L2274"/>
    <mergeCell ref="M2274:N2274"/>
    <mergeCell ref="K2275:L2275"/>
    <mergeCell ref="M2275:N2275"/>
    <mergeCell ref="A2287:G2287"/>
    <mergeCell ref="I2287:J2287"/>
    <mergeCell ref="M2287:N2287"/>
    <mergeCell ref="K2288:L2288"/>
    <mergeCell ref="M2288:N2288"/>
    <mergeCell ref="A2290:N2291"/>
    <mergeCell ref="K2305:L2305"/>
    <mergeCell ref="M2305:N2305"/>
    <mergeCell ref="K2303:L2303"/>
    <mergeCell ref="M2303:N2303"/>
    <mergeCell ref="A2304:G2304"/>
    <mergeCell ref="I2304:J2304"/>
    <mergeCell ref="K2304:L2304"/>
    <mergeCell ref="M2304:N2304"/>
    <mergeCell ref="A2307:N2307"/>
    <mergeCell ref="I2320:J2320"/>
    <mergeCell ref="K2320:L2320"/>
    <mergeCell ref="I2317:J2317"/>
    <mergeCell ref="I2318:J2318"/>
    <mergeCell ref="A2319:G2319"/>
    <mergeCell ref="I2319:J2319"/>
    <mergeCell ref="K2319:L2319"/>
    <mergeCell ref="M2319:N2319"/>
    <mergeCell ref="M2320:N2320"/>
    <mergeCell ref="A2308:G2308"/>
    <mergeCell ref="I2308:J2308"/>
    <mergeCell ref="K2308:L2308"/>
    <mergeCell ref="M2308:N2308"/>
    <mergeCell ref="I2309:J2309"/>
    <mergeCell ref="K2309:L2309"/>
    <mergeCell ref="M2309:N2309"/>
    <mergeCell ref="K2311:L2311"/>
    <mergeCell ref="M2311:N2311"/>
    <mergeCell ref="I2311:J2311"/>
    <mergeCell ref="I2312:J2312"/>
    <mergeCell ref="K2312:L2312"/>
    <mergeCell ref="M2312:N2312"/>
    <mergeCell ref="K2314:L2314"/>
    <mergeCell ref="A2302:G2302"/>
    <mergeCell ref="A2303:G2303"/>
    <mergeCell ref="K2297:L2297"/>
    <mergeCell ref="M2297:N2297"/>
    <mergeCell ref="I2297:J2297"/>
    <mergeCell ref="I2298:J2298"/>
    <mergeCell ref="K2298:L2298"/>
    <mergeCell ref="M2298:N2298"/>
    <mergeCell ref="A2295:N2295"/>
    <mergeCell ref="A2296:G2296"/>
    <mergeCell ref="I2296:J2296"/>
    <mergeCell ref="K2296:L2296"/>
    <mergeCell ref="M2296:N2296"/>
    <mergeCell ref="A2297:G2297"/>
    <mergeCell ref="A2298:G2298"/>
    <mergeCell ref="K2302:L2302"/>
    <mergeCell ref="M2302:N2302"/>
    <mergeCell ref="I2302:J2302"/>
    <mergeCell ref="I2303:J2303"/>
    <mergeCell ref="A2299:G2299"/>
    <mergeCell ref="I2299:J2299"/>
    <mergeCell ref="K2299:L2299"/>
    <mergeCell ref="M2299:N2299"/>
    <mergeCell ref="I2300:J2300"/>
    <mergeCell ref="K2300:L2300"/>
    <mergeCell ref="M2300:N2300"/>
    <mergeCell ref="A2300:G2300"/>
    <mergeCell ref="A2301:G2301"/>
    <mergeCell ref="I2301:J2301"/>
    <mergeCell ref="K2301:L2301"/>
    <mergeCell ref="M2301:N2301"/>
    <mergeCell ref="A2360:N2360"/>
    <mergeCell ref="A2361:G2361"/>
    <mergeCell ref="K2361:L2361"/>
    <mergeCell ref="M2361:N2361"/>
    <mergeCell ref="A2362:G2362"/>
    <mergeCell ref="K2346:L2346"/>
    <mergeCell ref="M2346:N2346"/>
    <mergeCell ref="A2347:G2347"/>
    <mergeCell ref="I2347:J2347"/>
    <mergeCell ref="K2347:L2347"/>
    <mergeCell ref="M2347:N2347"/>
    <mergeCell ref="M2348:N2348"/>
    <mergeCell ref="A2353:G2353"/>
    <mergeCell ref="A2354:G2354"/>
    <mergeCell ref="A2355:G2355"/>
    <mergeCell ref="A2356:G2356"/>
    <mergeCell ref="A2357:G2357"/>
    <mergeCell ref="A2348:G2348"/>
    <mergeCell ref="A2351:N2351"/>
    <mergeCell ref="A2352:G2352"/>
    <mergeCell ref="I2352:J2352"/>
    <mergeCell ref="K2352:L2352"/>
    <mergeCell ref="M2352:N2352"/>
    <mergeCell ref="M2353:N2353"/>
    <mergeCell ref="I2353:J2353"/>
    <mergeCell ref="K2353:L2353"/>
    <mergeCell ref="I2354:J2354"/>
    <mergeCell ref="K2354:L2354"/>
    <mergeCell ref="M2354:N2354"/>
    <mergeCell ref="K2355:L2355"/>
    <mergeCell ref="M2355:N2355"/>
    <mergeCell ref="I2355:J2355"/>
    <mergeCell ref="I2361:J2361"/>
    <mergeCell ref="I2362:J2362"/>
    <mergeCell ref="A2343:G2343"/>
    <mergeCell ref="A2344:G2344"/>
    <mergeCell ref="I2344:J2344"/>
    <mergeCell ref="K2344:L2344"/>
    <mergeCell ref="M2344:N2344"/>
    <mergeCell ref="A2345:G2345"/>
    <mergeCell ref="A2346:G2346"/>
    <mergeCell ref="A2328:G2328"/>
    <mergeCell ref="A2329:G2329"/>
    <mergeCell ref="I2329:J2329"/>
    <mergeCell ref="M2329:N2329"/>
    <mergeCell ref="A2330:G2330"/>
    <mergeCell ref="M2330:N2330"/>
    <mergeCell ref="M2331:N2331"/>
    <mergeCell ref="I2340:J2340"/>
    <mergeCell ref="I2341:J2341"/>
    <mergeCell ref="K2341:L2341"/>
    <mergeCell ref="M2341:N2341"/>
    <mergeCell ref="A2331:G2331"/>
    <mergeCell ref="A2334:N2335"/>
    <mergeCell ref="A2339:N2339"/>
    <mergeCell ref="A2340:G2340"/>
    <mergeCell ref="K2340:L2340"/>
    <mergeCell ref="M2340:N2340"/>
    <mergeCell ref="A2341:G2341"/>
    <mergeCell ref="K2345:L2345"/>
    <mergeCell ref="K2362:L2362"/>
    <mergeCell ref="M2362:N2362"/>
    <mergeCell ref="K2358:L2358"/>
    <mergeCell ref="M2358:N2358"/>
    <mergeCell ref="I2327:J2327"/>
    <mergeCell ref="I2328:J2328"/>
    <mergeCell ref="A2325:N2325"/>
    <mergeCell ref="A2326:G2326"/>
    <mergeCell ref="I2326:J2326"/>
    <mergeCell ref="M2326:N2326"/>
    <mergeCell ref="A2327:G2327"/>
    <mergeCell ref="M2327:N2327"/>
    <mergeCell ref="M2328:N2328"/>
    <mergeCell ref="K2357:L2357"/>
    <mergeCell ref="M2357:N2357"/>
    <mergeCell ref="I2356:J2356"/>
    <mergeCell ref="K2356:L2356"/>
    <mergeCell ref="M2356:N2356"/>
    <mergeCell ref="I2357:J2357"/>
    <mergeCell ref="M2345:N2345"/>
    <mergeCell ref="I2345:J2345"/>
    <mergeCell ref="I2346:J2346"/>
    <mergeCell ref="I2348:J2348"/>
    <mergeCell ref="K2348:L2348"/>
    <mergeCell ref="K2349:L2349"/>
    <mergeCell ref="M2349:N2349"/>
    <mergeCell ref="I2330:J2330"/>
    <mergeCell ref="I2331:J2331"/>
    <mergeCell ref="K2332:L2332"/>
    <mergeCell ref="M2332:N2332"/>
    <mergeCell ref="A2342:G2342"/>
    <mergeCell ref="I2342:J2342"/>
    <mergeCell ref="K2342:L2342"/>
    <mergeCell ref="M2342:N2342"/>
    <mergeCell ref="I2343:J2343"/>
    <mergeCell ref="M2419:N2419"/>
    <mergeCell ref="K2420:L2420"/>
    <mergeCell ref="M2420:N2420"/>
    <mergeCell ref="I2416:J2416"/>
    <mergeCell ref="I2417:J2417"/>
    <mergeCell ref="A2418:G2418"/>
    <mergeCell ref="I2418:J2418"/>
    <mergeCell ref="M2418:N2418"/>
    <mergeCell ref="A2419:G2419"/>
    <mergeCell ref="I2419:J2419"/>
    <mergeCell ref="K2343:L2343"/>
    <mergeCell ref="M2343:N2343"/>
    <mergeCell ref="K2318:L2318"/>
    <mergeCell ref="M2318:N2318"/>
    <mergeCell ref="A2313:G2313"/>
    <mergeCell ref="I2313:J2313"/>
    <mergeCell ref="K2313:L2313"/>
    <mergeCell ref="M2313:N2313"/>
    <mergeCell ref="A2316:N2316"/>
    <mergeCell ref="A2317:G2317"/>
    <mergeCell ref="A2318:G2318"/>
    <mergeCell ref="K2322:L2322"/>
    <mergeCell ref="M2322:N2322"/>
    <mergeCell ref="K2323:L2323"/>
    <mergeCell ref="M2323:N2323"/>
    <mergeCell ref="A2320:G2320"/>
    <mergeCell ref="A2321:G2321"/>
    <mergeCell ref="I2321:J2321"/>
    <mergeCell ref="K2321:L2321"/>
    <mergeCell ref="M2321:N2321"/>
    <mergeCell ref="A2322:G2322"/>
    <mergeCell ref="I2322:J2322"/>
    <mergeCell ref="M2399:N2399"/>
    <mergeCell ref="I2399:J2399"/>
    <mergeCell ref="I2400:J2400"/>
    <mergeCell ref="K2400:L2400"/>
    <mergeCell ref="M2400:N2400"/>
    <mergeCell ref="I2401:J2401"/>
    <mergeCell ref="K2401:L2401"/>
    <mergeCell ref="M2401:N2401"/>
    <mergeCell ref="I2405:J2405"/>
    <mergeCell ref="I2406:J2406"/>
    <mergeCell ref="A2404:N2404"/>
    <mergeCell ref="A2405:G2405"/>
    <mergeCell ref="K2405:L2405"/>
    <mergeCell ref="M2405:N2405"/>
    <mergeCell ref="A2406:G2406"/>
    <mergeCell ref="A2407:G2407"/>
    <mergeCell ref="A2417:G2417"/>
    <mergeCell ref="M2417:N2417"/>
    <mergeCell ref="A2422:N2423"/>
    <mergeCell ref="A2427:N2427"/>
    <mergeCell ref="A2428:G2428"/>
    <mergeCell ref="I2428:J2428"/>
    <mergeCell ref="K2428:L2428"/>
    <mergeCell ref="M2428:N2428"/>
    <mergeCell ref="M2429:N2429"/>
    <mergeCell ref="K2390:L2390"/>
    <mergeCell ref="M2390:N2390"/>
    <mergeCell ref="A2391:G2391"/>
    <mergeCell ref="I2391:J2391"/>
    <mergeCell ref="K2391:L2391"/>
    <mergeCell ref="M2391:N2391"/>
    <mergeCell ref="M2392:N2392"/>
    <mergeCell ref="A2397:G2397"/>
    <mergeCell ref="A2398:G2398"/>
    <mergeCell ref="A2399:G2399"/>
    <mergeCell ref="A2400:G2400"/>
    <mergeCell ref="A2401:G2401"/>
    <mergeCell ref="A2392:G2392"/>
    <mergeCell ref="A2395:N2395"/>
    <mergeCell ref="A2396:G2396"/>
    <mergeCell ref="I2396:J2396"/>
    <mergeCell ref="K2396:L2396"/>
    <mergeCell ref="M2396:N2396"/>
    <mergeCell ref="M2397:N2397"/>
    <mergeCell ref="I2397:J2397"/>
    <mergeCell ref="K2397:L2397"/>
    <mergeCell ref="I2398:J2398"/>
    <mergeCell ref="K2398:L2398"/>
    <mergeCell ref="M2398:N2398"/>
    <mergeCell ref="K2399:L2399"/>
    <mergeCell ref="M2374:N2374"/>
    <mergeCell ref="M2375:N2375"/>
    <mergeCell ref="M2376:N2376"/>
    <mergeCell ref="I2371:J2371"/>
    <mergeCell ref="I2372:J2372"/>
    <mergeCell ref="I2373:J2373"/>
    <mergeCell ref="I2374:J2374"/>
    <mergeCell ref="I2375:J2375"/>
    <mergeCell ref="K2376:L2376"/>
    <mergeCell ref="K2367:L2367"/>
    <mergeCell ref="M2367:N2367"/>
    <mergeCell ref="A2369:N2369"/>
    <mergeCell ref="A2370:G2370"/>
    <mergeCell ref="I2370:J2370"/>
    <mergeCell ref="A2371:G2371"/>
    <mergeCell ref="M2372:N2372"/>
    <mergeCell ref="A2372:G2372"/>
    <mergeCell ref="A2373:G2373"/>
    <mergeCell ref="A2374:G2374"/>
    <mergeCell ref="A2375:G2375"/>
    <mergeCell ref="M2384:N2384"/>
    <mergeCell ref="I2384:J2384"/>
    <mergeCell ref="K2384:L2384"/>
    <mergeCell ref="I2385:J2385"/>
    <mergeCell ref="K2385:L2385"/>
    <mergeCell ref="M2385:N2385"/>
    <mergeCell ref="K2386:L2386"/>
    <mergeCell ref="M2386:N2386"/>
    <mergeCell ref="A2384:G2384"/>
    <mergeCell ref="A2385:G2385"/>
    <mergeCell ref="A2386:G2386"/>
    <mergeCell ref="A2387:G2387"/>
    <mergeCell ref="I2387:J2387"/>
    <mergeCell ref="K2387:L2387"/>
    <mergeCell ref="M2387:N2387"/>
    <mergeCell ref="A2363:G2363"/>
    <mergeCell ref="I2363:J2363"/>
    <mergeCell ref="K2363:L2363"/>
    <mergeCell ref="M2363:N2363"/>
    <mergeCell ref="I2364:J2364"/>
    <mergeCell ref="K2364:L2364"/>
    <mergeCell ref="M2364:N2364"/>
    <mergeCell ref="A2364:G2364"/>
    <mergeCell ref="A2365:G2365"/>
    <mergeCell ref="I2365:J2365"/>
    <mergeCell ref="K2365:L2365"/>
    <mergeCell ref="M2365:N2365"/>
    <mergeCell ref="A2366:G2366"/>
    <mergeCell ref="I2366:J2366"/>
    <mergeCell ref="M2370:N2370"/>
    <mergeCell ref="M2371:N2371"/>
    <mergeCell ref="M2373:N2373"/>
    <mergeCell ref="K2366:L2366"/>
    <mergeCell ref="M2366:N2366"/>
    <mergeCell ref="I2386:J2386"/>
    <mergeCell ref="I2408:J2408"/>
    <mergeCell ref="K2408:L2408"/>
    <mergeCell ref="M2408:N2408"/>
    <mergeCell ref="A2408:G2408"/>
    <mergeCell ref="A2409:G2409"/>
    <mergeCell ref="I2409:J2409"/>
    <mergeCell ref="K2409:L2409"/>
    <mergeCell ref="M2409:N2409"/>
    <mergeCell ref="A2410:G2410"/>
    <mergeCell ref="I2410:J2410"/>
    <mergeCell ref="K2410:L2410"/>
    <mergeCell ref="M2410:N2410"/>
    <mergeCell ref="K2411:L2411"/>
    <mergeCell ref="M2411:N2411"/>
    <mergeCell ref="I2407:J2407"/>
    <mergeCell ref="K2407:L2407"/>
    <mergeCell ref="M2407:N2407"/>
    <mergeCell ref="I2392:J2392"/>
    <mergeCell ref="K2392:L2392"/>
    <mergeCell ref="K2393:L2393"/>
    <mergeCell ref="M2393:N2393"/>
    <mergeCell ref="K2406:L2406"/>
    <mergeCell ref="M2406:N2406"/>
    <mergeCell ref="K2402:L2402"/>
    <mergeCell ref="M2402:N2402"/>
    <mergeCell ref="A2390:G2390"/>
    <mergeCell ref="I2390:J2390"/>
    <mergeCell ref="A2378:N2379"/>
    <mergeCell ref="A2383:N2383"/>
    <mergeCell ref="K2441:L2441"/>
    <mergeCell ref="M2441:N2441"/>
    <mergeCell ref="K2451:L2451"/>
    <mergeCell ref="M2451:N2451"/>
    <mergeCell ref="A2448:N2448"/>
    <mergeCell ref="A2449:G2449"/>
    <mergeCell ref="I2449:J2449"/>
    <mergeCell ref="K2449:L2449"/>
    <mergeCell ref="M2449:N2449"/>
    <mergeCell ref="A2450:G2450"/>
    <mergeCell ref="A2451:G2451"/>
    <mergeCell ref="K2431:L2431"/>
    <mergeCell ref="M2431:N2431"/>
    <mergeCell ref="I2429:J2429"/>
    <mergeCell ref="K2429:L2429"/>
    <mergeCell ref="I2388:J2388"/>
    <mergeCell ref="K2388:L2388"/>
    <mergeCell ref="M2388:N2388"/>
    <mergeCell ref="A2388:G2388"/>
    <mergeCell ref="A2389:G2389"/>
    <mergeCell ref="I2389:J2389"/>
    <mergeCell ref="K2389:L2389"/>
    <mergeCell ref="M2389:N2389"/>
    <mergeCell ref="A2413:N2413"/>
    <mergeCell ref="I2414:J2414"/>
    <mergeCell ref="M2414:N2414"/>
    <mergeCell ref="A2414:G2414"/>
    <mergeCell ref="A2415:G2415"/>
    <mergeCell ref="I2415:J2415"/>
    <mergeCell ref="M2415:N2415"/>
    <mergeCell ref="A2416:G2416"/>
    <mergeCell ref="M2416:N2416"/>
    <mergeCell ref="K2450:L2450"/>
    <mergeCell ref="M2450:N2450"/>
    <mergeCell ref="A2453:G2453"/>
    <mergeCell ref="I2431:J2431"/>
    <mergeCell ref="I2432:J2432"/>
    <mergeCell ref="K2432:L2432"/>
    <mergeCell ref="M2432:N2432"/>
    <mergeCell ref="A2429:G2429"/>
    <mergeCell ref="A2430:G2430"/>
    <mergeCell ref="I2430:J2430"/>
    <mergeCell ref="K2430:L2430"/>
    <mergeCell ref="M2430:N2430"/>
    <mergeCell ref="A2431:G2431"/>
    <mergeCell ref="A2432:G2432"/>
    <mergeCell ref="A2433:G2433"/>
    <mergeCell ref="I2433:J2433"/>
    <mergeCell ref="K2433:L2433"/>
    <mergeCell ref="M2433:N2433"/>
    <mergeCell ref="I2434:J2434"/>
    <mergeCell ref="K2434:L2434"/>
    <mergeCell ref="M2434:N2434"/>
    <mergeCell ref="K2436:L2436"/>
    <mergeCell ref="M2436:N2436"/>
    <mergeCell ref="K2437:L2437"/>
    <mergeCell ref="M2437:N2437"/>
    <mergeCell ref="A2434:G2434"/>
    <mergeCell ref="A2435:G2435"/>
    <mergeCell ref="I2435:J2435"/>
    <mergeCell ref="K2435:L2435"/>
    <mergeCell ref="M2435:N2435"/>
    <mergeCell ref="A2436:G2436"/>
    <mergeCell ref="I2436:J2436"/>
    <mergeCell ref="I2450:J2450"/>
    <mergeCell ref="I2451:J2451"/>
    <mergeCell ref="A2452:G2452"/>
    <mergeCell ref="I2452:J2452"/>
    <mergeCell ref="K2452:L2452"/>
    <mergeCell ref="M2452:N2452"/>
    <mergeCell ref="M2453:N2453"/>
    <mergeCell ref="I2441:J2441"/>
    <mergeCell ref="I2442:J2442"/>
    <mergeCell ref="K2442:L2442"/>
    <mergeCell ref="M2442:N2442"/>
    <mergeCell ref="A2439:N2439"/>
    <mergeCell ref="A2440:G2440"/>
    <mergeCell ref="I2440:J2440"/>
    <mergeCell ref="K2440:L2440"/>
    <mergeCell ref="M2440:N2440"/>
    <mergeCell ref="A2441:G2441"/>
    <mergeCell ref="A2442:G2442"/>
    <mergeCell ref="A2443:G2443"/>
    <mergeCell ref="I2443:J2443"/>
    <mergeCell ref="K2443:L2443"/>
    <mergeCell ref="M2443:N2443"/>
    <mergeCell ref="I2444:J2444"/>
    <mergeCell ref="K2444:L2444"/>
    <mergeCell ref="M2444:N2444"/>
    <mergeCell ref="A2444:G2444"/>
    <mergeCell ref="A2445:G2445"/>
    <mergeCell ref="I2445:J2445"/>
    <mergeCell ref="K2445:L2445"/>
    <mergeCell ref="M2445:N2445"/>
    <mergeCell ref="K2446:L2446"/>
    <mergeCell ref="M2446:N2446"/>
    <mergeCell ref="I2462:J2462"/>
    <mergeCell ref="M2462:N2462"/>
    <mergeCell ref="I2463:J2463"/>
    <mergeCell ref="K2472:L2472"/>
    <mergeCell ref="M2472:N2472"/>
    <mergeCell ref="I2472:J2472"/>
    <mergeCell ref="I2473:J2473"/>
    <mergeCell ref="K2473:L2473"/>
    <mergeCell ref="M2473:N2473"/>
    <mergeCell ref="M2463:N2463"/>
    <mergeCell ref="K2464:L2464"/>
    <mergeCell ref="M2464:N2464"/>
    <mergeCell ref="A2466:N2467"/>
    <mergeCell ref="A2471:N2471"/>
    <mergeCell ref="A2472:G2472"/>
    <mergeCell ref="A2473:G2473"/>
    <mergeCell ref="I2453:J2453"/>
    <mergeCell ref="K2453:L2453"/>
    <mergeCell ref="I2530:J2530"/>
    <mergeCell ref="K2530:L2530"/>
    <mergeCell ref="I2531:J2531"/>
    <mergeCell ref="I2532:J2532"/>
    <mergeCell ref="K2532:L2532"/>
    <mergeCell ref="M2532:N2532"/>
    <mergeCell ref="I2533:J2533"/>
    <mergeCell ref="K2533:L2533"/>
    <mergeCell ref="M2533:N2533"/>
    <mergeCell ref="I2537:J2537"/>
    <mergeCell ref="I2538:J2538"/>
    <mergeCell ref="A2454:G2454"/>
    <mergeCell ref="I2454:J2454"/>
    <mergeCell ref="K2454:L2454"/>
    <mergeCell ref="M2454:N2454"/>
    <mergeCell ref="K2455:L2455"/>
    <mergeCell ref="M2455:N2455"/>
    <mergeCell ref="A2460:G2460"/>
    <mergeCell ref="A2461:G2461"/>
    <mergeCell ref="A2462:G2462"/>
    <mergeCell ref="A2463:G2463"/>
    <mergeCell ref="A2457:N2457"/>
    <mergeCell ref="A2458:G2458"/>
    <mergeCell ref="I2458:J2458"/>
    <mergeCell ref="M2458:N2458"/>
    <mergeCell ref="A2459:G2459"/>
    <mergeCell ref="M2459:N2459"/>
    <mergeCell ref="M2460:N2460"/>
    <mergeCell ref="I2459:J2459"/>
    <mergeCell ref="I2460:J2460"/>
    <mergeCell ref="I2461:J2461"/>
    <mergeCell ref="M2461:N2461"/>
    <mergeCell ref="M2495:N2495"/>
    <mergeCell ref="M2496:N2496"/>
    <mergeCell ref="K2538:L2538"/>
    <mergeCell ref="M2538:N2538"/>
    <mergeCell ref="K2534:L2534"/>
    <mergeCell ref="M2534:N2534"/>
    <mergeCell ref="A2536:N2536"/>
    <mergeCell ref="A2537:G2537"/>
    <mergeCell ref="K2537:L2537"/>
    <mergeCell ref="M2537:N2537"/>
    <mergeCell ref="A2538:G2538"/>
    <mergeCell ref="K2522:L2522"/>
    <mergeCell ref="M2522:N2522"/>
    <mergeCell ref="A2523:G2523"/>
    <mergeCell ref="I2523:J2523"/>
    <mergeCell ref="K2523:L2523"/>
    <mergeCell ref="M2523:N2523"/>
    <mergeCell ref="M2524:N2524"/>
    <mergeCell ref="A2529:G2529"/>
    <mergeCell ref="A2530:G2530"/>
    <mergeCell ref="A2531:G2531"/>
    <mergeCell ref="A2532:G2532"/>
    <mergeCell ref="A2533:G2533"/>
    <mergeCell ref="A2524:G2524"/>
    <mergeCell ref="A2527:N2527"/>
    <mergeCell ref="A2528:G2528"/>
    <mergeCell ref="I2528:J2528"/>
    <mergeCell ref="K2528:L2528"/>
    <mergeCell ref="M2528:N2528"/>
    <mergeCell ref="M2529:N2529"/>
    <mergeCell ref="I2529:J2529"/>
    <mergeCell ref="K2529:L2529"/>
    <mergeCell ref="I2524:J2524"/>
    <mergeCell ref="K2524:L2524"/>
    <mergeCell ref="I2485:J2485"/>
    <mergeCell ref="K2485:L2485"/>
    <mergeCell ref="I2486:J2486"/>
    <mergeCell ref="K2486:L2486"/>
    <mergeCell ref="M2486:N2486"/>
    <mergeCell ref="K2487:L2487"/>
    <mergeCell ref="M2487:N2487"/>
    <mergeCell ref="I2487:J2487"/>
    <mergeCell ref="I2488:J2488"/>
    <mergeCell ref="K2488:L2488"/>
    <mergeCell ref="M2488:N2488"/>
    <mergeCell ref="I2489:J2489"/>
    <mergeCell ref="K2489:L2489"/>
    <mergeCell ref="M2489:N2489"/>
    <mergeCell ref="K2494:L2494"/>
    <mergeCell ref="M2494:N2494"/>
    <mergeCell ref="K2490:L2490"/>
    <mergeCell ref="M2490:N2490"/>
    <mergeCell ref="A2492:N2492"/>
    <mergeCell ref="A2493:G2493"/>
    <mergeCell ref="K2493:L2493"/>
    <mergeCell ref="M2493:N2493"/>
    <mergeCell ref="A2494:G2494"/>
    <mergeCell ref="I2496:J2496"/>
    <mergeCell ref="K2496:L2496"/>
    <mergeCell ref="I2493:J2493"/>
    <mergeCell ref="I2494:J2494"/>
    <mergeCell ref="A2495:G2495"/>
    <mergeCell ref="I2495:J2495"/>
    <mergeCell ref="K2495:L2495"/>
    <mergeCell ref="I2502:J2502"/>
    <mergeCell ref="M2502:N2502"/>
    <mergeCell ref="A2503:G2503"/>
    <mergeCell ref="M2503:N2503"/>
    <mergeCell ref="M2504:N2504"/>
    <mergeCell ref="I2519:J2519"/>
    <mergeCell ref="K2519:L2519"/>
    <mergeCell ref="M2519:N2519"/>
    <mergeCell ref="A2519:G2519"/>
    <mergeCell ref="A2520:G2520"/>
    <mergeCell ref="I2520:J2520"/>
    <mergeCell ref="K2520:L2520"/>
    <mergeCell ref="M2520:N2520"/>
    <mergeCell ref="A2521:G2521"/>
    <mergeCell ref="A2522:G2522"/>
    <mergeCell ref="K2521:L2521"/>
    <mergeCell ref="M2521:N2521"/>
    <mergeCell ref="I2521:J2521"/>
    <mergeCell ref="I2522:J2522"/>
    <mergeCell ref="M2530:N2530"/>
    <mergeCell ref="K2531:L2531"/>
    <mergeCell ref="M2531:N2531"/>
    <mergeCell ref="A2479:G2479"/>
    <mergeCell ref="I2479:J2479"/>
    <mergeCell ref="K2479:L2479"/>
    <mergeCell ref="M2479:N2479"/>
    <mergeCell ref="I2480:J2480"/>
    <mergeCell ref="K2480:L2480"/>
    <mergeCell ref="M2480:N2480"/>
    <mergeCell ref="A2480:G2480"/>
    <mergeCell ref="A2483:N2483"/>
    <mergeCell ref="A2484:G2484"/>
    <mergeCell ref="I2484:J2484"/>
    <mergeCell ref="K2484:L2484"/>
    <mergeCell ref="M2484:N2484"/>
    <mergeCell ref="M2485:N2485"/>
    <mergeCell ref="K2498:L2498"/>
    <mergeCell ref="M2498:N2498"/>
    <mergeCell ref="K2499:L2499"/>
    <mergeCell ref="M2499:N2499"/>
    <mergeCell ref="A2496:G2496"/>
    <mergeCell ref="A2497:G2497"/>
    <mergeCell ref="I2497:J2497"/>
    <mergeCell ref="K2497:L2497"/>
    <mergeCell ref="M2497:N2497"/>
    <mergeCell ref="A2498:G2498"/>
    <mergeCell ref="I2498:J2498"/>
    <mergeCell ref="I2503:J2503"/>
    <mergeCell ref="I2504:J2504"/>
    <mergeCell ref="A2501:N2501"/>
    <mergeCell ref="A2502:G2502"/>
    <mergeCell ref="A2478:G2478"/>
    <mergeCell ref="A2485:G2485"/>
    <mergeCell ref="A2486:G2486"/>
    <mergeCell ref="A2487:G2487"/>
    <mergeCell ref="A2488:G2488"/>
    <mergeCell ref="A2489:G2489"/>
    <mergeCell ref="I2506:J2506"/>
    <mergeCell ref="I2507:J2507"/>
    <mergeCell ref="K2508:L2508"/>
    <mergeCell ref="M2508:N2508"/>
    <mergeCell ref="A2518:G2518"/>
    <mergeCell ref="I2518:J2518"/>
    <mergeCell ref="K2518:L2518"/>
    <mergeCell ref="M2518:N2518"/>
    <mergeCell ref="A2504:G2504"/>
    <mergeCell ref="A2505:G2505"/>
    <mergeCell ref="I2505:J2505"/>
    <mergeCell ref="M2505:N2505"/>
    <mergeCell ref="A2506:G2506"/>
    <mergeCell ref="M2506:N2506"/>
    <mergeCell ref="M2507:N2507"/>
    <mergeCell ref="I2516:J2516"/>
    <mergeCell ref="I2517:J2517"/>
    <mergeCell ref="K2517:L2517"/>
    <mergeCell ref="M2517:N2517"/>
    <mergeCell ref="A2507:G2507"/>
    <mergeCell ref="A2510:N2511"/>
    <mergeCell ref="A2515:N2515"/>
    <mergeCell ref="A2516:G2516"/>
    <mergeCell ref="K2516:L2516"/>
    <mergeCell ref="M2516:N2516"/>
    <mergeCell ref="A2517:G2517"/>
    <mergeCell ref="K2577:L2577"/>
    <mergeCell ref="M2577:N2577"/>
    <mergeCell ref="I2581:J2581"/>
    <mergeCell ref="I2582:J2582"/>
    <mergeCell ref="A2580:N2580"/>
    <mergeCell ref="A2581:G2581"/>
    <mergeCell ref="K2581:L2581"/>
    <mergeCell ref="M2581:N2581"/>
    <mergeCell ref="A2582:G2582"/>
    <mergeCell ref="A2583:G2583"/>
    <mergeCell ref="I2583:J2583"/>
    <mergeCell ref="A2474:G2474"/>
    <mergeCell ref="I2474:J2474"/>
    <mergeCell ref="K2474:L2474"/>
    <mergeCell ref="M2474:N2474"/>
    <mergeCell ref="I2475:J2475"/>
    <mergeCell ref="K2475:L2475"/>
    <mergeCell ref="M2475:N2475"/>
    <mergeCell ref="K2477:L2477"/>
    <mergeCell ref="M2477:N2477"/>
    <mergeCell ref="I2477:J2477"/>
    <mergeCell ref="I2478:J2478"/>
    <mergeCell ref="K2478:L2478"/>
    <mergeCell ref="M2478:N2478"/>
    <mergeCell ref="K2481:L2481"/>
    <mergeCell ref="M2481:N2481"/>
    <mergeCell ref="A2475:G2475"/>
    <mergeCell ref="A2476:G2476"/>
    <mergeCell ref="I2476:J2476"/>
    <mergeCell ref="K2476:L2476"/>
    <mergeCell ref="M2476:N2476"/>
    <mergeCell ref="A2477:G2477"/>
    <mergeCell ref="A2598:N2599"/>
    <mergeCell ref="A2603:N2603"/>
    <mergeCell ref="A2604:G2604"/>
    <mergeCell ref="I2604:J2604"/>
    <mergeCell ref="K2604:L2604"/>
    <mergeCell ref="M2604:N2604"/>
    <mergeCell ref="M2605:N2605"/>
    <mergeCell ref="K2566:L2566"/>
    <mergeCell ref="M2566:N2566"/>
    <mergeCell ref="A2567:G2567"/>
    <mergeCell ref="I2567:J2567"/>
    <mergeCell ref="K2567:L2567"/>
    <mergeCell ref="M2567:N2567"/>
    <mergeCell ref="M2568:N2568"/>
    <mergeCell ref="A2573:G2573"/>
    <mergeCell ref="A2574:G2574"/>
    <mergeCell ref="A2575:G2575"/>
    <mergeCell ref="A2576:G2576"/>
    <mergeCell ref="A2577:G2577"/>
    <mergeCell ref="A2568:G2568"/>
    <mergeCell ref="A2571:N2571"/>
    <mergeCell ref="A2572:G2572"/>
    <mergeCell ref="I2572:J2572"/>
    <mergeCell ref="K2572:L2572"/>
    <mergeCell ref="M2572:N2572"/>
    <mergeCell ref="M2573:N2573"/>
    <mergeCell ref="I2573:J2573"/>
    <mergeCell ref="K2573:L2573"/>
    <mergeCell ref="I2574:J2574"/>
    <mergeCell ref="K2574:L2574"/>
    <mergeCell ref="M2574:N2574"/>
    <mergeCell ref="K2575:L2575"/>
    <mergeCell ref="A2554:N2555"/>
    <mergeCell ref="A2559:N2559"/>
    <mergeCell ref="M2560:N2560"/>
    <mergeCell ref="K2542:L2542"/>
    <mergeCell ref="M2542:N2542"/>
    <mergeCell ref="I2568:J2568"/>
    <mergeCell ref="K2568:L2568"/>
    <mergeCell ref="K2569:L2569"/>
    <mergeCell ref="M2569:N2569"/>
    <mergeCell ref="K2582:L2582"/>
    <mergeCell ref="M2582:N2582"/>
    <mergeCell ref="K2578:L2578"/>
    <mergeCell ref="M2578:N2578"/>
    <mergeCell ref="K2525:L2525"/>
    <mergeCell ref="M2525:N2525"/>
    <mergeCell ref="I2562:J2562"/>
    <mergeCell ref="I2563:J2563"/>
    <mergeCell ref="K2563:L2563"/>
    <mergeCell ref="M2563:N2563"/>
    <mergeCell ref="I2560:J2560"/>
    <mergeCell ref="K2560:L2560"/>
    <mergeCell ref="I2561:J2561"/>
    <mergeCell ref="K2561:L2561"/>
    <mergeCell ref="M2561:N2561"/>
    <mergeCell ref="K2562:L2562"/>
    <mergeCell ref="M2562:N2562"/>
    <mergeCell ref="M2575:N2575"/>
    <mergeCell ref="I2575:J2575"/>
    <mergeCell ref="I2576:J2576"/>
    <mergeCell ref="K2576:L2576"/>
    <mergeCell ref="M2576:N2576"/>
    <mergeCell ref="I2577:J2577"/>
    <mergeCell ref="M2551:N2551"/>
    <mergeCell ref="M2552:N2552"/>
    <mergeCell ref="I2547:J2547"/>
    <mergeCell ref="I2548:J2548"/>
    <mergeCell ref="I2549:J2549"/>
    <mergeCell ref="I2550:J2550"/>
    <mergeCell ref="I2551:J2551"/>
    <mergeCell ref="K2552:L2552"/>
    <mergeCell ref="K2543:L2543"/>
    <mergeCell ref="M2543:N2543"/>
    <mergeCell ref="A2545:N2545"/>
    <mergeCell ref="A2546:G2546"/>
    <mergeCell ref="I2546:J2546"/>
    <mergeCell ref="A2547:G2547"/>
    <mergeCell ref="M2548:N2548"/>
    <mergeCell ref="A2548:G2548"/>
    <mergeCell ref="A2549:G2549"/>
    <mergeCell ref="A2550:G2550"/>
    <mergeCell ref="A2551:G2551"/>
    <mergeCell ref="A2560:G2560"/>
    <mergeCell ref="A2561:G2561"/>
    <mergeCell ref="A2562:G2562"/>
    <mergeCell ref="A2563:G2563"/>
    <mergeCell ref="I2564:J2564"/>
    <mergeCell ref="K2564:L2564"/>
    <mergeCell ref="M2564:N2564"/>
    <mergeCell ref="A2564:G2564"/>
    <mergeCell ref="A2565:G2565"/>
    <mergeCell ref="I2565:J2565"/>
    <mergeCell ref="K2565:L2565"/>
    <mergeCell ref="M2565:N2565"/>
    <mergeCell ref="A2566:G2566"/>
    <mergeCell ref="I2566:J2566"/>
    <mergeCell ref="A2539:G2539"/>
    <mergeCell ref="I2539:J2539"/>
    <mergeCell ref="K2539:L2539"/>
    <mergeCell ref="M2539:N2539"/>
    <mergeCell ref="I2540:J2540"/>
    <mergeCell ref="K2540:L2540"/>
    <mergeCell ref="M2540:N2540"/>
    <mergeCell ref="A2540:G2540"/>
    <mergeCell ref="A2541:G2541"/>
    <mergeCell ref="I2541:J2541"/>
    <mergeCell ref="K2541:L2541"/>
    <mergeCell ref="M2541:N2541"/>
    <mergeCell ref="A2542:G2542"/>
    <mergeCell ref="I2542:J2542"/>
    <mergeCell ref="M2546:N2546"/>
    <mergeCell ref="M2547:N2547"/>
    <mergeCell ref="M2549:N2549"/>
    <mergeCell ref="M2550:N2550"/>
    <mergeCell ref="I2590:J2590"/>
    <mergeCell ref="M2590:N2590"/>
    <mergeCell ref="A2590:G2590"/>
    <mergeCell ref="A2591:G2591"/>
    <mergeCell ref="I2591:J2591"/>
    <mergeCell ref="M2591:N2591"/>
    <mergeCell ref="A2592:G2592"/>
    <mergeCell ref="M2592:N2592"/>
    <mergeCell ref="A2593:G2593"/>
    <mergeCell ref="M2593:N2593"/>
    <mergeCell ref="M2595:N2595"/>
    <mergeCell ref="K2596:L2596"/>
    <mergeCell ref="M2596:N2596"/>
    <mergeCell ref="I2592:J2592"/>
    <mergeCell ref="I2593:J2593"/>
    <mergeCell ref="A2594:G2594"/>
    <mergeCell ref="I2594:J2594"/>
    <mergeCell ref="M2594:N2594"/>
    <mergeCell ref="A2595:G2595"/>
    <mergeCell ref="I2595:J2595"/>
    <mergeCell ref="K2583:L2583"/>
    <mergeCell ref="M2583:N2583"/>
    <mergeCell ref="I2584:J2584"/>
    <mergeCell ref="K2584:L2584"/>
    <mergeCell ref="M2584:N2584"/>
    <mergeCell ref="A2584:G2584"/>
    <mergeCell ref="A2585:G2585"/>
    <mergeCell ref="I2585:J2585"/>
    <mergeCell ref="K2585:L2585"/>
    <mergeCell ref="M2585:N2585"/>
    <mergeCell ref="A2586:G2586"/>
    <mergeCell ref="I2586:J2586"/>
    <mergeCell ref="K2586:L2586"/>
    <mergeCell ref="M2586:N2586"/>
    <mergeCell ref="K2587:L2587"/>
    <mergeCell ref="M2587:N2587"/>
    <mergeCell ref="A2589:N2589"/>
    <mergeCell ref="K2612:L2612"/>
    <mergeCell ref="M2612:N2612"/>
    <mergeCell ref="K2613:L2613"/>
    <mergeCell ref="M2613:N2613"/>
    <mergeCell ref="A2610:G2610"/>
    <mergeCell ref="A2611:G2611"/>
    <mergeCell ref="I2611:J2611"/>
    <mergeCell ref="K2611:L2611"/>
    <mergeCell ref="M2611:N2611"/>
    <mergeCell ref="A2612:G2612"/>
    <mergeCell ref="I2612:J2612"/>
    <mergeCell ref="K2617:L2617"/>
    <mergeCell ref="M2617:N2617"/>
    <mergeCell ref="K2627:L2627"/>
    <mergeCell ref="M2627:N2627"/>
    <mergeCell ref="A2624:N2624"/>
    <mergeCell ref="A2625:G2625"/>
    <mergeCell ref="I2625:J2625"/>
    <mergeCell ref="K2625:L2625"/>
    <mergeCell ref="M2625:N2625"/>
    <mergeCell ref="A2626:G2626"/>
    <mergeCell ref="A2627:G2627"/>
    <mergeCell ref="A2615:N2615"/>
    <mergeCell ref="A2616:G2616"/>
    <mergeCell ref="I2616:J2616"/>
    <mergeCell ref="K2616:L2616"/>
    <mergeCell ref="M2616:N2616"/>
    <mergeCell ref="A2617:G2617"/>
    <mergeCell ref="A2618:G2618"/>
    <mergeCell ref="A2619:G2619"/>
    <mergeCell ref="I2619:J2619"/>
    <mergeCell ref="K2619:L2619"/>
    <mergeCell ref="I2607:J2607"/>
    <mergeCell ref="I2608:J2608"/>
    <mergeCell ref="K2608:L2608"/>
    <mergeCell ref="M2608:N2608"/>
    <mergeCell ref="A2605:G2605"/>
    <mergeCell ref="A2606:G2606"/>
    <mergeCell ref="I2606:J2606"/>
    <mergeCell ref="K2606:L2606"/>
    <mergeCell ref="M2606:N2606"/>
    <mergeCell ref="A2607:G2607"/>
    <mergeCell ref="A2608:G2608"/>
    <mergeCell ref="A2609:G2609"/>
    <mergeCell ref="I2609:J2609"/>
    <mergeCell ref="K2609:L2609"/>
    <mergeCell ref="M2609:N2609"/>
    <mergeCell ref="I2610:J2610"/>
    <mergeCell ref="K2610:L2610"/>
    <mergeCell ref="M2610:N2610"/>
    <mergeCell ref="K2607:L2607"/>
    <mergeCell ref="M2607:N2607"/>
    <mergeCell ref="I2605:J2605"/>
    <mergeCell ref="K2605:L2605"/>
    <mergeCell ref="M2619:N2619"/>
    <mergeCell ref="I2620:J2620"/>
    <mergeCell ref="K2620:L2620"/>
    <mergeCell ref="M2620:N2620"/>
    <mergeCell ref="A2620:G2620"/>
    <mergeCell ref="A2621:G2621"/>
    <mergeCell ref="I2621:J2621"/>
    <mergeCell ref="K2621:L2621"/>
    <mergeCell ref="M2621:N2621"/>
    <mergeCell ref="K2640:L2640"/>
    <mergeCell ref="M2640:N2640"/>
    <mergeCell ref="A2642:N2643"/>
    <mergeCell ref="A2647:N2647"/>
    <mergeCell ref="A2648:G2648"/>
    <mergeCell ref="A2649:G2649"/>
    <mergeCell ref="I2629:J2629"/>
    <mergeCell ref="K2629:L2629"/>
    <mergeCell ref="I2626:J2626"/>
    <mergeCell ref="I2627:J2627"/>
    <mergeCell ref="A2628:G2628"/>
    <mergeCell ref="I2628:J2628"/>
    <mergeCell ref="K2628:L2628"/>
    <mergeCell ref="M2628:N2628"/>
    <mergeCell ref="M2629:N2629"/>
    <mergeCell ref="M2638:N2638"/>
    <mergeCell ref="I2639:J2639"/>
    <mergeCell ref="K2648:L2648"/>
    <mergeCell ref="M2648:N2648"/>
    <mergeCell ref="I2648:J2648"/>
    <mergeCell ref="I2649:J2649"/>
    <mergeCell ref="K2649:L2649"/>
    <mergeCell ref="M2649:N2649"/>
    <mergeCell ref="I2617:J2617"/>
    <mergeCell ref="I2618:J2618"/>
    <mergeCell ref="K2618:L2618"/>
    <mergeCell ref="M2618:N2618"/>
    <mergeCell ref="K2622:L2622"/>
    <mergeCell ref="M2622:N2622"/>
    <mergeCell ref="K2626:L2626"/>
    <mergeCell ref="M2626:N2626"/>
    <mergeCell ref="A2629:G2629"/>
    <mergeCell ref="I2714:J2714"/>
    <mergeCell ref="A2630:G2630"/>
    <mergeCell ref="I2630:J2630"/>
    <mergeCell ref="K2630:L2630"/>
    <mergeCell ref="M2630:N2630"/>
    <mergeCell ref="K2631:L2631"/>
    <mergeCell ref="M2631:N2631"/>
    <mergeCell ref="A2636:G2636"/>
    <mergeCell ref="A2637:G2637"/>
    <mergeCell ref="A2638:G2638"/>
    <mergeCell ref="A2639:G2639"/>
    <mergeCell ref="A2633:N2633"/>
    <mergeCell ref="A2634:G2634"/>
    <mergeCell ref="I2634:J2634"/>
    <mergeCell ref="M2634:N2634"/>
    <mergeCell ref="A2635:G2635"/>
    <mergeCell ref="M2635:N2635"/>
    <mergeCell ref="M2636:N2636"/>
    <mergeCell ref="I2635:J2635"/>
    <mergeCell ref="I2636:J2636"/>
    <mergeCell ref="I2637:J2637"/>
    <mergeCell ref="M2637:N2637"/>
    <mergeCell ref="I2638:J2638"/>
    <mergeCell ref="M2639:N2639"/>
    <mergeCell ref="A2704:G2704"/>
    <mergeCell ref="I2704:J2704"/>
    <mergeCell ref="K2704:L2704"/>
    <mergeCell ref="M2704:N2704"/>
    <mergeCell ref="M2705:N2705"/>
    <mergeCell ref="I2705:J2705"/>
    <mergeCell ref="K2705:L2705"/>
    <mergeCell ref="I2706:J2706"/>
    <mergeCell ref="K2706:L2706"/>
    <mergeCell ref="I2707:J2707"/>
    <mergeCell ref="I2708:J2708"/>
    <mergeCell ref="K2708:L2708"/>
    <mergeCell ref="M2708:N2708"/>
    <mergeCell ref="I2709:J2709"/>
    <mergeCell ref="K2709:L2709"/>
    <mergeCell ref="M2709:N2709"/>
    <mergeCell ref="A2703:N2703"/>
    <mergeCell ref="I2661:J2661"/>
    <mergeCell ref="K2661:L2661"/>
    <mergeCell ref="I2662:J2662"/>
    <mergeCell ref="K2662:L2662"/>
    <mergeCell ref="M2662:N2662"/>
    <mergeCell ref="K2663:L2663"/>
    <mergeCell ref="M2663:N2663"/>
    <mergeCell ref="I2663:J2663"/>
    <mergeCell ref="I2664:J2664"/>
    <mergeCell ref="K2664:L2664"/>
    <mergeCell ref="M2664:N2664"/>
    <mergeCell ref="I2665:J2665"/>
    <mergeCell ref="K2665:L2665"/>
    <mergeCell ref="M2665:N2665"/>
    <mergeCell ref="I2713:J2713"/>
    <mergeCell ref="I2672:J2672"/>
    <mergeCell ref="K2672:L2672"/>
    <mergeCell ref="I2669:J2669"/>
    <mergeCell ref="I2670:J2670"/>
    <mergeCell ref="A2671:G2671"/>
    <mergeCell ref="I2671:J2671"/>
    <mergeCell ref="K2671:L2671"/>
    <mergeCell ref="M2671:N2671"/>
    <mergeCell ref="M2672:N2672"/>
    <mergeCell ref="K2714:L2714"/>
    <mergeCell ref="M2714:N2714"/>
    <mergeCell ref="K2710:L2710"/>
    <mergeCell ref="M2710:N2710"/>
    <mergeCell ref="A2712:N2712"/>
    <mergeCell ref="A2713:G2713"/>
    <mergeCell ref="K2713:L2713"/>
    <mergeCell ref="M2713:N2713"/>
    <mergeCell ref="A2714:G2714"/>
    <mergeCell ref="K2698:L2698"/>
    <mergeCell ref="M2698:N2698"/>
    <mergeCell ref="A2699:G2699"/>
    <mergeCell ref="I2699:J2699"/>
    <mergeCell ref="K2699:L2699"/>
    <mergeCell ref="M2699:N2699"/>
    <mergeCell ref="M2700:N2700"/>
    <mergeCell ref="A2705:G2705"/>
    <mergeCell ref="A2706:G2706"/>
    <mergeCell ref="A2707:G2707"/>
    <mergeCell ref="A2708:G2708"/>
    <mergeCell ref="A2709:G2709"/>
    <mergeCell ref="A2700:G2700"/>
    <mergeCell ref="K2670:L2670"/>
    <mergeCell ref="M2670:N2670"/>
    <mergeCell ref="K2666:L2666"/>
    <mergeCell ref="M2666:N2666"/>
    <mergeCell ref="A2668:N2668"/>
    <mergeCell ref="A2669:G2669"/>
    <mergeCell ref="K2669:L2669"/>
    <mergeCell ref="M2669:N2669"/>
    <mergeCell ref="A2670:G2670"/>
    <mergeCell ref="M2680:N2680"/>
    <mergeCell ref="I2695:J2695"/>
    <mergeCell ref="K2695:L2695"/>
    <mergeCell ref="M2695:N2695"/>
    <mergeCell ref="A2695:G2695"/>
    <mergeCell ref="A2696:G2696"/>
    <mergeCell ref="I2696:J2696"/>
    <mergeCell ref="K2696:L2696"/>
    <mergeCell ref="M2696:N2696"/>
    <mergeCell ref="K2673:L2673"/>
    <mergeCell ref="M2673:N2673"/>
    <mergeCell ref="A2674:G2674"/>
    <mergeCell ref="I2674:J2674"/>
    <mergeCell ref="I2679:J2679"/>
    <mergeCell ref="I2680:J2680"/>
    <mergeCell ref="A2677:N2677"/>
    <mergeCell ref="A2678:G2678"/>
    <mergeCell ref="A2697:G2697"/>
    <mergeCell ref="A2698:G2698"/>
    <mergeCell ref="K2697:L2697"/>
    <mergeCell ref="M2697:N2697"/>
    <mergeCell ref="I2697:J2697"/>
    <mergeCell ref="I2698:J2698"/>
    <mergeCell ref="I2700:J2700"/>
    <mergeCell ref="K2700:L2700"/>
    <mergeCell ref="M2706:N2706"/>
    <mergeCell ref="K2707:L2707"/>
    <mergeCell ref="M2707:N2707"/>
    <mergeCell ref="A2655:G2655"/>
    <mergeCell ref="I2655:J2655"/>
    <mergeCell ref="K2655:L2655"/>
    <mergeCell ref="M2655:N2655"/>
    <mergeCell ref="I2656:J2656"/>
    <mergeCell ref="K2656:L2656"/>
    <mergeCell ref="M2656:N2656"/>
    <mergeCell ref="A2656:G2656"/>
    <mergeCell ref="A2659:N2659"/>
    <mergeCell ref="A2660:G2660"/>
    <mergeCell ref="I2660:J2660"/>
    <mergeCell ref="K2660:L2660"/>
    <mergeCell ref="M2660:N2660"/>
    <mergeCell ref="M2661:N2661"/>
    <mergeCell ref="K2674:L2674"/>
    <mergeCell ref="M2674:N2674"/>
    <mergeCell ref="K2675:L2675"/>
    <mergeCell ref="M2675:N2675"/>
    <mergeCell ref="A2672:G2672"/>
    <mergeCell ref="A2673:G2673"/>
    <mergeCell ref="I2673:J2673"/>
    <mergeCell ref="A2664:G2664"/>
    <mergeCell ref="A2665:G2665"/>
    <mergeCell ref="I2682:J2682"/>
    <mergeCell ref="I2683:J2683"/>
    <mergeCell ref="K2684:L2684"/>
    <mergeCell ref="M2684:N2684"/>
    <mergeCell ref="A2694:G2694"/>
    <mergeCell ref="I2694:J2694"/>
    <mergeCell ref="K2694:L2694"/>
    <mergeCell ref="M2694:N2694"/>
    <mergeCell ref="A2680:G2680"/>
    <mergeCell ref="A2681:G2681"/>
    <mergeCell ref="I2681:J2681"/>
    <mergeCell ref="M2681:N2681"/>
    <mergeCell ref="A2682:G2682"/>
    <mergeCell ref="M2682:N2682"/>
    <mergeCell ref="M2683:N2683"/>
    <mergeCell ref="I2692:J2692"/>
    <mergeCell ref="I2693:J2693"/>
    <mergeCell ref="K2693:L2693"/>
    <mergeCell ref="M2693:N2693"/>
    <mergeCell ref="A2683:G2683"/>
    <mergeCell ref="A2686:N2687"/>
    <mergeCell ref="A2691:N2691"/>
    <mergeCell ref="A2692:G2692"/>
    <mergeCell ref="K2692:L2692"/>
    <mergeCell ref="M2692:N2692"/>
    <mergeCell ref="A2693:G2693"/>
    <mergeCell ref="I2678:J2678"/>
    <mergeCell ref="M2678:N2678"/>
    <mergeCell ref="A2679:G2679"/>
    <mergeCell ref="M2679:N2679"/>
    <mergeCell ref="A2756:N2756"/>
    <mergeCell ref="A2757:G2757"/>
    <mergeCell ref="K2757:L2757"/>
    <mergeCell ref="M2757:N2757"/>
    <mergeCell ref="A2758:G2758"/>
    <mergeCell ref="A2759:G2759"/>
    <mergeCell ref="I2759:J2759"/>
    <mergeCell ref="A2650:G2650"/>
    <mergeCell ref="I2650:J2650"/>
    <mergeCell ref="K2650:L2650"/>
    <mergeCell ref="M2650:N2650"/>
    <mergeCell ref="I2651:J2651"/>
    <mergeCell ref="K2651:L2651"/>
    <mergeCell ref="M2651:N2651"/>
    <mergeCell ref="K2653:L2653"/>
    <mergeCell ref="M2653:N2653"/>
    <mergeCell ref="I2653:J2653"/>
    <mergeCell ref="I2654:J2654"/>
    <mergeCell ref="K2654:L2654"/>
    <mergeCell ref="M2654:N2654"/>
    <mergeCell ref="K2657:L2657"/>
    <mergeCell ref="M2657:N2657"/>
    <mergeCell ref="A2651:G2651"/>
    <mergeCell ref="A2652:G2652"/>
    <mergeCell ref="I2652:J2652"/>
    <mergeCell ref="K2652:L2652"/>
    <mergeCell ref="M2652:N2652"/>
    <mergeCell ref="A2653:G2653"/>
    <mergeCell ref="A2654:G2654"/>
    <mergeCell ref="A2661:G2661"/>
    <mergeCell ref="A2662:G2662"/>
    <mergeCell ref="A2663:G2663"/>
    <mergeCell ref="A2774:N2775"/>
    <mergeCell ref="A2779:N2779"/>
    <mergeCell ref="A2780:G2780"/>
    <mergeCell ref="I2780:J2780"/>
    <mergeCell ref="K2780:L2780"/>
    <mergeCell ref="M2780:N2780"/>
    <mergeCell ref="M2781:N2781"/>
    <mergeCell ref="K2742:L2742"/>
    <mergeCell ref="M2742:N2742"/>
    <mergeCell ref="A2743:G2743"/>
    <mergeCell ref="I2743:J2743"/>
    <mergeCell ref="K2743:L2743"/>
    <mergeCell ref="M2743:N2743"/>
    <mergeCell ref="M2744:N2744"/>
    <mergeCell ref="A2749:G2749"/>
    <mergeCell ref="A2750:G2750"/>
    <mergeCell ref="A2751:G2751"/>
    <mergeCell ref="A2752:G2752"/>
    <mergeCell ref="A2753:G2753"/>
    <mergeCell ref="A2744:G2744"/>
    <mergeCell ref="A2747:N2747"/>
    <mergeCell ref="A2748:G2748"/>
    <mergeCell ref="I2748:J2748"/>
    <mergeCell ref="K2748:L2748"/>
    <mergeCell ref="M2748:N2748"/>
    <mergeCell ref="M2749:N2749"/>
    <mergeCell ref="I2749:J2749"/>
    <mergeCell ref="K2749:L2749"/>
    <mergeCell ref="I2750:J2750"/>
    <mergeCell ref="K2750:L2750"/>
    <mergeCell ref="M2750:N2750"/>
    <mergeCell ref="K2751:L2751"/>
    <mergeCell ref="A2730:N2731"/>
    <mergeCell ref="A2735:N2735"/>
    <mergeCell ref="M2736:N2736"/>
    <mergeCell ref="K2718:L2718"/>
    <mergeCell ref="M2718:N2718"/>
    <mergeCell ref="I2744:J2744"/>
    <mergeCell ref="K2744:L2744"/>
    <mergeCell ref="K2745:L2745"/>
    <mergeCell ref="M2745:N2745"/>
    <mergeCell ref="K2758:L2758"/>
    <mergeCell ref="M2758:N2758"/>
    <mergeCell ref="K2754:L2754"/>
    <mergeCell ref="M2754:N2754"/>
    <mergeCell ref="K2701:L2701"/>
    <mergeCell ref="M2701:N2701"/>
    <mergeCell ref="I2738:J2738"/>
    <mergeCell ref="I2739:J2739"/>
    <mergeCell ref="K2739:L2739"/>
    <mergeCell ref="M2739:N2739"/>
    <mergeCell ref="I2736:J2736"/>
    <mergeCell ref="K2736:L2736"/>
    <mergeCell ref="I2737:J2737"/>
    <mergeCell ref="K2737:L2737"/>
    <mergeCell ref="M2737:N2737"/>
    <mergeCell ref="K2738:L2738"/>
    <mergeCell ref="M2738:N2738"/>
    <mergeCell ref="M2751:N2751"/>
    <mergeCell ref="I2751:J2751"/>
    <mergeCell ref="I2752:J2752"/>
    <mergeCell ref="K2752:L2752"/>
    <mergeCell ref="M2752:N2752"/>
    <mergeCell ref="I2753:J2753"/>
    <mergeCell ref="M2726:N2726"/>
    <mergeCell ref="M2727:N2727"/>
    <mergeCell ref="M2728:N2728"/>
    <mergeCell ref="I2723:J2723"/>
    <mergeCell ref="I2724:J2724"/>
    <mergeCell ref="I2725:J2725"/>
    <mergeCell ref="I2726:J2726"/>
    <mergeCell ref="I2727:J2727"/>
    <mergeCell ref="K2728:L2728"/>
    <mergeCell ref="K2719:L2719"/>
    <mergeCell ref="M2719:N2719"/>
    <mergeCell ref="A2721:N2721"/>
    <mergeCell ref="A2722:G2722"/>
    <mergeCell ref="I2722:J2722"/>
    <mergeCell ref="A2723:G2723"/>
    <mergeCell ref="M2724:N2724"/>
    <mergeCell ref="A2724:G2724"/>
    <mergeCell ref="A2725:G2725"/>
    <mergeCell ref="A2726:G2726"/>
    <mergeCell ref="A2727:G2727"/>
    <mergeCell ref="A2715:G2715"/>
    <mergeCell ref="I2715:J2715"/>
    <mergeCell ref="K2715:L2715"/>
    <mergeCell ref="M2715:N2715"/>
    <mergeCell ref="I2716:J2716"/>
    <mergeCell ref="K2716:L2716"/>
    <mergeCell ref="M2716:N2716"/>
    <mergeCell ref="A2716:G2716"/>
    <mergeCell ref="A2717:G2717"/>
    <mergeCell ref="I2717:J2717"/>
    <mergeCell ref="K2717:L2717"/>
    <mergeCell ref="M2717:N2717"/>
    <mergeCell ref="A2718:G2718"/>
    <mergeCell ref="I2718:J2718"/>
    <mergeCell ref="M2722:N2722"/>
    <mergeCell ref="M2723:N2723"/>
    <mergeCell ref="M2725:N2725"/>
    <mergeCell ref="A2768:G2768"/>
    <mergeCell ref="M2768:N2768"/>
    <mergeCell ref="A2769:G2769"/>
    <mergeCell ref="M2769:N2769"/>
    <mergeCell ref="M2771:N2771"/>
    <mergeCell ref="K2772:L2772"/>
    <mergeCell ref="M2772:N2772"/>
    <mergeCell ref="I2768:J2768"/>
    <mergeCell ref="I2769:J2769"/>
    <mergeCell ref="A2770:G2770"/>
    <mergeCell ref="I2770:J2770"/>
    <mergeCell ref="M2770:N2770"/>
    <mergeCell ref="A2771:G2771"/>
    <mergeCell ref="I2771:J2771"/>
    <mergeCell ref="A2736:G2736"/>
    <mergeCell ref="A2737:G2737"/>
    <mergeCell ref="A2738:G2738"/>
    <mergeCell ref="A2739:G2739"/>
    <mergeCell ref="I2740:J2740"/>
    <mergeCell ref="K2740:L2740"/>
    <mergeCell ref="M2740:N2740"/>
    <mergeCell ref="A2740:G2740"/>
    <mergeCell ref="A2741:G2741"/>
    <mergeCell ref="I2741:J2741"/>
    <mergeCell ref="K2741:L2741"/>
    <mergeCell ref="M2741:N2741"/>
    <mergeCell ref="A2742:G2742"/>
    <mergeCell ref="I2742:J2742"/>
    <mergeCell ref="K2753:L2753"/>
    <mergeCell ref="M2753:N2753"/>
    <mergeCell ref="I2757:J2757"/>
    <mergeCell ref="I2758:J2758"/>
    <mergeCell ref="A2791:G2791"/>
    <mergeCell ref="I2791:J2791"/>
    <mergeCell ref="K2791:L2791"/>
    <mergeCell ref="M2791:N2791"/>
    <mergeCell ref="I2792:J2792"/>
    <mergeCell ref="K2792:L2792"/>
    <mergeCell ref="M2792:N2792"/>
    <mergeCell ref="K2783:L2783"/>
    <mergeCell ref="M2783:N2783"/>
    <mergeCell ref="K2759:L2759"/>
    <mergeCell ref="M2759:N2759"/>
    <mergeCell ref="I2760:J2760"/>
    <mergeCell ref="K2760:L2760"/>
    <mergeCell ref="M2760:N2760"/>
    <mergeCell ref="A2760:G2760"/>
    <mergeCell ref="A2761:G2761"/>
    <mergeCell ref="I2761:J2761"/>
    <mergeCell ref="K2761:L2761"/>
    <mergeCell ref="M2761:N2761"/>
    <mergeCell ref="A2762:G2762"/>
    <mergeCell ref="I2762:J2762"/>
    <mergeCell ref="K2762:L2762"/>
    <mergeCell ref="M2762:N2762"/>
    <mergeCell ref="K2763:L2763"/>
    <mergeCell ref="M2763:N2763"/>
    <mergeCell ref="A2765:N2765"/>
    <mergeCell ref="I2766:J2766"/>
    <mergeCell ref="M2766:N2766"/>
    <mergeCell ref="A2766:G2766"/>
    <mergeCell ref="A2767:G2767"/>
    <mergeCell ref="I2767:J2767"/>
    <mergeCell ref="M2767:N2767"/>
    <mergeCell ref="I2783:J2783"/>
    <mergeCell ref="I2784:J2784"/>
    <mergeCell ref="K2784:L2784"/>
    <mergeCell ref="M2784:N2784"/>
    <mergeCell ref="K2786:L2786"/>
    <mergeCell ref="M2786:N2786"/>
    <mergeCell ref="A2781:G2781"/>
    <mergeCell ref="A2782:G2782"/>
    <mergeCell ref="I2782:J2782"/>
    <mergeCell ref="K2782:L2782"/>
    <mergeCell ref="M2782:N2782"/>
    <mergeCell ref="A2783:G2783"/>
    <mergeCell ref="A2784:G2784"/>
    <mergeCell ref="K2789:L2789"/>
    <mergeCell ref="M2789:N2789"/>
    <mergeCell ref="I2789:J2789"/>
    <mergeCell ref="I2790:J2790"/>
    <mergeCell ref="K2790:L2790"/>
    <mergeCell ref="M2790:N2790"/>
    <mergeCell ref="A2785:G2785"/>
    <mergeCell ref="I2785:J2785"/>
    <mergeCell ref="K2785:L2785"/>
    <mergeCell ref="M2785:N2785"/>
    <mergeCell ref="A2788:N2788"/>
    <mergeCell ref="A2789:G2789"/>
    <mergeCell ref="A2790:G2790"/>
    <mergeCell ref="I2781:J2781"/>
    <mergeCell ref="K2781:L2781"/>
    <mergeCell ref="K2794:L2794"/>
    <mergeCell ref="M2794:N2794"/>
    <mergeCell ref="K2795:L2795"/>
    <mergeCell ref="M2795:N2795"/>
    <mergeCell ref="A2792:G2792"/>
    <mergeCell ref="A2793:G2793"/>
    <mergeCell ref="I2793:J2793"/>
    <mergeCell ref="K2793:L2793"/>
    <mergeCell ref="M2793:N2793"/>
    <mergeCell ref="A2794:G2794"/>
    <mergeCell ref="I2794:J2794"/>
    <mergeCell ref="K2799:L2799"/>
    <mergeCell ref="M2799:N2799"/>
    <mergeCell ref="I2799:J2799"/>
    <mergeCell ref="I2800:J2800"/>
    <mergeCell ref="K2800:L2800"/>
    <mergeCell ref="M2800:N2800"/>
    <mergeCell ref="A2797:N2797"/>
    <mergeCell ref="A2798:G2798"/>
    <mergeCell ref="I2798:J2798"/>
    <mergeCell ref="K2798:L2798"/>
    <mergeCell ref="M2798:N2798"/>
    <mergeCell ref="A2799:G2799"/>
    <mergeCell ref="A2800:G2800"/>
    <mergeCell ref="A2806:N2806"/>
    <mergeCell ref="A2807:G2807"/>
    <mergeCell ref="I2807:J2807"/>
    <mergeCell ref="M2807:N2807"/>
    <mergeCell ref="A2808:G2808"/>
    <mergeCell ref="M2808:N2808"/>
    <mergeCell ref="M2809:N2809"/>
    <mergeCell ref="I2808:J2808"/>
    <mergeCell ref="I2809:J2809"/>
    <mergeCell ref="I2810:J2810"/>
    <mergeCell ref="M2810:N2810"/>
    <mergeCell ref="I2811:J2811"/>
    <mergeCell ref="M2811:N2811"/>
    <mergeCell ref="I2812:J2812"/>
    <mergeCell ref="K2821:L2821"/>
    <mergeCell ref="M2821:N2821"/>
    <mergeCell ref="A2824:G2824"/>
    <mergeCell ref="K2822:L2822"/>
    <mergeCell ref="M2822:N2822"/>
    <mergeCell ref="M2812:N2812"/>
    <mergeCell ref="K2813:L2813"/>
    <mergeCell ref="M2813:N2813"/>
    <mergeCell ref="A2815:N2816"/>
    <mergeCell ref="A2820:N2820"/>
    <mergeCell ref="A2821:G2821"/>
    <mergeCell ref="A2822:G2822"/>
    <mergeCell ref="I2834:J2834"/>
    <mergeCell ref="K2834:L2834"/>
    <mergeCell ref="M2834:N2834"/>
    <mergeCell ref="K2835:L2835"/>
    <mergeCell ref="M2835:N2835"/>
    <mergeCell ref="I2824:J2824"/>
    <mergeCell ref="K2824:L2824"/>
    <mergeCell ref="I2821:J2821"/>
    <mergeCell ref="I2822:J2822"/>
    <mergeCell ref="A2823:G2823"/>
    <mergeCell ref="I2823:J2823"/>
    <mergeCell ref="K2823:L2823"/>
    <mergeCell ref="M2823:N2823"/>
    <mergeCell ref="M2824:N2824"/>
    <mergeCell ref="A2801:G2801"/>
    <mergeCell ref="I2801:J2801"/>
    <mergeCell ref="K2801:L2801"/>
    <mergeCell ref="M2801:N2801"/>
    <mergeCell ref="I2802:J2802"/>
    <mergeCell ref="K2802:L2802"/>
    <mergeCell ref="M2802:N2802"/>
    <mergeCell ref="A2802:G2802"/>
    <mergeCell ref="A2803:G2803"/>
    <mergeCell ref="I2803:J2803"/>
    <mergeCell ref="K2803:L2803"/>
    <mergeCell ref="M2803:N2803"/>
    <mergeCell ref="K2804:L2804"/>
    <mergeCell ref="M2804:N2804"/>
    <mergeCell ref="A2809:G2809"/>
    <mergeCell ref="A2810:G2810"/>
    <mergeCell ref="A2811:G2811"/>
    <mergeCell ref="A2812:G2812"/>
    <mergeCell ref="A2906:G2906"/>
    <mergeCell ref="K2912:L2912"/>
    <mergeCell ref="M2912:N2912"/>
    <mergeCell ref="I2920:J2920"/>
    <mergeCell ref="A2825:G2825"/>
    <mergeCell ref="I2825:J2825"/>
    <mergeCell ref="K2825:L2825"/>
    <mergeCell ref="M2825:N2825"/>
    <mergeCell ref="K2826:L2826"/>
    <mergeCell ref="M2826:N2826"/>
    <mergeCell ref="K2830:L2830"/>
    <mergeCell ref="M2830:N2830"/>
    <mergeCell ref="I2830:J2830"/>
    <mergeCell ref="I2831:J2831"/>
    <mergeCell ref="K2831:L2831"/>
    <mergeCell ref="M2831:N2831"/>
    <mergeCell ref="A2828:N2828"/>
    <mergeCell ref="A2829:G2829"/>
    <mergeCell ref="I2829:J2829"/>
    <mergeCell ref="K2829:L2829"/>
    <mergeCell ref="M2829:N2829"/>
    <mergeCell ref="A2830:G2830"/>
    <mergeCell ref="A2831:G2831"/>
    <mergeCell ref="A2832:G2832"/>
    <mergeCell ref="I2832:J2832"/>
    <mergeCell ref="K2832:L2832"/>
    <mergeCell ref="M2832:N2832"/>
    <mergeCell ref="I2833:J2833"/>
    <mergeCell ref="K2833:L2833"/>
    <mergeCell ref="M2833:N2833"/>
    <mergeCell ref="A2833:G2833"/>
    <mergeCell ref="A2834:G2834"/>
    <mergeCell ref="A2953:G2953"/>
    <mergeCell ref="I2953:J2953"/>
    <mergeCell ref="K2953:L2953"/>
    <mergeCell ref="M2953:N2953"/>
    <mergeCell ref="I2954:J2954"/>
    <mergeCell ref="K2954:L2954"/>
    <mergeCell ref="M2954:N2954"/>
    <mergeCell ref="A2954:G2954"/>
    <mergeCell ref="I2839:J2839"/>
    <mergeCell ref="I2840:J2840"/>
    <mergeCell ref="K2840:L2840"/>
    <mergeCell ref="M2840:N2840"/>
    <mergeCell ref="I2906:J2906"/>
    <mergeCell ref="K2906:L2906"/>
    <mergeCell ref="M2906:N2906"/>
    <mergeCell ref="K2907:L2907"/>
    <mergeCell ref="M2907:N2907"/>
    <mergeCell ref="A2909:N2909"/>
    <mergeCell ref="M2910:N2910"/>
    <mergeCell ref="I2882:J2882"/>
    <mergeCell ref="K2882:L2882"/>
    <mergeCell ref="M2882:N2882"/>
    <mergeCell ref="A2882:G2882"/>
    <mergeCell ref="A2883:G2883"/>
    <mergeCell ref="I2883:J2883"/>
    <mergeCell ref="K2883:L2883"/>
    <mergeCell ref="M2883:N2883"/>
    <mergeCell ref="K2884:L2884"/>
    <mergeCell ref="M2884:N2884"/>
    <mergeCell ref="A2901:G2901"/>
    <mergeCell ref="A2902:G2902"/>
    <mergeCell ref="A2903:G2903"/>
    <mergeCell ref="A2952:G2952"/>
    <mergeCell ref="K2920:L2920"/>
    <mergeCell ref="I2921:J2921"/>
    <mergeCell ref="K2921:L2921"/>
    <mergeCell ref="K2839:L2839"/>
    <mergeCell ref="M2839:N2839"/>
    <mergeCell ref="M2852:N2852"/>
    <mergeCell ref="K2853:L2853"/>
    <mergeCell ref="M2853:N2853"/>
    <mergeCell ref="I2848:J2848"/>
    <mergeCell ref="I2849:J2849"/>
    <mergeCell ref="I2850:J2850"/>
    <mergeCell ref="M2850:N2850"/>
    <mergeCell ref="I2851:J2851"/>
    <mergeCell ref="M2851:N2851"/>
    <mergeCell ref="I2852:J2852"/>
    <mergeCell ref="I2861:J2861"/>
    <mergeCell ref="K2861:L2861"/>
    <mergeCell ref="I2862:J2862"/>
    <mergeCell ref="K2862:L2862"/>
    <mergeCell ref="M2862:N2862"/>
    <mergeCell ref="K2863:L2863"/>
    <mergeCell ref="M2863:N2863"/>
    <mergeCell ref="I2863:J2863"/>
    <mergeCell ref="I2864:J2864"/>
    <mergeCell ref="K2864:L2864"/>
    <mergeCell ref="M2864:N2864"/>
    <mergeCell ref="I2865:J2865"/>
    <mergeCell ref="K2865:L2865"/>
    <mergeCell ref="M2865:N2865"/>
    <mergeCell ref="A2904:G2904"/>
    <mergeCell ref="A2905:G2905"/>
    <mergeCell ref="A2955:G2955"/>
    <mergeCell ref="I2955:J2955"/>
    <mergeCell ref="K2955:L2955"/>
    <mergeCell ref="M2955:N2955"/>
    <mergeCell ref="K2956:L2956"/>
    <mergeCell ref="M2956:N2956"/>
    <mergeCell ref="A2944:G2944"/>
    <mergeCell ref="I2944:J2944"/>
    <mergeCell ref="K2944:L2944"/>
    <mergeCell ref="M2944:N2944"/>
    <mergeCell ref="I2945:J2945"/>
    <mergeCell ref="K2945:L2945"/>
    <mergeCell ref="M2945:N2945"/>
    <mergeCell ref="A2945:G2945"/>
    <mergeCell ref="A2946:G2946"/>
    <mergeCell ref="I2946:J2946"/>
    <mergeCell ref="K2946:L2946"/>
    <mergeCell ref="M2946:N2946"/>
    <mergeCell ref="K2947:L2947"/>
    <mergeCell ref="M2947:N2947"/>
    <mergeCell ref="K2951:L2951"/>
    <mergeCell ref="M2951:N2951"/>
    <mergeCell ref="I2951:J2951"/>
    <mergeCell ref="I2952:J2952"/>
    <mergeCell ref="K2952:L2952"/>
    <mergeCell ref="M2952:N2952"/>
    <mergeCell ref="A2949:N2949"/>
    <mergeCell ref="A2950:G2950"/>
    <mergeCell ref="I2950:J2950"/>
    <mergeCell ref="K2950:L2950"/>
    <mergeCell ref="M2950:N2950"/>
    <mergeCell ref="A2951:G2951"/>
    <mergeCell ref="I2901:J2901"/>
    <mergeCell ref="K2901:L2901"/>
    <mergeCell ref="I2902:J2902"/>
    <mergeCell ref="K2902:L2902"/>
    <mergeCell ref="M2902:N2902"/>
    <mergeCell ref="K2903:L2903"/>
    <mergeCell ref="M2903:N2903"/>
    <mergeCell ref="I2903:J2903"/>
    <mergeCell ref="I2904:J2904"/>
    <mergeCell ref="K2904:L2904"/>
    <mergeCell ref="M2904:N2904"/>
    <mergeCell ref="I2905:J2905"/>
    <mergeCell ref="K2905:L2905"/>
    <mergeCell ref="M2905:N2905"/>
    <mergeCell ref="A2895:N2896"/>
    <mergeCell ref="A2900:N2900"/>
    <mergeCell ref="M2901:N2901"/>
    <mergeCell ref="M2869:N2869"/>
    <mergeCell ref="A2870:G2870"/>
    <mergeCell ref="I2872:J2872"/>
    <mergeCell ref="K2872:L2872"/>
    <mergeCell ref="I2869:J2869"/>
    <mergeCell ref="I2870:J2870"/>
    <mergeCell ref="A2871:G2871"/>
    <mergeCell ref="I2871:J2871"/>
    <mergeCell ref="K2871:L2871"/>
    <mergeCell ref="M2871:N2871"/>
    <mergeCell ref="M2872:N2872"/>
    <mergeCell ref="K2874:L2874"/>
    <mergeCell ref="M2874:N2874"/>
    <mergeCell ref="K2875:L2875"/>
    <mergeCell ref="M2875:N2875"/>
    <mergeCell ref="A2872:G2872"/>
    <mergeCell ref="A2873:G2873"/>
    <mergeCell ref="I2873:J2873"/>
    <mergeCell ref="K2873:L2873"/>
    <mergeCell ref="M2873:N2873"/>
    <mergeCell ref="A2874:G2874"/>
    <mergeCell ref="I2874:J2874"/>
    <mergeCell ref="A2877:N2877"/>
    <mergeCell ref="A2878:G2878"/>
    <mergeCell ref="I2878:J2878"/>
    <mergeCell ref="K2878:L2878"/>
    <mergeCell ref="M2878:N2878"/>
    <mergeCell ref="A2879:G2879"/>
    <mergeCell ref="A2880:G2880"/>
    <mergeCell ref="A2881:G2881"/>
    <mergeCell ref="I2881:J2881"/>
    <mergeCell ref="K2881:L2881"/>
    <mergeCell ref="M2881:N2881"/>
    <mergeCell ref="A2846:N2846"/>
    <mergeCell ref="A2847:G2847"/>
    <mergeCell ref="I2847:J2847"/>
    <mergeCell ref="M2847:N2847"/>
    <mergeCell ref="A2848:G2848"/>
    <mergeCell ref="M2848:N2848"/>
    <mergeCell ref="M2849:N2849"/>
    <mergeCell ref="A2849:G2849"/>
    <mergeCell ref="A2850:G2850"/>
    <mergeCell ref="A2851:G2851"/>
    <mergeCell ref="A2852:G2852"/>
    <mergeCell ref="A2855:N2856"/>
    <mergeCell ref="A2860:N2860"/>
    <mergeCell ref="M2861:N2861"/>
    <mergeCell ref="K2870:L2870"/>
    <mergeCell ref="M2870:N2870"/>
    <mergeCell ref="K2866:L2866"/>
    <mergeCell ref="M2866:N2866"/>
    <mergeCell ref="A2868:N2868"/>
    <mergeCell ref="A2869:G2869"/>
    <mergeCell ref="K2869:L2869"/>
    <mergeCell ref="K2879:L2879"/>
    <mergeCell ref="M2879:N2879"/>
    <mergeCell ref="M2892:N2892"/>
    <mergeCell ref="K2893:L2893"/>
    <mergeCell ref="M2893:N2893"/>
    <mergeCell ref="I2888:J2888"/>
    <mergeCell ref="I2889:J2889"/>
    <mergeCell ref="I2890:J2890"/>
    <mergeCell ref="M2890:N2890"/>
    <mergeCell ref="I2891:J2891"/>
    <mergeCell ref="M2891:N2891"/>
    <mergeCell ref="I2892:J2892"/>
    <mergeCell ref="A2886:N2886"/>
    <mergeCell ref="A2887:G2887"/>
    <mergeCell ref="I2887:J2887"/>
    <mergeCell ref="M2887:N2887"/>
    <mergeCell ref="A2888:G2888"/>
    <mergeCell ref="M2888:N2888"/>
    <mergeCell ref="M2889:N2889"/>
    <mergeCell ref="A2889:G2889"/>
    <mergeCell ref="A2890:G2890"/>
    <mergeCell ref="A2891:G2891"/>
    <mergeCell ref="A2892:G2892"/>
    <mergeCell ref="I2879:J2879"/>
    <mergeCell ref="I2880:J2880"/>
    <mergeCell ref="K2880:L2880"/>
    <mergeCell ref="M2880:N2880"/>
    <mergeCell ref="I2923:J2923"/>
    <mergeCell ref="K2923:L2923"/>
    <mergeCell ref="M2923:N2923"/>
    <mergeCell ref="I2924:J2924"/>
    <mergeCell ref="K2924:L2924"/>
    <mergeCell ref="M2924:N2924"/>
    <mergeCell ref="A2837:N2837"/>
    <mergeCell ref="A2838:G2838"/>
    <mergeCell ref="I2838:J2838"/>
    <mergeCell ref="K2838:L2838"/>
    <mergeCell ref="M2838:N2838"/>
    <mergeCell ref="A2839:G2839"/>
    <mergeCell ref="A2840:G2840"/>
    <mergeCell ref="A2841:G2841"/>
    <mergeCell ref="I2841:J2841"/>
    <mergeCell ref="K2841:L2841"/>
    <mergeCell ref="M2841:N2841"/>
    <mergeCell ref="I2842:J2842"/>
    <mergeCell ref="K2842:L2842"/>
    <mergeCell ref="M2842:N2842"/>
    <mergeCell ref="A2842:G2842"/>
    <mergeCell ref="A2843:G2843"/>
    <mergeCell ref="I2843:J2843"/>
    <mergeCell ref="K2843:L2843"/>
    <mergeCell ref="M2843:N2843"/>
    <mergeCell ref="K2844:L2844"/>
    <mergeCell ref="M2844:N2844"/>
    <mergeCell ref="A2861:G2861"/>
    <mergeCell ref="A2862:G2862"/>
    <mergeCell ref="A2863:G2863"/>
    <mergeCell ref="A2864:G2864"/>
    <mergeCell ref="A2865:G2865"/>
    <mergeCell ref="A2931:G2931"/>
    <mergeCell ref="A2932:G2932"/>
    <mergeCell ref="A2933:G2933"/>
    <mergeCell ref="K2925:L2925"/>
    <mergeCell ref="M2925:N2925"/>
    <mergeCell ref="A2927:N2927"/>
    <mergeCell ref="A2928:G2928"/>
    <mergeCell ref="I2928:J2928"/>
    <mergeCell ref="A2929:G2929"/>
    <mergeCell ref="M2930:N2930"/>
    <mergeCell ref="I2929:J2929"/>
    <mergeCell ref="I2930:J2930"/>
    <mergeCell ref="I2931:J2931"/>
    <mergeCell ref="M2933:N2933"/>
    <mergeCell ref="I2932:J2932"/>
    <mergeCell ref="M2932:N2932"/>
    <mergeCell ref="I2933:J2933"/>
    <mergeCell ref="A2910:G2910"/>
    <mergeCell ref="A2911:G2911"/>
    <mergeCell ref="I2911:J2911"/>
    <mergeCell ref="K2911:L2911"/>
    <mergeCell ref="M2911:N2911"/>
    <mergeCell ref="A2912:G2912"/>
    <mergeCell ref="A2913:G2913"/>
    <mergeCell ref="A2914:G2914"/>
    <mergeCell ref="I2914:J2914"/>
    <mergeCell ref="K2914:L2914"/>
    <mergeCell ref="M2914:N2914"/>
    <mergeCell ref="I2915:J2915"/>
    <mergeCell ref="K2915:L2915"/>
    <mergeCell ref="M2915:N2915"/>
    <mergeCell ref="A2920:G2920"/>
    <mergeCell ref="A2921:G2921"/>
    <mergeCell ref="A2922:G2922"/>
    <mergeCell ref="I2910:J2910"/>
    <mergeCell ref="K2910:L2910"/>
    <mergeCell ref="A2915:G2915"/>
    <mergeCell ref="A2918:N2918"/>
    <mergeCell ref="M2921:N2921"/>
    <mergeCell ref="K2922:L2922"/>
    <mergeCell ref="M2922:N2922"/>
    <mergeCell ref="A2919:G2919"/>
    <mergeCell ref="I2919:J2919"/>
    <mergeCell ref="K2919:L2919"/>
    <mergeCell ref="M2919:N2919"/>
    <mergeCell ref="M2920:N2920"/>
    <mergeCell ref="I2922:J2922"/>
    <mergeCell ref="I2912:J2912"/>
    <mergeCell ref="I2913:J2913"/>
    <mergeCell ref="K2913:L2913"/>
    <mergeCell ref="M2913:N2913"/>
    <mergeCell ref="K2916:L2916"/>
    <mergeCell ref="M2916:N2916"/>
    <mergeCell ref="M2931:N2931"/>
    <mergeCell ref="A3001:G3001"/>
    <mergeCell ref="A3002:G3002"/>
    <mergeCell ref="A3003:G3003"/>
    <mergeCell ref="I3003:J3003"/>
    <mergeCell ref="K3003:L3003"/>
    <mergeCell ref="M3003:N3003"/>
    <mergeCell ref="I3004:J3004"/>
    <mergeCell ref="K3004:L3004"/>
    <mergeCell ref="M3004:N3004"/>
    <mergeCell ref="A3004:G3004"/>
    <mergeCell ref="M2982:N2982"/>
    <mergeCell ref="I2982:J2982"/>
    <mergeCell ref="K2982:L2982"/>
    <mergeCell ref="I2983:J2983"/>
    <mergeCell ref="K2983:L2983"/>
    <mergeCell ref="M2983:N2983"/>
    <mergeCell ref="K2942:L2942"/>
    <mergeCell ref="M2942:N2942"/>
    <mergeCell ref="I2942:J2942"/>
    <mergeCell ref="I2943:J2943"/>
    <mergeCell ref="K2943:L2943"/>
    <mergeCell ref="M2943:N2943"/>
    <mergeCell ref="A2923:G2923"/>
    <mergeCell ref="A2924:G2924"/>
    <mergeCell ref="M2928:N2928"/>
    <mergeCell ref="M2929:N2929"/>
    <mergeCell ref="A2930:G2930"/>
    <mergeCell ref="A3005:G3005"/>
    <mergeCell ref="I3005:J3005"/>
    <mergeCell ref="K3005:L3005"/>
    <mergeCell ref="M3005:N3005"/>
    <mergeCell ref="I3010:J3010"/>
    <mergeCell ref="K2960:L2960"/>
    <mergeCell ref="M2960:N2960"/>
    <mergeCell ref="I2960:J2960"/>
    <mergeCell ref="I2961:J2961"/>
    <mergeCell ref="K2961:L2961"/>
    <mergeCell ref="M2961:N2961"/>
    <mergeCell ref="K2934:L2934"/>
    <mergeCell ref="M2934:N2934"/>
    <mergeCell ref="A2936:N2937"/>
    <mergeCell ref="A2941:N2941"/>
    <mergeCell ref="A2942:G2942"/>
    <mergeCell ref="A2943:G2943"/>
    <mergeCell ref="K3000:L3000"/>
    <mergeCell ref="M3000:N3000"/>
    <mergeCell ref="A2967:N2967"/>
    <mergeCell ref="A2968:G2968"/>
    <mergeCell ref="I2968:J2968"/>
    <mergeCell ref="M2968:N2968"/>
    <mergeCell ref="A2969:G2969"/>
    <mergeCell ref="M2969:N2969"/>
    <mergeCell ref="M2970:N2970"/>
    <mergeCell ref="A2970:G2970"/>
    <mergeCell ref="A2971:G2971"/>
    <mergeCell ref="A2972:G2972"/>
    <mergeCell ref="A2973:G2973"/>
    <mergeCell ref="A2976:N2977"/>
    <mergeCell ref="A2981:N2981"/>
    <mergeCell ref="K3028:L3028"/>
    <mergeCell ref="M3028:N3028"/>
    <mergeCell ref="K3032:L3032"/>
    <mergeCell ref="M3032:N3032"/>
    <mergeCell ref="A2990:N2990"/>
    <mergeCell ref="I2991:J2991"/>
    <mergeCell ref="K2991:L2991"/>
    <mergeCell ref="M2991:N2991"/>
    <mergeCell ref="A2991:G2991"/>
    <mergeCell ref="A2992:G2992"/>
    <mergeCell ref="I2992:J2992"/>
    <mergeCell ref="K2992:L2992"/>
    <mergeCell ref="M2992:N2992"/>
    <mergeCell ref="A2993:G2993"/>
    <mergeCell ref="I2993:J2993"/>
    <mergeCell ref="I2995:J2995"/>
    <mergeCell ref="K2995:L2995"/>
    <mergeCell ref="K2993:L2993"/>
    <mergeCell ref="M2993:N2993"/>
    <mergeCell ref="A2994:G2994"/>
    <mergeCell ref="I2994:J2994"/>
    <mergeCell ref="K2994:L2994"/>
    <mergeCell ref="M2994:N2994"/>
    <mergeCell ref="M2995:N2995"/>
    <mergeCell ref="K2997:L2997"/>
    <mergeCell ref="I3032:J3032"/>
    <mergeCell ref="I3026:J3026"/>
    <mergeCell ref="K3026:L3026"/>
    <mergeCell ref="M3026:N3026"/>
    <mergeCell ref="A3026:G3026"/>
    <mergeCell ref="A3027:G3027"/>
    <mergeCell ref="I3027:J3027"/>
    <mergeCell ref="I3023:J3023"/>
    <mergeCell ref="I3024:J3024"/>
    <mergeCell ref="K3024:L3024"/>
    <mergeCell ref="M3024:N3024"/>
    <mergeCell ref="A3014:G3014"/>
    <mergeCell ref="A3017:N3018"/>
    <mergeCell ref="A3022:N3022"/>
    <mergeCell ref="A3023:G3023"/>
    <mergeCell ref="K3023:L3023"/>
    <mergeCell ref="M3023:N3023"/>
    <mergeCell ref="A3024:G3024"/>
    <mergeCell ref="A3025:G3025"/>
    <mergeCell ref="I3025:J3025"/>
    <mergeCell ref="K3025:L3025"/>
    <mergeCell ref="M3025:N3025"/>
    <mergeCell ref="K3015:L3015"/>
    <mergeCell ref="M3015:N3015"/>
    <mergeCell ref="K3027:L3027"/>
    <mergeCell ref="M3027:N3027"/>
    <mergeCell ref="K2984:L2984"/>
    <mergeCell ref="M2984:N2984"/>
    <mergeCell ref="K2988:L2988"/>
    <mergeCell ref="M2988:N2988"/>
    <mergeCell ref="I2984:J2984"/>
    <mergeCell ref="I2985:J2985"/>
    <mergeCell ref="K2985:L2985"/>
    <mergeCell ref="M2985:N2985"/>
    <mergeCell ref="I2986:J2986"/>
    <mergeCell ref="K2986:L2986"/>
    <mergeCell ref="M2986:N2986"/>
    <mergeCell ref="I2987:J2987"/>
    <mergeCell ref="K2987:L2987"/>
    <mergeCell ref="M2987:N2987"/>
    <mergeCell ref="A3011:G3011"/>
    <mergeCell ref="A3012:G3012"/>
    <mergeCell ref="I3012:J3012"/>
    <mergeCell ref="M3009:N3009"/>
    <mergeCell ref="A3010:G3010"/>
    <mergeCell ref="M3010:N3010"/>
    <mergeCell ref="M3011:N3011"/>
    <mergeCell ref="K3001:L3001"/>
    <mergeCell ref="M3001:N3001"/>
    <mergeCell ref="I3001:J3001"/>
    <mergeCell ref="I3002:J3002"/>
    <mergeCell ref="K3002:L3002"/>
    <mergeCell ref="M3002:N3002"/>
    <mergeCell ref="A2999:N2999"/>
    <mergeCell ref="A3000:G3000"/>
    <mergeCell ref="I3000:J3000"/>
    <mergeCell ref="M3012:N3012"/>
    <mergeCell ref="A3013:G3013"/>
    <mergeCell ref="M3013:N3013"/>
    <mergeCell ref="M3014:N3014"/>
    <mergeCell ref="A2984:G2984"/>
    <mergeCell ref="A2985:G2985"/>
    <mergeCell ref="A2986:G2986"/>
    <mergeCell ref="A2987:G2987"/>
    <mergeCell ref="A2995:G2995"/>
    <mergeCell ref="A2996:G2996"/>
    <mergeCell ref="I2996:J2996"/>
    <mergeCell ref="K2996:L2996"/>
    <mergeCell ref="M2996:N2996"/>
    <mergeCell ref="M2973:N2973"/>
    <mergeCell ref="K2974:L2974"/>
    <mergeCell ref="M2974:N2974"/>
    <mergeCell ref="I2969:J2969"/>
    <mergeCell ref="I2970:J2970"/>
    <mergeCell ref="I2971:J2971"/>
    <mergeCell ref="M2971:N2971"/>
    <mergeCell ref="I2972:J2972"/>
    <mergeCell ref="M2972:N2972"/>
    <mergeCell ref="I2973:J2973"/>
    <mergeCell ref="M2997:N2997"/>
    <mergeCell ref="I3011:J3011"/>
    <mergeCell ref="A3008:N3008"/>
    <mergeCell ref="A3009:G3009"/>
    <mergeCell ref="I3009:J3009"/>
    <mergeCell ref="K3006:L3006"/>
    <mergeCell ref="M3006:N3006"/>
    <mergeCell ref="I3013:J3013"/>
    <mergeCell ref="I3014:J3014"/>
    <mergeCell ref="A3036:G3036"/>
    <mergeCell ref="I3036:J3036"/>
    <mergeCell ref="K3036:L3036"/>
    <mergeCell ref="M3036:N3036"/>
    <mergeCell ref="K3037:L3037"/>
    <mergeCell ref="M3037:N3037"/>
    <mergeCell ref="K3041:L3041"/>
    <mergeCell ref="M3041:N3041"/>
    <mergeCell ref="A3044:G3044"/>
    <mergeCell ref="A2958:N2958"/>
    <mergeCell ref="A2959:G2959"/>
    <mergeCell ref="I2959:J2959"/>
    <mergeCell ref="K2959:L2959"/>
    <mergeCell ref="M2959:N2959"/>
    <mergeCell ref="A2960:G2960"/>
    <mergeCell ref="A2961:G2961"/>
    <mergeCell ref="A2962:G2962"/>
    <mergeCell ref="I2962:J2962"/>
    <mergeCell ref="K2962:L2962"/>
    <mergeCell ref="M2962:N2962"/>
    <mergeCell ref="I2963:J2963"/>
    <mergeCell ref="K2963:L2963"/>
    <mergeCell ref="M2963:N2963"/>
    <mergeCell ref="A2963:G2963"/>
    <mergeCell ref="A2964:G2964"/>
    <mergeCell ref="I2964:J2964"/>
    <mergeCell ref="K2964:L2964"/>
    <mergeCell ref="M2964:N2964"/>
    <mergeCell ref="K2965:L2965"/>
    <mergeCell ref="M2965:N2965"/>
    <mergeCell ref="A2982:G2982"/>
    <mergeCell ref="A2983:G2983"/>
    <mergeCell ref="I3033:J3033"/>
    <mergeCell ref="K3033:L3033"/>
    <mergeCell ref="M3033:N3033"/>
    <mergeCell ref="A3030:N3030"/>
    <mergeCell ref="A3031:G3031"/>
    <mergeCell ref="I3031:J3031"/>
    <mergeCell ref="K3031:L3031"/>
    <mergeCell ref="M3031:N3031"/>
    <mergeCell ref="A3032:G3032"/>
    <mergeCell ref="A3033:G3033"/>
    <mergeCell ref="A3034:G3034"/>
    <mergeCell ref="I3034:J3034"/>
    <mergeCell ref="K3034:L3034"/>
    <mergeCell ref="M3034:N3034"/>
    <mergeCell ref="I3035:J3035"/>
    <mergeCell ref="K3035:L3035"/>
    <mergeCell ref="M3035:N3035"/>
    <mergeCell ref="A3035:G3035"/>
    <mergeCell ref="A3045:G3045"/>
    <mergeCell ref="I3045:J3045"/>
    <mergeCell ref="K3045:L3045"/>
    <mergeCell ref="M3045:N3045"/>
    <mergeCell ref="K3046:L3046"/>
    <mergeCell ref="M3046:N3046"/>
    <mergeCell ref="A3051:G3051"/>
    <mergeCell ref="A3052:G3052"/>
    <mergeCell ref="A3053:G3053"/>
    <mergeCell ref="A3054:G3054"/>
    <mergeCell ref="A3048:N3048"/>
    <mergeCell ref="A3049:G3049"/>
    <mergeCell ref="I3049:J3049"/>
    <mergeCell ref="M3049:N3049"/>
    <mergeCell ref="A3050:G3050"/>
    <mergeCell ref="M3050:N3050"/>
    <mergeCell ref="M3051:N3051"/>
    <mergeCell ref="I3050:J3050"/>
    <mergeCell ref="I3051:J3051"/>
    <mergeCell ref="I3052:J3052"/>
    <mergeCell ref="M3052:N3052"/>
    <mergeCell ref="I3053:J3053"/>
    <mergeCell ref="M3053:N3053"/>
    <mergeCell ref="I3054:J3054"/>
    <mergeCell ref="M3054:N3054"/>
    <mergeCell ref="K3042:L3042"/>
    <mergeCell ref="M3042:N3042"/>
    <mergeCell ref="A3039:N3039"/>
    <mergeCell ref="A3040:G3040"/>
    <mergeCell ref="I3040:J3040"/>
    <mergeCell ref="K3040:L3040"/>
    <mergeCell ref="M3040:N3040"/>
    <mergeCell ref="A3041:G3041"/>
    <mergeCell ref="A3042:G3042"/>
    <mergeCell ref="I3044:J3044"/>
    <mergeCell ref="K3044:L3044"/>
    <mergeCell ref="I3041:J3041"/>
    <mergeCell ref="I3042:J3042"/>
    <mergeCell ref="A3043:G3043"/>
    <mergeCell ref="I3043:J3043"/>
    <mergeCell ref="K3043:L3043"/>
    <mergeCell ref="M3043:N3043"/>
    <mergeCell ref="M3044:N3044"/>
    <mergeCell ref="K3055:L3055"/>
    <mergeCell ref="M3055:N3055"/>
    <mergeCell ref="A3057:N3058"/>
    <mergeCell ref="A3062:N3062"/>
    <mergeCell ref="A3063:G3063"/>
    <mergeCell ref="A3064:G3064"/>
    <mergeCell ref="A3065:G3065"/>
    <mergeCell ref="I3065:J3065"/>
    <mergeCell ref="K3065:L3065"/>
    <mergeCell ref="M3065:N3065"/>
    <mergeCell ref="I3066:J3066"/>
    <mergeCell ref="K3066:L3066"/>
    <mergeCell ref="M3066:N3066"/>
    <mergeCell ref="K3068:L3068"/>
    <mergeCell ref="M3068:N3068"/>
    <mergeCell ref="I3068:J3068"/>
    <mergeCell ref="A3066:G3066"/>
    <mergeCell ref="A3067:G3067"/>
    <mergeCell ref="I3067:J3067"/>
    <mergeCell ref="K3067:L3067"/>
    <mergeCell ref="M3067:N3067"/>
    <mergeCell ref="A3068:G3068"/>
    <mergeCell ref="K3080:L3080"/>
    <mergeCell ref="M3080:N3080"/>
    <mergeCell ref="K3084:L3084"/>
    <mergeCell ref="M3084:N3084"/>
    <mergeCell ref="A3087:G3087"/>
    <mergeCell ref="K3075:L3075"/>
    <mergeCell ref="M3075:N3075"/>
    <mergeCell ref="K3085:L3085"/>
    <mergeCell ref="M3085:N3085"/>
    <mergeCell ref="A3082:N3082"/>
    <mergeCell ref="A3083:G3083"/>
    <mergeCell ref="I3083:J3083"/>
    <mergeCell ref="K3083:L3083"/>
    <mergeCell ref="M3083:N3083"/>
    <mergeCell ref="A3084:G3084"/>
    <mergeCell ref="A3085:G3085"/>
    <mergeCell ref="K3063:L3063"/>
    <mergeCell ref="M3063:N3063"/>
    <mergeCell ref="I3063:J3063"/>
    <mergeCell ref="I3064:J3064"/>
    <mergeCell ref="K3064:L3064"/>
    <mergeCell ref="M3064:N3064"/>
    <mergeCell ref="I3069:J3069"/>
    <mergeCell ref="K3069:L3069"/>
    <mergeCell ref="M3069:N3069"/>
    <mergeCell ref="A3069:G3069"/>
    <mergeCell ref="A3073:N3073"/>
    <mergeCell ref="A3074:G3074"/>
    <mergeCell ref="I3074:J3074"/>
    <mergeCell ref="K3074:L3074"/>
    <mergeCell ref="M3074:N3074"/>
    <mergeCell ref="A3075:G3075"/>
    <mergeCell ref="A3088:G3088"/>
    <mergeCell ref="I3088:J3088"/>
    <mergeCell ref="K3088:L3088"/>
    <mergeCell ref="M3088:N3088"/>
    <mergeCell ref="K3089:L3089"/>
    <mergeCell ref="M3089:N3089"/>
    <mergeCell ref="A3094:G3094"/>
    <mergeCell ref="A3095:G3095"/>
    <mergeCell ref="A3096:G3096"/>
    <mergeCell ref="A3097:G3097"/>
    <mergeCell ref="A3091:N3091"/>
    <mergeCell ref="A3092:G3092"/>
    <mergeCell ref="I3092:J3092"/>
    <mergeCell ref="M3092:N3092"/>
    <mergeCell ref="A3093:G3093"/>
    <mergeCell ref="M3093:N3093"/>
    <mergeCell ref="M3094:N3094"/>
    <mergeCell ref="I3093:J3093"/>
    <mergeCell ref="I3094:J3094"/>
    <mergeCell ref="I3095:J3095"/>
    <mergeCell ref="M3095:N3095"/>
    <mergeCell ref="I3096:J3096"/>
    <mergeCell ref="M3096:N3096"/>
    <mergeCell ref="I3097:J3097"/>
    <mergeCell ref="M3097:N3097"/>
    <mergeCell ref="K3070:L3070"/>
    <mergeCell ref="M3070:N3070"/>
    <mergeCell ref="K3071:L3071"/>
    <mergeCell ref="M3071:N3071"/>
    <mergeCell ref="A3070:G3070"/>
    <mergeCell ref="I3070:J3070"/>
    <mergeCell ref="I3087:J3087"/>
    <mergeCell ref="K3087:L3087"/>
    <mergeCell ref="I3084:J3084"/>
    <mergeCell ref="I3085:J3085"/>
    <mergeCell ref="A3086:G3086"/>
    <mergeCell ref="I3086:J3086"/>
    <mergeCell ref="K3086:L3086"/>
    <mergeCell ref="M3086:N3086"/>
    <mergeCell ref="M3087:N3087"/>
    <mergeCell ref="I3075:J3075"/>
    <mergeCell ref="I3076:J3076"/>
    <mergeCell ref="K3076:L3076"/>
    <mergeCell ref="M3076:N3076"/>
    <mergeCell ref="A3076:G3076"/>
    <mergeCell ref="A3077:G3077"/>
    <mergeCell ref="I3077:J3077"/>
    <mergeCell ref="K3077:L3077"/>
    <mergeCell ref="M3077:N3077"/>
    <mergeCell ref="I3078:J3078"/>
    <mergeCell ref="K3078:L3078"/>
    <mergeCell ref="M3078:N3078"/>
    <mergeCell ref="A3078:G3078"/>
    <mergeCell ref="A3079:G3079"/>
    <mergeCell ref="I3079:J3079"/>
    <mergeCell ref="K3079:L3079"/>
    <mergeCell ref="M3079:N3079"/>
    <mergeCell ref="A3108:G3108"/>
    <mergeCell ref="I3108:J3108"/>
    <mergeCell ref="K3108:L3108"/>
    <mergeCell ref="M3108:N3108"/>
    <mergeCell ref="I3109:J3109"/>
    <mergeCell ref="K3109:L3109"/>
    <mergeCell ref="M3109:N3109"/>
    <mergeCell ref="K3111:L3111"/>
    <mergeCell ref="M3111:N3111"/>
    <mergeCell ref="I3111:J3111"/>
    <mergeCell ref="I3112:J3112"/>
    <mergeCell ref="K3112:L3112"/>
    <mergeCell ref="M3112:N3112"/>
    <mergeCell ref="K3106:L3106"/>
    <mergeCell ref="M3106:N3106"/>
    <mergeCell ref="I3106:J3106"/>
    <mergeCell ref="I3107:J3107"/>
    <mergeCell ref="K3107:L3107"/>
    <mergeCell ref="M3107:N3107"/>
    <mergeCell ref="K3098:L3098"/>
    <mergeCell ref="M3098:N3098"/>
    <mergeCell ref="A3100:N3101"/>
    <mergeCell ref="A3105:N3105"/>
    <mergeCell ref="A3106:G3106"/>
    <mergeCell ref="A3107:G3107"/>
    <mergeCell ref="A3121:G3121"/>
    <mergeCell ref="I3121:J3121"/>
    <mergeCell ref="K3121:L3121"/>
    <mergeCell ref="M3121:N3121"/>
    <mergeCell ref="K3122:L3122"/>
    <mergeCell ref="M3122:N3122"/>
    <mergeCell ref="I3135:J3135"/>
    <mergeCell ref="I3136:J3136"/>
    <mergeCell ref="K3113:L3113"/>
    <mergeCell ref="M3113:N3113"/>
    <mergeCell ref="A3109:G3109"/>
    <mergeCell ref="A3110:G3110"/>
    <mergeCell ref="I3110:J3110"/>
    <mergeCell ref="K3110:L3110"/>
    <mergeCell ref="M3110:N3110"/>
    <mergeCell ref="A3111:G3111"/>
    <mergeCell ref="A3112:G3112"/>
    <mergeCell ref="I3129:J3129"/>
    <mergeCell ref="K3129:L3129"/>
    <mergeCell ref="M3129:N3129"/>
    <mergeCell ref="A3129:G3129"/>
    <mergeCell ref="A3130:G3130"/>
    <mergeCell ref="I3130:J3130"/>
    <mergeCell ref="K3130:L3130"/>
    <mergeCell ref="M3130:N3130"/>
    <mergeCell ref="K3118:L3118"/>
    <mergeCell ref="M3118:N3118"/>
    <mergeCell ref="A3115:N3115"/>
    <mergeCell ref="A3116:G3116"/>
    <mergeCell ref="I3116:J3116"/>
    <mergeCell ref="K3116:L3116"/>
    <mergeCell ref="M3116:N3116"/>
    <mergeCell ref="A3117:G3117"/>
    <mergeCell ref="A3118:G3118"/>
    <mergeCell ref="I3120:J3120"/>
    <mergeCell ref="K3120:L3120"/>
    <mergeCell ref="I3117:J3117"/>
    <mergeCell ref="I3118:J3118"/>
    <mergeCell ref="A3119:G3119"/>
    <mergeCell ref="I3119:J3119"/>
    <mergeCell ref="K3119:L3119"/>
    <mergeCell ref="M3119:N3119"/>
    <mergeCell ref="M3120:N3120"/>
    <mergeCell ref="K3117:L3117"/>
    <mergeCell ref="M3117:N3117"/>
    <mergeCell ref="A3120:G3120"/>
    <mergeCell ref="A3133:N3133"/>
    <mergeCell ref="A3134:G3134"/>
    <mergeCell ref="I3134:J3134"/>
    <mergeCell ref="M3134:N3134"/>
    <mergeCell ref="A3135:G3135"/>
    <mergeCell ref="M3135:N3135"/>
    <mergeCell ref="M3136:N3136"/>
    <mergeCell ref="K3126:L3126"/>
    <mergeCell ref="M3126:N3126"/>
    <mergeCell ref="I3126:J3126"/>
    <mergeCell ref="I3127:J3127"/>
    <mergeCell ref="K3127:L3127"/>
    <mergeCell ref="M3127:N3127"/>
    <mergeCell ref="A3124:N3124"/>
    <mergeCell ref="A3125:G3125"/>
    <mergeCell ref="I3125:J3125"/>
    <mergeCell ref="K3125:L3125"/>
    <mergeCell ref="M3125:N3125"/>
    <mergeCell ref="A3126:G3126"/>
    <mergeCell ref="A3127:G3127"/>
    <mergeCell ref="A3128:G3128"/>
    <mergeCell ref="I3128:J3128"/>
    <mergeCell ref="K3128:L3128"/>
    <mergeCell ref="M3128:N3128"/>
    <mergeCell ref="K3131:L3131"/>
    <mergeCell ref="M3131:N3131"/>
    <mergeCell ref="A3136:G3136"/>
    <mergeCell ref="A3159:G3159"/>
    <mergeCell ref="I3159:J3159"/>
    <mergeCell ref="K3159:L3159"/>
    <mergeCell ref="M3159:N3159"/>
    <mergeCell ref="A3160:G3160"/>
    <mergeCell ref="I3160:J3160"/>
    <mergeCell ref="K3139:L3139"/>
    <mergeCell ref="M3139:N3139"/>
    <mergeCell ref="A3141:N3142"/>
    <mergeCell ref="A3146:N3146"/>
    <mergeCell ref="I3147:J3147"/>
    <mergeCell ref="K3147:L3147"/>
    <mergeCell ref="M3147:N3147"/>
    <mergeCell ref="K3149:L3149"/>
    <mergeCell ref="M3149:N3149"/>
    <mergeCell ref="I3149:J3149"/>
    <mergeCell ref="I3150:J3150"/>
    <mergeCell ref="K3150:L3150"/>
    <mergeCell ref="M3150:N3150"/>
    <mergeCell ref="K3152:L3152"/>
    <mergeCell ref="M3152:N3152"/>
    <mergeCell ref="A3147:G3147"/>
    <mergeCell ref="A3148:G3148"/>
    <mergeCell ref="I3148:J3148"/>
    <mergeCell ref="K3148:L3148"/>
    <mergeCell ref="M3148:N3148"/>
    <mergeCell ref="A3149:G3149"/>
    <mergeCell ref="A3150:G3150"/>
    <mergeCell ref="K3155:L3155"/>
    <mergeCell ref="M3155:N3155"/>
    <mergeCell ref="K3187:L3187"/>
    <mergeCell ref="M3187:N3187"/>
    <mergeCell ref="M3188:N3188"/>
    <mergeCell ref="A3137:G3137"/>
    <mergeCell ref="I3137:J3137"/>
    <mergeCell ref="M3137:N3137"/>
    <mergeCell ref="A3138:G3138"/>
    <mergeCell ref="I3138:J3138"/>
    <mergeCell ref="M3138:N3138"/>
    <mergeCell ref="K3156:L3156"/>
    <mergeCell ref="M3156:N3156"/>
    <mergeCell ref="A3151:G3151"/>
    <mergeCell ref="I3151:J3151"/>
    <mergeCell ref="K3151:L3151"/>
    <mergeCell ref="M3151:N3151"/>
    <mergeCell ref="A3154:N3154"/>
    <mergeCell ref="A3155:G3155"/>
    <mergeCell ref="A3156:G3156"/>
    <mergeCell ref="I3158:J3158"/>
    <mergeCell ref="K3158:L3158"/>
    <mergeCell ref="I3155:J3155"/>
    <mergeCell ref="I3156:J3156"/>
    <mergeCell ref="A3157:G3157"/>
    <mergeCell ref="I3157:J3157"/>
    <mergeCell ref="K3157:L3157"/>
    <mergeCell ref="M3157:N3157"/>
    <mergeCell ref="M3158:N3158"/>
    <mergeCell ref="K3160:L3160"/>
    <mergeCell ref="M3160:N3160"/>
    <mergeCell ref="K3161:L3161"/>
    <mergeCell ref="M3161:N3161"/>
    <mergeCell ref="A3158:G3158"/>
    <mergeCell ref="A902:G902"/>
    <mergeCell ref="I902:J902"/>
    <mergeCell ref="K902:L902"/>
    <mergeCell ref="M902:N902"/>
    <mergeCell ref="A903:G903"/>
    <mergeCell ref="I903:J903"/>
    <mergeCell ref="K903:L903"/>
    <mergeCell ref="M903:N903"/>
    <mergeCell ref="A904:G904"/>
    <mergeCell ref="I904:J904"/>
    <mergeCell ref="K904:L904"/>
    <mergeCell ref="M904:N904"/>
    <mergeCell ref="A3360:G3360"/>
    <mergeCell ref="I3360:J3360"/>
    <mergeCell ref="K3360:L3360"/>
    <mergeCell ref="M3360:N3360"/>
    <mergeCell ref="A3358:G3358"/>
    <mergeCell ref="I3358:J3358"/>
    <mergeCell ref="K3358:L3358"/>
    <mergeCell ref="M3358:N3358"/>
    <mergeCell ref="A3359:G3359"/>
    <mergeCell ref="I3359:J3359"/>
    <mergeCell ref="K3359:L3359"/>
    <mergeCell ref="M3359:N3359"/>
    <mergeCell ref="K3165:L3165"/>
    <mergeCell ref="M3165:N3165"/>
    <mergeCell ref="I3188:J3188"/>
    <mergeCell ref="K3188:L3188"/>
    <mergeCell ref="K3186:L3186"/>
    <mergeCell ref="M3186:N3186"/>
    <mergeCell ref="A3187:G3187"/>
    <mergeCell ref="I3187:J3187"/>
  </mergeCells>
  <dataValidations count="11">
    <dataValidation type="list" allowBlank="1" showErrorMessage="1" sqref="A341:A344 A2130:A2131 A1199:A1201 A2255 A3814:A3816 A3773:A3776 A3731 A3741:A3743 A3689 A3647 A3605 A3563 A3522:A3525 A3481:A3484 A3440:A3443 A2257:A2259 A3312:A3315 A1196:A1197 A3111 A2741:A2743 A2739 A2089:A2090 A2697:A2699 A1836:A1838 A1068:A1072 A2653:A2655 A1155:A1157 A1670:A1674 A2609:A2611 A2607 A1626:A1632 A2565:A2567 A2563 A1153 A2521:A2523 A2519 A942:A946 A2477:A2479 A1026:A1030 A1498:A1502 A2433:A2435 A1412:A1413 A1415:A1417 A2389:A2391 A2387 A1368:A1369 A2345:A2347 A1371:A1373 A1324:A1330 A2301:A2303 A1240:A1241 A1243:A1245 A3854" xr:uid="{00000000-0002-0000-0C00-000002000000}">
      <formula1>$C$6:$C$543</formula1>
    </dataValidation>
    <dataValidation type="list" allowBlank="1" showErrorMessage="1" sqref="A723" xr:uid="{00000000-0002-0000-0C00-000003000000}">
      <formula1>$C$6:$C$186</formula1>
    </dataValidation>
    <dataValidation type="list" allowBlank="1" showErrorMessage="1" sqref="A2139:A2141 A3118:A3120 A3157:A3159 A3198:A3200 A3239:A3241" xr:uid="{00000000-0002-0000-0C00-000004000000}">
      <formula1>$C$6:$C$103</formula1>
    </dataValidation>
    <dataValidation type="list" allowBlank="1" showErrorMessage="1" sqref="A2009" xr:uid="{00000000-0002-0000-0C00-000005000000}">
      <formula1>$C$6:$C$571</formula1>
    </dataValidation>
    <dataValidation type="list" allowBlank="1" showErrorMessage="1" sqref="A1846:A1847 A1888:A1889" xr:uid="{00000000-0002-0000-0C00-000006000000}">
      <formula1>$C$6:$C$107</formula1>
    </dataValidation>
    <dataValidation type="list" allowBlank="1" showErrorMessage="1" sqref="A3273:A3274" xr:uid="{00000000-0002-0000-0C00-000007000000}">
      <formula1>C$7:C$418</formula1>
    </dataValidation>
    <dataValidation type="list" allowBlank="1" showErrorMessage="1" sqref="A12 A53 A94 A304 A389 A473 A515 A557 A599 A3027 A683 A1287 A1965 A2987 A2216 A2785 A2825 A2865 A2906 A2946" xr:uid="{00000000-0002-0000-0C00-000008000000}">
      <formula1>C$7:C$99</formula1>
    </dataValidation>
    <dataValidation type="list" allowBlank="1" showErrorMessage="1" sqref="A99 A58 A143 A185 A227 A268 A353:A357 A311:A313 A396:A398 A438:A440 A520:A524 A480:A482 A564:A566 A604:A608 A646:A650 A688:A692 A730 A733:A734 A774:A778 A819:A823 A864:A868 A909:A913 A951:A955 A993:A997 A1035:A1039 A1077:A1081 A1119:A1123 A1163:A1167 A1207:A1211 A1251:A1255 A1292:A1296 A1335:A1339 A1379:A1383 A1423:A1427 A1465:A1469 A1507:A1511 A562 A1593:A1597 A1637:A1641 A1679:A1683 A1549 A1721:A1723 A1803:A1807 A1845 A1848:A1849 A1887 A1890:A1891 A1928:A1932 A1970:A1974 A1761 A2053:A2057 A2095:A2099 A2138 A2142 A2221:A2225 A2265:A2269 A2309:A2313 A2353:A2357 A2397:A2401 A2441:A2445 A2485:A2489 A2529:A2533 A2573:A2577 A2617:A2621 A2661:A2665 A2705:A2709 A2749:A2753 A2180 A2830:A2834 A2870:A2874 A2790:A2794 A2951:A2955 A3614:A3618 A3032:A3036 A3075:A3079 A3117 A3121 A3156 A3160 A3197 A3201 A3238 A3242 A3279:A3283 A3320:A3324 A3365:A3369 A3407:A3411 A3448:A3452 A3489:A3493 A3530:A3534 A3572:A3576 A2911:A2915 A3656:A3660 A3698:A3702 A3740 A3744 A3781:A3785 A3821:A3825 A3863:A3867 A309 A394 A436 A478 A1719 A2012:A2016 A2992:A2996" xr:uid="{00000000-0002-0000-0C00-000009000000}">
      <formula1>$C$6:$C$106</formula1>
    </dataValidation>
    <dataValidation type="list" allowBlank="1" showErrorMessage="1" sqref="A3108:A3109 A3188:A3192 A3149:A3151 A3229:A3233" xr:uid="{00000000-0002-0000-0C00-00000A000000}">
      <formula1>$C$6:$C$1101</formula1>
    </dataValidation>
    <dataValidation type="list" allowBlank="1" showErrorMessage="1" sqref="A563" xr:uid="{00000000-0002-0000-0C00-00000B000000}">
      <formula1>#REF!</formula1>
    </dataValidation>
    <dataValidation type="list" allowBlank="1" showErrorMessage="1" sqref="A345:A348 A1839:A1840" xr:uid="{00000000-0002-0000-0C00-000001000000}">
      <formula1>C$8:C$543</formula1>
    </dataValidation>
  </dataValidations>
  <printOptions horizontalCentered="1"/>
  <pageMargins left="0.78740157480314965" right="0.39370078740157483" top="0.78740157480314965" bottom="0.78740157480314965" header="0" footer="0"/>
  <pageSetup scale="55" orientation="portrait" r:id="rId1"/>
  <rowBreaks count="46" manualBreakCount="46">
    <brk id="82" max="13" man="1"/>
    <brk id="167" max="13" man="1"/>
    <brk id="251" max="13" man="1"/>
    <brk id="333" max="13" man="1"/>
    <brk id="418" max="13" man="1"/>
    <brk id="502" max="13" man="1"/>
    <brk id="586" max="13" man="1"/>
    <brk id="670" max="13" man="1"/>
    <brk id="754" max="13" man="1"/>
    <brk id="843" max="13" man="1"/>
    <brk id="933" max="13" man="1"/>
    <brk id="1017" max="13" man="1"/>
    <brk id="1101" max="13" man="1"/>
    <brk id="1187" max="13" man="1"/>
    <brk id="1275" max="13" man="1"/>
    <brk id="1359" max="13" man="1"/>
    <brk id="1447" max="13" man="1"/>
    <brk id="1531" max="13" man="1"/>
    <brk id="1617" max="13" man="1"/>
    <brk id="1701" max="13" man="1"/>
    <brk id="1785" max="13" man="1"/>
    <brk id="1869" max="13" man="1"/>
    <brk id="1911" max="13" man="1"/>
    <brk id="1994" max="13" man="1"/>
    <brk id="2077" max="13" man="1"/>
    <brk id="2162" max="13" man="1"/>
    <brk id="2245" max="13" man="1"/>
    <brk id="2333" max="13" man="1"/>
    <brk id="2421" max="13" man="1"/>
    <brk id="2509" max="13" man="1"/>
    <brk id="2597" max="13" man="1"/>
    <brk id="2685" max="13" man="1"/>
    <brk id="2773" max="13" man="1"/>
    <brk id="2854" max="13" man="1"/>
    <brk id="2935" max="13" man="1"/>
    <brk id="3016" max="13" man="1"/>
    <brk id="3099" max="13" man="1"/>
    <brk id="3179" max="13" man="1"/>
    <brk id="3220" max="13" man="1"/>
    <brk id="3303" max="13" man="1"/>
    <brk id="3389" max="13" man="1"/>
    <brk id="3472" max="13" man="1"/>
    <brk id="3554" max="13" man="1"/>
    <brk id="3638" max="13" man="1"/>
    <brk id="3722" max="13" man="1"/>
    <brk id="3805" max="13" man="1"/>
  </rowBreaks>
  <extLst>
    <ext xmlns:x14="http://schemas.microsoft.com/office/spreadsheetml/2009/9/main" uri="{CCE6A557-97BC-4b89-ADB6-D9C93CAAB3DF}">
      <x14:dataValidations xmlns:xm="http://schemas.microsoft.com/office/excel/2006/main" count="9">
        <x14:dataValidation type="list" allowBlank="1" showErrorMessage="1" xr:uid="{00000000-0002-0000-0C00-00000C000000}">
          <x14:formula1>
            <xm:f>'08'!$C$6:$C$51</xm:f>
          </x14:formula1>
          <xm:sqref>A8:A11 A3270:A3272 A679:A682 A49 A3732:A3735 A1110:A1114 A1152 A1154 A1158 A1198 A1202 A1242 A1246 A1283:A1286 A1370 A1374 A1414 A1418 A1456:A1460 A1239 A90:A93 A1961:A1964 A300:A303 A385:A388 A2254 A2256 A2260 A2214:A2215 A2300 A2304 A51:A52 A2344 A2348 A2386 A2388 A2392 A468:A472 A2432 A2436 A427:A431 A2476 A2480 A2518 A2520 A2524 A2562 A2564 A2568 A2606 A2608 A2612 A511:A514 A2652 A2656 A595:A598 A2696 A2700 A2738 A2740 A2744 A2782:A2784 A3855:A3858 A2823 A553:A556 A2905 A721:A722 A2986 A3110 A3112 A724:A725 A3564:A3567 A3606:A3609 A3648:A3651 A3690:A3693</xm:sqref>
        </x14:dataValidation>
        <x14:dataValidation type="list" allowBlank="1" showErrorMessage="1" xr:uid="{00000000-0002-0000-0C00-00000E000000}">
          <x14:formula1>
            <xm:f>'08'!$C$6:$C$119</xm:f>
          </x14:formula1>
          <xm:sqref>A552:G552 A131:G138 A175:G180 A217:G222 A259:G264 A50:G50 A426:G426 A510:G510</xm:sqref>
        </x14:dataValidation>
        <x14:dataValidation type="list" allowBlank="1" showErrorMessage="1" xr:uid="{00000000-0002-0000-0C00-000011000000}">
          <x14:formula1>
            <xm:f>'08'!$C$6:$C$2196</xm:f>
          </x14:formula1>
          <xm:sqref>A1151 A1919:A1923 A1877:A1882 A2127:A2129 A1067 A1195 A1835 A1960 A2044:A2048 A2212:A2213 A2170:A2175 A2085:A2088 A2002:A2007 A3070 A2132:A2133 A984:A988 A1109</xm:sqref>
        </x14:dataValidation>
        <x14:dataValidation type="list" allowBlank="1" showErrorMessage="1" xr:uid="{4EB863C3-79B2-4B21-901A-719DAE491E8C}">
          <x14:formula1>
            <xm:f>'08'!$C$6:$C$118</xm:f>
          </x14:formula1>
          <xm:sqref>A594:G594 A636:G641</xm:sqref>
        </x14:dataValidation>
        <x14:dataValidation type="list" allowBlank="1" showErrorMessage="1" xr:uid="{C84DB5CC-A25D-4C12-992C-1BF89F93542A}">
          <x14:formula1>
            <xm:f>'08'!$C$6:$C$116</xm:f>
          </x14:formula1>
          <xm:sqref>A678:G678 A1793:G1798 A1751:G1756 A720:G720 A762:G769 A806:G814 A851:G859 A896:G904 A941:G941 A983:G983 A1025:G1025 A1323:G1323 A1367:G1367 A1411:G1411 A1455:G1455 A1497:G1497 A1539:G1544 A1581:G1588 A1625:G1625 A1669:G1669 A1709:G1714</xm:sqref>
        </x14:dataValidation>
        <x14:dataValidation type="list" allowBlank="1" showErrorMessage="1" xr:uid="{BE0253D4-222B-42EF-B2EF-ED686C420BFA}">
          <x14:formula1>
            <xm:f>'08'!$C$6:$C$115</xm:f>
          </x14:formula1>
          <xm:sqref>A2211:G2211 A3853:G3853 A3813:G3813 A3772:G3772 A3730:G3730 A3688:G3688 A3646:G3646 A3604:G3604 A3562:G3562 A3521:G3521 A3480:G3480 A3439:G3439 A3397:G3402 A3352:G3360 A3311:G3311 A3269:G3269 A3228:G3228 A3187:G3187 A3148:G3148 A3107:G3107 A3064:G3069 A3024:G3026 A2983:G2985 A2943:G2945 A2902:G2904 A2862:G2864 A2822:G2822 A2781:G2781 A2737:G2737 A2693:G2695 A2649:G2651 A2605:G2605 A2561:G2561 A2517:G2517 A2473:G2475 A2429:G2431 A2385:G2385 A2341:G2343 A2297:G2299 A2253:G2253</xm:sqref>
        </x14:dataValidation>
        <x14:dataValidation type="list" allowBlank="1" showErrorMessage="1" xr:uid="{00000000-0002-0000-0C00-000014000000}">
          <x14:formula1>
            <xm:f>'09'!$D$7:$D$21</xm:f>
          </x14:formula1>
          <xm:sqref>A17 A731:A732</xm:sqref>
        </x14:dataValidation>
        <x14:dataValidation type="list" allowBlank="1" showErrorMessage="1" xr:uid="{9A51A576-5886-453C-A10D-0F3E7B51BF2A}">
          <x14:formula1>
            <xm:f>'09'!$D$8:$D$21</xm:f>
          </x14:formula1>
          <xm:sqref>A100:G103 A1762:G1765 A1720:G1720 A1550:G1553 A479:G479 A437:G437 A395:G395 A310:G310 A269:G272 A228:G231 A186:G189 A144:G147 A18:G21 A59:G62</xm:sqref>
        </x14:dataValidation>
        <x14:dataValidation type="list" allowBlank="1" showErrorMessage="1" xr:uid="{00000000-0002-0000-0C00-000013000000}">
          <x14:formula1>
            <xm:f>'07'!$A$24:$A$52</xm:f>
          </x14:formula1>
          <xm:sqref>A35:A39 A3632:A3636 A117:A121 A161:A165 A203:A207 A245:A249 A286:A290 A327:A331 A371:A375 A412:A416 A454:A458 A496:A500 A538:A542 A580:A584 A622:A626 A664:A668 A706:A710 A748:A752 A792:A796 A837:A841 A882:A886 A927:A931 A969:A973 A1011:A1015 A1053:A1057 A1095:A1099 A1137:A1141 A1181:A1185 A1225:A1229 A1269:A1273 A1309:A1313 A1353:A1357 A1397:A1401 A1441:A1445 A1483:A1487 A1525:A1529 A1567:A1571 A76:A80 A1655:A1659 A1697:A1699 A1737:A1741 A1779:A1783 A1821:A1825 A1863:A1867 A1905:A1909 A1946:A1950 A1988:A1992 A2030:A2034 A2071:A2075 A2113:A2117 A2156:A2160 A1611:A1615 A2197 A2283:A2287 A2327:A2331 A2239:A2243 A2371:A2375 A2415:A2419 A2459:A2463 A2547:A2551 A2591:A2595 A2635:A2639 A2679:A2683 A2503:A2507 A2767:A2771 A2723:A2727 A2808:A2812 A2848:A2852 A2888:A2892 A2969:A2973 A2929:A2933 A3010:A3014 A3093:A3097 A3135:A3138 A3174:A3177 A3215:A3218 A3256:A3259 A3050:A3054 A3338:A3342 A3383:A3387 A3425:A3429 A3466:A3470 A3297:A3301 A3507:A3511 A3548:A3552 A3590:A3594 A3674:A3678 A3716:A3720 A3758:A3762 A3799:A3803 A3839:A3843 A3881:A3885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R66"/>
  <sheetViews>
    <sheetView tabSelected="1" view="pageBreakPreview" topLeftCell="F15" zoomScale="95" zoomScaleNormal="100" zoomScaleSheetLayoutView="95" workbookViewId="0">
      <selection activeCell="C19" sqref="C19:G19"/>
    </sheetView>
  </sheetViews>
  <sheetFormatPr baseColWidth="10" defaultRowHeight="12.75" x14ac:dyDescent="0.2"/>
  <cols>
    <col min="1" max="1" width="6.28515625" customWidth="1"/>
    <col min="17" max="17" width="4.7109375" customWidth="1"/>
  </cols>
  <sheetData>
    <row r="1" spans="2:18" ht="13.5" thickBot="1" x14ac:dyDescent="0.25"/>
    <row r="2" spans="2:18" x14ac:dyDescent="0.2">
      <c r="B2" s="1141" t="str">
        <f>Indice!$B$2</f>
        <v>CONSTRUCCIÓN DE LA FASE 1 DEL PLAN MAESTRO DE ACUEDUCTO DEL MUNICIPIO DE ÍQUIRA, HUILA</v>
      </c>
      <c r="C2" s="1142"/>
      <c r="D2" s="1142"/>
      <c r="E2" s="1142"/>
      <c r="F2" s="1142"/>
      <c r="G2" s="1142"/>
      <c r="H2" s="1142"/>
      <c r="I2" s="1142"/>
      <c r="J2" s="1142"/>
      <c r="K2" s="1143"/>
      <c r="L2" s="1146" t="s">
        <v>0</v>
      </c>
      <c r="M2" s="1147"/>
      <c r="N2" s="1148">
        <f>O56</f>
        <v>873078231.80882537</v>
      </c>
      <c r="O2" s="1142"/>
      <c r="P2" s="1149"/>
    </row>
    <row r="3" spans="2:18" x14ac:dyDescent="0.2">
      <c r="B3" s="1144"/>
      <c r="C3" s="939"/>
      <c r="D3" s="939"/>
      <c r="E3" s="939"/>
      <c r="F3" s="939"/>
      <c r="G3" s="939"/>
      <c r="H3" s="939"/>
      <c r="I3" s="939"/>
      <c r="J3" s="939"/>
      <c r="K3" s="1054"/>
      <c r="L3" s="1151">
        <f>Indice!$Q$3</f>
        <v>46195</v>
      </c>
      <c r="M3" s="1053"/>
      <c r="N3" s="1029"/>
      <c r="O3" s="939"/>
      <c r="P3" s="1140"/>
    </row>
    <row r="4" spans="2:18" x14ac:dyDescent="0.2">
      <c r="B4" s="1145"/>
      <c r="C4" s="1032"/>
      <c r="D4" s="1032"/>
      <c r="E4" s="1032"/>
      <c r="F4" s="1032"/>
      <c r="G4" s="1032"/>
      <c r="H4" s="1032"/>
      <c r="I4" s="1032"/>
      <c r="J4" s="1032"/>
      <c r="K4" s="1055"/>
      <c r="L4" s="1031"/>
      <c r="M4" s="1055"/>
      <c r="N4" s="1031"/>
      <c r="O4" s="1032"/>
      <c r="P4" s="1150"/>
    </row>
    <row r="5" spans="2:18" ht="13.5" x14ac:dyDescent="0.25">
      <c r="B5" s="373"/>
      <c r="C5" s="374"/>
      <c r="D5" s="374"/>
      <c r="E5" s="374"/>
      <c r="F5" s="374"/>
      <c r="G5" s="374"/>
      <c r="H5" s="374"/>
      <c r="I5" s="374"/>
      <c r="J5" s="374"/>
      <c r="K5" s="374"/>
      <c r="L5" s="374"/>
      <c r="M5" s="374"/>
      <c r="N5" s="375"/>
      <c r="O5" s="376"/>
      <c r="P5" s="377"/>
    </row>
    <row r="6" spans="2:18" ht="12.75" customHeight="1" x14ac:dyDescent="0.2">
      <c r="B6" s="1127" t="s">
        <v>845</v>
      </c>
      <c r="C6" s="1128"/>
      <c r="D6" s="1128"/>
      <c r="E6" s="1128"/>
      <c r="F6" s="1128"/>
      <c r="G6" s="1128"/>
      <c r="H6" s="1128"/>
      <c r="I6" s="1128"/>
      <c r="J6" s="1128"/>
      <c r="K6" s="1128"/>
      <c r="L6" s="1128"/>
      <c r="M6" s="1128"/>
      <c r="N6" s="1128"/>
      <c r="O6" s="1128"/>
      <c r="P6" s="1129"/>
    </row>
    <row r="7" spans="2:18" x14ac:dyDescent="0.2">
      <c r="B7" s="1130"/>
      <c r="C7" s="1131"/>
      <c r="D7" s="1131"/>
      <c r="E7" s="1131"/>
      <c r="F7" s="1131"/>
      <c r="G7" s="1131"/>
      <c r="H7" s="1131"/>
      <c r="I7" s="1131"/>
      <c r="J7" s="1131"/>
      <c r="K7" s="1131"/>
      <c r="L7" s="1131"/>
      <c r="M7" s="1131"/>
      <c r="N7" s="1131"/>
      <c r="O7" s="1131"/>
      <c r="P7" s="1132"/>
    </row>
    <row r="8" spans="2:18" ht="13.5" x14ac:dyDescent="0.25">
      <c r="B8" s="373"/>
      <c r="C8" s="374"/>
      <c r="D8" s="374"/>
      <c r="E8" s="374"/>
      <c r="F8" s="374"/>
      <c r="G8" s="374"/>
      <c r="H8" s="374"/>
      <c r="I8" s="374"/>
      <c r="J8" s="374"/>
      <c r="K8" s="374"/>
      <c r="L8" s="374"/>
      <c r="M8" s="374"/>
      <c r="N8" s="375"/>
      <c r="O8" s="376"/>
      <c r="P8" s="377"/>
    </row>
    <row r="9" spans="2:18" ht="13.5" x14ac:dyDescent="0.25">
      <c r="B9" s="373"/>
      <c r="C9" s="1135" t="s">
        <v>126</v>
      </c>
      <c r="D9" s="1050"/>
      <c r="E9" s="1137">
        <f>'PTO OC PLIEGO'!M188</f>
        <v>4540006805.7299995</v>
      </c>
      <c r="F9" s="1050"/>
      <c r="G9" s="374"/>
      <c r="H9" s="374"/>
      <c r="I9" s="374"/>
      <c r="J9" s="374"/>
      <c r="K9" s="374"/>
      <c r="L9" s="374"/>
      <c r="M9" s="374"/>
      <c r="N9" s="374"/>
      <c r="O9" s="374"/>
      <c r="P9" s="378"/>
    </row>
    <row r="10" spans="2:18" ht="13.5" x14ac:dyDescent="0.25">
      <c r="B10" s="373"/>
      <c r="C10" s="374"/>
      <c r="D10" s="374"/>
      <c r="E10" s="374"/>
      <c r="F10" s="374"/>
      <c r="G10" s="374"/>
      <c r="H10" s="374"/>
      <c r="I10" s="374"/>
      <c r="J10" s="374"/>
      <c r="K10" s="374"/>
      <c r="L10" s="374"/>
      <c r="M10" s="374"/>
      <c r="N10" s="374"/>
      <c r="O10" s="374"/>
      <c r="P10" s="378"/>
    </row>
    <row r="11" spans="2:18" x14ac:dyDescent="0.2">
      <c r="B11" s="379" t="s">
        <v>127</v>
      </c>
      <c r="C11" s="1138" t="s">
        <v>128</v>
      </c>
      <c r="D11" s="1139"/>
      <c r="E11" s="1139"/>
      <c r="F11" s="1139"/>
      <c r="G11" s="1139"/>
      <c r="H11" s="1139"/>
      <c r="I11" s="1139"/>
      <c r="J11" s="1139"/>
      <c r="K11" s="1139"/>
      <c r="L11" s="1139"/>
      <c r="M11" s="1139"/>
      <c r="N11" s="1139"/>
      <c r="O11" s="1139"/>
      <c r="P11" s="1140"/>
    </row>
    <row r="12" spans="2:18" x14ac:dyDescent="0.2">
      <c r="B12" s="1133" t="s">
        <v>129</v>
      </c>
      <c r="C12" s="1136" t="s">
        <v>130</v>
      </c>
      <c r="D12" s="1052"/>
      <c r="E12" s="1052"/>
      <c r="F12" s="1052"/>
      <c r="G12" s="1053"/>
      <c r="H12" s="1122" t="s">
        <v>131</v>
      </c>
      <c r="I12" s="1124" t="s">
        <v>132</v>
      </c>
      <c r="J12" s="1122" t="s">
        <v>133</v>
      </c>
      <c r="K12" s="1136" t="s">
        <v>134</v>
      </c>
      <c r="L12" s="1053"/>
      <c r="M12" s="1122" t="s">
        <v>135</v>
      </c>
      <c r="N12" s="1122" t="s">
        <v>136</v>
      </c>
      <c r="O12" s="1136" t="s">
        <v>137</v>
      </c>
      <c r="P12" s="1153"/>
      <c r="R12" s="867" t="e">
        <f>+'PTO OC PLIEGO'!#REF!</f>
        <v>#REF!</v>
      </c>
    </row>
    <row r="13" spans="2:18" x14ac:dyDescent="0.2">
      <c r="B13" s="1134"/>
      <c r="C13" s="1031"/>
      <c r="D13" s="1032"/>
      <c r="E13" s="1032"/>
      <c r="F13" s="1032"/>
      <c r="G13" s="1055"/>
      <c r="H13" s="1123"/>
      <c r="I13" s="1123"/>
      <c r="J13" s="1123"/>
      <c r="K13" s="1031"/>
      <c r="L13" s="1055"/>
      <c r="M13" s="1123"/>
      <c r="N13" s="1123"/>
      <c r="O13" s="1031"/>
      <c r="P13" s="1150"/>
    </row>
    <row r="14" spans="2:18" ht="13.5" customHeight="1" x14ac:dyDescent="0.2">
      <c r="B14" s="380" t="s">
        <v>138</v>
      </c>
      <c r="C14" s="1126" t="s">
        <v>139</v>
      </c>
      <c r="D14" s="1049"/>
      <c r="E14" s="1049"/>
      <c r="F14" s="1049"/>
      <c r="G14" s="1050"/>
      <c r="H14" s="12"/>
      <c r="I14" s="770">
        <v>1</v>
      </c>
      <c r="J14" s="771">
        <v>0.5</v>
      </c>
      <c r="K14" s="1117">
        <v>6500000</v>
      </c>
      <c r="L14" s="1050"/>
      <c r="M14" s="13">
        <f>Indice!$G$7</f>
        <v>6</v>
      </c>
      <c r="N14" s="2">
        <f t="shared" ref="N14:N20" si="0">O14/$O$54</f>
        <v>2.23347682313998E-2</v>
      </c>
      <c r="O14" s="1117">
        <f t="shared" ref="O14:O19" si="1">M14*J14*K14*I14</f>
        <v>19500000</v>
      </c>
      <c r="P14" s="1118"/>
    </row>
    <row r="15" spans="2:18" ht="13.5" customHeight="1" x14ac:dyDescent="0.2">
      <c r="B15" s="380" t="s">
        <v>140</v>
      </c>
      <c r="C15" s="1126" t="s">
        <v>1481</v>
      </c>
      <c r="D15" s="1049"/>
      <c r="E15" s="1049"/>
      <c r="F15" s="1049"/>
      <c r="G15" s="1050"/>
      <c r="H15" s="12"/>
      <c r="I15" s="770">
        <v>1</v>
      </c>
      <c r="J15" s="771">
        <v>0.4</v>
      </c>
      <c r="K15" s="1117">
        <v>5500000</v>
      </c>
      <c r="L15" s="1050"/>
      <c r="M15" s="13">
        <f>Indice!$G$7</f>
        <v>6</v>
      </c>
      <c r="N15" s="2">
        <f t="shared" si="0"/>
        <v>1.5118920033562943E-2</v>
      </c>
      <c r="O15" s="1117">
        <f t="shared" si="1"/>
        <v>13200000.000000002</v>
      </c>
      <c r="P15" s="1118"/>
    </row>
    <row r="16" spans="2:18" ht="13.5" customHeight="1" x14ac:dyDescent="0.2">
      <c r="B16" s="380" t="s">
        <v>141</v>
      </c>
      <c r="C16" s="1126" t="s">
        <v>1482</v>
      </c>
      <c r="D16" s="1049"/>
      <c r="E16" s="1049"/>
      <c r="F16" s="1049"/>
      <c r="G16" s="1050"/>
      <c r="H16" s="12"/>
      <c r="I16" s="770">
        <v>1</v>
      </c>
      <c r="J16" s="771">
        <v>0.4</v>
      </c>
      <c r="K16" s="1117">
        <v>5500000</v>
      </c>
      <c r="L16" s="1050"/>
      <c r="M16" s="13">
        <f>Indice!$G$7</f>
        <v>6</v>
      </c>
      <c r="N16" s="2">
        <f t="shared" si="0"/>
        <v>1.5118920033562943E-2</v>
      </c>
      <c r="O16" s="1117">
        <f t="shared" si="1"/>
        <v>13200000.000000002</v>
      </c>
      <c r="P16" s="1118"/>
    </row>
    <row r="17" spans="2:16" ht="13.5" customHeight="1" x14ac:dyDescent="0.2">
      <c r="B17" s="380" t="s">
        <v>142</v>
      </c>
      <c r="C17" s="1126" t="s">
        <v>145</v>
      </c>
      <c r="D17" s="1049"/>
      <c r="E17" s="1049"/>
      <c r="F17" s="1049"/>
      <c r="G17" s="1050"/>
      <c r="H17" s="12"/>
      <c r="I17" s="770">
        <v>1</v>
      </c>
      <c r="J17" s="771">
        <v>1</v>
      </c>
      <c r="K17" s="1117">
        <v>3500000</v>
      </c>
      <c r="L17" s="1050"/>
      <c r="M17" s="13">
        <f>Indice!$G$7</f>
        <v>6</v>
      </c>
      <c r="N17" s="2">
        <f t="shared" si="0"/>
        <v>2.405282732612286E-2</v>
      </c>
      <c r="O17" s="1117">
        <f t="shared" si="1"/>
        <v>21000000</v>
      </c>
      <c r="P17" s="1118"/>
    </row>
    <row r="18" spans="2:16" ht="13.5" customHeight="1" x14ac:dyDescent="0.2">
      <c r="B18" s="380" t="s">
        <v>144</v>
      </c>
      <c r="C18" s="1126" t="s">
        <v>1483</v>
      </c>
      <c r="D18" s="1049"/>
      <c r="E18" s="1049"/>
      <c r="F18" s="1049"/>
      <c r="G18" s="1050"/>
      <c r="H18" s="12"/>
      <c r="I18" s="770">
        <v>1</v>
      </c>
      <c r="J18" s="771">
        <v>1</v>
      </c>
      <c r="K18" s="1117">
        <v>3500000</v>
      </c>
      <c r="L18" s="1050"/>
      <c r="M18" s="13">
        <f>Indice!$G$7</f>
        <v>6</v>
      </c>
      <c r="N18" s="2">
        <f t="shared" si="0"/>
        <v>2.405282732612286E-2</v>
      </c>
      <c r="O18" s="1117">
        <f t="shared" si="1"/>
        <v>21000000</v>
      </c>
      <c r="P18" s="1118"/>
    </row>
    <row r="19" spans="2:16" ht="13.5" customHeight="1" x14ac:dyDescent="0.2">
      <c r="B19" s="380" t="s">
        <v>148</v>
      </c>
      <c r="C19" s="1126" t="s">
        <v>2071</v>
      </c>
      <c r="D19" s="1049"/>
      <c r="E19" s="1049"/>
      <c r="F19" s="1049"/>
      <c r="G19" s="1050"/>
      <c r="H19" s="12"/>
      <c r="I19" s="770">
        <v>1</v>
      </c>
      <c r="J19" s="771">
        <v>1</v>
      </c>
      <c r="K19" s="1117">
        <v>4000000</v>
      </c>
      <c r="L19" s="1050"/>
      <c r="M19" s="13">
        <f>Indice!$G$7</f>
        <v>6</v>
      </c>
      <c r="N19" s="2">
        <f t="shared" si="0"/>
        <v>2.7488945515568984E-2</v>
      </c>
      <c r="O19" s="1117">
        <f t="shared" si="1"/>
        <v>24000000</v>
      </c>
      <c r="P19" s="1118"/>
    </row>
    <row r="20" spans="2:16" ht="13.5" customHeight="1" x14ac:dyDescent="0.2">
      <c r="B20" s="380" t="s">
        <v>1485</v>
      </c>
      <c r="C20" s="1126" t="s">
        <v>147</v>
      </c>
      <c r="D20" s="1049"/>
      <c r="E20" s="1049"/>
      <c r="F20" s="1049"/>
      <c r="G20" s="1050"/>
      <c r="H20" s="12"/>
      <c r="I20" s="770">
        <v>1</v>
      </c>
      <c r="J20" s="771">
        <v>1</v>
      </c>
      <c r="K20" s="1117">
        <v>4000000</v>
      </c>
      <c r="L20" s="1050"/>
      <c r="M20" s="13">
        <f>Indice!$G$7</f>
        <v>6</v>
      </c>
      <c r="N20" s="2">
        <f t="shared" si="0"/>
        <v>2.7488945515568984E-2</v>
      </c>
      <c r="O20" s="1117">
        <f>M20*J20*K20*I20</f>
        <v>24000000</v>
      </c>
      <c r="P20" s="1118"/>
    </row>
    <row r="21" spans="2:16" ht="13.5" x14ac:dyDescent="0.2">
      <c r="B21" s="381"/>
      <c r="C21" s="382"/>
      <c r="D21" s="382"/>
      <c r="E21" s="382"/>
      <c r="F21" s="382"/>
      <c r="G21" s="382"/>
      <c r="H21" s="382"/>
      <c r="I21" s="1119" t="s">
        <v>154</v>
      </c>
      <c r="J21" s="1049"/>
      <c r="K21" s="1049"/>
      <c r="L21" s="1049"/>
      <c r="M21" s="1049"/>
      <c r="N21" s="1050"/>
      <c r="O21" s="1117">
        <f>SUM(O14:O20)</f>
        <v>135900000</v>
      </c>
      <c r="P21" s="1118"/>
    </row>
    <row r="22" spans="2:16" ht="13.5" x14ac:dyDescent="0.2">
      <c r="B22" s="381"/>
      <c r="C22" s="382"/>
      <c r="D22" s="382"/>
      <c r="E22" s="382"/>
      <c r="F22" s="382"/>
      <c r="G22" s="382"/>
      <c r="H22" s="382"/>
      <c r="I22" s="1119" t="s">
        <v>155</v>
      </c>
      <c r="J22" s="1049"/>
      <c r="K22" s="1049"/>
      <c r="L22" s="1049"/>
      <c r="M22" s="1049"/>
      <c r="N22" s="1050"/>
      <c r="O22" s="1154">
        <v>1.8</v>
      </c>
      <c r="P22" s="1118"/>
    </row>
    <row r="23" spans="2:16" ht="13.5" x14ac:dyDescent="0.2">
      <c r="B23" s="381"/>
      <c r="C23" s="382"/>
      <c r="D23" s="382"/>
      <c r="E23" s="382"/>
      <c r="F23" s="382"/>
      <c r="G23" s="382"/>
      <c r="H23" s="382"/>
      <c r="I23" s="1119" t="s">
        <v>156</v>
      </c>
      <c r="J23" s="1049"/>
      <c r="K23" s="1049"/>
      <c r="L23" s="1049"/>
      <c r="M23" s="1049"/>
      <c r="N23" s="1050"/>
      <c r="O23" s="1117">
        <f>+O21*O22</f>
        <v>244620000</v>
      </c>
      <c r="P23" s="1118"/>
    </row>
    <row r="24" spans="2:16" ht="13.5" x14ac:dyDescent="0.2">
      <c r="B24" s="383"/>
      <c r="C24" s="384"/>
      <c r="D24" s="384"/>
      <c r="E24" s="384"/>
      <c r="F24" s="384"/>
      <c r="G24" s="384"/>
      <c r="H24" s="322"/>
      <c r="I24" s="322"/>
      <c r="J24" s="322"/>
      <c r="K24" s="322"/>
      <c r="L24" s="322"/>
      <c r="M24" s="322"/>
      <c r="N24" s="322"/>
      <c r="O24" s="322"/>
      <c r="P24" s="385"/>
    </row>
    <row r="25" spans="2:16" x14ac:dyDescent="0.2">
      <c r="B25" s="386" t="s">
        <v>157</v>
      </c>
      <c r="C25" s="1155" t="s">
        <v>158</v>
      </c>
      <c r="D25" s="1049"/>
      <c r="E25" s="1049"/>
      <c r="F25" s="1049"/>
      <c r="G25" s="1049"/>
      <c r="H25" s="1049"/>
      <c r="I25" s="1049"/>
      <c r="J25" s="1049"/>
      <c r="K25" s="1049"/>
      <c r="L25" s="1049"/>
      <c r="M25" s="1049"/>
      <c r="N25" s="1049"/>
      <c r="O25" s="1049"/>
      <c r="P25" s="1118"/>
    </row>
    <row r="26" spans="2:16" x14ac:dyDescent="0.2">
      <c r="B26" s="1133" t="s">
        <v>129</v>
      </c>
      <c r="C26" s="1136" t="s">
        <v>38</v>
      </c>
      <c r="D26" s="1052"/>
      <c r="E26" s="1052"/>
      <c r="F26" s="1052"/>
      <c r="G26" s="1052"/>
      <c r="H26" s="1053"/>
      <c r="I26" s="1122" t="s">
        <v>39</v>
      </c>
      <c r="J26" s="1122" t="s">
        <v>132</v>
      </c>
      <c r="K26" s="1136" t="s">
        <v>134</v>
      </c>
      <c r="L26" s="1053"/>
      <c r="M26" s="1122" t="s">
        <v>159</v>
      </c>
      <c r="N26" s="1122" t="s">
        <v>136</v>
      </c>
      <c r="O26" s="1136" t="s">
        <v>137</v>
      </c>
      <c r="P26" s="1153"/>
    </row>
    <row r="27" spans="2:16" x14ac:dyDescent="0.2">
      <c r="B27" s="1134"/>
      <c r="C27" s="1031"/>
      <c r="D27" s="1032"/>
      <c r="E27" s="1032"/>
      <c r="F27" s="1032"/>
      <c r="G27" s="1032"/>
      <c r="H27" s="1055"/>
      <c r="I27" s="1123"/>
      <c r="J27" s="1123"/>
      <c r="K27" s="1031"/>
      <c r="L27" s="1055"/>
      <c r="M27" s="1123"/>
      <c r="N27" s="1123"/>
      <c r="O27" s="1031"/>
      <c r="P27" s="1150"/>
    </row>
    <row r="28" spans="2:16" ht="13.5" x14ac:dyDescent="0.2">
      <c r="B28" s="830" t="s">
        <v>160</v>
      </c>
      <c r="C28" s="1152" t="s">
        <v>163</v>
      </c>
      <c r="D28" s="1049"/>
      <c r="E28" s="1049"/>
      <c r="F28" s="1049"/>
      <c r="G28" s="1049"/>
      <c r="H28" s="1050"/>
      <c r="I28" s="15" t="s">
        <v>161</v>
      </c>
      <c r="J28" s="321">
        <v>1</v>
      </c>
      <c r="K28" s="1125">
        <v>950000</v>
      </c>
      <c r="L28" s="1050"/>
      <c r="M28" s="13">
        <f>Indice!$G$7</f>
        <v>6</v>
      </c>
      <c r="N28" s="2">
        <f t="shared" ref="N28:N34" si="2">O28/$O$54</f>
        <v>6.5286245599476336E-3</v>
      </c>
      <c r="O28" s="1117">
        <f>K28*J28*M28</f>
        <v>5700000</v>
      </c>
      <c r="P28" s="1118"/>
    </row>
    <row r="29" spans="2:16" ht="13.5" x14ac:dyDescent="0.2">
      <c r="B29" s="830" t="s">
        <v>162</v>
      </c>
      <c r="C29" s="1152" t="s">
        <v>165</v>
      </c>
      <c r="D29" s="1049"/>
      <c r="E29" s="1049"/>
      <c r="F29" s="1049"/>
      <c r="G29" s="1049"/>
      <c r="H29" s="1050"/>
      <c r="I29" s="15" t="s">
        <v>161</v>
      </c>
      <c r="J29" s="321">
        <v>1</v>
      </c>
      <c r="K29" s="1125">
        <v>950000</v>
      </c>
      <c r="L29" s="1050"/>
      <c r="M29" s="13">
        <f>Indice!$G$7</f>
        <v>6</v>
      </c>
      <c r="N29" s="2">
        <f t="shared" si="2"/>
        <v>6.5286245599476336E-3</v>
      </c>
      <c r="O29" s="1117">
        <f>K29*J29*M29</f>
        <v>5700000</v>
      </c>
      <c r="P29" s="1118"/>
    </row>
    <row r="30" spans="2:16" ht="13.5" x14ac:dyDescent="0.2">
      <c r="B30" s="830" t="s">
        <v>164</v>
      </c>
      <c r="C30" s="1121" t="s">
        <v>1496</v>
      </c>
      <c r="D30" s="1049"/>
      <c r="E30" s="1049"/>
      <c r="F30" s="1049"/>
      <c r="G30" s="1049"/>
      <c r="H30" s="1050"/>
      <c r="I30" s="15" t="s">
        <v>161</v>
      </c>
      <c r="J30" s="321">
        <v>1</v>
      </c>
      <c r="K30" s="1125">
        <v>3500000</v>
      </c>
      <c r="L30" s="1050"/>
      <c r="M30" s="13">
        <f>Indice!$G$7</f>
        <v>6</v>
      </c>
      <c r="N30" s="2">
        <f t="shared" si="2"/>
        <v>2.405282732612286E-2</v>
      </c>
      <c r="O30" s="1117">
        <f>K30*J30*M30</f>
        <v>21000000</v>
      </c>
      <c r="P30" s="1118"/>
    </row>
    <row r="31" spans="2:16" ht="13.5" x14ac:dyDescent="0.2">
      <c r="B31" s="830"/>
      <c r="C31" s="1121" t="s">
        <v>2070</v>
      </c>
      <c r="D31" s="1049"/>
      <c r="E31" s="1049"/>
      <c r="F31" s="1049"/>
      <c r="G31" s="1049"/>
      <c r="H31" s="1050"/>
      <c r="I31" s="15" t="s">
        <v>161</v>
      </c>
      <c r="J31" s="321">
        <v>1</v>
      </c>
      <c r="K31" s="1125">
        <v>3500000</v>
      </c>
      <c r="L31" s="1050"/>
      <c r="M31" s="13">
        <v>1</v>
      </c>
      <c r="N31" s="2">
        <f t="shared" ref="N31" si="3">O31/$O$54</f>
        <v>4.0088045543538106E-3</v>
      </c>
      <c r="O31" s="1117">
        <f>K31*J31*M31</f>
        <v>3500000</v>
      </c>
      <c r="P31" s="1118"/>
    </row>
    <row r="32" spans="2:16" ht="13.5" x14ac:dyDescent="0.2">
      <c r="B32" s="830" t="s">
        <v>166</v>
      </c>
      <c r="C32" s="1152" t="s">
        <v>169</v>
      </c>
      <c r="D32" s="1049"/>
      <c r="E32" s="1049"/>
      <c r="F32" s="1049"/>
      <c r="G32" s="1049"/>
      <c r="H32" s="1050"/>
      <c r="I32" s="15" t="s">
        <v>161</v>
      </c>
      <c r="J32" s="321">
        <v>1</v>
      </c>
      <c r="K32" s="1125">
        <v>1950000</v>
      </c>
      <c r="L32" s="1050"/>
      <c r="M32" s="13">
        <f>Indice!$G$7</f>
        <v>6</v>
      </c>
      <c r="N32" s="2">
        <f t="shared" si="2"/>
        <v>1.340086093883988E-2</v>
      </c>
      <c r="O32" s="1117">
        <f>K32*J32*M32</f>
        <v>11700000</v>
      </c>
      <c r="P32" s="1118"/>
    </row>
    <row r="33" spans="2:16" ht="13.5" x14ac:dyDescent="0.2">
      <c r="B33" s="830" t="s">
        <v>168</v>
      </c>
      <c r="C33" s="1152" t="s">
        <v>171</v>
      </c>
      <c r="D33" s="1049"/>
      <c r="E33" s="1049"/>
      <c r="F33" s="1049"/>
      <c r="G33" s="1049"/>
      <c r="H33" s="1050"/>
      <c r="I33" s="15" t="s">
        <v>161</v>
      </c>
      <c r="J33" s="321">
        <v>1</v>
      </c>
      <c r="K33" s="1117">
        <v>2800000</v>
      </c>
      <c r="L33" s="1050"/>
      <c r="M33" s="13">
        <f>Indice!$G$7</f>
        <v>6</v>
      </c>
      <c r="N33" s="2">
        <f t="shared" si="2"/>
        <v>1.924226186089829E-2</v>
      </c>
      <c r="O33" s="1117">
        <f>K33*M33*J33</f>
        <v>16800000</v>
      </c>
      <c r="P33" s="1118"/>
    </row>
    <row r="34" spans="2:16" ht="13.5" x14ac:dyDescent="0.2">
      <c r="B34" s="830" t="s">
        <v>848</v>
      </c>
      <c r="C34" s="1121" t="s">
        <v>847</v>
      </c>
      <c r="D34" s="1049"/>
      <c r="E34" s="1049"/>
      <c r="F34" s="1049"/>
      <c r="G34" s="1049"/>
      <c r="H34" s="1050"/>
      <c r="I34" s="15" t="s">
        <v>161</v>
      </c>
      <c r="J34" s="321">
        <v>1</v>
      </c>
      <c r="K34" s="1117">
        <v>2200000</v>
      </c>
      <c r="L34" s="1050"/>
      <c r="M34" s="13">
        <f>Indice!$G$7</f>
        <v>6</v>
      </c>
      <c r="N34" s="2">
        <f t="shared" si="2"/>
        <v>1.5118920033562942E-2</v>
      </c>
      <c r="O34" s="1117">
        <f>K34*M34*J34</f>
        <v>13200000</v>
      </c>
      <c r="P34" s="1118"/>
    </row>
    <row r="35" spans="2:16" ht="13.5" x14ac:dyDescent="0.2">
      <c r="B35" s="381"/>
      <c r="C35" s="382"/>
      <c r="D35" s="382"/>
      <c r="E35" s="382"/>
      <c r="F35" s="382"/>
      <c r="G35" s="388"/>
      <c r="H35" s="382"/>
      <c r="I35" s="1119" t="s">
        <v>172</v>
      </c>
      <c r="J35" s="1049"/>
      <c r="K35" s="1049"/>
      <c r="L35" s="1049"/>
      <c r="M35" s="1049"/>
      <c r="N35" s="1050"/>
      <c r="O35" s="1117">
        <f>SUM(O28:O34)</f>
        <v>77600000</v>
      </c>
      <c r="P35" s="1118"/>
    </row>
    <row r="36" spans="2:16" ht="13.5" x14ac:dyDescent="0.2">
      <c r="B36" s="383"/>
      <c r="C36" s="384"/>
      <c r="D36" s="384"/>
      <c r="E36" s="384"/>
      <c r="F36" s="384"/>
      <c r="G36" s="384"/>
      <c r="H36" s="322"/>
      <c r="I36" s="322"/>
      <c r="J36" s="322"/>
      <c r="K36" s="322"/>
      <c r="L36" s="322"/>
      <c r="M36" s="322"/>
      <c r="N36" s="322"/>
      <c r="O36" s="322"/>
      <c r="P36" s="385"/>
    </row>
    <row r="37" spans="2:16" x14ac:dyDescent="0.2">
      <c r="B37" s="386" t="s">
        <v>173</v>
      </c>
      <c r="C37" s="1155" t="s">
        <v>174</v>
      </c>
      <c r="D37" s="1049"/>
      <c r="E37" s="1049"/>
      <c r="F37" s="1049"/>
      <c r="G37" s="1049"/>
      <c r="H37" s="1049"/>
      <c r="I37" s="1049"/>
      <c r="J37" s="1049"/>
      <c r="K37" s="1049"/>
      <c r="L37" s="1049"/>
      <c r="M37" s="1049"/>
      <c r="N37" s="1049"/>
      <c r="O37" s="1049"/>
      <c r="P37" s="1118"/>
    </row>
    <row r="38" spans="2:16" x14ac:dyDescent="0.2">
      <c r="B38" s="1133" t="s">
        <v>129</v>
      </c>
      <c r="C38" s="1136" t="s">
        <v>38</v>
      </c>
      <c r="D38" s="1052"/>
      <c r="E38" s="1052"/>
      <c r="F38" s="1052"/>
      <c r="G38" s="1052"/>
      <c r="H38" s="1053"/>
      <c r="I38" s="1122" t="s">
        <v>39</v>
      </c>
      <c r="J38" s="1124" t="s">
        <v>2049</v>
      </c>
      <c r="K38" s="1136" t="s">
        <v>134</v>
      </c>
      <c r="L38" s="1053"/>
      <c r="M38" s="1122" t="s">
        <v>159</v>
      </c>
      <c r="N38" s="1122" t="s">
        <v>136</v>
      </c>
      <c r="O38" s="1136" t="s">
        <v>137</v>
      </c>
      <c r="P38" s="1153"/>
    </row>
    <row r="39" spans="2:16" x14ac:dyDescent="0.2">
      <c r="B39" s="1134"/>
      <c r="C39" s="1031"/>
      <c r="D39" s="1032"/>
      <c r="E39" s="1032"/>
      <c r="F39" s="1032"/>
      <c r="G39" s="1032"/>
      <c r="H39" s="1055"/>
      <c r="I39" s="1123"/>
      <c r="J39" s="1123"/>
      <c r="K39" s="1031"/>
      <c r="L39" s="1055"/>
      <c r="M39" s="1123"/>
      <c r="N39" s="1123"/>
      <c r="O39" s="1031"/>
      <c r="P39" s="1150"/>
    </row>
    <row r="40" spans="2:16" ht="13.5" x14ac:dyDescent="0.2">
      <c r="B40" s="387" t="s">
        <v>175</v>
      </c>
      <c r="C40" s="1121" t="s">
        <v>1958</v>
      </c>
      <c r="D40" s="1049"/>
      <c r="E40" s="1049"/>
      <c r="F40" s="1049"/>
      <c r="G40" s="1049"/>
      <c r="H40" s="1050"/>
      <c r="I40" s="15" t="s">
        <v>180</v>
      </c>
      <c r="J40" s="831">
        <v>6</v>
      </c>
      <c r="K40" s="1117">
        <v>3492312927.48</v>
      </c>
      <c r="L40" s="1050"/>
      <c r="M40" s="13">
        <v>1</v>
      </c>
      <c r="N40" s="911">
        <v>0.06</v>
      </c>
      <c r="O40" s="1117">
        <f>K40*0.0527345001</f>
        <v>184165376.42342535</v>
      </c>
      <c r="P40" s="1118"/>
    </row>
    <row r="41" spans="2:16" ht="13.5" x14ac:dyDescent="0.2">
      <c r="B41" s="381"/>
      <c r="C41" s="382"/>
      <c r="D41" s="382"/>
      <c r="E41" s="382"/>
      <c r="F41" s="382"/>
      <c r="G41" s="388"/>
      <c r="H41" s="382"/>
      <c r="I41" s="1119" t="s">
        <v>172</v>
      </c>
      <c r="J41" s="1049"/>
      <c r="K41" s="1049"/>
      <c r="L41" s="1049"/>
      <c r="M41" s="1049"/>
      <c r="N41" s="1050"/>
      <c r="O41" s="1117">
        <f>SUM(O40:P40)</f>
        <v>184165376.42342535</v>
      </c>
      <c r="P41" s="1118"/>
    </row>
    <row r="42" spans="2:16" ht="13.5" x14ac:dyDescent="0.2">
      <c r="B42" s="383"/>
      <c r="C42" s="384"/>
      <c r="D42" s="384"/>
      <c r="E42" s="384"/>
      <c r="F42" s="384"/>
      <c r="G42" s="384"/>
      <c r="H42" s="322"/>
      <c r="I42" s="322"/>
      <c r="J42" s="322"/>
      <c r="K42" s="322"/>
      <c r="L42" s="322"/>
      <c r="M42" s="322"/>
      <c r="N42" s="322"/>
      <c r="O42" s="322"/>
      <c r="P42" s="385"/>
    </row>
    <row r="43" spans="2:16" x14ac:dyDescent="0.2">
      <c r="B43" s="386" t="s">
        <v>176</v>
      </c>
      <c r="C43" s="1155" t="s">
        <v>177</v>
      </c>
      <c r="D43" s="1049"/>
      <c r="E43" s="1049"/>
      <c r="F43" s="1049"/>
      <c r="G43" s="1049"/>
      <c r="H43" s="1049"/>
      <c r="I43" s="1049"/>
      <c r="J43" s="1049"/>
      <c r="K43" s="1049"/>
      <c r="L43" s="1049"/>
      <c r="M43" s="1049"/>
      <c r="N43" s="1049"/>
      <c r="O43" s="1049"/>
      <c r="P43" s="1118"/>
    </row>
    <row r="44" spans="2:16" x14ac:dyDescent="0.2">
      <c r="B44" s="1133" t="s">
        <v>129</v>
      </c>
      <c r="C44" s="1136" t="s">
        <v>38</v>
      </c>
      <c r="D44" s="1052"/>
      <c r="E44" s="1052"/>
      <c r="F44" s="1052"/>
      <c r="G44" s="1052"/>
      <c r="H44" s="1053"/>
      <c r="I44" s="1122" t="s">
        <v>39</v>
      </c>
      <c r="J44" s="1124" t="s">
        <v>2049</v>
      </c>
      <c r="K44" s="1136" t="s">
        <v>126</v>
      </c>
      <c r="L44" s="1053"/>
      <c r="M44" s="1122" t="s">
        <v>159</v>
      </c>
      <c r="N44" s="1122" t="s">
        <v>136</v>
      </c>
      <c r="O44" s="1136" t="s">
        <v>137</v>
      </c>
      <c r="P44" s="1153"/>
    </row>
    <row r="45" spans="2:16" x14ac:dyDescent="0.2">
      <c r="B45" s="1134"/>
      <c r="C45" s="1031"/>
      <c r="D45" s="1032"/>
      <c r="E45" s="1032"/>
      <c r="F45" s="1032"/>
      <c r="G45" s="1032"/>
      <c r="H45" s="1055"/>
      <c r="I45" s="1123"/>
      <c r="J45" s="1123"/>
      <c r="K45" s="1031"/>
      <c r="L45" s="1055"/>
      <c r="M45" s="1123"/>
      <c r="N45" s="1123"/>
      <c r="O45" s="1031"/>
      <c r="P45" s="1150"/>
    </row>
    <row r="46" spans="2:16" ht="13.5" x14ac:dyDescent="0.2">
      <c r="B46" s="387" t="s">
        <v>178</v>
      </c>
      <c r="C46" s="1121" t="s">
        <v>2064</v>
      </c>
      <c r="D46" s="1049"/>
      <c r="E46" s="1049"/>
      <c r="F46" s="1049"/>
      <c r="G46" s="1049"/>
      <c r="H46" s="1050"/>
      <c r="I46" s="15" t="s">
        <v>180</v>
      </c>
      <c r="J46" s="14">
        <v>0.02</v>
      </c>
      <c r="K46" s="1117">
        <v>3492312927.48</v>
      </c>
      <c r="L46" s="1050"/>
      <c r="M46" s="13">
        <v>1</v>
      </c>
      <c r="N46" s="14">
        <v>0.02</v>
      </c>
      <c r="O46" s="1117">
        <f>J46*K46</f>
        <v>69846258.549600005</v>
      </c>
      <c r="P46" s="1118"/>
    </row>
    <row r="47" spans="2:16" ht="13.5" x14ac:dyDescent="0.2">
      <c r="B47" s="387" t="s">
        <v>181</v>
      </c>
      <c r="C47" s="1121" t="s">
        <v>2065</v>
      </c>
      <c r="D47" s="1049"/>
      <c r="E47" s="1049"/>
      <c r="F47" s="1049"/>
      <c r="G47" s="1049"/>
      <c r="H47" s="1050"/>
      <c r="I47" s="15" t="s">
        <v>180</v>
      </c>
      <c r="J47" s="14">
        <v>5.0000000000000001E-3</v>
      </c>
      <c r="K47" s="1117">
        <v>3492312927.48</v>
      </c>
      <c r="L47" s="1050"/>
      <c r="M47" s="13">
        <v>1</v>
      </c>
      <c r="N47" s="14">
        <v>5.0000000000000001E-3</v>
      </c>
      <c r="O47" s="1117">
        <f t="shared" ref="O47:O51" si="4">J47*K47</f>
        <v>17461564.637400001</v>
      </c>
      <c r="P47" s="1118"/>
    </row>
    <row r="48" spans="2:16" ht="13.5" x14ac:dyDescent="0.2">
      <c r="B48" s="387" t="s">
        <v>183</v>
      </c>
      <c r="C48" s="1121" t="s">
        <v>2066</v>
      </c>
      <c r="D48" s="1049"/>
      <c r="E48" s="1049"/>
      <c r="F48" s="1049"/>
      <c r="G48" s="1049"/>
      <c r="H48" s="1050"/>
      <c r="I48" s="15" t="s">
        <v>180</v>
      </c>
      <c r="J48" s="14">
        <v>1.4999999999999999E-2</v>
      </c>
      <c r="K48" s="1117">
        <v>3492312927.48</v>
      </c>
      <c r="L48" s="1050"/>
      <c r="M48" s="13">
        <v>1</v>
      </c>
      <c r="N48" s="14">
        <v>1.4999999999999999E-2</v>
      </c>
      <c r="O48" s="1117">
        <f t="shared" si="4"/>
        <v>52384693.912199996</v>
      </c>
      <c r="P48" s="1118"/>
    </row>
    <row r="49" spans="2:16" ht="13.5" x14ac:dyDescent="0.2">
      <c r="B49" s="387" t="s">
        <v>185</v>
      </c>
      <c r="C49" s="1121" t="s">
        <v>2067</v>
      </c>
      <c r="D49" s="1049"/>
      <c r="E49" s="1049"/>
      <c r="F49" s="1049"/>
      <c r="G49" s="1049"/>
      <c r="H49" s="1050"/>
      <c r="I49" s="15" t="s">
        <v>180</v>
      </c>
      <c r="J49" s="14">
        <v>1.4999999999999999E-2</v>
      </c>
      <c r="K49" s="1117">
        <v>3492312927.48</v>
      </c>
      <c r="L49" s="1050"/>
      <c r="M49" s="13">
        <v>1</v>
      </c>
      <c r="N49" s="14">
        <v>1.4999999999999999E-2</v>
      </c>
      <c r="O49" s="1117">
        <f t="shared" si="4"/>
        <v>52384693.912199996</v>
      </c>
      <c r="P49" s="1118"/>
    </row>
    <row r="50" spans="2:16" ht="13.5" x14ac:dyDescent="0.2">
      <c r="B50" s="387" t="s">
        <v>187</v>
      </c>
      <c r="C50" s="1121" t="s">
        <v>2068</v>
      </c>
      <c r="D50" s="1049"/>
      <c r="E50" s="1049"/>
      <c r="F50" s="1049"/>
      <c r="G50" s="1049"/>
      <c r="H50" s="1050"/>
      <c r="I50" s="15" t="s">
        <v>180</v>
      </c>
      <c r="J50" s="14">
        <v>0.05</v>
      </c>
      <c r="K50" s="1117">
        <v>3492312927.48</v>
      </c>
      <c r="L50" s="1050"/>
      <c r="M50" s="13">
        <v>1</v>
      </c>
      <c r="N50" s="14">
        <v>0.05</v>
      </c>
      <c r="O50" s="1117">
        <f t="shared" si="4"/>
        <v>174615646.37400001</v>
      </c>
      <c r="P50" s="1118"/>
    </row>
    <row r="51" spans="2:16" ht="13.5" x14ac:dyDescent="0.2">
      <c r="B51" s="909"/>
      <c r="C51" s="1121" t="s">
        <v>2069</v>
      </c>
      <c r="D51" s="1049"/>
      <c r="E51" s="1049"/>
      <c r="F51" s="1049"/>
      <c r="G51" s="1049"/>
      <c r="H51" s="1050"/>
      <c r="I51" s="15" t="s">
        <v>180</v>
      </c>
      <c r="J51" s="14">
        <v>5.0000000000000001E-3</v>
      </c>
      <c r="K51" s="1117">
        <v>3492312927.48</v>
      </c>
      <c r="L51" s="1050"/>
      <c r="M51" s="13">
        <v>1</v>
      </c>
      <c r="N51" s="14">
        <v>5.0000000000000001E-3</v>
      </c>
      <c r="O51" s="1117">
        <f t="shared" si="4"/>
        <v>17461564.637400001</v>
      </c>
      <c r="P51" s="1118"/>
    </row>
    <row r="52" spans="2:16" ht="13.5" x14ac:dyDescent="0.25">
      <c r="B52" s="381"/>
      <c r="C52" s="382"/>
      <c r="D52" s="374"/>
      <c r="E52" s="374"/>
      <c r="F52" s="374"/>
      <c r="G52" s="374"/>
      <c r="H52" s="382"/>
      <c r="I52" s="1119" t="s">
        <v>172</v>
      </c>
      <c r="J52" s="1049"/>
      <c r="K52" s="1049"/>
      <c r="L52" s="1049"/>
      <c r="M52" s="1049"/>
      <c r="N52" s="1050"/>
      <c r="O52" s="1117">
        <f>SUM(O46:O50)</f>
        <v>366692857.38540006</v>
      </c>
      <c r="P52" s="1118"/>
    </row>
    <row r="53" spans="2:16" ht="13.5" x14ac:dyDescent="0.25">
      <c r="B53" s="383"/>
      <c r="C53" s="384"/>
      <c r="D53" s="374"/>
      <c r="E53" s="374"/>
      <c r="F53" s="374"/>
      <c r="G53" s="374"/>
      <c r="H53" s="322"/>
      <c r="I53" s="322"/>
      <c r="J53" s="322"/>
      <c r="K53" s="322"/>
      <c r="L53" s="322"/>
      <c r="M53" s="322"/>
      <c r="N53" s="322"/>
      <c r="O53" s="322"/>
      <c r="P53" s="385"/>
    </row>
    <row r="54" spans="2:16" ht="13.5" x14ac:dyDescent="0.25">
      <c r="B54" s="381"/>
      <c r="C54" s="382"/>
      <c r="D54" s="374"/>
      <c r="E54" s="374"/>
      <c r="F54" s="374"/>
      <c r="G54" s="374"/>
      <c r="H54" s="382"/>
      <c r="I54" s="1119" t="s">
        <v>190</v>
      </c>
      <c r="J54" s="1049"/>
      <c r="K54" s="1049"/>
      <c r="L54" s="1049"/>
      <c r="M54" s="1049"/>
      <c r="N54" s="1050"/>
      <c r="O54" s="1117">
        <f>O23+O35+O41+O52</f>
        <v>873078233.80882537</v>
      </c>
      <c r="P54" s="1118"/>
    </row>
    <row r="55" spans="2:16" ht="13.5" x14ac:dyDescent="0.25">
      <c r="B55" s="381"/>
      <c r="C55" s="382"/>
      <c r="D55" s="374"/>
      <c r="E55" s="374"/>
      <c r="F55" s="374"/>
      <c r="G55" s="374"/>
      <c r="H55" s="382"/>
      <c r="I55" s="1119" t="s">
        <v>191</v>
      </c>
      <c r="J55" s="1049"/>
      <c r="K55" s="1049"/>
      <c r="L55" s="1049"/>
      <c r="M55" s="1049"/>
      <c r="N55" s="1050"/>
      <c r="O55" s="1120">
        <v>-2</v>
      </c>
      <c r="P55" s="1118"/>
    </row>
    <row r="56" spans="2:16" ht="13.5" x14ac:dyDescent="0.25">
      <c r="B56" s="381"/>
      <c r="C56" s="382"/>
      <c r="D56" s="374"/>
      <c r="E56" s="374"/>
      <c r="F56" s="374"/>
      <c r="G56" s="374"/>
      <c r="H56" s="382"/>
      <c r="I56" s="1119" t="s">
        <v>192</v>
      </c>
      <c r="J56" s="1049"/>
      <c r="K56" s="1049"/>
      <c r="L56" s="1049"/>
      <c r="M56" s="1049"/>
      <c r="N56" s="1050"/>
      <c r="O56" s="1117">
        <f>O54+O55</f>
        <v>873078231.80882537</v>
      </c>
      <c r="P56" s="1118"/>
    </row>
    <row r="57" spans="2:16" x14ac:dyDescent="0.2">
      <c r="B57" s="389"/>
      <c r="C57" s="76"/>
      <c r="D57" s="76"/>
      <c r="E57" s="76"/>
      <c r="F57" s="76"/>
      <c r="G57" s="76"/>
      <c r="H57" s="76"/>
      <c r="I57" s="76"/>
      <c r="J57" s="76"/>
      <c r="K57" s="76"/>
      <c r="L57" s="76"/>
      <c r="M57" s="76"/>
      <c r="N57" s="76"/>
      <c r="O57" s="76"/>
      <c r="P57" s="390"/>
    </row>
    <row r="58" spans="2:16" x14ac:dyDescent="0.2">
      <c r="B58" s="389"/>
      <c r="C58" s="76"/>
      <c r="D58" s="76"/>
      <c r="E58" s="76"/>
      <c r="F58" s="76"/>
      <c r="G58" s="76"/>
      <c r="H58" s="76"/>
      <c r="I58" s="76"/>
      <c r="J58" s="76"/>
      <c r="K58" s="76"/>
      <c r="L58" s="76"/>
      <c r="M58" s="76"/>
      <c r="N58" s="76"/>
      <c r="O58" s="76"/>
      <c r="P58" s="390"/>
    </row>
    <row r="59" spans="2:16" x14ac:dyDescent="0.2">
      <c r="B59" s="389"/>
      <c r="C59" s="76"/>
      <c r="D59" s="76"/>
      <c r="E59" s="76"/>
      <c r="F59" s="76"/>
      <c r="G59" s="76"/>
      <c r="H59" s="76"/>
      <c r="I59" s="76"/>
      <c r="J59" s="76"/>
      <c r="K59" s="76"/>
      <c r="L59" s="76"/>
      <c r="M59" s="76"/>
      <c r="N59" s="76"/>
      <c r="O59" s="829"/>
      <c r="P59" s="390"/>
    </row>
    <row r="60" spans="2:16" x14ac:dyDescent="0.2">
      <c r="B60" s="389"/>
      <c r="C60" s="76"/>
      <c r="D60" s="76"/>
      <c r="E60" s="76"/>
      <c r="F60" s="76"/>
      <c r="G60" s="76"/>
      <c r="H60" s="76"/>
      <c r="I60" s="76"/>
      <c r="J60" s="76"/>
      <c r="K60" s="76"/>
      <c r="L60" s="76"/>
      <c r="M60" s="76"/>
      <c r="N60" s="76"/>
      <c r="O60" s="76"/>
      <c r="P60" s="390"/>
    </row>
    <row r="61" spans="2:16" x14ac:dyDescent="0.2">
      <c r="B61" s="389"/>
      <c r="C61" s="76"/>
      <c r="D61" s="76"/>
      <c r="E61" s="76"/>
      <c r="F61" s="76"/>
      <c r="G61" s="76"/>
      <c r="H61" s="76"/>
      <c r="I61" s="76"/>
      <c r="J61" s="76"/>
      <c r="K61" s="76"/>
      <c r="L61" s="76"/>
      <c r="M61" s="76"/>
      <c r="N61" s="76"/>
      <c r="O61" s="76"/>
      <c r="P61" s="390"/>
    </row>
    <row r="62" spans="2:16" x14ac:dyDescent="0.2">
      <c r="B62" s="389"/>
      <c r="C62" s="76"/>
      <c r="D62" s="76"/>
      <c r="E62" s="76"/>
      <c r="F62" s="76"/>
      <c r="G62" s="76"/>
      <c r="H62" s="76"/>
      <c r="I62" s="76"/>
      <c r="J62" s="76"/>
      <c r="K62" s="76"/>
      <c r="L62" s="76"/>
      <c r="M62" s="76"/>
      <c r="N62" s="76"/>
      <c r="O62" s="76"/>
      <c r="P62" s="390"/>
    </row>
    <row r="63" spans="2:16" ht="13.5" thickBot="1" x14ac:dyDescent="0.25">
      <c r="B63" s="389"/>
      <c r="C63" s="76"/>
      <c r="D63" s="76"/>
      <c r="E63" s="328"/>
      <c r="F63" s="328"/>
      <c r="G63" s="328"/>
      <c r="H63" s="328"/>
      <c r="I63" s="76"/>
      <c r="J63" s="76"/>
      <c r="K63" s="76"/>
      <c r="L63" s="76"/>
      <c r="M63" s="76"/>
      <c r="N63" s="76"/>
      <c r="O63" s="76"/>
      <c r="P63" s="390"/>
    </row>
    <row r="64" spans="2:16" ht="14.25" thickTop="1" x14ac:dyDescent="0.25">
      <c r="B64" s="389"/>
      <c r="C64" s="76"/>
      <c r="D64" s="76"/>
      <c r="E64" s="912" t="s">
        <v>1961</v>
      </c>
      <c r="F64" s="912"/>
      <c r="G64" s="912"/>
      <c r="H64" s="912"/>
      <c r="I64" s="330"/>
      <c r="J64" s="912" t="s">
        <v>1964</v>
      </c>
      <c r="K64" s="942"/>
      <c r="L64" s="942"/>
      <c r="M64" s="942"/>
      <c r="N64" s="78"/>
      <c r="O64" s="78"/>
      <c r="P64" s="391"/>
    </row>
    <row r="65" spans="2:16" ht="13.5" x14ac:dyDescent="0.25">
      <c r="B65" s="389"/>
      <c r="C65" s="76"/>
      <c r="D65" s="76"/>
      <c r="E65" s="926" t="s">
        <v>1962</v>
      </c>
      <c r="F65" s="927"/>
      <c r="G65" s="927"/>
      <c r="H65" s="927"/>
      <c r="I65" s="76"/>
      <c r="J65" s="938" t="s">
        <v>1965</v>
      </c>
      <c r="K65" s="939"/>
      <c r="L65" s="939"/>
      <c r="M65" s="939"/>
      <c r="N65" s="76"/>
      <c r="O65" s="76"/>
      <c r="P65" s="390"/>
    </row>
    <row r="66" spans="2:16" ht="13.5" thickBot="1" x14ac:dyDescent="0.25">
      <c r="B66" s="392"/>
      <c r="C66" s="393"/>
      <c r="D66" s="393"/>
      <c r="E66" s="1116" t="s">
        <v>1963</v>
      </c>
      <c r="F66" s="1116"/>
      <c r="G66" s="1116"/>
      <c r="H66" s="1116"/>
      <c r="I66" s="393"/>
      <c r="J66" s="1116" t="s">
        <v>1966</v>
      </c>
      <c r="K66" s="1116"/>
      <c r="L66" s="1116"/>
      <c r="M66" s="1116"/>
      <c r="N66" s="393"/>
      <c r="O66" s="393"/>
      <c r="P66" s="394"/>
    </row>
  </sheetData>
  <mergeCells count="131">
    <mergeCell ref="B26:B27"/>
    <mergeCell ref="C26:H27"/>
    <mergeCell ref="I26:I27"/>
    <mergeCell ref="J26:J27"/>
    <mergeCell ref="M26:M27"/>
    <mergeCell ref="K26:L27"/>
    <mergeCell ref="O26:P27"/>
    <mergeCell ref="O35:P35"/>
    <mergeCell ref="C37:P37"/>
    <mergeCell ref="K33:L33"/>
    <mergeCell ref="I35:N35"/>
    <mergeCell ref="C34:H34"/>
    <mergeCell ref="K34:L34"/>
    <mergeCell ref="O34:P34"/>
    <mergeCell ref="O28:P28"/>
    <mergeCell ref="C40:H40"/>
    <mergeCell ref="M38:M39"/>
    <mergeCell ref="B44:B45"/>
    <mergeCell ref="I44:I45"/>
    <mergeCell ref="J44:J45"/>
    <mergeCell ref="K44:L45"/>
    <mergeCell ref="M44:M45"/>
    <mergeCell ref="K47:L47"/>
    <mergeCell ref="O41:P41"/>
    <mergeCell ref="C43:P43"/>
    <mergeCell ref="B38:B39"/>
    <mergeCell ref="K30:L30"/>
    <mergeCell ref="K32:L32"/>
    <mergeCell ref="K28:L28"/>
    <mergeCell ref="N26:N27"/>
    <mergeCell ref="C48:H48"/>
    <mergeCell ref="C49:H49"/>
    <mergeCell ref="C50:H50"/>
    <mergeCell ref="C47:H47"/>
    <mergeCell ref="O47:P47"/>
    <mergeCell ref="O48:P48"/>
    <mergeCell ref="K48:L48"/>
    <mergeCell ref="K49:L49"/>
    <mergeCell ref="O33:P33"/>
    <mergeCell ref="O38:P39"/>
    <mergeCell ref="I38:I39"/>
    <mergeCell ref="C46:H46"/>
    <mergeCell ref="K46:L46"/>
    <mergeCell ref="O46:P46"/>
    <mergeCell ref="O29:P29"/>
    <mergeCell ref="O30:P30"/>
    <mergeCell ref="N44:N45"/>
    <mergeCell ref="O44:P45"/>
    <mergeCell ref="C44:H45"/>
    <mergeCell ref="C38:H39"/>
    <mergeCell ref="B2:K4"/>
    <mergeCell ref="L2:M2"/>
    <mergeCell ref="N2:P4"/>
    <mergeCell ref="L3:M4"/>
    <mergeCell ref="C28:H28"/>
    <mergeCell ref="C29:H29"/>
    <mergeCell ref="C30:H30"/>
    <mergeCell ref="C32:H32"/>
    <mergeCell ref="N12:N13"/>
    <mergeCell ref="O12:P13"/>
    <mergeCell ref="O14:P14"/>
    <mergeCell ref="O15:P15"/>
    <mergeCell ref="O16:P16"/>
    <mergeCell ref="O17:P17"/>
    <mergeCell ref="I21:N21"/>
    <mergeCell ref="I22:N22"/>
    <mergeCell ref="O22:P22"/>
    <mergeCell ref="I23:N23"/>
    <mergeCell ref="O23:P23"/>
    <mergeCell ref="C15:G15"/>
    <mergeCell ref="C25:P25"/>
    <mergeCell ref="K29:L29"/>
    <mergeCell ref="O21:P21"/>
    <mergeCell ref="O19:P19"/>
    <mergeCell ref="B6:P7"/>
    <mergeCell ref="C18:G18"/>
    <mergeCell ref="C19:G19"/>
    <mergeCell ref="O18:P18"/>
    <mergeCell ref="K18:L18"/>
    <mergeCell ref="K19:L19"/>
    <mergeCell ref="C14:G14"/>
    <mergeCell ref="K14:L14"/>
    <mergeCell ref="B12:B13"/>
    <mergeCell ref="C9:D9"/>
    <mergeCell ref="K12:L13"/>
    <mergeCell ref="M12:M13"/>
    <mergeCell ref="E9:F9"/>
    <mergeCell ref="K15:L15"/>
    <mergeCell ref="C16:G16"/>
    <mergeCell ref="C11:P11"/>
    <mergeCell ref="C12:G13"/>
    <mergeCell ref="H12:H13"/>
    <mergeCell ref="I12:I13"/>
    <mergeCell ref="C31:H31"/>
    <mergeCell ref="K31:L31"/>
    <mergeCell ref="O31:P31"/>
    <mergeCell ref="E64:H64"/>
    <mergeCell ref="J64:M64"/>
    <mergeCell ref="J65:M65"/>
    <mergeCell ref="E65:H65"/>
    <mergeCell ref="O32:P32"/>
    <mergeCell ref="C17:G17"/>
    <mergeCell ref="C20:G20"/>
    <mergeCell ref="K20:L20"/>
    <mergeCell ref="O20:P20"/>
    <mergeCell ref="J12:J13"/>
    <mergeCell ref="K16:L16"/>
    <mergeCell ref="K17:L17"/>
    <mergeCell ref="N38:N39"/>
    <mergeCell ref="K40:L40"/>
    <mergeCell ref="O40:P40"/>
    <mergeCell ref="I41:N41"/>
    <mergeCell ref="C33:H33"/>
    <mergeCell ref="J38:J39"/>
    <mergeCell ref="K38:L39"/>
    <mergeCell ref="J66:M66"/>
    <mergeCell ref="O56:P56"/>
    <mergeCell ref="I56:N56"/>
    <mergeCell ref="O49:P49"/>
    <mergeCell ref="K50:L50"/>
    <mergeCell ref="O50:P50"/>
    <mergeCell ref="E66:H66"/>
    <mergeCell ref="I52:N52"/>
    <mergeCell ref="I54:N54"/>
    <mergeCell ref="I55:N55"/>
    <mergeCell ref="O52:P52"/>
    <mergeCell ref="O54:P54"/>
    <mergeCell ref="O55:P55"/>
    <mergeCell ref="C51:H51"/>
    <mergeCell ref="K51:L51"/>
    <mergeCell ref="O51:P51"/>
  </mergeCells>
  <phoneticPr fontId="36" type="noConversion"/>
  <conditionalFormatting sqref="N14:N19 N40 N28:N33">
    <cfRule type="colorScale" priority="9">
      <colorScale>
        <cfvo type="min"/>
        <cfvo type="percentile" val="50"/>
        <cfvo type="max"/>
        <color rgb="FF63BE7B"/>
        <color rgb="FFFFEB84"/>
        <color rgb="FFF8696B"/>
      </colorScale>
    </cfRule>
  </conditionalFormatting>
  <conditionalFormatting sqref="N34">
    <cfRule type="colorScale" priority="2">
      <colorScale>
        <cfvo type="min"/>
        <cfvo type="percentile" val="50"/>
        <cfvo type="max"/>
        <color rgb="FF63BE7B"/>
        <color rgb="FFFFEB84"/>
        <color rgb="FFF8696B"/>
      </colorScale>
    </cfRule>
  </conditionalFormatting>
  <conditionalFormatting sqref="E64:E65">
    <cfRule type="duplicateValues" dxfId="1406" priority="1"/>
  </conditionalFormatting>
  <conditionalFormatting sqref="N20">
    <cfRule type="colorScale" priority="1984">
      <colorScale>
        <cfvo type="min"/>
        <cfvo type="percentile" val="50"/>
        <cfvo type="max"/>
        <color rgb="FF63BE7B"/>
        <color rgb="FFFFEB84"/>
        <color rgb="FFF8696B"/>
      </colorScale>
    </cfRule>
  </conditionalFormatting>
  <printOptions horizontalCentered="1" verticalCentered="1"/>
  <pageMargins left="0" right="0" top="0" bottom="0" header="0" footer="0"/>
  <pageSetup scale="68" fitToWidth="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Q50"/>
  <sheetViews>
    <sheetView view="pageBreakPreview" zoomScaleNormal="100" zoomScaleSheetLayoutView="100" workbookViewId="0">
      <selection activeCell="I16" sqref="I16:N16"/>
    </sheetView>
  </sheetViews>
  <sheetFormatPr baseColWidth="10" defaultRowHeight="12.75" x14ac:dyDescent="0.2"/>
  <cols>
    <col min="1" max="1" width="2" customWidth="1"/>
    <col min="17" max="17" width="2.7109375" customWidth="1"/>
  </cols>
  <sheetData>
    <row r="1" spans="2:16" ht="7.9" customHeight="1" thickBot="1" x14ac:dyDescent="0.25"/>
    <row r="2" spans="2:16" x14ac:dyDescent="0.2">
      <c r="B2" s="1141" t="str">
        <f>Indice!$B$2</f>
        <v>CONSTRUCCIÓN DE LA FASE 1 DEL PLAN MAESTRO DE ACUEDUCTO DEL MUNICIPIO DE ÍQUIRA, HUILA</v>
      </c>
      <c r="C2" s="1142"/>
      <c r="D2" s="1142"/>
      <c r="E2" s="1142"/>
      <c r="F2" s="1142"/>
      <c r="G2" s="1142"/>
      <c r="H2" s="1142"/>
      <c r="I2" s="1142"/>
      <c r="J2" s="1142"/>
      <c r="K2" s="1143"/>
      <c r="L2" s="1146" t="s">
        <v>0</v>
      </c>
      <c r="M2" s="1147"/>
      <c r="N2" s="1148" t="e">
        <f>O38</f>
        <v>#REF!</v>
      </c>
      <c r="O2" s="1142"/>
      <c r="P2" s="1149"/>
    </row>
    <row r="3" spans="2:16" x14ac:dyDescent="0.2">
      <c r="B3" s="1144"/>
      <c r="C3" s="939"/>
      <c r="D3" s="939"/>
      <c r="E3" s="939"/>
      <c r="F3" s="939"/>
      <c r="G3" s="939"/>
      <c r="H3" s="939"/>
      <c r="I3" s="939"/>
      <c r="J3" s="939"/>
      <c r="K3" s="1054"/>
      <c r="L3" s="1151">
        <f>Indice!$Q$3</f>
        <v>46195</v>
      </c>
      <c r="M3" s="1053"/>
      <c r="N3" s="1029"/>
      <c r="O3" s="939"/>
      <c r="P3" s="1140"/>
    </row>
    <row r="4" spans="2:16" x14ac:dyDescent="0.2">
      <c r="B4" s="1145"/>
      <c r="C4" s="1032"/>
      <c r="D4" s="1032"/>
      <c r="E4" s="1032"/>
      <c r="F4" s="1032"/>
      <c r="G4" s="1032"/>
      <c r="H4" s="1032"/>
      <c r="I4" s="1032"/>
      <c r="J4" s="1032"/>
      <c r="K4" s="1055"/>
      <c r="L4" s="1031"/>
      <c r="M4" s="1055"/>
      <c r="N4" s="1031"/>
      <c r="O4" s="1032"/>
      <c r="P4" s="1150"/>
    </row>
    <row r="5" spans="2:16" ht="13.5" x14ac:dyDescent="0.25">
      <c r="B5" s="373"/>
      <c r="C5" s="374"/>
      <c r="D5" s="374"/>
      <c r="E5" s="374"/>
      <c r="F5" s="374"/>
      <c r="G5" s="374"/>
      <c r="H5" s="374"/>
      <c r="I5" s="374"/>
      <c r="J5" s="374"/>
      <c r="K5" s="374"/>
      <c r="L5" s="374"/>
      <c r="M5" s="374"/>
      <c r="N5" s="375"/>
      <c r="O5" s="376"/>
      <c r="P5" s="377"/>
    </row>
    <row r="6" spans="2:16" ht="12.75" customHeight="1" x14ac:dyDescent="0.2">
      <c r="B6" s="1127" t="s">
        <v>849</v>
      </c>
      <c r="C6" s="1128"/>
      <c r="D6" s="1128"/>
      <c r="E6" s="1128"/>
      <c r="F6" s="1128"/>
      <c r="G6" s="1128"/>
      <c r="H6" s="1128"/>
      <c r="I6" s="1128"/>
      <c r="J6" s="1128"/>
      <c r="K6" s="1128"/>
      <c r="L6" s="1128"/>
      <c r="M6" s="1128"/>
      <c r="N6" s="1128"/>
      <c r="O6" s="1128"/>
      <c r="P6" s="1129"/>
    </row>
    <row r="7" spans="2:16" x14ac:dyDescent="0.2">
      <c r="B7" s="1130"/>
      <c r="C7" s="1131"/>
      <c r="D7" s="1131"/>
      <c r="E7" s="1131"/>
      <c r="F7" s="1131"/>
      <c r="G7" s="1131"/>
      <c r="H7" s="1131"/>
      <c r="I7" s="1131"/>
      <c r="J7" s="1131"/>
      <c r="K7" s="1131"/>
      <c r="L7" s="1131"/>
      <c r="M7" s="1131"/>
      <c r="N7" s="1131"/>
      <c r="O7" s="1131"/>
      <c r="P7" s="1132"/>
    </row>
    <row r="8" spans="2:16" ht="13.5" x14ac:dyDescent="0.25">
      <c r="B8" s="373"/>
      <c r="C8" s="374"/>
      <c r="D8" s="374"/>
      <c r="E8" s="374"/>
      <c r="F8" s="374"/>
      <c r="G8" s="374"/>
      <c r="H8" s="374"/>
      <c r="I8" s="374"/>
      <c r="J8" s="374"/>
      <c r="K8" s="374"/>
      <c r="L8" s="374"/>
      <c r="M8" s="374"/>
      <c r="N8" s="375"/>
      <c r="O8" s="376"/>
      <c r="P8" s="377"/>
    </row>
    <row r="9" spans="2:16" ht="13.5" x14ac:dyDescent="0.25">
      <c r="B9" s="373"/>
      <c r="C9" s="1135" t="s">
        <v>836</v>
      </c>
      <c r="D9" s="1050"/>
      <c r="E9" s="1137">
        <f>'PTO OC PLIEGO'!M191</f>
        <v>192779227.06999999</v>
      </c>
      <c r="F9" s="1050"/>
      <c r="G9" s="374"/>
      <c r="H9" s="374"/>
      <c r="I9" s="374"/>
      <c r="J9" s="374"/>
      <c r="K9" s="374"/>
      <c r="L9" s="374"/>
      <c r="M9" s="374"/>
      <c r="N9" s="374"/>
      <c r="O9" s="374"/>
      <c r="P9" s="378"/>
    </row>
    <row r="10" spans="2:16" ht="13.5" x14ac:dyDescent="0.25">
      <c r="B10" s="373"/>
      <c r="C10" s="374"/>
      <c r="D10" s="374"/>
      <c r="E10" s="374"/>
      <c r="F10" s="374"/>
      <c r="G10" s="374"/>
      <c r="H10" s="374"/>
      <c r="I10" s="374"/>
      <c r="J10" s="374"/>
      <c r="K10" s="374"/>
      <c r="L10" s="374"/>
      <c r="M10" s="374"/>
      <c r="N10" s="374"/>
      <c r="O10" s="374"/>
      <c r="P10" s="378"/>
    </row>
    <row r="11" spans="2:16" x14ac:dyDescent="0.2">
      <c r="B11" s="379" t="s">
        <v>127</v>
      </c>
      <c r="C11" s="1138" t="s">
        <v>837</v>
      </c>
      <c r="D11" s="1139"/>
      <c r="E11" s="1139"/>
      <c r="F11" s="1139"/>
      <c r="G11" s="1139"/>
      <c r="H11" s="1139"/>
      <c r="I11" s="1139"/>
      <c r="J11" s="1139"/>
      <c r="K11" s="1139"/>
      <c r="L11" s="1139"/>
      <c r="M11" s="1139"/>
      <c r="N11" s="1139"/>
      <c r="O11" s="1139"/>
      <c r="P11" s="1140"/>
    </row>
    <row r="12" spans="2:16" x14ac:dyDescent="0.2">
      <c r="B12" s="1133" t="s">
        <v>129</v>
      </c>
      <c r="C12" s="1136" t="s">
        <v>130</v>
      </c>
      <c r="D12" s="1052"/>
      <c r="E12" s="1052"/>
      <c r="F12" s="1052"/>
      <c r="G12" s="1053"/>
      <c r="H12" s="1122" t="s">
        <v>131</v>
      </c>
      <c r="I12" s="1124" t="s">
        <v>132</v>
      </c>
      <c r="J12" s="1122" t="s">
        <v>133</v>
      </c>
      <c r="K12" s="1136" t="s">
        <v>134</v>
      </c>
      <c r="L12" s="1053"/>
      <c r="M12" s="1122" t="s">
        <v>135</v>
      </c>
      <c r="N12" s="1122" t="s">
        <v>136</v>
      </c>
      <c r="O12" s="1136" t="s">
        <v>137</v>
      </c>
      <c r="P12" s="1153"/>
    </row>
    <row r="13" spans="2:16" x14ac:dyDescent="0.2">
      <c r="B13" s="1134"/>
      <c r="C13" s="1031"/>
      <c r="D13" s="1032"/>
      <c r="E13" s="1032"/>
      <c r="F13" s="1032"/>
      <c r="G13" s="1055"/>
      <c r="H13" s="1123"/>
      <c r="I13" s="1123"/>
      <c r="J13" s="1123"/>
      <c r="K13" s="1031"/>
      <c r="L13" s="1055"/>
      <c r="M13" s="1123"/>
      <c r="N13" s="1123"/>
      <c r="O13" s="1031"/>
      <c r="P13" s="1150"/>
    </row>
    <row r="14" spans="2:16" ht="13.5" x14ac:dyDescent="0.2">
      <c r="B14" s="772" t="s">
        <v>138</v>
      </c>
      <c r="C14" s="1126" t="str">
        <f>+AIU!C17</f>
        <v>Profesional Civil (Residente de Obra)</v>
      </c>
      <c r="D14" s="1049"/>
      <c r="E14" s="1049"/>
      <c r="F14" s="1049"/>
      <c r="G14" s="1050"/>
      <c r="H14" s="12">
        <f>+AIU!H17</f>
        <v>0</v>
      </c>
      <c r="I14" s="13">
        <v>1</v>
      </c>
      <c r="J14" s="14">
        <v>4.4999999999999998E-2</v>
      </c>
      <c r="K14" s="1117">
        <f>+AIU!K17</f>
        <v>3500000</v>
      </c>
      <c r="L14" s="1050"/>
      <c r="M14" s="13">
        <f>Indice!$G$7</f>
        <v>6</v>
      </c>
      <c r="N14" s="2" t="e">
        <f>O14/$O$36</f>
        <v>#REF!</v>
      </c>
      <c r="O14" s="1117">
        <f>M14*J14*K14*I14</f>
        <v>945000.00000000012</v>
      </c>
      <c r="P14" s="1118"/>
    </row>
    <row r="15" spans="2:16" ht="13.5" x14ac:dyDescent="0.2">
      <c r="B15" s="772" t="s">
        <v>140</v>
      </c>
      <c r="C15" s="1126" t="e">
        <f>+_xlfn.SINGLE(AIU!#REF!)</f>
        <v>#REF!</v>
      </c>
      <c r="D15" s="1049"/>
      <c r="E15" s="1049"/>
      <c r="F15" s="1049"/>
      <c r="G15" s="1050"/>
      <c r="H15" s="12" t="e">
        <f>+AIU!#REF!</f>
        <v>#REF!</v>
      </c>
      <c r="I15" s="13">
        <v>1</v>
      </c>
      <c r="J15" s="14">
        <v>5.0852950000000001E-2</v>
      </c>
      <c r="K15" s="1117" t="e">
        <f>+_xlfn.SINGLE(AIU!#REF!)</f>
        <v>#REF!</v>
      </c>
      <c r="L15" s="1050"/>
      <c r="M15" s="13">
        <f>Indice!$G$7</f>
        <v>6</v>
      </c>
      <c r="N15" s="2" t="e">
        <f>O15/$O$36</f>
        <v>#REF!</v>
      </c>
      <c r="O15" s="1117" t="e">
        <f>M15*J15*K15*I15</f>
        <v>#REF!</v>
      </c>
      <c r="P15" s="1118"/>
    </row>
    <row r="16" spans="2:16" ht="13.5" x14ac:dyDescent="0.2">
      <c r="B16" s="381"/>
      <c r="C16" s="382"/>
      <c r="D16" s="382"/>
      <c r="E16" s="382"/>
      <c r="F16" s="382"/>
      <c r="G16" s="382"/>
      <c r="H16" s="382"/>
      <c r="I16" s="1119" t="s">
        <v>838</v>
      </c>
      <c r="J16" s="1049"/>
      <c r="K16" s="1049"/>
      <c r="L16" s="1049"/>
      <c r="M16" s="1049"/>
      <c r="N16" s="1050"/>
      <c r="O16" s="1117" t="e">
        <f>SUM(O14:O15)</f>
        <v>#REF!</v>
      </c>
      <c r="P16" s="1118"/>
    </row>
    <row r="17" spans="2:16" ht="13.5" x14ac:dyDescent="0.2">
      <c r="B17" s="381"/>
      <c r="C17" s="382"/>
      <c r="D17" s="382"/>
      <c r="E17" s="382"/>
      <c r="F17" s="382"/>
      <c r="G17" s="382"/>
      <c r="H17" s="382"/>
      <c r="I17" s="1119" t="s">
        <v>155</v>
      </c>
      <c r="J17" s="1049"/>
      <c r="K17" s="1049"/>
      <c r="L17" s="1049"/>
      <c r="M17" s="1049"/>
      <c r="N17" s="1050"/>
      <c r="O17" s="1154">
        <f>'06'!J3</f>
        <v>1.7233500000000002</v>
      </c>
      <c r="P17" s="1118"/>
    </row>
    <row r="18" spans="2:16" ht="13.5" x14ac:dyDescent="0.2">
      <c r="B18" s="381"/>
      <c r="C18" s="382"/>
      <c r="D18" s="382"/>
      <c r="E18" s="382"/>
      <c r="F18" s="382"/>
      <c r="G18" s="382"/>
      <c r="H18" s="382"/>
      <c r="I18" s="1119" t="s">
        <v>839</v>
      </c>
      <c r="J18" s="1049"/>
      <c r="K18" s="1049"/>
      <c r="L18" s="1049"/>
      <c r="M18" s="1049"/>
      <c r="N18" s="1050"/>
      <c r="O18" s="1117" t="e">
        <f>+O16*O17</f>
        <v>#REF!</v>
      </c>
      <c r="P18" s="1118"/>
    </row>
    <row r="19" spans="2:16" ht="13.5" x14ac:dyDescent="0.2">
      <c r="B19" s="383"/>
      <c r="C19" s="384"/>
      <c r="D19" s="384"/>
      <c r="E19" s="384"/>
      <c r="F19" s="384"/>
      <c r="G19" s="384"/>
      <c r="H19" s="322"/>
      <c r="I19" s="322"/>
      <c r="J19" s="322"/>
      <c r="K19" s="322"/>
      <c r="L19" s="322"/>
      <c r="M19" s="322"/>
      <c r="N19" s="322"/>
      <c r="O19" s="322"/>
      <c r="P19" s="385"/>
    </row>
    <row r="20" spans="2:16" x14ac:dyDescent="0.2">
      <c r="B20" s="386" t="s">
        <v>157</v>
      </c>
      <c r="C20" s="1155" t="s">
        <v>1967</v>
      </c>
      <c r="D20" s="1049"/>
      <c r="E20" s="1049"/>
      <c r="F20" s="1049"/>
      <c r="G20" s="1049"/>
      <c r="H20" s="1049"/>
      <c r="I20" s="1049"/>
      <c r="J20" s="1049"/>
      <c r="K20" s="1049"/>
      <c r="L20" s="1049"/>
      <c r="M20" s="1049"/>
      <c r="N20" s="1049"/>
      <c r="O20" s="1049"/>
      <c r="P20" s="1118"/>
    </row>
    <row r="21" spans="2:16" x14ac:dyDescent="0.2">
      <c r="B21" s="1133" t="s">
        <v>129</v>
      </c>
      <c r="C21" s="1136" t="s">
        <v>38</v>
      </c>
      <c r="D21" s="1052"/>
      <c r="E21" s="1052"/>
      <c r="F21" s="1052"/>
      <c r="G21" s="1052"/>
      <c r="H21" s="1053"/>
      <c r="I21" s="1122" t="s">
        <v>39</v>
      </c>
      <c r="J21" s="1122" t="s">
        <v>132</v>
      </c>
      <c r="K21" s="1136" t="s">
        <v>134</v>
      </c>
      <c r="L21" s="1053"/>
      <c r="M21" s="1122" t="s">
        <v>159</v>
      </c>
      <c r="N21" s="1122" t="s">
        <v>136</v>
      </c>
      <c r="O21" s="1136" t="s">
        <v>137</v>
      </c>
      <c r="P21" s="1153"/>
    </row>
    <row r="22" spans="2:16" x14ac:dyDescent="0.2">
      <c r="B22" s="1134"/>
      <c r="C22" s="1031"/>
      <c r="D22" s="1032"/>
      <c r="E22" s="1032"/>
      <c r="F22" s="1032"/>
      <c r="G22" s="1032"/>
      <c r="H22" s="1055"/>
      <c r="I22" s="1123"/>
      <c r="J22" s="1123"/>
      <c r="K22" s="1031"/>
      <c r="L22" s="1055"/>
      <c r="M22" s="1123"/>
      <c r="N22" s="1123"/>
      <c r="O22" s="1031"/>
      <c r="P22" s="1150"/>
    </row>
    <row r="23" spans="2:16" ht="13.5" x14ac:dyDescent="0.2">
      <c r="B23" s="387" t="s">
        <v>175</v>
      </c>
      <c r="C23" s="1121" t="s">
        <v>1958</v>
      </c>
      <c r="D23" s="1049"/>
      <c r="E23" s="1049"/>
      <c r="F23" s="1049"/>
      <c r="G23" s="1049"/>
      <c r="H23" s="1050"/>
      <c r="I23" s="15" t="s">
        <v>161</v>
      </c>
      <c r="J23" s="831">
        <v>1</v>
      </c>
      <c r="K23" s="1117">
        <f>+'10'!$Q$56</f>
        <v>3935740</v>
      </c>
      <c r="L23" s="1050"/>
      <c r="M23" s="13">
        <v>1</v>
      </c>
      <c r="N23" s="2" t="e">
        <f>O23/$O$36</f>
        <v>#REF!</v>
      </c>
      <c r="O23" s="1117">
        <f>K23*J23*M23</f>
        <v>3935740</v>
      </c>
      <c r="P23" s="1118"/>
    </row>
    <row r="24" spans="2:16" ht="13.5" x14ac:dyDescent="0.2">
      <c r="B24" s="381"/>
      <c r="C24" s="382"/>
      <c r="D24" s="382"/>
      <c r="E24" s="382"/>
      <c r="F24" s="382"/>
      <c r="G24" s="388"/>
      <c r="H24" s="382"/>
      <c r="I24" s="1119" t="s">
        <v>840</v>
      </c>
      <c r="J24" s="1049"/>
      <c r="K24" s="1049"/>
      <c r="L24" s="1049"/>
      <c r="M24" s="1049"/>
      <c r="N24" s="1050"/>
      <c r="O24" s="1117">
        <f>SUM(O23:O23)</f>
        <v>3935740</v>
      </c>
      <c r="P24" s="1118"/>
    </row>
    <row r="25" spans="2:16" ht="13.5" x14ac:dyDescent="0.2">
      <c r="B25" s="383"/>
      <c r="C25" s="384"/>
      <c r="D25" s="384"/>
      <c r="E25" s="384"/>
      <c r="F25" s="384"/>
      <c r="G25" s="384"/>
      <c r="H25" s="322"/>
      <c r="I25" s="322"/>
      <c r="J25" s="322"/>
      <c r="K25" s="322"/>
      <c r="L25" s="322"/>
      <c r="M25" s="322"/>
      <c r="N25" s="322"/>
      <c r="O25" s="322"/>
      <c r="P25" s="385"/>
    </row>
    <row r="26" spans="2:16" x14ac:dyDescent="0.2">
      <c r="B26" s="386" t="s">
        <v>176</v>
      </c>
      <c r="C26" s="1155" t="s">
        <v>177</v>
      </c>
      <c r="D26" s="1049"/>
      <c r="E26" s="1049"/>
      <c r="F26" s="1049"/>
      <c r="G26" s="1049"/>
      <c r="H26" s="1049"/>
      <c r="I26" s="1049"/>
      <c r="J26" s="1049"/>
      <c r="K26" s="1049"/>
      <c r="L26" s="1049"/>
      <c r="M26" s="1049"/>
      <c r="N26" s="1049"/>
      <c r="O26" s="1049"/>
      <c r="P26" s="1118"/>
    </row>
    <row r="27" spans="2:16" x14ac:dyDescent="0.2">
      <c r="B27" s="1133" t="s">
        <v>129</v>
      </c>
      <c r="C27" s="1136" t="s">
        <v>38</v>
      </c>
      <c r="D27" s="1052"/>
      <c r="E27" s="1052"/>
      <c r="F27" s="1052"/>
      <c r="G27" s="1052"/>
      <c r="H27" s="1053"/>
      <c r="I27" s="1122" t="s">
        <v>39</v>
      </c>
      <c r="J27" s="1122" t="s">
        <v>132</v>
      </c>
      <c r="K27" s="1136" t="s">
        <v>134</v>
      </c>
      <c r="L27" s="1053"/>
      <c r="M27" s="1122" t="s">
        <v>159</v>
      </c>
      <c r="N27" s="1122" t="s">
        <v>136</v>
      </c>
      <c r="O27" s="1136" t="s">
        <v>137</v>
      </c>
      <c r="P27" s="1153"/>
    </row>
    <row r="28" spans="2:16" x14ac:dyDescent="0.2">
      <c r="B28" s="1134"/>
      <c r="C28" s="1031"/>
      <c r="D28" s="1032"/>
      <c r="E28" s="1032"/>
      <c r="F28" s="1032"/>
      <c r="G28" s="1032"/>
      <c r="H28" s="1055"/>
      <c r="I28" s="1123"/>
      <c r="J28" s="1123"/>
      <c r="K28" s="1031"/>
      <c r="L28" s="1055"/>
      <c r="M28" s="1123"/>
      <c r="N28" s="1123"/>
      <c r="O28" s="1031"/>
      <c r="P28" s="1150"/>
    </row>
    <row r="29" spans="2:16" ht="13.5" x14ac:dyDescent="0.2">
      <c r="B29" s="387" t="s">
        <v>178</v>
      </c>
      <c r="C29" s="1121" t="s">
        <v>1486</v>
      </c>
      <c r="D29" s="1049"/>
      <c r="E29" s="1049"/>
      <c r="F29" s="1049"/>
      <c r="G29" s="1049"/>
      <c r="H29" s="1050"/>
      <c r="I29" s="15" t="s">
        <v>180</v>
      </c>
      <c r="J29" s="14">
        <v>0.01</v>
      </c>
      <c r="K29" s="1117">
        <f>ROUND((J29*$E$9),0)</f>
        <v>1927792</v>
      </c>
      <c r="L29" s="1050"/>
      <c r="M29" s="13">
        <v>1</v>
      </c>
      <c r="N29" s="2" t="e">
        <f>O29/$O$36</f>
        <v>#REF!</v>
      </c>
      <c r="O29" s="1117">
        <f>+K29*M29</f>
        <v>1927792</v>
      </c>
      <c r="P29" s="1118"/>
    </row>
    <row r="30" spans="2:16" ht="13.5" x14ac:dyDescent="0.2">
      <c r="B30" s="387" t="s">
        <v>181</v>
      </c>
      <c r="C30" s="1121" t="s">
        <v>1487</v>
      </c>
      <c r="D30" s="1049"/>
      <c r="E30" s="1049"/>
      <c r="F30" s="1049"/>
      <c r="G30" s="1049"/>
      <c r="H30" s="1050"/>
      <c r="I30" s="15" t="s">
        <v>180</v>
      </c>
      <c r="J30" s="14">
        <v>0.01</v>
      </c>
      <c r="K30" s="1117">
        <f>ROUND((J30*$E$9),0)</f>
        <v>1927792</v>
      </c>
      <c r="L30" s="1050"/>
      <c r="M30" s="13">
        <v>1</v>
      </c>
      <c r="N30" s="2" t="e">
        <f t="shared" ref="N30:N33" si="0">O30/$O$36</f>
        <v>#REF!</v>
      </c>
      <c r="O30" s="1117">
        <f>+K30*M30</f>
        <v>1927792</v>
      </c>
      <c r="P30" s="1118"/>
    </row>
    <row r="31" spans="2:16" ht="13.5" x14ac:dyDescent="0.2">
      <c r="B31" s="387" t="s">
        <v>183</v>
      </c>
      <c r="C31" s="1121" t="s">
        <v>1488</v>
      </c>
      <c r="D31" s="1049"/>
      <c r="E31" s="1049"/>
      <c r="F31" s="1049"/>
      <c r="G31" s="1049"/>
      <c r="H31" s="1050"/>
      <c r="I31" s="15" t="s">
        <v>180</v>
      </c>
      <c r="J31" s="14">
        <v>4.0000000000000001E-3</v>
      </c>
      <c r="K31" s="1117">
        <f>ROUND((J31*$E$9),0)</f>
        <v>771117</v>
      </c>
      <c r="L31" s="1050"/>
      <c r="M31" s="13">
        <v>1</v>
      </c>
      <c r="N31" s="2" t="e">
        <f t="shared" si="0"/>
        <v>#REF!</v>
      </c>
      <c r="O31" s="1117">
        <f>+K31*M31</f>
        <v>771117</v>
      </c>
      <c r="P31" s="1118"/>
    </row>
    <row r="32" spans="2:16" ht="13.5" x14ac:dyDescent="0.2">
      <c r="B32" s="387" t="s">
        <v>185</v>
      </c>
      <c r="C32" s="1121" t="s">
        <v>1489</v>
      </c>
      <c r="D32" s="1049"/>
      <c r="E32" s="1049"/>
      <c r="F32" s="1049"/>
      <c r="G32" s="1049"/>
      <c r="H32" s="1050"/>
      <c r="I32" s="15" t="s">
        <v>180</v>
      </c>
      <c r="J32" s="14">
        <v>0.01</v>
      </c>
      <c r="K32" s="1117">
        <f>ROUND((J32*$E$9),0)</f>
        <v>1927792</v>
      </c>
      <c r="L32" s="1050"/>
      <c r="M32" s="13">
        <v>1</v>
      </c>
      <c r="N32" s="2" t="e">
        <f t="shared" si="0"/>
        <v>#REF!</v>
      </c>
      <c r="O32" s="1117">
        <f>+K32*M32</f>
        <v>1927792</v>
      </c>
      <c r="P32" s="1118"/>
    </row>
    <row r="33" spans="2:17" ht="13.5" x14ac:dyDescent="0.2">
      <c r="B33" s="387" t="s">
        <v>187</v>
      </c>
      <c r="C33" s="1121" t="s">
        <v>1490</v>
      </c>
      <c r="D33" s="1049"/>
      <c r="E33" s="1049"/>
      <c r="F33" s="1049"/>
      <c r="G33" s="1049"/>
      <c r="H33" s="1050"/>
      <c r="I33" s="15" t="s">
        <v>180</v>
      </c>
      <c r="J33" s="14">
        <v>0.02</v>
      </c>
      <c r="K33" s="1117">
        <f>ROUND((J33*$E$9),0)</f>
        <v>3855585</v>
      </c>
      <c r="L33" s="1050"/>
      <c r="M33" s="13">
        <v>1</v>
      </c>
      <c r="N33" s="2" t="e">
        <f t="shared" si="0"/>
        <v>#REF!</v>
      </c>
      <c r="O33" s="1117">
        <f>+K33*M33</f>
        <v>3855585</v>
      </c>
      <c r="P33" s="1118"/>
    </row>
    <row r="34" spans="2:17" ht="13.5" x14ac:dyDescent="0.25">
      <c r="B34" s="381"/>
      <c r="C34" s="382"/>
      <c r="D34" s="374"/>
      <c r="E34" s="374"/>
      <c r="F34" s="374"/>
      <c r="G34" s="374"/>
      <c r="H34" s="382"/>
      <c r="I34" s="1119" t="s">
        <v>172</v>
      </c>
      <c r="J34" s="1049"/>
      <c r="K34" s="1049"/>
      <c r="L34" s="1049"/>
      <c r="M34" s="1049"/>
      <c r="N34" s="1050"/>
      <c r="O34" s="1117">
        <f>SUM(O29:O33)</f>
        <v>10410078</v>
      </c>
      <c r="P34" s="1118"/>
    </row>
    <row r="35" spans="2:17" ht="13.5" x14ac:dyDescent="0.2">
      <c r="B35" s="383"/>
      <c r="C35" s="384"/>
      <c r="D35" s="384"/>
      <c r="E35" s="384"/>
      <c r="F35" s="384"/>
      <c r="G35" s="384"/>
      <c r="H35" s="322"/>
      <c r="I35" s="322"/>
      <c r="J35" s="322"/>
      <c r="K35" s="322"/>
      <c r="L35" s="322"/>
      <c r="M35" s="322"/>
      <c r="N35" s="322"/>
      <c r="O35" s="322"/>
      <c r="P35" s="385"/>
    </row>
    <row r="36" spans="2:17" ht="13.5" x14ac:dyDescent="0.25">
      <c r="B36" s="381"/>
      <c r="C36" s="382"/>
      <c r="D36" s="374"/>
      <c r="E36" s="374"/>
      <c r="F36" s="374"/>
      <c r="G36" s="374"/>
      <c r="H36" s="382"/>
      <c r="I36" s="1119" t="s">
        <v>841</v>
      </c>
      <c r="J36" s="1049"/>
      <c r="K36" s="1049"/>
      <c r="L36" s="1049"/>
      <c r="M36" s="1049"/>
      <c r="N36" s="1050"/>
      <c r="O36" s="1117" t="e">
        <f>O18+O24</f>
        <v>#REF!</v>
      </c>
      <c r="P36" s="1118"/>
    </row>
    <row r="37" spans="2:17" ht="13.5" x14ac:dyDescent="0.25">
      <c r="B37" s="381"/>
      <c r="C37" s="382"/>
      <c r="D37" s="374"/>
      <c r="E37" s="374"/>
      <c r="F37" s="374"/>
      <c r="G37" s="374"/>
      <c r="H37" s="382"/>
      <c r="I37" s="1119" t="s">
        <v>191</v>
      </c>
      <c r="J37" s="1049"/>
      <c r="K37" s="1049"/>
      <c r="L37" s="1049"/>
      <c r="M37" s="1049"/>
      <c r="N37" s="1050"/>
      <c r="O37" s="1154">
        <v>1</v>
      </c>
      <c r="P37" s="1156"/>
    </row>
    <row r="38" spans="2:17" ht="13.5" x14ac:dyDescent="0.25">
      <c r="B38" s="381"/>
      <c r="C38" s="76"/>
      <c r="D38" s="76"/>
      <c r="E38" s="76"/>
      <c r="F38" s="76"/>
      <c r="G38" s="374"/>
      <c r="H38" s="382"/>
      <c r="I38" s="1119" t="s">
        <v>192</v>
      </c>
      <c r="J38" s="1049"/>
      <c r="K38" s="1049"/>
      <c r="L38" s="1049"/>
      <c r="M38" s="1049"/>
      <c r="N38" s="1050"/>
      <c r="O38" s="1117" t="e">
        <f>O36*O37</f>
        <v>#REF!</v>
      </c>
      <c r="P38" s="1118"/>
    </row>
    <row r="39" spans="2:17" ht="13.5" x14ac:dyDescent="0.25">
      <c r="B39" s="381"/>
      <c r="C39" s="76"/>
      <c r="D39" s="76"/>
      <c r="E39" s="76"/>
      <c r="F39" s="76"/>
      <c r="G39" s="374"/>
      <c r="H39" s="374"/>
      <c r="I39" s="382"/>
      <c r="J39" s="382"/>
      <c r="K39" s="382"/>
      <c r="L39" s="382"/>
      <c r="M39" s="382"/>
      <c r="N39" s="382"/>
      <c r="O39" s="382"/>
      <c r="P39" s="395"/>
      <c r="Q39" s="8"/>
    </row>
    <row r="40" spans="2:17" x14ac:dyDescent="0.2">
      <c r="B40" s="389"/>
      <c r="C40" s="76"/>
      <c r="D40" s="76"/>
      <c r="E40" s="76"/>
      <c r="F40" s="76"/>
      <c r="G40" s="76"/>
      <c r="H40" s="76"/>
      <c r="I40" s="76"/>
      <c r="J40" s="76"/>
      <c r="K40" s="76"/>
      <c r="L40" s="76"/>
      <c r="M40" s="76"/>
      <c r="N40" s="76"/>
      <c r="O40" s="76"/>
      <c r="P40" s="773">
        <f>+'PTO OC PLIEGO'!L192</f>
        <v>9.9999999999999992E-2</v>
      </c>
    </row>
    <row r="41" spans="2:17" x14ac:dyDescent="0.2">
      <c r="B41" s="389"/>
      <c r="C41" s="76"/>
      <c r="D41" s="76"/>
      <c r="E41" s="76"/>
      <c r="F41" s="76"/>
      <c r="G41" s="76"/>
      <c r="H41" s="76"/>
      <c r="I41" s="76"/>
      <c r="J41" s="76"/>
      <c r="K41" s="76"/>
      <c r="L41" s="76"/>
      <c r="M41" s="76"/>
      <c r="N41" s="76"/>
      <c r="O41" s="76"/>
      <c r="P41" s="390"/>
    </row>
    <row r="42" spans="2:17" x14ac:dyDescent="0.2">
      <c r="B42" s="389"/>
      <c r="C42" s="76"/>
      <c r="D42" s="76"/>
      <c r="E42" s="76"/>
      <c r="F42" s="76"/>
      <c r="G42" s="76"/>
      <c r="H42" s="76"/>
      <c r="I42" s="76"/>
      <c r="J42" s="76"/>
      <c r="K42" s="76"/>
      <c r="L42" s="76"/>
      <c r="M42" s="76"/>
      <c r="N42" s="76"/>
      <c r="O42" s="76"/>
      <c r="P42" s="390"/>
    </row>
    <row r="43" spans="2:17" x14ac:dyDescent="0.2">
      <c r="B43" s="389"/>
      <c r="C43" s="76"/>
      <c r="D43" s="76"/>
      <c r="E43" s="76"/>
      <c r="F43" s="76"/>
      <c r="G43" s="76"/>
      <c r="H43" s="76"/>
      <c r="I43" s="76"/>
      <c r="J43" s="76"/>
      <c r="K43" s="76"/>
      <c r="L43" s="76"/>
      <c r="M43" s="76"/>
      <c r="N43" s="76"/>
      <c r="O43" s="76"/>
      <c r="P43" s="390"/>
    </row>
    <row r="44" spans="2:17" x14ac:dyDescent="0.2">
      <c r="B44" s="389"/>
      <c r="C44" s="76"/>
      <c r="D44" s="76"/>
      <c r="E44" s="76"/>
      <c r="F44" s="76"/>
      <c r="G44" s="76"/>
      <c r="H44" s="76"/>
      <c r="I44" s="76"/>
      <c r="J44" s="76"/>
      <c r="K44" s="76"/>
      <c r="L44" s="76"/>
      <c r="M44" s="76"/>
      <c r="N44" s="76"/>
      <c r="O44" s="76"/>
      <c r="P44" s="390"/>
    </row>
    <row r="45" spans="2:17" ht="14.25" thickBot="1" x14ac:dyDescent="0.3">
      <c r="B45" s="389"/>
      <c r="C45" s="76"/>
      <c r="D45" s="76"/>
      <c r="E45" s="328"/>
      <c r="F45" s="328"/>
      <c r="G45" s="328"/>
      <c r="H45" s="328"/>
      <c r="I45" s="76"/>
      <c r="J45" s="78"/>
      <c r="K45" s="78"/>
      <c r="L45" s="78"/>
      <c r="M45" s="78"/>
      <c r="N45" s="76"/>
      <c r="O45" s="76"/>
      <c r="P45" s="390"/>
    </row>
    <row r="46" spans="2:17" ht="14.25" thickTop="1" x14ac:dyDescent="0.2">
      <c r="B46" s="389"/>
      <c r="C46" s="76"/>
      <c r="D46" s="76"/>
      <c r="E46" s="912" t="s">
        <v>1961</v>
      </c>
      <c r="F46" s="912"/>
      <c r="G46" s="912"/>
      <c r="H46" s="912"/>
      <c r="I46" s="76"/>
      <c r="J46" s="912" t="s">
        <v>1964</v>
      </c>
      <c r="K46" s="942"/>
      <c r="L46" s="942"/>
      <c r="M46" s="942"/>
      <c r="N46" s="76"/>
      <c r="O46" s="76"/>
      <c r="P46" s="390"/>
    </row>
    <row r="47" spans="2:17" ht="13.5" x14ac:dyDescent="0.25">
      <c r="B47" s="389"/>
      <c r="C47" s="76"/>
      <c r="D47" s="76"/>
      <c r="E47" s="926" t="s">
        <v>1962</v>
      </c>
      <c r="F47" s="927"/>
      <c r="G47" s="927"/>
      <c r="H47" s="927"/>
      <c r="I47" s="76"/>
      <c r="J47" s="938" t="s">
        <v>1965</v>
      </c>
      <c r="K47" s="939"/>
      <c r="L47" s="939"/>
      <c r="M47" s="939"/>
      <c r="N47" s="76"/>
      <c r="O47" s="76"/>
      <c r="P47" s="390"/>
    </row>
    <row r="48" spans="2:17" x14ac:dyDescent="0.2">
      <c r="B48" s="389"/>
      <c r="C48" s="76"/>
      <c r="D48" s="76"/>
      <c r="E48" s="1046" t="s">
        <v>1963</v>
      </c>
      <c r="F48" s="1046"/>
      <c r="G48" s="1046"/>
      <c r="H48" s="1046"/>
      <c r="I48" s="76"/>
      <c r="J48" s="1046" t="s">
        <v>1966</v>
      </c>
      <c r="K48" s="1046"/>
      <c r="L48" s="1046"/>
      <c r="M48" s="1046"/>
      <c r="N48" s="76"/>
      <c r="O48" s="76"/>
      <c r="P48" s="390"/>
    </row>
    <row r="49" spans="2:16" ht="14.25" thickBot="1" x14ac:dyDescent="0.3">
      <c r="B49" s="392"/>
      <c r="C49" s="393"/>
      <c r="D49" s="393"/>
      <c r="E49" s="393"/>
      <c r="F49" s="393"/>
      <c r="G49" s="1157"/>
      <c r="H49" s="1158"/>
      <c r="I49" s="1158"/>
      <c r="J49" s="1158"/>
      <c r="K49" s="393"/>
      <c r="L49" s="393"/>
      <c r="M49" s="393"/>
      <c r="N49" s="393"/>
      <c r="O49" s="393"/>
      <c r="P49" s="394"/>
    </row>
    <row r="50" spans="2:16" ht="7.9" customHeight="1" x14ac:dyDescent="0.2"/>
  </sheetData>
  <mergeCells count="82">
    <mergeCell ref="C33:H33"/>
    <mergeCell ref="K33:L33"/>
    <mergeCell ref="O33:P33"/>
    <mergeCell ref="I34:N34"/>
    <mergeCell ref="O34:P34"/>
    <mergeCell ref="C31:H31"/>
    <mergeCell ref="K31:L31"/>
    <mergeCell ref="O31:P31"/>
    <mergeCell ref="C32:H32"/>
    <mergeCell ref="K32:L32"/>
    <mergeCell ref="O32:P32"/>
    <mergeCell ref="B27:B28"/>
    <mergeCell ref="C27:H28"/>
    <mergeCell ref="I27:I28"/>
    <mergeCell ref="J27:J28"/>
    <mergeCell ref="K27:L28"/>
    <mergeCell ref="G49:J49"/>
    <mergeCell ref="J48:M48"/>
    <mergeCell ref="I38:N38"/>
    <mergeCell ref="O38:P38"/>
    <mergeCell ref="J46:M46"/>
    <mergeCell ref="E47:H47"/>
    <mergeCell ref="J47:M47"/>
    <mergeCell ref="E46:H46"/>
    <mergeCell ref="E48:H48"/>
    <mergeCell ref="I36:N36"/>
    <mergeCell ref="O36:P36"/>
    <mergeCell ref="I37:N37"/>
    <mergeCell ref="O37:P37"/>
    <mergeCell ref="I24:N24"/>
    <mergeCell ref="O24:P24"/>
    <mergeCell ref="C26:P26"/>
    <mergeCell ref="M27:M28"/>
    <mergeCell ref="N27:N28"/>
    <mergeCell ref="O27:P28"/>
    <mergeCell ref="C29:H29"/>
    <mergeCell ref="K29:L29"/>
    <mergeCell ref="O29:P29"/>
    <mergeCell ref="C30:H30"/>
    <mergeCell ref="K30:L30"/>
    <mergeCell ref="O30:P30"/>
    <mergeCell ref="C23:H23"/>
    <mergeCell ref="K23:L23"/>
    <mergeCell ref="O23:P23"/>
    <mergeCell ref="B21:B22"/>
    <mergeCell ref="C21:H22"/>
    <mergeCell ref="I21:I22"/>
    <mergeCell ref="J21:J22"/>
    <mergeCell ref="K21:L22"/>
    <mergeCell ref="O21:P22"/>
    <mergeCell ref="I17:N17"/>
    <mergeCell ref="O17:P17"/>
    <mergeCell ref="C14:G14"/>
    <mergeCell ref="K14:L14"/>
    <mergeCell ref="O14:P14"/>
    <mergeCell ref="C15:G15"/>
    <mergeCell ref="K15:L15"/>
    <mergeCell ref="O15:P15"/>
    <mergeCell ref="I16:N16"/>
    <mergeCell ref="O16:P16"/>
    <mergeCell ref="I18:N18"/>
    <mergeCell ref="O18:P18"/>
    <mergeCell ref="C20:P20"/>
    <mergeCell ref="M21:M22"/>
    <mergeCell ref="N21:N22"/>
    <mergeCell ref="C9:D9"/>
    <mergeCell ref="E9:F9"/>
    <mergeCell ref="C11:P11"/>
    <mergeCell ref="B12:B13"/>
    <mergeCell ref="C12:G13"/>
    <mergeCell ref="H12:H13"/>
    <mergeCell ref="I12:I13"/>
    <mergeCell ref="J12:J13"/>
    <mergeCell ref="K12:L13"/>
    <mergeCell ref="M12:M13"/>
    <mergeCell ref="N12:N13"/>
    <mergeCell ref="O12:P13"/>
    <mergeCell ref="B2:K4"/>
    <mergeCell ref="L2:M2"/>
    <mergeCell ref="N2:P4"/>
    <mergeCell ref="L3:M4"/>
    <mergeCell ref="B6:P7"/>
  </mergeCells>
  <conditionalFormatting sqref="E46:E47">
    <cfRule type="duplicateValues" dxfId="1405" priority="3"/>
  </conditionalFormatting>
  <conditionalFormatting sqref="N29:N33">
    <cfRule type="colorScale" priority="2">
      <colorScale>
        <cfvo type="min"/>
        <cfvo type="percentile" val="50"/>
        <cfvo type="max"/>
        <color rgb="FF63BE7B"/>
        <color rgb="FFFFEB84"/>
        <color rgb="FFF8696B"/>
      </colorScale>
    </cfRule>
  </conditionalFormatting>
  <conditionalFormatting sqref="N23">
    <cfRule type="colorScale" priority="1">
      <colorScale>
        <cfvo type="min"/>
        <cfvo type="percentile" val="50"/>
        <cfvo type="max"/>
        <color rgb="FF63BE7B"/>
        <color rgb="FFFFEB84"/>
        <color rgb="FFF8696B"/>
      </colorScale>
    </cfRule>
  </conditionalFormatting>
  <conditionalFormatting sqref="N14:N15">
    <cfRule type="colorScale" priority="1978">
      <colorScale>
        <cfvo type="min"/>
        <cfvo type="percentile" val="50"/>
        <cfvo type="max"/>
        <color rgb="FF63BE7B"/>
        <color rgb="FFFFEB84"/>
        <color rgb="FFF8696B"/>
      </colorScale>
    </cfRule>
  </conditionalFormatting>
  <printOptions horizontalCentered="1" verticalCentered="1"/>
  <pageMargins left="0" right="0" top="0" bottom="0" header="0" footer="0"/>
  <pageSetup scale="78"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R47"/>
  <sheetViews>
    <sheetView view="pageBreakPreview" zoomScaleNormal="100" zoomScaleSheetLayoutView="100" workbookViewId="0">
      <selection activeCell="N2" sqref="N2:P4"/>
    </sheetView>
  </sheetViews>
  <sheetFormatPr baseColWidth="10" defaultRowHeight="12.75" x14ac:dyDescent="0.2"/>
  <cols>
    <col min="1" max="1" width="4.28515625" customWidth="1"/>
    <col min="17" max="17" width="4.42578125" customWidth="1"/>
  </cols>
  <sheetData>
    <row r="1" spans="2:18" ht="13.5" thickBot="1" x14ac:dyDescent="0.25"/>
    <row r="2" spans="2:18" x14ac:dyDescent="0.2">
      <c r="B2" s="1141" t="str">
        <f>Indice!$B$2</f>
        <v>CONSTRUCCIÓN DE LA FASE 1 DEL PLAN MAESTRO DE ACUEDUCTO DEL MUNICIPIO DE ÍQUIRA, HUILA</v>
      </c>
      <c r="C2" s="1142"/>
      <c r="D2" s="1142"/>
      <c r="E2" s="1142"/>
      <c r="F2" s="1142"/>
      <c r="G2" s="1142"/>
      <c r="H2" s="1142"/>
      <c r="I2" s="1142"/>
      <c r="J2" s="1142"/>
      <c r="K2" s="1143"/>
      <c r="L2" s="1146" t="s">
        <v>0</v>
      </c>
      <c r="M2" s="1147"/>
      <c r="N2" s="1148" t="e">
        <f>O35</f>
        <v>#REF!</v>
      </c>
      <c r="O2" s="1142"/>
      <c r="P2" s="1149"/>
    </row>
    <row r="3" spans="2:18" x14ac:dyDescent="0.2">
      <c r="B3" s="1144"/>
      <c r="C3" s="939"/>
      <c r="D3" s="939"/>
      <c r="E3" s="939"/>
      <c r="F3" s="939"/>
      <c r="G3" s="939"/>
      <c r="H3" s="939"/>
      <c r="I3" s="939"/>
      <c r="J3" s="939"/>
      <c r="K3" s="1054"/>
      <c r="L3" s="1151">
        <f>Indice!$Q$3</f>
        <v>46195</v>
      </c>
      <c r="M3" s="1053"/>
      <c r="N3" s="1029"/>
      <c r="O3" s="939"/>
      <c r="P3" s="1140"/>
    </row>
    <row r="4" spans="2:18" x14ac:dyDescent="0.2">
      <c r="B4" s="1145"/>
      <c r="C4" s="1032"/>
      <c r="D4" s="1032"/>
      <c r="E4" s="1032"/>
      <c r="F4" s="1032"/>
      <c r="G4" s="1032"/>
      <c r="H4" s="1032"/>
      <c r="I4" s="1032"/>
      <c r="J4" s="1032"/>
      <c r="K4" s="1055"/>
      <c r="L4" s="1031"/>
      <c r="M4" s="1055"/>
      <c r="N4" s="1031"/>
      <c r="O4" s="1032"/>
      <c r="P4" s="1150"/>
    </row>
    <row r="5" spans="2:18" ht="13.5" x14ac:dyDescent="0.25">
      <c r="B5" s="373"/>
      <c r="C5" s="374"/>
      <c r="D5" s="374"/>
      <c r="E5" s="374"/>
      <c r="F5" s="374"/>
      <c r="G5" s="374"/>
      <c r="H5" s="374"/>
      <c r="I5" s="374"/>
      <c r="J5" s="374"/>
      <c r="K5" s="374"/>
      <c r="L5" s="374"/>
      <c r="M5" s="374"/>
      <c r="N5" s="375"/>
      <c r="O5" s="376"/>
      <c r="P5" s="377"/>
    </row>
    <row r="6" spans="2:18" ht="12.75" customHeight="1" x14ac:dyDescent="0.2">
      <c r="B6" s="1127" t="s">
        <v>846</v>
      </c>
      <c r="C6" s="1128"/>
      <c r="D6" s="1128"/>
      <c r="E6" s="1128"/>
      <c r="F6" s="1128"/>
      <c r="G6" s="1128"/>
      <c r="H6" s="1128"/>
      <c r="I6" s="1128"/>
      <c r="J6" s="1128"/>
      <c r="K6" s="1128"/>
      <c r="L6" s="1128"/>
      <c r="M6" s="1128"/>
      <c r="N6" s="1128"/>
      <c r="O6" s="1128"/>
      <c r="P6" s="1129"/>
    </row>
    <row r="7" spans="2:18" x14ac:dyDescent="0.2">
      <c r="B7" s="1130"/>
      <c r="C7" s="1131"/>
      <c r="D7" s="1131"/>
      <c r="E7" s="1131"/>
      <c r="F7" s="1131"/>
      <c r="G7" s="1131"/>
      <c r="H7" s="1131"/>
      <c r="I7" s="1131"/>
      <c r="J7" s="1131"/>
      <c r="K7" s="1131"/>
      <c r="L7" s="1131"/>
      <c r="M7" s="1131"/>
      <c r="N7" s="1131"/>
      <c r="O7" s="1131"/>
      <c r="P7" s="1132"/>
    </row>
    <row r="8" spans="2:18" ht="13.5" x14ac:dyDescent="0.25">
      <c r="B8" s="373"/>
      <c r="C8" s="374"/>
      <c r="D8" s="374"/>
      <c r="E8" s="374"/>
      <c r="F8" s="374"/>
      <c r="G8" s="374"/>
      <c r="H8" s="374"/>
      <c r="I8" s="374"/>
      <c r="J8" s="374"/>
      <c r="K8" s="374"/>
      <c r="L8" s="374"/>
      <c r="M8" s="374"/>
      <c r="N8" s="375"/>
      <c r="O8" s="376"/>
      <c r="P8" s="377"/>
    </row>
    <row r="9" spans="2:18" x14ac:dyDescent="0.2">
      <c r="B9" s="379" t="s">
        <v>127</v>
      </c>
      <c r="C9" s="1138" t="s">
        <v>128</v>
      </c>
      <c r="D9" s="1139"/>
      <c r="E9" s="1139"/>
      <c r="F9" s="1139"/>
      <c r="G9" s="1139"/>
      <c r="H9" s="1139"/>
      <c r="I9" s="1139"/>
      <c r="J9" s="1139"/>
      <c r="K9" s="1139"/>
      <c r="L9" s="1139"/>
      <c r="M9" s="1139"/>
      <c r="N9" s="1139"/>
      <c r="O9" s="1139"/>
      <c r="P9" s="1140"/>
    </row>
    <row r="10" spans="2:18" x14ac:dyDescent="0.2">
      <c r="B10" s="1133" t="s">
        <v>129</v>
      </c>
      <c r="C10" s="1136" t="s">
        <v>130</v>
      </c>
      <c r="D10" s="1052"/>
      <c r="E10" s="1052"/>
      <c r="F10" s="1052"/>
      <c r="G10" s="1053"/>
      <c r="H10" s="1122" t="s">
        <v>131</v>
      </c>
      <c r="I10" s="1122" t="s">
        <v>132</v>
      </c>
      <c r="J10" s="1122" t="s">
        <v>133</v>
      </c>
      <c r="K10" s="1136" t="s">
        <v>134</v>
      </c>
      <c r="L10" s="1053"/>
      <c r="M10" s="1122" t="s">
        <v>159</v>
      </c>
      <c r="N10" s="1122" t="s">
        <v>136</v>
      </c>
      <c r="O10" s="1136" t="s">
        <v>137</v>
      </c>
      <c r="P10" s="1153"/>
    </row>
    <row r="11" spans="2:18" x14ac:dyDescent="0.2">
      <c r="B11" s="1134"/>
      <c r="C11" s="1031"/>
      <c r="D11" s="1032"/>
      <c r="E11" s="1032"/>
      <c r="F11" s="1032"/>
      <c r="G11" s="1055"/>
      <c r="H11" s="1123"/>
      <c r="I11" s="1123"/>
      <c r="J11" s="1123"/>
      <c r="K11" s="1031"/>
      <c r="L11" s="1055"/>
      <c r="M11" s="1123"/>
      <c r="N11" s="1123"/>
      <c r="O11" s="1031"/>
      <c r="P11" s="1150"/>
    </row>
    <row r="12" spans="2:18" ht="13.5" customHeight="1" x14ac:dyDescent="0.2">
      <c r="B12" s="380" t="s">
        <v>138</v>
      </c>
      <c r="C12" s="1126" t="s">
        <v>2037</v>
      </c>
      <c r="D12" s="1049"/>
      <c r="E12" s="1049"/>
      <c r="F12" s="1049"/>
      <c r="G12" s="1050"/>
      <c r="H12" s="12">
        <f>+AIU!H14</f>
        <v>0</v>
      </c>
      <c r="I12" s="13">
        <f>+AIU!I14</f>
        <v>1</v>
      </c>
      <c r="J12" s="14">
        <v>0.2243376</v>
      </c>
      <c r="K12" s="1117">
        <f>H12*'06'!$B$10</f>
        <v>0</v>
      </c>
      <c r="L12" s="1050"/>
      <c r="M12" s="13">
        <f>Indice!$G$7</f>
        <v>6</v>
      </c>
      <c r="N12" s="2" t="e">
        <f t="shared" ref="N12:N19" si="0">O12/$O$35</f>
        <v>#REF!</v>
      </c>
      <c r="O12" s="1117">
        <f t="shared" ref="O12:O17" si="1">M12*J12*K12*I12</f>
        <v>0</v>
      </c>
      <c r="P12" s="1118"/>
      <c r="R12" s="867">
        <f>+'PTO OC PLIEGO'!L190</f>
        <v>0.1</v>
      </c>
    </row>
    <row r="13" spans="2:18" ht="13.5" customHeight="1" x14ac:dyDescent="0.2">
      <c r="B13" s="380" t="s">
        <v>140</v>
      </c>
      <c r="C13" s="1126" t="s">
        <v>1481</v>
      </c>
      <c r="D13" s="1049"/>
      <c r="E13" s="1049"/>
      <c r="F13" s="1049"/>
      <c r="G13" s="1050"/>
      <c r="H13" s="12">
        <f>+AIU!H15</f>
        <v>0</v>
      </c>
      <c r="I13" s="13">
        <v>1</v>
      </c>
      <c r="J13" s="14">
        <v>0.2</v>
      </c>
      <c r="K13" s="1117">
        <f>H13*'06'!$B$10</f>
        <v>0</v>
      </c>
      <c r="L13" s="1050"/>
      <c r="M13" s="13">
        <f>Indice!$G$7</f>
        <v>6</v>
      </c>
      <c r="N13" s="2" t="e">
        <f t="shared" si="0"/>
        <v>#REF!</v>
      </c>
      <c r="O13" s="1117">
        <f t="shared" si="1"/>
        <v>0</v>
      </c>
      <c r="P13" s="1118"/>
    </row>
    <row r="14" spans="2:18" ht="13.5" customHeight="1" x14ac:dyDescent="0.2">
      <c r="B14" s="380" t="s">
        <v>141</v>
      </c>
      <c r="C14" s="1126" t="s">
        <v>1482</v>
      </c>
      <c r="D14" s="1049"/>
      <c r="E14" s="1049"/>
      <c r="F14" s="1049"/>
      <c r="G14" s="1050"/>
      <c r="H14" s="12">
        <f>+AIU!H16</f>
        <v>0</v>
      </c>
      <c r="I14" s="13">
        <v>1</v>
      </c>
      <c r="J14" s="14">
        <v>0.2</v>
      </c>
      <c r="K14" s="1117">
        <f>H14*'06'!$B$10</f>
        <v>0</v>
      </c>
      <c r="L14" s="1050"/>
      <c r="M14" s="13">
        <f>Indice!$G$7</f>
        <v>6</v>
      </c>
      <c r="N14" s="2" t="e">
        <f t="shared" si="0"/>
        <v>#REF!</v>
      </c>
      <c r="O14" s="1117">
        <f t="shared" si="1"/>
        <v>0</v>
      </c>
      <c r="P14" s="1118"/>
    </row>
    <row r="15" spans="2:18" ht="13.5" customHeight="1" x14ac:dyDescent="0.2">
      <c r="B15" s="380" t="s">
        <v>142</v>
      </c>
      <c r="C15" s="1126" t="s">
        <v>145</v>
      </c>
      <c r="D15" s="1049"/>
      <c r="E15" s="1049"/>
      <c r="F15" s="1049"/>
      <c r="G15" s="1050"/>
      <c r="H15" s="12">
        <f>+AIU!H17</f>
        <v>0</v>
      </c>
      <c r="I15" s="13">
        <v>1</v>
      </c>
      <c r="J15" s="14">
        <v>1</v>
      </c>
      <c r="K15" s="1117">
        <f>H15*'06'!$B$10</f>
        <v>0</v>
      </c>
      <c r="L15" s="1050"/>
      <c r="M15" s="13">
        <f>Indice!$G$7</f>
        <v>6</v>
      </c>
      <c r="N15" s="2" t="e">
        <f t="shared" si="0"/>
        <v>#REF!</v>
      </c>
      <c r="O15" s="1117">
        <f t="shared" si="1"/>
        <v>0</v>
      </c>
      <c r="P15" s="1118"/>
    </row>
    <row r="16" spans="2:18" ht="13.5" customHeight="1" x14ac:dyDescent="0.2">
      <c r="B16" s="380" t="s">
        <v>144</v>
      </c>
      <c r="C16" s="1126" t="s">
        <v>1483</v>
      </c>
      <c r="D16" s="1049"/>
      <c r="E16" s="1049"/>
      <c r="F16" s="1049"/>
      <c r="G16" s="1050"/>
      <c r="H16" s="12">
        <f>+AIU!H18</f>
        <v>0</v>
      </c>
      <c r="I16" s="13">
        <v>1</v>
      </c>
      <c r="J16" s="14">
        <v>0.3</v>
      </c>
      <c r="K16" s="1117">
        <f>H16*'06'!$B$10</f>
        <v>0</v>
      </c>
      <c r="L16" s="1050"/>
      <c r="M16" s="13">
        <f>Indice!$G$7</f>
        <v>6</v>
      </c>
      <c r="N16" s="2" t="e">
        <f t="shared" si="0"/>
        <v>#REF!</v>
      </c>
      <c r="O16" s="1117">
        <f t="shared" si="1"/>
        <v>0</v>
      </c>
      <c r="P16" s="1118"/>
    </row>
    <row r="17" spans="2:16" ht="13.5" customHeight="1" x14ac:dyDescent="0.2">
      <c r="B17" s="380" t="s">
        <v>146</v>
      </c>
      <c r="C17" s="1126" t="s">
        <v>153</v>
      </c>
      <c r="D17" s="1049"/>
      <c r="E17" s="1049"/>
      <c r="F17" s="1049"/>
      <c r="G17" s="1050"/>
      <c r="H17" s="12">
        <f>+AIU!H19</f>
        <v>0</v>
      </c>
      <c r="I17" s="13">
        <v>1</v>
      </c>
      <c r="J17" s="14">
        <v>1</v>
      </c>
      <c r="K17" s="1117">
        <f>H17*'06'!$B$10</f>
        <v>0</v>
      </c>
      <c r="L17" s="1050"/>
      <c r="M17" s="13">
        <f>Indice!$G$7</f>
        <v>6</v>
      </c>
      <c r="N17" s="2" t="e">
        <f t="shared" si="0"/>
        <v>#REF!</v>
      </c>
      <c r="O17" s="1117">
        <f t="shared" si="1"/>
        <v>0</v>
      </c>
      <c r="P17" s="1118"/>
    </row>
    <row r="18" spans="2:16" ht="13.5" customHeight="1" x14ac:dyDescent="0.2">
      <c r="B18" s="380" t="s">
        <v>151</v>
      </c>
      <c r="C18" s="1126" t="s">
        <v>1484</v>
      </c>
      <c r="D18" s="1162"/>
      <c r="E18" s="1162"/>
      <c r="F18" s="1162"/>
      <c r="G18" s="1163"/>
      <c r="H18" s="12" t="e">
        <f>+AIU!#REF!</f>
        <v>#REF!</v>
      </c>
      <c r="I18" s="13">
        <v>1</v>
      </c>
      <c r="J18" s="14">
        <v>1</v>
      </c>
      <c r="K18" s="1117" t="e">
        <f>H18*'06'!$B$10</f>
        <v>#REF!</v>
      </c>
      <c r="L18" s="1161"/>
      <c r="M18" s="13">
        <f>Indice!$G$7</f>
        <v>6</v>
      </c>
      <c r="N18" s="2" t="e">
        <f t="shared" si="0"/>
        <v>#REF!</v>
      </c>
      <c r="O18" s="1117" t="e">
        <f>M18*J18*K18*I18</f>
        <v>#REF!</v>
      </c>
      <c r="P18" s="1159"/>
    </row>
    <row r="19" spans="2:16" ht="13.5" customHeight="1" x14ac:dyDescent="0.2">
      <c r="B19" s="380" t="s">
        <v>152</v>
      </c>
      <c r="C19" s="1126" t="s">
        <v>147</v>
      </c>
      <c r="D19" s="1049"/>
      <c r="E19" s="1049"/>
      <c r="F19" s="1049"/>
      <c r="G19" s="1050"/>
      <c r="H19" s="12">
        <f>+AIU!H20</f>
        <v>0</v>
      </c>
      <c r="I19" s="13">
        <v>1</v>
      </c>
      <c r="J19" s="14">
        <v>0.5</v>
      </c>
      <c r="K19" s="1117">
        <f>H19*'06'!$B$10</f>
        <v>0</v>
      </c>
      <c r="L19" s="1050"/>
      <c r="M19" s="13">
        <f>Indice!$G$7</f>
        <v>6</v>
      </c>
      <c r="N19" s="2" t="e">
        <f t="shared" si="0"/>
        <v>#REF!</v>
      </c>
      <c r="O19" s="1117">
        <f>M19*J19*K19*I19</f>
        <v>0</v>
      </c>
      <c r="P19" s="1118"/>
    </row>
    <row r="20" spans="2:16" ht="13.5" x14ac:dyDescent="0.2">
      <c r="B20" s="381"/>
      <c r="C20" s="382"/>
      <c r="D20" s="382"/>
      <c r="E20" s="382"/>
      <c r="F20" s="382"/>
      <c r="G20" s="382"/>
      <c r="H20" s="382"/>
      <c r="I20" s="1119" t="s">
        <v>154</v>
      </c>
      <c r="J20" s="1049"/>
      <c r="K20" s="1049"/>
      <c r="L20" s="1049"/>
      <c r="M20" s="1049"/>
      <c r="N20" s="1050"/>
      <c r="O20" s="1117" t="e">
        <f>SUM(O12:O19)</f>
        <v>#REF!</v>
      </c>
      <c r="P20" s="1118"/>
    </row>
    <row r="21" spans="2:16" ht="13.5" x14ac:dyDescent="0.2">
      <c r="B21" s="381"/>
      <c r="C21" s="382"/>
      <c r="D21" s="382"/>
      <c r="E21" s="382"/>
      <c r="F21" s="382"/>
      <c r="G21" s="382"/>
      <c r="H21" s="382"/>
      <c r="I21" s="1119" t="s">
        <v>28</v>
      </c>
      <c r="J21" s="1049"/>
      <c r="K21" s="1049"/>
      <c r="L21" s="1049"/>
      <c r="M21" s="1049"/>
      <c r="N21" s="1050"/>
      <c r="O21" s="1154">
        <f>'06'!I3</f>
        <v>2.2000000000000002</v>
      </c>
      <c r="P21" s="1118"/>
    </row>
    <row r="22" spans="2:16" ht="13.5" x14ac:dyDescent="0.2">
      <c r="B22" s="381"/>
      <c r="C22" s="382"/>
      <c r="D22" s="382"/>
      <c r="E22" s="382"/>
      <c r="F22" s="382"/>
      <c r="G22" s="382"/>
      <c r="H22" s="382"/>
      <c r="I22" s="1119" t="s">
        <v>156</v>
      </c>
      <c r="J22" s="1049"/>
      <c r="K22" s="1049"/>
      <c r="L22" s="1049"/>
      <c r="M22" s="1049"/>
      <c r="N22" s="1050"/>
      <c r="O22" s="1117" t="e">
        <f>+O20*O21</f>
        <v>#REF!</v>
      </c>
      <c r="P22" s="1118"/>
    </row>
    <row r="23" spans="2:16" ht="13.5" x14ac:dyDescent="0.2">
      <c r="B23" s="383"/>
      <c r="C23" s="384"/>
      <c r="D23" s="384"/>
      <c r="E23" s="384"/>
      <c r="F23" s="384"/>
      <c r="G23" s="384"/>
      <c r="H23" s="322"/>
      <c r="I23" s="322"/>
      <c r="J23" s="322"/>
      <c r="K23" s="322"/>
      <c r="L23" s="322"/>
      <c r="M23" s="322"/>
      <c r="N23" s="322"/>
      <c r="O23" s="322"/>
      <c r="P23" s="385"/>
    </row>
    <row r="24" spans="2:16" x14ac:dyDescent="0.2">
      <c r="B24" s="386" t="s">
        <v>157</v>
      </c>
      <c r="C24" s="1155" t="s">
        <v>158</v>
      </c>
      <c r="D24" s="1049"/>
      <c r="E24" s="1049"/>
      <c r="F24" s="1049"/>
      <c r="G24" s="1049"/>
      <c r="H24" s="1049"/>
      <c r="I24" s="1049"/>
      <c r="J24" s="1049"/>
      <c r="K24" s="1049"/>
      <c r="L24" s="1049"/>
      <c r="M24" s="1049"/>
      <c r="N24" s="1049"/>
      <c r="O24" s="1049"/>
      <c r="P24" s="1118"/>
    </row>
    <row r="25" spans="2:16" x14ac:dyDescent="0.2">
      <c r="B25" s="1133" t="s">
        <v>129</v>
      </c>
      <c r="C25" s="1136" t="s">
        <v>38</v>
      </c>
      <c r="D25" s="1052"/>
      <c r="E25" s="1052"/>
      <c r="F25" s="1052"/>
      <c r="G25" s="1052"/>
      <c r="H25" s="1053"/>
      <c r="I25" s="1122" t="s">
        <v>39</v>
      </c>
      <c r="J25" s="1122" t="s">
        <v>132</v>
      </c>
      <c r="K25" s="1136" t="s">
        <v>134</v>
      </c>
      <c r="L25" s="1053"/>
      <c r="M25" s="1122" t="s">
        <v>159</v>
      </c>
      <c r="N25" s="1122" t="s">
        <v>136</v>
      </c>
      <c r="O25" s="1136" t="s">
        <v>137</v>
      </c>
      <c r="P25" s="1153"/>
    </row>
    <row r="26" spans="2:16" x14ac:dyDescent="0.2">
      <c r="B26" s="1134"/>
      <c r="C26" s="1031"/>
      <c r="D26" s="1032"/>
      <c r="E26" s="1032"/>
      <c r="F26" s="1032"/>
      <c r="G26" s="1032"/>
      <c r="H26" s="1055"/>
      <c r="I26" s="1123"/>
      <c r="J26" s="1123"/>
      <c r="K26" s="1031"/>
      <c r="L26" s="1055"/>
      <c r="M26" s="1123"/>
      <c r="N26" s="1123"/>
      <c r="O26" s="1031"/>
      <c r="P26" s="1150"/>
    </row>
    <row r="27" spans="2:16" ht="13.5" x14ac:dyDescent="0.2">
      <c r="B27" s="830" t="s">
        <v>160</v>
      </c>
      <c r="C27" s="1152" t="s">
        <v>163</v>
      </c>
      <c r="D27" s="1049"/>
      <c r="E27" s="1049"/>
      <c r="F27" s="1049"/>
      <c r="G27" s="1049"/>
      <c r="H27" s="1050"/>
      <c r="I27" s="15" t="s">
        <v>161</v>
      </c>
      <c r="J27" s="1">
        <v>1</v>
      </c>
      <c r="K27" s="1117">
        <f>+AIU!K28:L28</f>
        <v>950000</v>
      </c>
      <c r="L27" s="1050"/>
      <c r="M27" s="13">
        <f>Indice!$G$7</f>
        <v>6</v>
      </c>
      <c r="N27" s="2" t="e">
        <f t="shared" ref="N27:N32" si="2">O27/$O$35</f>
        <v>#REF!</v>
      </c>
      <c r="O27" s="1117">
        <f>K27*J27*M27</f>
        <v>5700000</v>
      </c>
      <c r="P27" s="1118"/>
    </row>
    <row r="28" spans="2:16" ht="13.5" x14ac:dyDescent="0.2">
      <c r="B28" s="830" t="s">
        <v>162</v>
      </c>
      <c r="C28" s="1152" t="s">
        <v>165</v>
      </c>
      <c r="D28" s="1049"/>
      <c r="E28" s="1049"/>
      <c r="F28" s="1049"/>
      <c r="G28" s="1049"/>
      <c r="H28" s="1050"/>
      <c r="I28" s="15" t="s">
        <v>161</v>
      </c>
      <c r="J28" s="1">
        <v>1</v>
      </c>
      <c r="K28" s="1117">
        <f>+AIU!K29:L29</f>
        <v>950000</v>
      </c>
      <c r="L28" s="1050"/>
      <c r="M28" s="13">
        <f>Indice!$G$7</f>
        <v>6</v>
      </c>
      <c r="N28" s="2" t="e">
        <f t="shared" si="2"/>
        <v>#REF!</v>
      </c>
      <c r="O28" s="1117">
        <f>K28*J28*M28</f>
        <v>5700000</v>
      </c>
      <c r="P28" s="1118"/>
    </row>
    <row r="29" spans="2:16" ht="13.5" x14ac:dyDescent="0.2">
      <c r="B29" s="830" t="s">
        <v>164</v>
      </c>
      <c r="C29" s="1121" t="s">
        <v>1496</v>
      </c>
      <c r="D29" s="1049"/>
      <c r="E29" s="1049"/>
      <c r="F29" s="1049"/>
      <c r="G29" s="1049"/>
      <c r="H29" s="1050"/>
      <c r="I29" s="15" t="s">
        <v>161</v>
      </c>
      <c r="J29" s="1">
        <v>1</v>
      </c>
      <c r="K29" s="1117">
        <f>+AIU!K30:L30</f>
        <v>3500000</v>
      </c>
      <c r="L29" s="1050"/>
      <c r="M29" s="13">
        <f>Indice!$G$7</f>
        <v>6</v>
      </c>
      <c r="N29" s="2" t="e">
        <f t="shared" si="2"/>
        <v>#REF!</v>
      </c>
      <c r="O29" s="1117">
        <f>K29*J29*M29</f>
        <v>21000000</v>
      </c>
      <c r="P29" s="1118"/>
    </row>
    <row r="30" spans="2:16" ht="13.5" customHeight="1" x14ac:dyDescent="0.2">
      <c r="B30" s="830" t="s">
        <v>166</v>
      </c>
      <c r="C30" s="1152" t="s">
        <v>169</v>
      </c>
      <c r="D30" s="1049"/>
      <c r="E30" s="1049"/>
      <c r="F30" s="1049"/>
      <c r="G30" s="1049"/>
      <c r="H30" s="1050"/>
      <c r="I30" s="15" t="s">
        <v>161</v>
      </c>
      <c r="J30" s="1">
        <v>1</v>
      </c>
      <c r="K30" s="1117">
        <f>+AIU!K32:L32</f>
        <v>1950000</v>
      </c>
      <c r="L30" s="1050"/>
      <c r="M30" s="13">
        <f>Indice!$G$7</f>
        <v>6</v>
      </c>
      <c r="N30" s="2" t="e">
        <f t="shared" si="2"/>
        <v>#REF!</v>
      </c>
      <c r="O30" s="1117">
        <f>K30*J30*M30</f>
        <v>11700000</v>
      </c>
      <c r="P30" s="1118"/>
    </row>
    <row r="31" spans="2:16" ht="13.5" customHeight="1" x14ac:dyDescent="0.2">
      <c r="B31" s="830" t="s">
        <v>168</v>
      </c>
      <c r="C31" s="1152" t="s">
        <v>171</v>
      </c>
      <c r="D31" s="1049"/>
      <c r="E31" s="1049"/>
      <c r="F31" s="1049"/>
      <c r="G31" s="1049"/>
      <c r="H31" s="1050"/>
      <c r="I31" s="15" t="s">
        <v>161</v>
      </c>
      <c r="J31" s="1">
        <v>1</v>
      </c>
      <c r="K31" s="1117">
        <f>+AIU!K33:L33</f>
        <v>2800000</v>
      </c>
      <c r="L31" s="1050"/>
      <c r="M31" s="13">
        <f>Indice!$G$7</f>
        <v>6</v>
      </c>
      <c r="N31" s="2" t="e">
        <f t="shared" si="2"/>
        <v>#REF!</v>
      </c>
      <c r="O31" s="1117">
        <f>K31*M31*J31</f>
        <v>16800000</v>
      </c>
      <c r="P31" s="1118"/>
    </row>
    <row r="32" spans="2:16" ht="13.5" customHeight="1" x14ac:dyDescent="0.2">
      <c r="B32" s="830" t="s">
        <v>848</v>
      </c>
      <c r="C32" s="1152" t="str">
        <f>+AIU!C34:H34</f>
        <v>Inst. provisionales movilización y desmovilización - Dotación</v>
      </c>
      <c r="D32" s="1049"/>
      <c r="E32" s="1049"/>
      <c r="F32" s="1049"/>
      <c r="G32" s="1049"/>
      <c r="H32" s="1050"/>
      <c r="I32" s="15" t="s">
        <v>161</v>
      </c>
      <c r="J32" s="1">
        <v>1</v>
      </c>
      <c r="K32" s="1117">
        <f>+AIU!K34:L34</f>
        <v>2200000</v>
      </c>
      <c r="L32" s="1050"/>
      <c r="M32" s="13">
        <f>Indice!$G$7</f>
        <v>6</v>
      </c>
      <c r="N32" s="2" t="e">
        <f t="shared" si="2"/>
        <v>#REF!</v>
      </c>
      <c r="O32" s="1117">
        <f>K32*M32*J32</f>
        <v>13200000</v>
      </c>
      <c r="P32" s="1118"/>
    </row>
    <row r="33" spans="2:17" ht="13.5" x14ac:dyDescent="0.2">
      <c r="B33" s="381"/>
      <c r="C33" s="382"/>
      <c r="D33" s="382"/>
      <c r="E33" s="382"/>
      <c r="F33" s="382"/>
      <c r="G33" s="388"/>
      <c r="H33" s="382"/>
      <c r="I33" s="1119" t="s">
        <v>172</v>
      </c>
      <c r="J33" s="1049"/>
      <c r="K33" s="1049"/>
      <c r="L33" s="1049"/>
      <c r="M33" s="1049"/>
      <c r="N33" s="1050"/>
      <c r="O33" s="1117">
        <f>SUM(O27:O32)</f>
        <v>74100000</v>
      </c>
      <c r="P33" s="1118"/>
    </row>
    <row r="34" spans="2:17" ht="13.5" x14ac:dyDescent="0.2">
      <c r="B34" s="383"/>
      <c r="C34" s="76"/>
      <c r="D34" s="76"/>
      <c r="E34" s="76"/>
      <c r="F34" s="76"/>
      <c r="G34" s="76"/>
      <c r="H34" s="76"/>
      <c r="I34" s="322"/>
      <c r="J34" s="322"/>
      <c r="K34" s="322"/>
      <c r="L34" s="322"/>
      <c r="M34" s="322"/>
      <c r="N34" s="322"/>
      <c r="O34" s="322"/>
      <c r="P34" s="385"/>
    </row>
    <row r="35" spans="2:17" ht="13.5" x14ac:dyDescent="0.2">
      <c r="B35" s="381"/>
      <c r="C35" s="76"/>
      <c r="D35" s="76"/>
      <c r="E35" s="76"/>
      <c r="F35" s="76"/>
      <c r="G35" s="76"/>
      <c r="H35" s="76"/>
      <c r="I35" s="1119" t="s">
        <v>190</v>
      </c>
      <c r="J35" s="1049"/>
      <c r="K35" s="1049"/>
      <c r="L35" s="1049"/>
      <c r="M35" s="1049"/>
      <c r="N35" s="1049"/>
      <c r="O35" s="1160" t="e">
        <f>ROUNDUP(O22+O33,0)</f>
        <v>#REF!</v>
      </c>
      <c r="P35" s="1118"/>
    </row>
    <row r="36" spans="2:17" ht="13.5" x14ac:dyDescent="0.2">
      <c r="B36" s="381"/>
      <c r="C36" s="76"/>
      <c r="D36" s="76"/>
      <c r="E36" s="76"/>
      <c r="F36" s="76"/>
      <c r="G36" s="76"/>
      <c r="H36" s="76"/>
      <c r="I36" s="76"/>
      <c r="J36" s="76"/>
      <c r="K36" s="76"/>
      <c r="L36" s="76"/>
      <c r="M36" s="76"/>
      <c r="N36" s="76"/>
      <c r="O36" s="76"/>
      <c r="P36" s="390"/>
    </row>
    <row r="37" spans="2:17" ht="13.5" x14ac:dyDescent="0.25">
      <c r="B37" s="381"/>
      <c r="C37" s="382"/>
      <c r="D37" s="374"/>
      <c r="E37" s="374"/>
      <c r="F37" s="374"/>
      <c r="G37" s="374"/>
      <c r="H37" s="374"/>
      <c r="I37" s="382"/>
      <c r="J37" s="382"/>
      <c r="K37" s="382"/>
      <c r="L37" s="382"/>
      <c r="M37" s="382"/>
      <c r="N37" s="382"/>
      <c r="O37" s="382"/>
      <c r="P37" s="395"/>
      <c r="Q37" s="8"/>
    </row>
    <row r="38" spans="2:17" x14ac:dyDescent="0.2">
      <c r="B38" s="389"/>
      <c r="C38" s="76"/>
      <c r="D38" s="76"/>
      <c r="E38" s="76"/>
      <c r="F38" s="76"/>
      <c r="G38" s="76"/>
      <c r="H38" s="76"/>
      <c r="I38" s="76"/>
      <c r="J38" s="76"/>
      <c r="K38" s="76"/>
      <c r="L38" s="76"/>
      <c r="M38" s="76"/>
      <c r="N38" s="76"/>
      <c r="O38" s="829"/>
      <c r="P38" s="390"/>
    </row>
    <row r="39" spans="2:17" x14ac:dyDescent="0.2">
      <c r="B39" s="389"/>
      <c r="C39" s="76"/>
      <c r="D39" s="76"/>
      <c r="E39" s="76"/>
      <c r="F39" s="76"/>
      <c r="G39" s="76"/>
      <c r="H39" s="76"/>
      <c r="I39" s="76"/>
      <c r="J39" s="76"/>
      <c r="K39" s="76"/>
      <c r="L39" s="76"/>
      <c r="M39" s="76"/>
      <c r="N39" s="76"/>
      <c r="O39" s="76"/>
      <c r="P39" s="390"/>
    </row>
    <row r="40" spans="2:17" x14ac:dyDescent="0.2">
      <c r="B40" s="389"/>
      <c r="C40" s="76"/>
      <c r="D40" s="76"/>
      <c r="E40" s="76"/>
      <c r="F40" s="76"/>
      <c r="G40" s="76"/>
      <c r="H40" s="76"/>
      <c r="I40" s="76"/>
      <c r="J40" s="76"/>
      <c r="K40" s="76"/>
      <c r="L40" s="76"/>
      <c r="M40" s="76"/>
      <c r="N40" s="76"/>
      <c r="O40" s="76"/>
      <c r="P40" s="390"/>
    </row>
    <row r="41" spans="2:17" x14ac:dyDescent="0.2">
      <c r="B41" s="389"/>
      <c r="C41" s="76"/>
      <c r="D41" s="76"/>
      <c r="E41" s="76"/>
      <c r="F41" s="76"/>
      <c r="G41" s="76"/>
      <c r="H41" s="76"/>
      <c r="I41" s="76"/>
      <c r="J41" s="76"/>
      <c r="K41" s="76"/>
      <c r="L41" s="76"/>
      <c r="M41" s="76"/>
      <c r="N41" s="76"/>
      <c r="O41" s="76"/>
      <c r="P41" s="390"/>
    </row>
    <row r="42" spans="2:17" x14ac:dyDescent="0.2">
      <c r="B42" s="389"/>
      <c r="C42" s="76"/>
      <c r="D42" s="76"/>
      <c r="E42" s="76"/>
      <c r="F42" s="76"/>
      <c r="G42" s="76"/>
      <c r="H42" s="76"/>
      <c r="I42" s="76"/>
      <c r="J42" s="76"/>
      <c r="K42" s="76"/>
      <c r="L42" s="76"/>
      <c r="M42" s="76"/>
      <c r="N42" s="76"/>
      <c r="O42" s="76"/>
      <c r="P42" s="390"/>
    </row>
    <row r="43" spans="2:17" ht="13.5" thickBot="1" x14ac:dyDescent="0.25">
      <c r="B43" s="389"/>
      <c r="C43" s="76"/>
      <c r="D43" s="76"/>
      <c r="E43" s="328"/>
      <c r="F43" s="328"/>
      <c r="G43" s="328"/>
      <c r="H43" s="328"/>
      <c r="I43" s="76"/>
      <c r="J43" s="76"/>
      <c r="K43" s="76"/>
      <c r="L43" s="76"/>
      <c r="M43" s="76"/>
      <c r="N43" s="76"/>
      <c r="O43" s="76"/>
      <c r="P43" s="390"/>
    </row>
    <row r="44" spans="2:17" ht="14.25" thickTop="1" x14ac:dyDescent="0.25">
      <c r="B44" s="389"/>
      <c r="C44" s="76"/>
      <c r="D44" s="76"/>
      <c r="E44" s="912" t="s">
        <v>1961</v>
      </c>
      <c r="F44" s="912"/>
      <c r="G44" s="912"/>
      <c r="H44" s="912"/>
      <c r="I44" s="330"/>
      <c r="J44" s="912" t="s">
        <v>1964</v>
      </c>
      <c r="K44" s="942"/>
      <c r="L44" s="942"/>
      <c r="M44" s="942"/>
      <c r="N44" s="78"/>
      <c r="O44" s="78"/>
      <c r="P44" s="391"/>
    </row>
    <row r="45" spans="2:17" ht="13.5" x14ac:dyDescent="0.25">
      <c r="B45" s="389"/>
      <c r="C45" s="76"/>
      <c r="D45" s="76"/>
      <c r="E45" s="926" t="s">
        <v>1962</v>
      </c>
      <c r="F45" s="927"/>
      <c r="G45" s="927"/>
      <c r="H45" s="927"/>
      <c r="I45" s="329"/>
      <c r="J45" s="938" t="s">
        <v>1965</v>
      </c>
      <c r="K45" s="939"/>
      <c r="L45" s="939"/>
      <c r="M45" s="939"/>
      <c r="N45" s="76"/>
      <c r="O45" s="76"/>
      <c r="P45" s="390"/>
    </row>
    <row r="46" spans="2:17" ht="13.5" x14ac:dyDescent="0.2">
      <c r="B46" s="389"/>
      <c r="C46" s="76"/>
      <c r="D46" s="76"/>
      <c r="E46" s="1046" t="s">
        <v>1963</v>
      </c>
      <c r="F46" s="1046"/>
      <c r="G46" s="1046"/>
      <c r="H46" s="1046"/>
      <c r="I46" s="329"/>
      <c r="J46" s="1046" t="s">
        <v>1966</v>
      </c>
      <c r="K46" s="1046"/>
      <c r="L46" s="1046"/>
      <c r="M46" s="1046"/>
      <c r="N46" s="76"/>
      <c r="O46" s="76"/>
      <c r="P46" s="390"/>
    </row>
    <row r="47" spans="2:17" ht="14.25" thickBot="1" x14ac:dyDescent="0.25">
      <c r="B47" s="392"/>
      <c r="C47" s="393"/>
      <c r="D47" s="393"/>
      <c r="E47" s="393"/>
      <c r="F47" s="393"/>
      <c r="G47" s="393"/>
      <c r="H47" s="393"/>
      <c r="I47" s="396"/>
      <c r="J47" s="396"/>
      <c r="K47" s="393"/>
      <c r="L47" s="393"/>
      <c r="M47" s="393"/>
      <c r="N47" s="393"/>
      <c r="O47" s="393"/>
      <c r="P47" s="394"/>
    </row>
  </sheetData>
  <mergeCells count="82">
    <mergeCell ref="K17:L17"/>
    <mergeCell ref="K18:L18"/>
    <mergeCell ref="I10:I11"/>
    <mergeCell ref="C31:H31"/>
    <mergeCell ref="C17:G17"/>
    <mergeCell ref="C16:G16"/>
    <mergeCell ref="C18:G18"/>
    <mergeCell ref="C15:G15"/>
    <mergeCell ref="C27:H27"/>
    <mergeCell ref="C25:H26"/>
    <mergeCell ref="C19:G19"/>
    <mergeCell ref="C28:H28"/>
    <mergeCell ref="H10:H11"/>
    <mergeCell ref="C12:G12"/>
    <mergeCell ref="C13:G13"/>
    <mergeCell ref="C14:G14"/>
    <mergeCell ref="C30:H30"/>
    <mergeCell ref="I21:N21"/>
    <mergeCell ref="C24:P24"/>
    <mergeCell ref="N25:N26"/>
    <mergeCell ref="O25:P26"/>
    <mergeCell ref="O21:P21"/>
    <mergeCell ref="O22:P22"/>
    <mergeCell ref="I22:N22"/>
    <mergeCell ref="K27:L27"/>
    <mergeCell ref="K28:L28"/>
    <mergeCell ref="K30:L30"/>
    <mergeCell ref="O30:P30"/>
    <mergeCell ref="I20:N20"/>
    <mergeCell ref="O20:P20"/>
    <mergeCell ref="K19:L19"/>
    <mergeCell ref="O19:P19"/>
    <mergeCell ref="C29:H29"/>
    <mergeCell ref="K29:L29"/>
    <mergeCell ref="O29:P29"/>
    <mergeCell ref="O27:P27"/>
    <mergeCell ref="B2:K4"/>
    <mergeCell ref="L2:M2"/>
    <mergeCell ref="K13:L13"/>
    <mergeCell ref="K14:L14"/>
    <mergeCell ref="N2:P4"/>
    <mergeCell ref="L3:M4"/>
    <mergeCell ref="C9:P9"/>
    <mergeCell ref="B6:P7"/>
    <mergeCell ref="B10:B11"/>
    <mergeCell ref="C10:G11"/>
    <mergeCell ref="J10:J11"/>
    <mergeCell ref="M10:M11"/>
    <mergeCell ref="B25:B26"/>
    <mergeCell ref="I25:I26"/>
    <mergeCell ref="J25:J26"/>
    <mergeCell ref="K25:L26"/>
    <mergeCell ref="M25:M26"/>
    <mergeCell ref="O16:P16"/>
    <mergeCell ref="K10:L11"/>
    <mergeCell ref="K12:L12"/>
    <mergeCell ref="N10:N11"/>
    <mergeCell ref="O10:P11"/>
    <mergeCell ref="O12:P12"/>
    <mergeCell ref="O13:P13"/>
    <mergeCell ref="O14:P14"/>
    <mergeCell ref="O15:P15"/>
    <mergeCell ref="K16:L16"/>
    <mergeCell ref="K15:L15"/>
    <mergeCell ref="O17:P17"/>
    <mergeCell ref="O18:P18"/>
    <mergeCell ref="O33:P33"/>
    <mergeCell ref="O35:P35"/>
    <mergeCell ref="O31:P31"/>
    <mergeCell ref="O28:P28"/>
    <mergeCell ref="O32:P32"/>
    <mergeCell ref="K31:L31"/>
    <mergeCell ref="I33:N33"/>
    <mergeCell ref="I35:N35"/>
    <mergeCell ref="J46:M46"/>
    <mergeCell ref="C32:H32"/>
    <mergeCell ref="K32:L32"/>
    <mergeCell ref="J44:M44"/>
    <mergeCell ref="J45:M45"/>
    <mergeCell ref="E45:H45"/>
    <mergeCell ref="E44:H44"/>
    <mergeCell ref="E46:H46"/>
  </mergeCells>
  <phoneticPr fontId="36" type="noConversion"/>
  <conditionalFormatting sqref="N27:N31 N12:N19">
    <cfRule type="colorScale" priority="1974">
      <colorScale>
        <cfvo type="min"/>
        <cfvo type="percentile" val="50"/>
        <cfvo type="max"/>
        <color rgb="FF63BE7B"/>
        <color rgb="FFFFEB84"/>
        <color rgb="FFF8696B"/>
      </colorScale>
    </cfRule>
  </conditionalFormatting>
  <conditionalFormatting sqref="N32">
    <cfRule type="colorScale" priority="2">
      <colorScale>
        <cfvo type="min"/>
        <cfvo type="percentile" val="50"/>
        <cfvo type="max"/>
        <color rgb="FF63BE7B"/>
        <color rgb="FFFFEB84"/>
        <color rgb="FFF8696B"/>
      </colorScale>
    </cfRule>
  </conditionalFormatting>
  <conditionalFormatting sqref="E44:E45">
    <cfRule type="duplicateValues" dxfId="1404" priority="1"/>
  </conditionalFormatting>
  <printOptions horizontalCentered="1" verticalCentered="1"/>
  <pageMargins left="0" right="0" top="0" bottom="0" header="0" footer="0"/>
  <pageSetup scale="76"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37"/>
  <sheetViews>
    <sheetView view="pageBreakPreview" zoomScale="85" zoomScaleNormal="100" zoomScaleSheetLayoutView="85" workbookViewId="0">
      <selection activeCell="I14" sqref="I14:N14"/>
    </sheetView>
  </sheetViews>
  <sheetFormatPr baseColWidth="10" defaultRowHeight="12.75" x14ac:dyDescent="0.2"/>
  <cols>
    <col min="1" max="1" width="2.7109375" customWidth="1"/>
    <col min="8" max="8" width="17.28515625" customWidth="1"/>
    <col min="12" max="12" width="17.28515625" customWidth="1"/>
    <col min="13" max="13" width="14.5703125" customWidth="1"/>
    <col min="14" max="14" width="15.28515625" customWidth="1"/>
    <col min="16" max="16" width="17.7109375" customWidth="1"/>
    <col min="17" max="17" width="3.42578125" customWidth="1"/>
  </cols>
  <sheetData>
    <row r="1" spans="2:16" ht="13.5" thickBot="1" x14ac:dyDescent="0.25"/>
    <row r="2" spans="2:16" x14ac:dyDescent="0.2">
      <c r="B2" s="1164" t="str">
        <f>Indice!$B$2</f>
        <v>CONSTRUCCIÓN DE LA FASE 1 DEL PLAN MAESTRO DE ACUEDUCTO DEL MUNICIPIO DE ÍQUIRA, HUILA</v>
      </c>
      <c r="C2" s="1165"/>
      <c r="D2" s="1165"/>
      <c r="E2" s="1165"/>
      <c r="F2" s="1165"/>
      <c r="G2" s="1165"/>
      <c r="H2" s="1165"/>
      <c r="I2" s="1165"/>
      <c r="J2" s="1165"/>
      <c r="K2" s="1166"/>
      <c r="L2" s="1146" t="s">
        <v>0</v>
      </c>
      <c r="M2" s="1147"/>
      <c r="N2" s="1148">
        <f>O25</f>
        <v>0</v>
      </c>
      <c r="O2" s="1142"/>
      <c r="P2" s="1149"/>
    </row>
    <row r="3" spans="2:16" x14ac:dyDescent="0.2">
      <c r="B3" s="1167"/>
      <c r="C3" s="1168"/>
      <c r="D3" s="1168"/>
      <c r="E3" s="1168"/>
      <c r="F3" s="1168"/>
      <c r="G3" s="1168"/>
      <c r="H3" s="1168"/>
      <c r="I3" s="1168"/>
      <c r="J3" s="1168"/>
      <c r="K3" s="1169"/>
      <c r="L3" s="1151">
        <f>Indice!$Q$3</f>
        <v>46195</v>
      </c>
      <c r="M3" s="1053"/>
      <c r="N3" s="1029"/>
      <c r="O3" s="939"/>
      <c r="P3" s="1140"/>
    </row>
    <row r="4" spans="2:16" x14ac:dyDescent="0.2">
      <c r="B4" s="1170"/>
      <c r="C4" s="1171"/>
      <c r="D4" s="1171"/>
      <c r="E4" s="1171"/>
      <c r="F4" s="1171"/>
      <c r="G4" s="1171"/>
      <c r="H4" s="1171"/>
      <c r="I4" s="1171"/>
      <c r="J4" s="1171"/>
      <c r="K4" s="1172"/>
      <c r="L4" s="1031"/>
      <c r="M4" s="1055"/>
      <c r="N4" s="1031"/>
      <c r="O4" s="1032"/>
      <c r="P4" s="1150"/>
    </row>
    <row r="5" spans="2:16" ht="13.5" x14ac:dyDescent="0.25">
      <c r="B5" s="373"/>
      <c r="C5" s="374"/>
      <c r="D5" s="374"/>
      <c r="E5" s="374"/>
      <c r="F5" s="374"/>
      <c r="G5" s="374"/>
      <c r="H5" s="374"/>
      <c r="I5" s="374"/>
      <c r="J5" s="374"/>
      <c r="K5" s="374"/>
      <c r="L5" s="374"/>
      <c r="M5" s="374"/>
      <c r="N5" s="375"/>
      <c r="O5" s="376"/>
      <c r="P5" s="377"/>
    </row>
    <row r="6" spans="2:16" x14ac:dyDescent="0.2">
      <c r="B6" s="1127" t="s">
        <v>842</v>
      </c>
      <c r="C6" s="1128"/>
      <c r="D6" s="1128"/>
      <c r="E6" s="1128"/>
      <c r="F6" s="1128"/>
      <c r="G6" s="1128"/>
      <c r="H6" s="1128"/>
      <c r="I6" s="1128"/>
      <c r="J6" s="1128"/>
      <c r="K6" s="1128"/>
      <c r="L6" s="1128"/>
      <c r="M6" s="1128"/>
      <c r="N6" s="1128"/>
      <c r="O6" s="1128"/>
      <c r="P6" s="1129"/>
    </row>
    <row r="7" spans="2:16" x14ac:dyDescent="0.2">
      <c r="B7" s="1130"/>
      <c r="C7" s="1131"/>
      <c r="D7" s="1131"/>
      <c r="E7" s="1131"/>
      <c r="F7" s="1131"/>
      <c r="G7" s="1131"/>
      <c r="H7" s="1131"/>
      <c r="I7" s="1131"/>
      <c r="J7" s="1131"/>
      <c r="K7" s="1131"/>
      <c r="L7" s="1131"/>
      <c r="M7" s="1131"/>
      <c r="N7" s="1131"/>
      <c r="O7" s="1131"/>
      <c r="P7" s="1132"/>
    </row>
    <row r="8" spans="2:16" ht="13.5" x14ac:dyDescent="0.25">
      <c r="B8" s="373"/>
      <c r="C8" s="374"/>
      <c r="D8" s="374"/>
      <c r="E8" s="374"/>
      <c r="F8" s="374"/>
      <c r="G8" s="374"/>
      <c r="H8" s="374"/>
      <c r="I8" s="374"/>
      <c r="J8" s="374"/>
      <c r="K8" s="374"/>
      <c r="L8" s="374"/>
      <c r="M8" s="374"/>
      <c r="N8" s="375"/>
      <c r="O8" s="376"/>
      <c r="P8" s="377"/>
    </row>
    <row r="9" spans="2:16" ht="15" x14ac:dyDescent="0.2">
      <c r="B9" s="406" t="s">
        <v>127</v>
      </c>
      <c r="C9" s="1173" t="s">
        <v>128</v>
      </c>
      <c r="D9" s="1174"/>
      <c r="E9" s="1174"/>
      <c r="F9" s="1174"/>
      <c r="G9" s="1174"/>
      <c r="H9" s="1174"/>
      <c r="I9" s="1174"/>
      <c r="J9" s="1174"/>
      <c r="K9" s="1174"/>
      <c r="L9" s="1174"/>
      <c r="M9" s="1174"/>
      <c r="N9" s="1174"/>
      <c r="O9" s="1174"/>
      <c r="P9" s="1175"/>
    </row>
    <row r="10" spans="2:16" x14ac:dyDescent="0.2">
      <c r="B10" s="1176" t="s">
        <v>129</v>
      </c>
      <c r="C10" s="1178" t="s">
        <v>130</v>
      </c>
      <c r="D10" s="1179"/>
      <c r="E10" s="1179"/>
      <c r="F10" s="1179"/>
      <c r="G10" s="1180"/>
      <c r="H10" s="1182" t="s">
        <v>131</v>
      </c>
      <c r="I10" s="1182" t="s">
        <v>132</v>
      </c>
      <c r="J10" s="1182" t="s">
        <v>133</v>
      </c>
      <c r="K10" s="1178" t="s">
        <v>134</v>
      </c>
      <c r="L10" s="1180"/>
      <c r="M10" s="1182" t="s">
        <v>159</v>
      </c>
      <c r="N10" s="1182" t="s">
        <v>136</v>
      </c>
      <c r="O10" s="1178" t="s">
        <v>137</v>
      </c>
      <c r="P10" s="1184"/>
    </row>
    <row r="11" spans="2:16" x14ac:dyDescent="0.2">
      <c r="B11" s="1177"/>
      <c r="C11" s="1181"/>
      <c r="D11" s="1171"/>
      <c r="E11" s="1171"/>
      <c r="F11" s="1171"/>
      <c r="G11" s="1172"/>
      <c r="H11" s="1183"/>
      <c r="I11" s="1183"/>
      <c r="J11" s="1183"/>
      <c r="K11" s="1181"/>
      <c r="L11" s="1172"/>
      <c r="M11" s="1183"/>
      <c r="N11" s="1183"/>
      <c r="O11" s="1181"/>
      <c r="P11" s="1185"/>
    </row>
    <row r="12" spans="2:16" ht="17.25" customHeight="1" x14ac:dyDescent="0.2">
      <c r="B12" s="407" t="s">
        <v>138</v>
      </c>
      <c r="C12" s="1190" t="s">
        <v>2038</v>
      </c>
      <c r="D12" s="1187"/>
      <c r="E12" s="1187"/>
      <c r="F12" s="1187"/>
      <c r="G12" s="1007"/>
      <c r="H12" s="408">
        <f>+AIU!H14</f>
        <v>0</v>
      </c>
      <c r="I12" s="409">
        <v>1</v>
      </c>
      <c r="J12" s="410">
        <v>0.03</v>
      </c>
      <c r="K12" s="1191">
        <f>H12*'06'!$B$10</f>
        <v>0</v>
      </c>
      <c r="L12" s="1007"/>
      <c r="M12" s="409">
        <f>Indice!$G$7</f>
        <v>6</v>
      </c>
      <c r="N12" s="411" t="e">
        <f>O12/$O$25</f>
        <v>#DIV/0!</v>
      </c>
      <c r="O12" s="1191">
        <f>M12*J12*K12*I12</f>
        <v>0</v>
      </c>
      <c r="P12" s="1189"/>
    </row>
    <row r="13" spans="2:16" ht="17.25" customHeight="1" x14ac:dyDescent="0.2">
      <c r="B13" s="407" t="s">
        <v>140</v>
      </c>
      <c r="C13" s="1190" t="s">
        <v>145</v>
      </c>
      <c r="D13" s="1187"/>
      <c r="E13" s="1187"/>
      <c r="F13" s="1187"/>
      <c r="G13" s="1007"/>
      <c r="H13" s="408">
        <f>+AIU!H17</f>
        <v>0</v>
      </c>
      <c r="I13" s="409">
        <v>1</v>
      </c>
      <c r="J13" s="410">
        <v>0.03</v>
      </c>
      <c r="K13" s="1191">
        <f>H13*'06'!$B$10</f>
        <v>0</v>
      </c>
      <c r="L13" s="1007"/>
      <c r="M13" s="409">
        <f>Indice!$G$7</f>
        <v>6</v>
      </c>
      <c r="N13" s="411" t="e">
        <f>O13/$O$25</f>
        <v>#DIV/0!</v>
      </c>
      <c r="O13" s="1191">
        <f>M13*J13*K13*I13</f>
        <v>0</v>
      </c>
      <c r="P13" s="1189"/>
    </row>
    <row r="14" spans="2:16" ht="17.25" x14ac:dyDescent="0.2">
      <c r="B14" s="412"/>
      <c r="C14" s="413"/>
      <c r="D14" s="413"/>
      <c r="E14" s="413"/>
      <c r="F14" s="413"/>
      <c r="G14" s="413"/>
      <c r="H14" s="413"/>
      <c r="I14" s="1186" t="s">
        <v>154</v>
      </c>
      <c r="J14" s="1187"/>
      <c r="K14" s="1187"/>
      <c r="L14" s="1187"/>
      <c r="M14" s="1187"/>
      <c r="N14" s="1007"/>
      <c r="O14" s="1191">
        <f>SUM(O12:O13)</f>
        <v>0</v>
      </c>
      <c r="P14" s="1189"/>
    </row>
    <row r="15" spans="2:16" ht="17.25" x14ac:dyDescent="0.2">
      <c r="B15" s="412"/>
      <c r="C15" s="413"/>
      <c r="D15" s="413"/>
      <c r="E15" s="413"/>
      <c r="F15" s="413"/>
      <c r="G15" s="413"/>
      <c r="H15" s="413"/>
      <c r="I15" s="1186" t="s">
        <v>28</v>
      </c>
      <c r="J15" s="1187"/>
      <c r="K15" s="1187"/>
      <c r="L15" s="1187"/>
      <c r="M15" s="1187"/>
      <c r="N15" s="1007"/>
      <c r="O15" s="1188">
        <f>'06'!I3</f>
        <v>2.2000000000000002</v>
      </c>
      <c r="P15" s="1189"/>
    </row>
    <row r="16" spans="2:16" ht="17.25" x14ac:dyDescent="0.2">
      <c r="B16" s="412"/>
      <c r="C16" s="413"/>
      <c r="D16" s="413"/>
      <c r="E16" s="413"/>
      <c r="F16" s="413"/>
      <c r="G16" s="413"/>
      <c r="H16" s="413"/>
      <c r="I16" s="1186" t="s">
        <v>156</v>
      </c>
      <c r="J16" s="1187"/>
      <c r="K16" s="1187"/>
      <c r="L16" s="1187"/>
      <c r="M16" s="1187"/>
      <c r="N16" s="1007"/>
      <c r="O16" s="1191">
        <f>+O14*O15</f>
        <v>0</v>
      </c>
      <c r="P16" s="1189"/>
    </row>
    <row r="17" spans="2:18" ht="17.25" x14ac:dyDescent="0.2">
      <c r="B17" s="414"/>
      <c r="C17" s="415"/>
      <c r="D17" s="415"/>
      <c r="E17" s="415"/>
      <c r="F17" s="415"/>
      <c r="G17" s="415"/>
      <c r="H17" s="416"/>
      <c r="I17" s="416"/>
      <c r="J17" s="416"/>
      <c r="K17" s="416"/>
      <c r="L17" s="416"/>
      <c r="M17" s="416"/>
      <c r="N17" s="416"/>
      <c r="O17" s="416"/>
      <c r="P17" s="417"/>
    </row>
    <row r="18" spans="2:18" ht="15" x14ac:dyDescent="0.2">
      <c r="B18" s="418" t="s">
        <v>157</v>
      </c>
      <c r="C18" s="1192" t="s">
        <v>158</v>
      </c>
      <c r="D18" s="1187"/>
      <c r="E18" s="1187"/>
      <c r="F18" s="1187"/>
      <c r="G18" s="1187"/>
      <c r="H18" s="1187"/>
      <c r="I18" s="1187"/>
      <c r="J18" s="1187"/>
      <c r="K18" s="1187"/>
      <c r="L18" s="1187"/>
      <c r="M18" s="1187"/>
      <c r="N18" s="1187"/>
      <c r="O18" s="1187"/>
      <c r="P18" s="1189"/>
    </row>
    <row r="19" spans="2:18" x14ac:dyDescent="0.2">
      <c r="B19" s="1176" t="s">
        <v>129</v>
      </c>
      <c r="C19" s="1178" t="s">
        <v>38</v>
      </c>
      <c r="D19" s="1179"/>
      <c r="E19" s="1179"/>
      <c r="F19" s="1179"/>
      <c r="G19" s="1179"/>
      <c r="H19" s="1180"/>
      <c r="I19" s="1182" t="s">
        <v>39</v>
      </c>
      <c r="J19" s="1182" t="s">
        <v>132</v>
      </c>
      <c r="K19" s="1178" t="s">
        <v>134</v>
      </c>
      <c r="L19" s="1180"/>
      <c r="M19" s="1182" t="s">
        <v>159</v>
      </c>
      <c r="N19" s="1182" t="s">
        <v>136</v>
      </c>
      <c r="O19" s="1178" t="s">
        <v>137</v>
      </c>
      <c r="P19" s="1184"/>
    </row>
    <row r="20" spans="2:18" x14ac:dyDescent="0.2">
      <c r="B20" s="1177"/>
      <c r="C20" s="1181"/>
      <c r="D20" s="1171"/>
      <c r="E20" s="1171"/>
      <c r="F20" s="1171"/>
      <c r="G20" s="1171"/>
      <c r="H20" s="1172"/>
      <c r="I20" s="1183"/>
      <c r="J20" s="1183"/>
      <c r="K20" s="1181"/>
      <c r="L20" s="1172"/>
      <c r="M20" s="1183"/>
      <c r="N20" s="1183"/>
      <c r="O20" s="1181"/>
      <c r="P20" s="1185"/>
    </row>
    <row r="21" spans="2:18" ht="17.25" customHeight="1" x14ac:dyDescent="0.2">
      <c r="B21" s="419"/>
      <c r="C21" s="1193"/>
      <c r="D21" s="1194"/>
      <c r="E21" s="1194"/>
      <c r="F21" s="1194"/>
      <c r="G21" s="1194"/>
      <c r="H21" s="1195"/>
      <c r="I21" s="420"/>
      <c r="J21" s="400"/>
      <c r="K21" s="1191"/>
      <c r="L21" s="1007"/>
      <c r="M21" s="409"/>
      <c r="N21" s="411"/>
      <c r="O21" s="1191"/>
      <c r="P21" s="1189"/>
    </row>
    <row r="22" spans="2:18" ht="17.25" customHeight="1" x14ac:dyDescent="0.2">
      <c r="B22" s="419"/>
      <c r="C22" s="1193"/>
      <c r="D22" s="1194"/>
      <c r="E22" s="1194"/>
      <c r="F22" s="1194"/>
      <c r="G22" s="1194"/>
      <c r="H22" s="1195"/>
      <c r="I22" s="420"/>
      <c r="J22" s="400"/>
      <c r="K22" s="1191"/>
      <c r="L22" s="1007"/>
      <c r="M22" s="409"/>
      <c r="N22" s="411"/>
      <c r="O22" s="1191"/>
      <c r="P22" s="1189"/>
    </row>
    <row r="23" spans="2:18" ht="17.25" x14ac:dyDescent="0.2">
      <c r="B23" s="412"/>
      <c r="C23" s="413"/>
      <c r="D23" s="413"/>
      <c r="E23" s="413"/>
      <c r="F23" s="413"/>
      <c r="G23" s="421"/>
      <c r="H23" s="413"/>
      <c r="I23" s="1186" t="s">
        <v>172</v>
      </c>
      <c r="J23" s="1187"/>
      <c r="K23" s="1187"/>
      <c r="L23" s="1187"/>
      <c r="M23" s="1187"/>
      <c r="N23" s="1007"/>
      <c r="O23" s="1191">
        <f>SUM(O21:O22)</f>
        <v>0</v>
      </c>
      <c r="P23" s="1189"/>
    </row>
    <row r="24" spans="2:18" ht="17.25" x14ac:dyDescent="0.2">
      <c r="B24" s="414"/>
      <c r="C24" s="141"/>
      <c r="D24" s="141"/>
      <c r="E24" s="141"/>
      <c r="F24" s="141"/>
      <c r="G24" s="141"/>
      <c r="H24" s="141"/>
      <c r="I24" s="416"/>
      <c r="J24" s="416"/>
      <c r="K24" s="416"/>
      <c r="L24" s="416"/>
      <c r="M24" s="416"/>
      <c r="N24" s="416"/>
      <c r="O24" s="416"/>
      <c r="P24" s="417"/>
      <c r="R24" s="867">
        <f>+'PTO OC PLIEGO'!L195</f>
        <v>1.9090811152559478E-2</v>
      </c>
    </row>
    <row r="25" spans="2:18" ht="17.25" x14ac:dyDescent="0.2">
      <c r="B25" s="412"/>
      <c r="C25" s="141"/>
      <c r="D25" s="141"/>
      <c r="E25" s="141"/>
      <c r="F25" s="141"/>
      <c r="G25" s="141"/>
      <c r="H25" s="141"/>
      <c r="I25" s="1186" t="s">
        <v>190</v>
      </c>
      <c r="J25" s="1187"/>
      <c r="K25" s="1187"/>
      <c r="L25" s="1187"/>
      <c r="M25" s="1187"/>
      <c r="N25" s="1187"/>
      <c r="O25" s="1196">
        <f>ROUNDUP(O16+O23,0)</f>
        <v>0</v>
      </c>
      <c r="P25" s="1189"/>
    </row>
    <row r="26" spans="2:18" ht="13.5" x14ac:dyDescent="0.2">
      <c r="B26" s="381"/>
      <c r="C26" s="76"/>
      <c r="D26" s="76"/>
      <c r="E26" s="76"/>
      <c r="F26" s="76"/>
      <c r="G26" s="76"/>
      <c r="H26" s="76"/>
      <c r="I26" s="76"/>
      <c r="J26" s="76"/>
      <c r="K26" s="76"/>
      <c r="L26" s="76"/>
      <c r="M26" s="76"/>
      <c r="N26" s="76"/>
      <c r="O26" s="76"/>
      <c r="P26" s="390"/>
    </row>
    <row r="27" spans="2:18" ht="13.5" x14ac:dyDescent="0.25">
      <c r="B27" s="381"/>
      <c r="C27" s="382"/>
      <c r="D27" s="374"/>
      <c r="E27" s="374"/>
      <c r="F27" s="374"/>
      <c r="G27" s="374"/>
      <c r="H27" s="374"/>
      <c r="I27" s="382"/>
      <c r="J27" s="382"/>
      <c r="K27" s="382"/>
      <c r="L27" s="382"/>
      <c r="M27" s="382"/>
      <c r="N27" s="382"/>
      <c r="O27" s="382"/>
      <c r="P27" s="832"/>
      <c r="Q27" s="8"/>
    </row>
    <row r="28" spans="2:18" x14ac:dyDescent="0.2">
      <c r="B28" s="389"/>
      <c r="C28" s="76"/>
      <c r="D28" s="76"/>
      <c r="E28" s="76"/>
      <c r="F28" s="76"/>
      <c r="G28" s="76"/>
      <c r="H28" s="76"/>
      <c r="I28" s="76"/>
      <c r="J28" s="76"/>
      <c r="K28" s="76"/>
      <c r="L28" s="76"/>
      <c r="M28" s="76"/>
      <c r="N28" s="76"/>
      <c r="O28" s="76"/>
      <c r="P28" s="390"/>
    </row>
    <row r="29" spans="2:18" x14ac:dyDescent="0.2">
      <c r="B29" s="389"/>
      <c r="C29" s="76"/>
      <c r="D29" s="76"/>
      <c r="E29" s="76"/>
      <c r="F29" s="76"/>
      <c r="G29" s="76"/>
      <c r="H29" s="76"/>
      <c r="I29" s="76"/>
      <c r="J29" s="76"/>
      <c r="K29" s="76"/>
      <c r="L29" s="76"/>
      <c r="M29" s="76"/>
      <c r="N29" s="76"/>
      <c r="O29" s="76"/>
      <c r="P29" s="390"/>
    </row>
    <row r="30" spans="2:18" x14ac:dyDescent="0.2">
      <c r="B30" s="389"/>
      <c r="C30" s="76"/>
      <c r="D30" s="76"/>
      <c r="E30" s="76"/>
      <c r="F30" s="76"/>
      <c r="G30" s="76"/>
      <c r="H30" s="76"/>
      <c r="I30" s="76"/>
      <c r="J30" s="76"/>
      <c r="K30" s="76"/>
      <c r="L30" s="76"/>
      <c r="M30" s="76"/>
      <c r="N30" s="76"/>
      <c r="O30" s="76"/>
      <c r="P30" s="390"/>
    </row>
    <row r="31" spans="2:18" x14ac:dyDescent="0.2">
      <c r="B31" s="389"/>
      <c r="C31" s="76"/>
      <c r="D31" s="76"/>
      <c r="E31" s="76"/>
      <c r="F31" s="76"/>
      <c r="G31" s="76"/>
      <c r="H31" s="76"/>
      <c r="I31" s="76"/>
      <c r="J31" s="76"/>
      <c r="K31" s="76"/>
      <c r="L31" s="76"/>
      <c r="M31" s="76"/>
      <c r="N31" s="76"/>
      <c r="O31" s="76"/>
      <c r="P31" s="390"/>
    </row>
    <row r="32" spans="2:18" ht="13.5" thickBot="1" x14ac:dyDescent="0.25">
      <c r="B32" s="389"/>
      <c r="C32" s="76"/>
      <c r="D32" s="76"/>
      <c r="E32" s="328"/>
      <c r="F32" s="328"/>
      <c r="G32" s="328"/>
      <c r="H32" s="328"/>
      <c r="I32" s="76"/>
      <c r="J32" s="76"/>
      <c r="K32" s="76"/>
      <c r="L32" s="76"/>
      <c r="M32" s="76"/>
      <c r="N32" s="76"/>
      <c r="O32" s="76"/>
      <c r="P32" s="390"/>
    </row>
    <row r="33" spans="2:16" ht="14.25" thickTop="1" x14ac:dyDescent="0.25">
      <c r="B33" s="389"/>
      <c r="C33" s="76"/>
      <c r="D33" s="76"/>
      <c r="E33" s="912" t="s">
        <v>1961</v>
      </c>
      <c r="F33" s="912"/>
      <c r="G33" s="912"/>
      <c r="H33" s="912"/>
      <c r="I33" s="330"/>
      <c r="J33" s="912" t="s">
        <v>1964</v>
      </c>
      <c r="K33" s="942"/>
      <c r="L33" s="942"/>
      <c r="M33" s="942"/>
      <c r="N33" s="76"/>
      <c r="O33" s="76"/>
      <c r="P33" s="390"/>
    </row>
    <row r="34" spans="2:16" ht="13.5" x14ac:dyDescent="0.25">
      <c r="B34" s="389"/>
      <c r="C34" s="76"/>
      <c r="D34" s="76"/>
      <c r="E34" s="926" t="s">
        <v>1962</v>
      </c>
      <c r="F34" s="927"/>
      <c r="G34" s="927"/>
      <c r="H34" s="927"/>
      <c r="I34" s="329"/>
      <c r="J34" s="938" t="s">
        <v>1965</v>
      </c>
      <c r="K34" s="939"/>
      <c r="L34" s="939"/>
      <c r="M34" s="939"/>
      <c r="N34" s="78"/>
      <c r="O34" s="78"/>
      <c r="P34" s="391"/>
    </row>
    <row r="35" spans="2:16" ht="13.5" x14ac:dyDescent="0.2">
      <c r="B35" s="389"/>
      <c r="C35" s="76"/>
      <c r="D35" s="76"/>
      <c r="E35" s="1046" t="s">
        <v>1963</v>
      </c>
      <c r="F35" s="1046"/>
      <c r="G35" s="1046"/>
      <c r="H35" s="1046"/>
      <c r="I35" s="329"/>
      <c r="J35" s="1046" t="s">
        <v>1966</v>
      </c>
      <c r="K35" s="1046"/>
      <c r="L35" s="1046"/>
      <c r="M35" s="1046"/>
      <c r="N35" s="76"/>
      <c r="O35" s="76"/>
      <c r="P35" s="390"/>
    </row>
    <row r="36" spans="2:16" ht="14.25" thickBot="1" x14ac:dyDescent="0.3">
      <c r="B36" s="392"/>
      <c r="C36" s="393"/>
      <c r="D36" s="393"/>
      <c r="E36" s="393"/>
      <c r="F36" s="393"/>
      <c r="G36" s="405"/>
      <c r="H36" s="405"/>
      <c r="I36" s="405"/>
      <c r="J36" s="405"/>
      <c r="K36" s="393"/>
      <c r="L36" s="393"/>
      <c r="M36" s="393"/>
      <c r="N36" s="393"/>
      <c r="O36" s="393"/>
      <c r="P36" s="394"/>
    </row>
    <row r="37" spans="2:16" ht="13.5" x14ac:dyDescent="0.25">
      <c r="G37" s="330"/>
      <c r="H37" s="330"/>
      <c r="I37" s="330"/>
      <c r="J37" s="330"/>
    </row>
  </sheetData>
  <mergeCells count="52">
    <mergeCell ref="J35:M35"/>
    <mergeCell ref="I23:N23"/>
    <mergeCell ref="E35:H35"/>
    <mergeCell ref="J33:M33"/>
    <mergeCell ref="C22:H22"/>
    <mergeCell ref="K22:L22"/>
    <mergeCell ref="O22:P22"/>
    <mergeCell ref="E34:H34"/>
    <mergeCell ref="E33:H33"/>
    <mergeCell ref="J34:M34"/>
    <mergeCell ref="C21:H21"/>
    <mergeCell ref="K21:L21"/>
    <mergeCell ref="O21:P21"/>
    <mergeCell ref="O23:P23"/>
    <mergeCell ref="I25:N25"/>
    <mergeCell ref="O25:P25"/>
    <mergeCell ref="I16:N16"/>
    <mergeCell ref="O16:P16"/>
    <mergeCell ref="C18:P18"/>
    <mergeCell ref="B19:B20"/>
    <mergeCell ref="C19:H20"/>
    <mergeCell ref="I19:I20"/>
    <mergeCell ref="J19:J20"/>
    <mergeCell ref="K19:L20"/>
    <mergeCell ref="M19:M20"/>
    <mergeCell ref="N19:N20"/>
    <mergeCell ref="O19:P20"/>
    <mergeCell ref="I15:N15"/>
    <mergeCell ref="O15:P15"/>
    <mergeCell ref="C12:G12"/>
    <mergeCell ref="K12:L12"/>
    <mergeCell ref="O12:P12"/>
    <mergeCell ref="C13:G13"/>
    <mergeCell ref="K13:L13"/>
    <mergeCell ref="O13:P13"/>
    <mergeCell ref="I14:N14"/>
    <mergeCell ref="O14:P14"/>
    <mergeCell ref="C9:P9"/>
    <mergeCell ref="B10:B11"/>
    <mergeCell ref="C10:G11"/>
    <mergeCell ref="H10:H11"/>
    <mergeCell ref="I10:I11"/>
    <mergeCell ref="J10:J11"/>
    <mergeCell ref="K10:L11"/>
    <mergeCell ref="M10:M11"/>
    <mergeCell ref="N10:N11"/>
    <mergeCell ref="O10:P11"/>
    <mergeCell ref="B2:K4"/>
    <mergeCell ref="L2:M2"/>
    <mergeCell ref="N2:P4"/>
    <mergeCell ref="L3:M4"/>
    <mergeCell ref="B6:P7"/>
  </mergeCells>
  <phoneticPr fontId="36" type="noConversion"/>
  <conditionalFormatting sqref="N21:N22 N12:N13">
    <cfRule type="colorScale" priority="1976">
      <colorScale>
        <cfvo type="min"/>
        <cfvo type="percentile" val="50"/>
        <cfvo type="max"/>
        <color rgb="FF63BE7B"/>
        <color rgb="FFFFEB84"/>
        <color rgb="FFF8696B"/>
      </colorScale>
    </cfRule>
  </conditionalFormatting>
  <conditionalFormatting sqref="E33:E34">
    <cfRule type="duplicateValues" dxfId="1403" priority="1"/>
  </conditionalFormatting>
  <printOptions horizontalCentered="1" verticalCentered="1"/>
  <pageMargins left="0" right="0" top="0" bottom="0" header="0" footer="0"/>
  <pageSetup scale="66" orientation="landscape"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J85"/>
  <sheetViews>
    <sheetView view="pageBreakPreview" zoomScale="85" zoomScaleNormal="100" zoomScaleSheetLayoutView="85" workbookViewId="0">
      <selection activeCell="G3" sqref="G3:H4"/>
    </sheetView>
  </sheetViews>
  <sheetFormatPr baseColWidth="10" defaultRowHeight="12.75" x14ac:dyDescent="0.2"/>
  <cols>
    <col min="1" max="1" width="4.28515625" customWidth="1"/>
    <col min="2" max="2" width="20.28515625" customWidth="1"/>
    <col min="3" max="3" width="20.7109375" customWidth="1"/>
    <col min="5" max="6" width="15.42578125" customWidth="1"/>
    <col min="11" max="11" width="3.140625" customWidth="1"/>
  </cols>
  <sheetData>
    <row r="1" spans="2:10" ht="13.5" thickBot="1" x14ac:dyDescent="0.25"/>
    <row r="2" spans="2:10" x14ac:dyDescent="0.2">
      <c r="B2" s="1206" t="str">
        <f>Indice!$B$2</f>
        <v>CONSTRUCCIÓN DE LA FASE 1 DEL PLAN MAESTRO DE ACUEDUCTO DEL MUNICIPIO DE ÍQUIRA, HUILA</v>
      </c>
      <c r="C2" s="1207"/>
      <c r="D2" s="1207"/>
      <c r="E2" s="1207"/>
      <c r="F2" s="1208"/>
      <c r="G2" s="1018" t="s">
        <v>0</v>
      </c>
      <c r="H2" s="1019"/>
      <c r="I2" s="836" t="s">
        <v>193</v>
      </c>
      <c r="J2" s="837" t="s">
        <v>194</v>
      </c>
    </row>
    <row r="3" spans="2:10" ht="25.9" customHeight="1" x14ac:dyDescent="0.2">
      <c r="B3" s="1209"/>
      <c r="C3" s="1168"/>
      <c r="D3" s="1168"/>
      <c r="E3" s="1168"/>
      <c r="F3" s="1169"/>
      <c r="G3" s="1151">
        <f>Indice!$Q$3</f>
        <v>46195</v>
      </c>
      <c r="H3" s="1053"/>
      <c r="I3" s="1211">
        <f>J73</f>
        <v>2.2000000000000002</v>
      </c>
      <c r="J3" s="1216">
        <f>$I$44</f>
        <v>1.7233500000000002</v>
      </c>
    </row>
    <row r="4" spans="2:10" x14ac:dyDescent="0.2">
      <c r="B4" s="1210"/>
      <c r="C4" s="1171"/>
      <c r="D4" s="1171"/>
      <c r="E4" s="1171"/>
      <c r="F4" s="1172"/>
      <c r="G4" s="1031"/>
      <c r="H4" s="1055"/>
      <c r="I4" s="1123"/>
      <c r="J4" s="1217"/>
    </row>
    <row r="5" spans="2:10" ht="13.5" x14ac:dyDescent="0.2">
      <c r="B5" s="838"/>
      <c r="C5" s="382"/>
      <c r="D5" s="382"/>
      <c r="E5" s="382"/>
      <c r="F5" s="382"/>
      <c r="G5" s="382"/>
      <c r="H5" s="382"/>
      <c r="I5" s="382"/>
      <c r="J5" s="839"/>
    </row>
    <row r="6" spans="2:10" x14ac:dyDescent="0.2">
      <c r="B6" s="1220" t="s">
        <v>195</v>
      </c>
      <c r="C6" s="1128"/>
      <c r="D6" s="1128"/>
      <c r="E6" s="1128"/>
      <c r="F6" s="1128"/>
      <c r="G6" s="1128"/>
      <c r="H6" s="1128"/>
      <c r="I6" s="1128"/>
      <c r="J6" s="1221"/>
    </row>
    <row r="7" spans="2:10" x14ac:dyDescent="0.2">
      <c r="B7" s="1222"/>
      <c r="C7" s="1131"/>
      <c r="D7" s="1131"/>
      <c r="E7" s="1131"/>
      <c r="F7" s="1131"/>
      <c r="G7" s="1131"/>
      <c r="H7" s="1131"/>
      <c r="I7" s="1131"/>
      <c r="J7" s="1223"/>
    </row>
    <row r="8" spans="2:10" ht="17.25" x14ac:dyDescent="0.3">
      <c r="B8" s="840"/>
      <c r="C8" s="423"/>
      <c r="D8" s="423"/>
      <c r="E8" s="423"/>
      <c r="F8" s="423"/>
      <c r="G8" s="423"/>
      <c r="H8" s="424"/>
      <c r="I8" s="425"/>
      <c r="J8" s="841"/>
    </row>
    <row r="9" spans="2:10" ht="15" x14ac:dyDescent="0.2">
      <c r="B9" s="1218" t="s">
        <v>131</v>
      </c>
      <c r="C9" s="1007"/>
      <c r="D9" s="1219" t="s">
        <v>196</v>
      </c>
      <c r="E9" s="1007"/>
      <c r="F9" s="423"/>
      <c r="G9" s="1219" t="s">
        <v>197</v>
      </c>
      <c r="H9" s="1007"/>
      <c r="I9" s="1219" t="s">
        <v>198</v>
      </c>
      <c r="J9" s="1215"/>
    </row>
    <row r="10" spans="2:10" ht="16.5" x14ac:dyDescent="0.3">
      <c r="B10" s="1213">
        <v>1750905</v>
      </c>
      <c r="C10" s="1007"/>
      <c r="D10" s="1214">
        <f>+B10/30</f>
        <v>58363.5</v>
      </c>
      <c r="E10" s="1007"/>
      <c r="F10" s="423"/>
      <c r="G10" s="1214">
        <v>249095</v>
      </c>
      <c r="H10" s="1007"/>
      <c r="I10" s="1214">
        <f>+ROUND(G10/30,0)</f>
        <v>8303</v>
      </c>
      <c r="J10" s="1215"/>
    </row>
    <row r="11" spans="2:10" ht="17.25" x14ac:dyDescent="0.3">
      <c r="B11" s="840"/>
      <c r="C11" s="423"/>
      <c r="D11" s="423"/>
      <c r="E11" s="423"/>
      <c r="F11" s="423"/>
      <c r="G11" s="423"/>
      <c r="H11" s="424"/>
      <c r="I11" s="425"/>
      <c r="J11" s="841"/>
    </row>
    <row r="12" spans="2:10" ht="15" x14ac:dyDescent="0.2">
      <c r="B12" s="842" t="s">
        <v>127</v>
      </c>
      <c r="C12" s="1204" t="s">
        <v>199</v>
      </c>
      <c r="D12" s="1187"/>
      <c r="E12" s="1187"/>
      <c r="F12" s="1187"/>
      <c r="G12" s="1187"/>
      <c r="H12" s="1187"/>
      <c r="I12" s="1007"/>
      <c r="J12" s="843" t="s">
        <v>11</v>
      </c>
    </row>
    <row r="13" spans="2:10" ht="17.25" x14ac:dyDescent="0.2">
      <c r="B13" s="842" t="s">
        <v>138</v>
      </c>
      <c r="C13" s="1212" t="s">
        <v>200</v>
      </c>
      <c r="D13" s="1187"/>
      <c r="E13" s="1187"/>
      <c r="F13" s="1187"/>
      <c r="G13" s="1187"/>
      <c r="H13" s="1187"/>
      <c r="I13" s="1007"/>
      <c r="J13" s="844">
        <v>1</v>
      </c>
    </row>
    <row r="14" spans="2:10" ht="17.25" x14ac:dyDescent="0.3">
      <c r="B14" s="840"/>
      <c r="C14" s="423"/>
      <c r="D14" s="423"/>
      <c r="E14" s="423"/>
      <c r="F14" s="423"/>
      <c r="G14" s="423"/>
      <c r="H14" s="1204" t="s">
        <v>201</v>
      </c>
      <c r="I14" s="1007"/>
      <c r="J14" s="845">
        <f>SUM(J13)</f>
        <v>1</v>
      </c>
    </row>
    <row r="15" spans="2:10" ht="17.25" x14ac:dyDescent="0.3">
      <c r="B15" s="840"/>
      <c r="C15" s="423"/>
      <c r="D15" s="423"/>
      <c r="E15" s="423"/>
      <c r="F15" s="423"/>
      <c r="G15" s="423"/>
      <c r="H15" s="424"/>
      <c r="I15" s="425"/>
      <c r="J15" s="846"/>
    </row>
    <row r="16" spans="2:10" ht="15" x14ac:dyDescent="0.2">
      <c r="B16" s="842" t="s">
        <v>157</v>
      </c>
      <c r="C16" s="1204" t="s">
        <v>202</v>
      </c>
      <c r="D16" s="1187"/>
      <c r="E16" s="1187"/>
      <c r="F16" s="1187"/>
      <c r="G16" s="1187"/>
      <c r="H16" s="1187"/>
      <c r="I16" s="1007"/>
      <c r="J16" s="843" t="s">
        <v>11</v>
      </c>
    </row>
    <row r="17" spans="2:10" ht="17.25" x14ac:dyDescent="0.2">
      <c r="B17" s="842" t="s">
        <v>160</v>
      </c>
      <c r="C17" s="1203" t="s">
        <v>203</v>
      </c>
      <c r="D17" s="1187"/>
      <c r="E17" s="1187"/>
      <c r="F17" s="1187"/>
      <c r="G17" s="1187"/>
      <c r="H17" s="1187"/>
      <c r="I17" s="1007"/>
      <c r="J17" s="847">
        <v>0.14050000000000001</v>
      </c>
    </row>
    <row r="18" spans="2:10" ht="17.25" x14ac:dyDescent="0.2">
      <c r="B18" s="842" t="s">
        <v>162</v>
      </c>
      <c r="C18" s="1203" t="s">
        <v>204</v>
      </c>
      <c r="D18" s="1187"/>
      <c r="E18" s="1187"/>
      <c r="F18" s="1187"/>
      <c r="G18" s="1187"/>
      <c r="H18" s="1187"/>
      <c r="I18" s="1007"/>
      <c r="J18" s="847">
        <v>8.3299999999999999E-2</v>
      </c>
    </row>
    <row r="19" spans="2:10" ht="17.25" x14ac:dyDescent="0.2">
      <c r="B19" s="842" t="s">
        <v>164</v>
      </c>
      <c r="C19" s="1203" t="s">
        <v>205</v>
      </c>
      <c r="D19" s="1187"/>
      <c r="E19" s="1187"/>
      <c r="F19" s="1187"/>
      <c r="G19" s="1187"/>
      <c r="H19" s="1187"/>
      <c r="I19" s="1007"/>
      <c r="J19" s="847">
        <v>8.3299999999999999E-2</v>
      </c>
    </row>
    <row r="20" spans="2:10" ht="17.25" x14ac:dyDescent="0.2">
      <c r="B20" s="842" t="s">
        <v>166</v>
      </c>
      <c r="C20" s="1203" t="s">
        <v>206</v>
      </c>
      <c r="D20" s="1187"/>
      <c r="E20" s="1187"/>
      <c r="F20" s="1187"/>
      <c r="G20" s="1187"/>
      <c r="H20" s="1187"/>
      <c r="I20" s="1007"/>
      <c r="J20" s="847">
        <v>0.01</v>
      </c>
    </row>
    <row r="21" spans="2:10" ht="17.25" x14ac:dyDescent="0.2">
      <c r="B21" s="842" t="s">
        <v>168</v>
      </c>
      <c r="C21" s="1203" t="s">
        <v>207</v>
      </c>
      <c r="D21" s="1187"/>
      <c r="E21" s="1187"/>
      <c r="F21" s="1187"/>
      <c r="G21" s="1187"/>
      <c r="H21" s="1187"/>
      <c r="I21" s="1007"/>
      <c r="J21" s="847">
        <f>+J18/2</f>
        <v>4.165E-2</v>
      </c>
    </row>
    <row r="22" spans="2:10" ht="17.25" x14ac:dyDescent="0.3">
      <c r="B22" s="840"/>
      <c r="C22" s="423"/>
      <c r="D22" s="423"/>
      <c r="E22" s="423"/>
      <c r="F22" s="423"/>
      <c r="G22" s="423"/>
      <c r="H22" s="1204" t="s">
        <v>201</v>
      </c>
      <c r="I22" s="1007"/>
      <c r="J22" s="848">
        <f>SUM(J17:J21)</f>
        <v>0.35875000000000001</v>
      </c>
    </row>
    <row r="23" spans="2:10" ht="17.25" x14ac:dyDescent="0.3">
      <c r="B23" s="840"/>
      <c r="C23" s="423"/>
      <c r="D23" s="423"/>
      <c r="E23" s="423"/>
      <c r="F23" s="423"/>
      <c r="G23" s="423"/>
      <c r="H23" s="424"/>
      <c r="I23" s="425"/>
      <c r="J23" s="849"/>
    </row>
    <row r="24" spans="2:10" ht="15" x14ac:dyDescent="0.2">
      <c r="B24" s="842" t="s">
        <v>173</v>
      </c>
      <c r="C24" s="1204" t="s">
        <v>208</v>
      </c>
      <c r="D24" s="1187"/>
      <c r="E24" s="1187"/>
      <c r="F24" s="1187"/>
      <c r="G24" s="1187"/>
      <c r="H24" s="1187"/>
      <c r="I24" s="1007"/>
      <c r="J24" s="848" t="s">
        <v>11</v>
      </c>
    </row>
    <row r="25" spans="2:10" ht="17.25" x14ac:dyDescent="0.2">
      <c r="B25" s="842" t="s">
        <v>175</v>
      </c>
      <c r="C25" s="1203" t="s">
        <v>209</v>
      </c>
      <c r="D25" s="1187"/>
      <c r="E25" s="1187"/>
      <c r="F25" s="1187"/>
      <c r="G25" s="1187"/>
      <c r="H25" s="1187"/>
      <c r="I25" s="1007"/>
      <c r="J25" s="847">
        <v>0.12</v>
      </c>
    </row>
    <row r="26" spans="2:10" ht="17.25" x14ac:dyDescent="0.2">
      <c r="B26" s="842" t="s">
        <v>210</v>
      </c>
      <c r="C26" s="1203" t="s">
        <v>211</v>
      </c>
      <c r="D26" s="1187"/>
      <c r="E26" s="1187"/>
      <c r="F26" s="1187"/>
      <c r="G26" s="1187"/>
      <c r="H26" s="1187"/>
      <c r="I26" s="1007"/>
      <c r="J26" s="847">
        <v>6.9599999999999995E-2</v>
      </c>
    </row>
    <row r="27" spans="2:10" ht="17.25" x14ac:dyDescent="0.2">
      <c r="B27" s="842" t="s">
        <v>212</v>
      </c>
      <c r="C27" s="1203" t="s">
        <v>213</v>
      </c>
      <c r="D27" s="1187"/>
      <c r="E27" s="1187"/>
      <c r="F27" s="1187"/>
      <c r="G27" s="1187"/>
      <c r="H27" s="1187"/>
      <c r="I27" s="1007"/>
      <c r="J27" s="847">
        <v>8.5000000000000006E-2</v>
      </c>
    </row>
    <row r="28" spans="2:10" ht="17.25" x14ac:dyDescent="0.3">
      <c r="B28" s="840"/>
      <c r="C28" s="423"/>
      <c r="D28" s="423"/>
      <c r="E28" s="423"/>
      <c r="F28" s="423"/>
      <c r="G28" s="423"/>
      <c r="H28" s="1204" t="s">
        <v>201</v>
      </c>
      <c r="I28" s="1007"/>
      <c r="J28" s="848">
        <f>SUM(J25:J27)</f>
        <v>0.27460000000000001</v>
      </c>
    </row>
    <row r="29" spans="2:10" ht="17.25" x14ac:dyDescent="0.3">
      <c r="B29" s="840"/>
      <c r="C29" s="423"/>
      <c r="D29" s="423"/>
      <c r="E29" s="423"/>
      <c r="F29" s="423"/>
      <c r="G29" s="423"/>
      <c r="H29" s="424"/>
      <c r="I29" s="425"/>
      <c r="J29" s="841"/>
    </row>
    <row r="30" spans="2:10" ht="15" x14ac:dyDescent="0.2">
      <c r="B30" s="842" t="s">
        <v>176</v>
      </c>
      <c r="C30" s="1204" t="s">
        <v>214</v>
      </c>
      <c r="D30" s="1187"/>
      <c r="E30" s="1187"/>
      <c r="F30" s="1187"/>
      <c r="G30" s="1187"/>
      <c r="H30" s="1187"/>
      <c r="I30" s="1007"/>
      <c r="J30" s="843" t="s">
        <v>11</v>
      </c>
    </row>
    <row r="31" spans="2:10" ht="17.25" x14ac:dyDescent="0.2">
      <c r="B31" s="842" t="s">
        <v>178</v>
      </c>
      <c r="C31" s="1203" t="s">
        <v>215</v>
      </c>
      <c r="D31" s="1187"/>
      <c r="E31" s="1187"/>
      <c r="F31" s="1187"/>
      <c r="G31" s="1187"/>
      <c r="H31" s="1187"/>
      <c r="I31" s="1007"/>
      <c r="J31" s="847">
        <v>0.04</v>
      </c>
    </row>
    <row r="32" spans="2:10" ht="17.25" x14ac:dyDescent="0.2">
      <c r="B32" s="842" t="s">
        <v>181</v>
      </c>
      <c r="C32" s="1203" t="s">
        <v>216</v>
      </c>
      <c r="D32" s="1187"/>
      <c r="E32" s="1187"/>
      <c r="F32" s="1187"/>
      <c r="G32" s="1187"/>
      <c r="H32" s="1187"/>
      <c r="I32" s="1007"/>
      <c r="J32" s="847">
        <v>0.02</v>
      </c>
    </row>
    <row r="33" spans="2:10" ht="17.25" x14ac:dyDescent="0.2">
      <c r="B33" s="842" t="s">
        <v>183</v>
      </c>
      <c r="C33" s="1203" t="s">
        <v>217</v>
      </c>
      <c r="D33" s="1187"/>
      <c r="E33" s="1187"/>
      <c r="F33" s="1187"/>
      <c r="G33" s="1187"/>
      <c r="H33" s="1187"/>
      <c r="I33" s="1007"/>
      <c r="J33" s="847">
        <v>0</v>
      </c>
    </row>
    <row r="34" spans="2:10" ht="17.25" x14ac:dyDescent="0.2">
      <c r="B34" s="842" t="s">
        <v>185</v>
      </c>
      <c r="C34" s="1225" t="s">
        <v>218</v>
      </c>
      <c r="D34" s="1187"/>
      <c r="E34" s="1187"/>
      <c r="F34" s="1187"/>
      <c r="G34" s="1187"/>
      <c r="H34" s="1187"/>
      <c r="I34" s="1007"/>
      <c r="J34" s="847">
        <v>0</v>
      </c>
    </row>
    <row r="35" spans="2:10" ht="17.25" x14ac:dyDescent="0.2">
      <c r="B35" s="842" t="s">
        <v>187</v>
      </c>
      <c r="C35" s="1225" t="s">
        <v>219</v>
      </c>
      <c r="D35" s="1187"/>
      <c r="E35" s="1187"/>
      <c r="F35" s="1187"/>
      <c r="G35" s="1187"/>
      <c r="H35" s="1187"/>
      <c r="I35" s="1007"/>
      <c r="J35" s="847">
        <v>0</v>
      </c>
    </row>
    <row r="36" spans="2:10" ht="17.25" x14ac:dyDescent="0.2">
      <c r="B36" s="842" t="s">
        <v>189</v>
      </c>
      <c r="C36" s="1203" t="s">
        <v>220</v>
      </c>
      <c r="D36" s="1187"/>
      <c r="E36" s="1187"/>
      <c r="F36" s="1187"/>
      <c r="G36" s="1187"/>
      <c r="H36" s="1187"/>
      <c r="I36" s="1007"/>
      <c r="J36" s="847">
        <v>0.03</v>
      </c>
    </row>
    <row r="37" spans="2:10" ht="17.25" x14ac:dyDescent="0.3">
      <c r="B37" s="840"/>
      <c r="C37" s="423"/>
      <c r="D37" s="423"/>
      <c r="E37" s="423"/>
      <c r="F37" s="423"/>
      <c r="G37" s="423"/>
      <c r="H37" s="1224" t="s">
        <v>201</v>
      </c>
      <c r="I37" s="1172"/>
      <c r="J37" s="850">
        <f>SUM(J31:J36)</f>
        <v>0.09</v>
      </c>
    </row>
    <row r="38" spans="2:10" ht="17.25" x14ac:dyDescent="0.3">
      <c r="B38" s="840"/>
      <c r="C38" s="423"/>
      <c r="D38" s="423"/>
      <c r="E38" s="423"/>
      <c r="F38" s="423"/>
      <c r="G38" s="423"/>
      <c r="H38" s="424"/>
      <c r="I38" s="425"/>
      <c r="J38" s="841"/>
    </row>
    <row r="39" spans="2:10" ht="15" x14ac:dyDescent="0.2">
      <c r="B39" s="842" t="s">
        <v>221</v>
      </c>
      <c r="C39" s="1204" t="s">
        <v>222</v>
      </c>
      <c r="D39" s="1187"/>
      <c r="E39" s="1187"/>
      <c r="F39" s="1187"/>
      <c r="G39" s="1187"/>
      <c r="H39" s="1187"/>
      <c r="I39" s="1007"/>
      <c r="J39" s="843" t="s">
        <v>11</v>
      </c>
    </row>
    <row r="40" spans="2:10" ht="17.25" x14ac:dyDescent="0.2">
      <c r="B40" s="842" t="s">
        <v>223</v>
      </c>
      <c r="C40" s="1203" t="s">
        <v>224</v>
      </c>
      <c r="D40" s="1187"/>
      <c r="E40" s="1187"/>
      <c r="F40" s="1187"/>
      <c r="G40" s="1187"/>
      <c r="H40" s="1187"/>
      <c r="I40" s="1007"/>
      <c r="J40" s="847">
        <v>0</v>
      </c>
    </row>
    <row r="41" spans="2:10" ht="17.25" x14ac:dyDescent="0.2">
      <c r="B41" s="842" t="s">
        <v>225</v>
      </c>
      <c r="C41" s="1203" t="s">
        <v>226</v>
      </c>
      <c r="D41" s="1187"/>
      <c r="E41" s="1187"/>
      <c r="F41" s="1187"/>
      <c r="G41" s="1187"/>
      <c r="H41" s="1187"/>
      <c r="I41" s="1007"/>
      <c r="J41" s="847">
        <v>0</v>
      </c>
    </row>
    <row r="42" spans="2:10" ht="17.25" x14ac:dyDescent="0.3">
      <c r="B42" s="840"/>
      <c r="C42" s="423"/>
      <c r="D42" s="423"/>
      <c r="E42" s="423"/>
      <c r="F42" s="423"/>
      <c r="G42" s="423"/>
      <c r="H42" s="1204" t="s">
        <v>201</v>
      </c>
      <c r="I42" s="1007"/>
      <c r="J42" s="848">
        <f>SUM(J40:J41)</f>
        <v>0</v>
      </c>
    </row>
    <row r="43" spans="2:10" ht="17.25" x14ac:dyDescent="0.3">
      <c r="B43" s="840"/>
      <c r="C43" s="423"/>
      <c r="D43" s="423"/>
      <c r="E43" s="423"/>
      <c r="F43" s="423"/>
      <c r="G43" s="423"/>
      <c r="H43" s="424"/>
      <c r="I43" s="425"/>
      <c r="J43" s="841"/>
    </row>
    <row r="44" spans="2:10" ht="17.25" x14ac:dyDescent="0.3">
      <c r="B44" s="840"/>
      <c r="C44" s="423"/>
      <c r="D44" s="423"/>
      <c r="E44" s="423"/>
      <c r="F44" s="423"/>
      <c r="G44" s="1204" t="s">
        <v>227</v>
      </c>
      <c r="H44" s="1007"/>
      <c r="I44" s="1226">
        <f>J14+J22+J28+J37+J42</f>
        <v>1.7233500000000002</v>
      </c>
      <c r="J44" s="1215"/>
    </row>
    <row r="45" spans="2:10" ht="17.25" x14ac:dyDescent="0.3">
      <c r="B45" s="840"/>
      <c r="C45" s="423"/>
      <c r="D45" s="423"/>
      <c r="E45" s="423"/>
      <c r="F45" s="423"/>
      <c r="G45" s="423"/>
      <c r="H45" s="424"/>
      <c r="I45" s="425"/>
      <c r="J45" s="841"/>
    </row>
    <row r="46" spans="2:10" ht="17.25" x14ac:dyDescent="0.3">
      <c r="B46" s="840"/>
      <c r="C46" s="423"/>
      <c r="D46" s="423"/>
      <c r="E46" s="423"/>
      <c r="F46" s="423"/>
      <c r="G46" s="423"/>
      <c r="H46" s="424"/>
      <c r="I46" s="425"/>
      <c r="J46" s="841"/>
    </row>
    <row r="47" spans="2:10" ht="15" x14ac:dyDescent="0.2">
      <c r="B47" s="842" t="s">
        <v>228</v>
      </c>
      <c r="C47" s="1204" t="s">
        <v>229</v>
      </c>
      <c r="D47" s="1187"/>
      <c r="E47" s="1187"/>
      <c r="F47" s="1187"/>
      <c r="G47" s="1187"/>
      <c r="H47" s="1187"/>
      <c r="I47" s="1007"/>
      <c r="J47" s="843" t="s">
        <v>11</v>
      </c>
    </row>
    <row r="48" spans="2:10" ht="17.25" x14ac:dyDescent="0.2">
      <c r="B48" s="842" t="s">
        <v>230</v>
      </c>
      <c r="C48" s="1203" t="s">
        <v>179</v>
      </c>
      <c r="D48" s="1187"/>
      <c r="E48" s="1187"/>
      <c r="F48" s="1187"/>
      <c r="G48" s="1187"/>
      <c r="H48" s="1187"/>
      <c r="I48" s="1007"/>
      <c r="J48" s="847">
        <v>0</v>
      </c>
    </row>
    <row r="49" spans="2:10" ht="17.25" x14ac:dyDescent="0.2">
      <c r="B49" s="842" t="s">
        <v>231</v>
      </c>
      <c r="C49" s="1203" t="s">
        <v>182</v>
      </c>
      <c r="D49" s="1187"/>
      <c r="E49" s="1187"/>
      <c r="F49" s="1187"/>
      <c r="G49" s="1187"/>
      <c r="H49" s="1187"/>
      <c r="I49" s="1007"/>
      <c r="J49" s="847">
        <v>0.01</v>
      </c>
    </row>
    <row r="50" spans="2:10" ht="17.25" x14ac:dyDescent="0.2">
      <c r="B50" s="842" t="s">
        <v>232</v>
      </c>
      <c r="C50" s="1203" t="s">
        <v>184</v>
      </c>
      <c r="D50" s="1187"/>
      <c r="E50" s="1187"/>
      <c r="F50" s="1187"/>
      <c r="G50" s="1187"/>
      <c r="H50" s="1187"/>
      <c r="I50" s="1007"/>
      <c r="J50" s="847">
        <v>0</v>
      </c>
    </row>
    <row r="51" spans="2:10" ht="17.25" x14ac:dyDescent="0.2">
      <c r="B51" s="842" t="s">
        <v>233</v>
      </c>
      <c r="C51" s="1203" t="s">
        <v>186</v>
      </c>
      <c r="D51" s="1187"/>
      <c r="E51" s="1187"/>
      <c r="F51" s="1187"/>
      <c r="G51" s="1187"/>
      <c r="H51" s="1187"/>
      <c r="I51" s="1007"/>
      <c r="J51" s="847">
        <v>0</v>
      </c>
    </row>
    <row r="52" spans="2:10" ht="17.25" x14ac:dyDescent="0.2">
      <c r="B52" s="842" t="s">
        <v>234</v>
      </c>
      <c r="C52" s="1203" t="s">
        <v>188</v>
      </c>
      <c r="D52" s="1187"/>
      <c r="E52" s="1187"/>
      <c r="F52" s="1187"/>
      <c r="G52" s="1187"/>
      <c r="H52" s="1187"/>
      <c r="I52" s="1007"/>
      <c r="J52" s="847">
        <v>0</v>
      </c>
    </row>
    <row r="53" spans="2:10" ht="17.25" x14ac:dyDescent="0.2">
      <c r="B53" s="842" t="s">
        <v>235</v>
      </c>
      <c r="C53" s="1203" t="s">
        <v>236</v>
      </c>
      <c r="D53" s="1187"/>
      <c r="E53" s="1187"/>
      <c r="F53" s="1187"/>
      <c r="G53" s="1187"/>
      <c r="H53" s="1187"/>
      <c r="I53" s="1007"/>
      <c r="J53" s="847">
        <v>0</v>
      </c>
    </row>
    <row r="54" spans="2:10" ht="17.25" x14ac:dyDescent="0.2">
      <c r="B54" s="842" t="s">
        <v>237</v>
      </c>
      <c r="C54" s="1203" t="s">
        <v>238</v>
      </c>
      <c r="D54" s="1187"/>
      <c r="E54" s="1187"/>
      <c r="F54" s="1187"/>
      <c r="G54" s="1187"/>
      <c r="H54" s="1187"/>
      <c r="I54" s="1007"/>
      <c r="J54" s="847">
        <v>0</v>
      </c>
    </row>
    <row r="55" spans="2:10" ht="15" x14ac:dyDescent="0.2">
      <c r="B55" s="851"/>
      <c r="C55" s="423"/>
      <c r="D55" s="423"/>
      <c r="E55" s="423"/>
      <c r="F55" s="423"/>
      <c r="G55" s="423"/>
      <c r="H55" s="1204" t="s">
        <v>201</v>
      </c>
      <c r="I55" s="1007"/>
      <c r="J55" s="848">
        <f>SUM(J48:J54)</f>
        <v>0.01</v>
      </c>
    </row>
    <row r="56" spans="2:10" ht="17.25" x14ac:dyDescent="0.3">
      <c r="B56" s="852" t="s">
        <v>239</v>
      </c>
      <c r="C56" s="423" t="s">
        <v>239</v>
      </c>
      <c r="D56" s="423" t="s">
        <v>239</v>
      </c>
      <c r="E56" s="423" t="s">
        <v>239</v>
      </c>
      <c r="F56" s="423" t="s">
        <v>239</v>
      </c>
      <c r="G56" s="423" t="s">
        <v>239</v>
      </c>
      <c r="H56" s="423"/>
      <c r="I56" s="426" t="s">
        <v>239</v>
      </c>
      <c r="J56" s="853" t="s">
        <v>239</v>
      </c>
    </row>
    <row r="57" spans="2:10" ht="15" x14ac:dyDescent="0.2">
      <c r="B57" s="842" t="s">
        <v>240</v>
      </c>
      <c r="C57" s="1204" t="s">
        <v>123</v>
      </c>
      <c r="D57" s="1187"/>
      <c r="E57" s="1187"/>
      <c r="F57" s="1187"/>
      <c r="G57" s="1187"/>
      <c r="H57" s="1187"/>
      <c r="I57" s="1007"/>
      <c r="J57" s="843" t="s">
        <v>11</v>
      </c>
    </row>
    <row r="58" spans="2:10" ht="40.5" customHeight="1" x14ac:dyDescent="0.2">
      <c r="B58" s="842" t="s">
        <v>241</v>
      </c>
      <c r="C58" s="1203" t="s">
        <v>242</v>
      </c>
      <c r="D58" s="1187"/>
      <c r="E58" s="1187"/>
      <c r="F58" s="1187"/>
      <c r="G58" s="1187"/>
      <c r="H58" s="1187"/>
      <c r="I58" s="1007"/>
      <c r="J58" s="847">
        <v>0.02</v>
      </c>
    </row>
    <row r="59" spans="2:10" ht="17.25" x14ac:dyDescent="0.2">
      <c r="B59" s="842" t="s">
        <v>243</v>
      </c>
      <c r="C59" s="1203" t="s">
        <v>1491</v>
      </c>
      <c r="D59" s="1187"/>
      <c r="E59" s="1187"/>
      <c r="F59" s="1187"/>
      <c r="G59" s="1187"/>
      <c r="H59" s="1187"/>
      <c r="I59" s="1007"/>
      <c r="J59" s="847">
        <v>0.02</v>
      </c>
    </row>
    <row r="60" spans="2:10" ht="17.25" x14ac:dyDescent="0.2">
      <c r="B60" s="842" t="s">
        <v>244</v>
      </c>
      <c r="C60" s="1203" t="s">
        <v>1492</v>
      </c>
      <c r="D60" s="1187"/>
      <c r="E60" s="1187"/>
      <c r="F60" s="1187"/>
      <c r="G60" s="1187"/>
      <c r="H60" s="1187"/>
      <c r="I60" s="1007"/>
      <c r="J60" s="847">
        <v>0.01</v>
      </c>
    </row>
    <row r="61" spans="2:10" ht="17.25" x14ac:dyDescent="0.2">
      <c r="B61" s="842" t="s">
        <v>245</v>
      </c>
      <c r="C61" s="1203" t="s">
        <v>1493</v>
      </c>
      <c r="D61" s="1187"/>
      <c r="E61" s="1187"/>
      <c r="F61" s="1187"/>
      <c r="G61" s="1187"/>
      <c r="H61" s="1187"/>
      <c r="I61" s="1007"/>
      <c r="J61" s="847">
        <v>0.17</v>
      </c>
    </row>
    <row r="62" spans="2:10" ht="17.25" x14ac:dyDescent="0.2">
      <c r="B62" s="842" t="s">
        <v>246</v>
      </c>
      <c r="C62" s="1203" t="s">
        <v>1494</v>
      </c>
      <c r="D62" s="1187"/>
      <c r="E62" s="1187"/>
      <c r="F62" s="1187"/>
      <c r="G62" s="1187"/>
      <c r="H62" s="1187"/>
      <c r="I62" s="1007"/>
      <c r="J62" s="847">
        <v>0.01</v>
      </c>
    </row>
    <row r="63" spans="2:10" ht="17.25" x14ac:dyDescent="0.2">
      <c r="B63" s="842" t="s">
        <v>247</v>
      </c>
      <c r="C63" s="1203" t="s">
        <v>1495</v>
      </c>
      <c r="D63" s="1187"/>
      <c r="E63" s="1187"/>
      <c r="F63" s="1187"/>
      <c r="G63" s="1187"/>
      <c r="H63" s="1187"/>
      <c r="I63" s="1007"/>
      <c r="J63" s="847">
        <v>0.2</v>
      </c>
    </row>
    <row r="64" spans="2:10" ht="17.25" x14ac:dyDescent="0.3">
      <c r="B64" s="840"/>
      <c r="C64" s="423"/>
      <c r="D64" s="423"/>
      <c r="E64" s="423"/>
      <c r="F64" s="423"/>
      <c r="G64" s="423"/>
      <c r="H64" s="1204" t="s">
        <v>201</v>
      </c>
      <c r="I64" s="1007"/>
      <c r="J64" s="848">
        <f>SUM(J58:J63)</f>
        <v>0.43000000000000005</v>
      </c>
    </row>
    <row r="65" spans="2:10" ht="17.25" x14ac:dyDescent="0.3">
      <c r="B65" s="852" t="s">
        <v>239</v>
      </c>
      <c r="C65" s="423" t="s">
        <v>239</v>
      </c>
      <c r="D65" s="423"/>
      <c r="E65" s="423"/>
      <c r="F65" s="423"/>
      <c r="G65" s="423"/>
      <c r="H65" s="423"/>
      <c r="I65" s="426" t="s">
        <v>239</v>
      </c>
      <c r="J65" s="853" t="s">
        <v>239</v>
      </c>
    </row>
    <row r="66" spans="2:10" ht="15" x14ac:dyDescent="0.2">
      <c r="B66" s="842" t="s">
        <v>248</v>
      </c>
      <c r="C66" s="1204" t="s">
        <v>249</v>
      </c>
      <c r="D66" s="1187"/>
      <c r="E66" s="1187"/>
      <c r="F66" s="1187"/>
      <c r="G66" s="1187"/>
      <c r="H66" s="1187"/>
      <c r="I66" s="1007"/>
      <c r="J66" s="843" t="s">
        <v>11</v>
      </c>
    </row>
    <row r="67" spans="2:10" ht="17.25" x14ac:dyDescent="0.2">
      <c r="B67" s="842" t="s">
        <v>250</v>
      </c>
      <c r="C67" s="1203" t="s">
        <v>251</v>
      </c>
      <c r="D67" s="1187"/>
      <c r="E67" s="1187"/>
      <c r="F67" s="1187"/>
      <c r="G67" s="1187"/>
      <c r="H67" s="1187"/>
      <c r="I67" s="1007"/>
      <c r="J67" s="847">
        <v>3.3999999999999998E-3</v>
      </c>
    </row>
    <row r="68" spans="2:10" ht="17.25" x14ac:dyDescent="0.2">
      <c r="B68" s="842" t="s">
        <v>252</v>
      </c>
      <c r="C68" s="1203" t="s">
        <v>253</v>
      </c>
      <c r="D68" s="1187"/>
      <c r="E68" s="1187"/>
      <c r="F68" s="1187"/>
      <c r="G68" s="1187"/>
      <c r="H68" s="1187"/>
      <c r="I68" s="1007"/>
      <c r="J68" s="847">
        <v>5.9999999999999995E-4</v>
      </c>
    </row>
    <row r="69" spans="2:10" ht="17.25" x14ac:dyDescent="0.2">
      <c r="B69" s="842" t="s">
        <v>254</v>
      </c>
      <c r="C69" s="1203" t="s">
        <v>255</v>
      </c>
      <c r="D69" s="1187"/>
      <c r="E69" s="1187"/>
      <c r="F69" s="1187"/>
      <c r="G69" s="1187"/>
      <c r="H69" s="1187"/>
      <c r="I69" s="1007"/>
      <c r="J69" s="847">
        <v>0</v>
      </c>
    </row>
    <row r="70" spans="2:10" ht="15" x14ac:dyDescent="0.2">
      <c r="B70" s="851" t="s">
        <v>239</v>
      </c>
      <c r="C70" s="423" t="s">
        <v>239</v>
      </c>
      <c r="D70" s="423" t="s">
        <v>239</v>
      </c>
      <c r="E70" s="423" t="s">
        <v>239</v>
      </c>
      <c r="F70" s="423" t="s">
        <v>239</v>
      </c>
      <c r="G70" s="423" t="s">
        <v>239</v>
      </c>
      <c r="H70" s="1204" t="s">
        <v>201</v>
      </c>
      <c r="I70" s="1007"/>
      <c r="J70" s="848">
        <f>SUM(J67:J69)</f>
        <v>4.0000000000000001E-3</v>
      </c>
    </row>
    <row r="71" spans="2:10" ht="17.25" x14ac:dyDescent="0.3">
      <c r="B71" s="840"/>
      <c r="C71" s="427"/>
      <c r="D71" s="427"/>
      <c r="E71" s="427"/>
      <c r="F71" s="427"/>
      <c r="G71" s="425"/>
      <c r="H71" s="425"/>
      <c r="I71" s="425"/>
      <c r="J71" s="841"/>
    </row>
    <row r="72" spans="2:10" ht="30" x14ac:dyDescent="0.3">
      <c r="B72" s="840"/>
      <c r="C72" s="141"/>
      <c r="D72" s="141"/>
      <c r="E72" s="141"/>
      <c r="F72" s="141"/>
      <c r="G72" s="425"/>
      <c r="H72" s="1205" t="s">
        <v>193</v>
      </c>
      <c r="I72" s="428" t="s">
        <v>256</v>
      </c>
      <c r="J72" s="854">
        <f>I44+J55+J70+J64</f>
        <v>2.1673500000000003</v>
      </c>
    </row>
    <row r="73" spans="2:10" ht="17.25" x14ac:dyDescent="0.3">
      <c r="B73" s="840"/>
      <c r="C73" s="141"/>
      <c r="D73" s="141"/>
      <c r="E73" s="141"/>
      <c r="F73" s="141"/>
      <c r="G73" s="425"/>
      <c r="H73" s="1174"/>
      <c r="I73" s="428" t="s">
        <v>257</v>
      </c>
      <c r="J73" s="848">
        <f>ROUNDUP((J72),1)</f>
        <v>2.2000000000000002</v>
      </c>
    </row>
    <row r="74" spans="2:10" x14ac:dyDescent="0.2">
      <c r="B74" s="337"/>
      <c r="C74" s="76"/>
      <c r="D74" s="76"/>
      <c r="E74" s="76"/>
      <c r="F74" s="76"/>
      <c r="G74" s="76"/>
      <c r="H74" s="76"/>
      <c r="I74" s="76"/>
      <c r="J74" s="338"/>
    </row>
    <row r="75" spans="2:10" x14ac:dyDescent="0.2">
      <c r="B75" s="337"/>
      <c r="C75" s="76"/>
      <c r="D75" s="76"/>
      <c r="E75" s="76"/>
      <c r="F75" s="76"/>
      <c r="G75" s="76"/>
      <c r="H75" s="76"/>
      <c r="I75" s="76"/>
      <c r="J75" s="338"/>
    </row>
    <row r="76" spans="2:10" x14ac:dyDescent="0.2">
      <c r="B76" s="337"/>
      <c r="C76" s="76"/>
      <c r="D76" s="76"/>
      <c r="E76" s="76"/>
      <c r="F76" s="76"/>
      <c r="G76" s="76"/>
      <c r="H76" s="76"/>
      <c r="I76" s="76"/>
      <c r="J76" s="338"/>
    </row>
    <row r="77" spans="2:10" x14ac:dyDescent="0.2">
      <c r="B77" s="337"/>
      <c r="C77" s="76"/>
      <c r="D77" s="76"/>
      <c r="E77" s="76"/>
      <c r="F77" s="76"/>
      <c r="G77" s="76"/>
      <c r="H77" s="76"/>
      <c r="I77" s="76"/>
      <c r="J77" s="338"/>
    </row>
    <row r="78" spans="2:10" x14ac:dyDescent="0.2">
      <c r="B78" s="337"/>
      <c r="C78" s="76"/>
      <c r="D78" s="76"/>
      <c r="E78" s="76"/>
      <c r="F78" s="76"/>
      <c r="G78" s="76"/>
      <c r="H78" s="76"/>
      <c r="I78" s="76"/>
      <c r="J78" s="338"/>
    </row>
    <row r="79" spans="2:10" x14ac:dyDescent="0.2">
      <c r="B79" s="337"/>
      <c r="C79" s="76"/>
      <c r="D79" s="76"/>
      <c r="E79" s="76"/>
      <c r="F79" s="76"/>
      <c r="G79" s="76"/>
      <c r="H79" s="76"/>
      <c r="I79" s="76"/>
      <c r="J79" s="338"/>
    </row>
    <row r="80" spans="2:10" x14ac:dyDescent="0.2">
      <c r="B80" s="337"/>
      <c r="C80" s="76"/>
      <c r="D80" s="76"/>
      <c r="E80" s="76"/>
      <c r="F80" s="76"/>
      <c r="G80" s="76"/>
      <c r="H80" s="76"/>
      <c r="I80" s="76"/>
      <c r="J80" s="338"/>
    </row>
    <row r="81" spans="2:10" ht="14.25" thickBot="1" x14ac:dyDescent="0.3">
      <c r="B81" s="855"/>
      <c r="C81" s="328"/>
      <c r="D81" s="328"/>
      <c r="E81" s="328"/>
      <c r="F81" s="76"/>
      <c r="G81" s="78"/>
      <c r="H81" s="78"/>
      <c r="I81" s="78"/>
      <c r="J81" s="340"/>
    </row>
    <row r="82" spans="2:10" ht="14.25" thickTop="1" x14ac:dyDescent="0.2">
      <c r="B82" s="1198" t="s">
        <v>1961</v>
      </c>
      <c r="C82" s="912"/>
      <c r="D82" s="912"/>
      <c r="E82" s="912"/>
      <c r="F82" s="76"/>
      <c r="G82" s="912" t="s">
        <v>1964</v>
      </c>
      <c r="H82" s="942"/>
      <c r="I82" s="942"/>
      <c r="J82" s="1199"/>
    </row>
    <row r="83" spans="2:10" ht="13.5" x14ac:dyDescent="0.25">
      <c r="B83" s="1197" t="s">
        <v>1962</v>
      </c>
      <c r="C83" s="927"/>
      <c r="D83" s="927"/>
      <c r="E83" s="927"/>
      <c r="F83" s="76"/>
      <c r="G83" s="938" t="s">
        <v>1965</v>
      </c>
      <c r="H83" s="939"/>
      <c r="I83" s="939"/>
      <c r="J83" s="1200"/>
    </row>
    <row r="84" spans="2:10" x14ac:dyDescent="0.2">
      <c r="B84" s="1202" t="s">
        <v>1963</v>
      </c>
      <c r="C84" s="1046"/>
      <c r="D84" s="1046"/>
      <c r="E84" s="1046"/>
      <c r="F84" s="76"/>
      <c r="G84" s="1046" t="s">
        <v>1966</v>
      </c>
      <c r="H84" s="1046"/>
      <c r="I84" s="1046"/>
      <c r="J84" s="1201"/>
    </row>
    <row r="85" spans="2:10" ht="13.5" thickBot="1" x14ac:dyDescent="0.25">
      <c r="B85" s="341"/>
      <c r="C85" s="342"/>
      <c r="D85" s="342"/>
      <c r="E85" s="342"/>
      <c r="F85" s="342"/>
      <c r="G85" s="342"/>
      <c r="H85" s="342"/>
      <c r="I85" s="342"/>
      <c r="J85" s="343"/>
    </row>
  </sheetData>
  <mergeCells count="72">
    <mergeCell ref="C49:I49"/>
    <mergeCell ref="C50:I50"/>
    <mergeCell ref="C51:I51"/>
    <mergeCell ref="H42:I42"/>
    <mergeCell ref="G44:H44"/>
    <mergeCell ref="I44:J44"/>
    <mergeCell ref="C47:I47"/>
    <mergeCell ref="C48:I48"/>
    <mergeCell ref="C31:I31"/>
    <mergeCell ref="C32:I32"/>
    <mergeCell ref="C33:I33"/>
    <mergeCell ref="C34:I34"/>
    <mergeCell ref="C35:I35"/>
    <mergeCell ref="C36:I36"/>
    <mergeCell ref="H37:I37"/>
    <mergeCell ref="C39:I39"/>
    <mergeCell ref="C40:I40"/>
    <mergeCell ref="C41:I41"/>
    <mergeCell ref="C30:I30"/>
    <mergeCell ref="C19:I19"/>
    <mergeCell ref="C20:I20"/>
    <mergeCell ref="C21:I21"/>
    <mergeCell ref="H22:I22"/>
    <mergeCell ref="C24:I24"/>
    <mergeCell ref="C12:I12"/>
    <mergeCell ref="C25:I25"/>
    <mergeCell ref="C26:I26"/>
    <mergeCell ref="C27:I27"/>
    <mergeCell ref="H28:I28"/>
    <mergeCell ref="J3:J4"/>
    <mergeCell ref="B9:C9"/>
    <mergeCell ref="D9:E9"/>
    <mergeCell ref="G9:H9"/>
    <mergeCell ref="I9:J9"/>
    <mergeCell ref="B6:J7"/>
    <mergeCell ref="C69:I69"/>
    <mergeCell ref="H70:I70"/>
    <mergeCell ref="H72:H73"/>
    <mergeCell ref="B2:F4"/>
    <mergeCell ref="G2:H2"/>
    <mergeCell ref="G3:H4"/>
    <mergeCell ref="I3:I4"/>
    <mergeCell ref="C13:I13"/>
    <mergeCell ref="H14:I14"/>
    <mergeCell ref="C16:I16"/>
    <mergeCell ref="C17:I17"/>
    <mergeCell ref="C18:I18"/>
    <mergeCell ref="B10:C10"/>
    <mergeCell ref="D10:E10"/>
    <mergeCell ref="I10:J10"/>
    <mergeCell ref="G10:H10"/>
    <mergeCell ref="C63:I63"/>
    <mergeCell ref="H64:I64"/>
    <mergeCell ref="C66:I66"/>
    <mergeCell ref="C67:I67"/>
    <mergeCell ref="C68:I68"/>
    <mergeCell ref="C52:I52"/>
    <mergeCell ref="C53:I53"/>
    <mergeCell ref="C54:I54"/>
    <mergeCell ref="H55:I55"/>
    <mergeCell ref="C57:I57"/>
    <mergeCell ref="C58:I58"/>
    <mergeCell ref="C59:I59"/>
    <mergeCell ref="C60:I60"/>
    <mergeCell ref="C61:I61"/>
    <mergeCell ref="C62:I62"/>
    <mergeCell ref="B83:E83"/>
    <mergeCell ref="B82:E82"/>
    <mergeCell ref="G82:J82"/>
    <mergeCell ref="G83:J83"/>
    <mergeCell ref="G84:J84"/>
    <mergeCell ref="B84:E84"/>
  </mergeCells>
  <conditionalFormatting sqref="B82:B83">
    <cfRule type="duplicateValues" dxfId="1402" priority="1"/>
  </conditionalFormatting>
  <printOptions horizontalCentered="1" verticalCentered="1"/>
  <pageMargins left="0" right="0" top="0" bottom="0" header="0" footer="0"/>
  <pageSetup scale="55" orientation="portrait"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64"/>
  <sheetViews>
    <sheetView view="pageBreakPreview" topLeftCell="A22" zoomScale="85" zoomScaleNormal="100" zoomScaleSheetLayoutView="85" workbookViewId="0">
      <selection activeCell="A30" sqref="A30:C30"/>
    </sheetView>
  </sheetViews>
  <sheetFormatPr baseColWidth="10" defaultRowHeight="12.75" x14ac:dyDescent="0.2"/>
  <sheetData>
    <row r="1" spans="1:15" x14ac:dyDescent="0.2">
      <c r="A1" s="1228" t="str">
        <f>Indice!$B$2</f>
        <v>CONSTRUCCIÓN DE LA FASE 1 DEL PLAN MAESTRO DE ACUEDUCTO DEL MUNICIPIO DE ÍQUIRA, HUILA</v>
      </c>
      <c r="B1" s="1108"/>
      <c r="C1" s="1108"/>
      <c r="D1" s="1108"/>
      <c r="E1" s="1108"/>
      <c r="F1" s="1108"/>
      <c r="G1" s="1108"/>
      <c r="H1" s="1108"/>
      <c r="I1" s="1108"/>
      <c r="J1" s="1108"/>
      <c r="K1" s="1108"/>
      <c r="L1" s="1108"/>
      <c r="M1" s="1109"/>
      <c r="N1" s="1232" t="s">
        <v>0</v>
      </c>
      <c r="O1" s="1058"/>
    </row>
    <row r="2" spans="1:15" x14ac:dyDescent="0.2">
      <c r="A2" s="1229"/>
      <c r="B2" s="1230"/>
      <c r="C2" s="1230"/>
      <c r="D2" s="1230"/>
      <c r="E2" s="1230"/>
      <c r="F2" s="1230"/>
      <c r="G2" s="1230"/>
      <c r="H2" s="1230"/>
      <c r="I2" s="1230"/>
      <c r="J2" s="1230"/>
      <c r="K2" s="1230"/>
      <c r="L2" s="1230"/>
      <c r="M2" s="1231"/>
      <c r="N2" s="1233">
        <f>Indice!$Q$3</f>
        <v>46195</v>
      </c>
      <c r="O2" s="1109"/>
    </row>
    <row r="3" spans="1:15" x14ac:dyDescent="0.2">
      <c r="A3" s="1110"/>
      <c r="B3" s="1111"/>
      <c r="C3" s="1111"/>
      <c r="D3" s="1111"/>
      <c r="E3" s="1111"/>
      <c r="F3" s="1111"/>
      <c r="G3" s="1111"/>
      <c r="H3" s="1111"/>
      <c r="I3" s="1111"/>
      <c r="J3" s="1111"/>
      <c r="K3" s="1111"/>
      <c r="L3" s="1111"/>
      <c r="M3" s="1112"/>
      <c r="N3" s="1110"/>
      <c r="O3" s="1112"/>
    </row>
    <row r="4" spans="1:15" ht="13.5" x14ac:dyDescent="0.2">
      <c r="A4" s="8"/>
      <c r="B4" s="8"/>
      <c r="C4" s="8"/>
      <c r="D4" s="8"/>
      <c r="E4" s="8"/>
      <c r="F4" s="8"/>
      <c r="G4" s="8"/>
      <c r="H4" s="8"/>
      <c r="I4" s="8"/>
      <c r="J4" s="8"/>
      <c r="K4" s="8"/>
      <c r="L4" s="8"/>
      <c r="M4" s="8"/>
      <c r="N4" s="8"/>
      <c r="O4" s="8"/>
    </row>
    <row r="5" spans="1:15" x14ac:dyDescent="0.2">
      <c r="A5" s="1234" t="s">
        <v>495</v>
      </c>
      <c r="B5" s="1052"/>
      <c r="C5" s="1052"/>
      <c r="D5" s="1052"/>
      <c r="E5" s="1052"/>
      <c r="F5" s="1052"/>
      <c r="G5" s="1052"/>
      <c r="H5" s="1052"/>
      <c r="I5" s="1052"/>
      <c r="J5" s="1052"/>
      <c r="K5" s="1052"/>
      <c r="L5" s="1052"/>
      <c r="M5" s="1052"/>
      <c r="N5" s="1052"/>
      <c r="O5" s="1235"/>
    </row>
    <row r="6" spans="1:15" ht="13.5" x14ac:dyDescent="0.25">
      <c r="A6" s="3"/>
      <c r="B6" s="3"/>
      <c r="C6" s="3"/>
      <c r="D6" s="3"/>
      <c r="E6" s="3"/>
      <c r="F6" s="3"/>
      <c r="G6" s="3"/>
      <c r="H6" s="3"/>
      <c r="I6" s="3"/>
      <c r="J6" s="3"/>
      <c r="K6" s="3"/>
      <c r="L6" s="3"/>
      <c r="M6" s="3"/>
    </row>
    <row r="7" spans="1:15" ht="13.5" x14ac:dyDescent="0.25">
      <c r="A7" s="3"/>
      <c r="B7" s="8"/>
      <c r="C7" s="8"/>
      <c r="D7" s="8"/>
      <c r="E7" s="8"/>
      <c r="F7" s="8"/>
      <c r="I7" s="3"/>
      <c r="J7" s="8"/>
      <c r="K7" s="3"/>
      <c r="L7" s="3"/>
    </row>
    <row r="8" spans="1:15" ht="13.5" x14ac:dyDescent="0.25">
      <c r="A8" s="3"/>
      <c r="B8" s="4" t="s">
        <v>496</v>
      </c>
      <c r="C8" s="1232" t="s">
        <v>38</v>
      </c>
      <c r="D8" s="1057"/>
      <c r="E8" s="1058"/>
      <c r="F8" s="4" t="s">
        <v>497</v>
      </c>
      <c r="G8" s="1236" t="s">
        <v>498</v>
      </c>
      <c r="H8" s="1058"/>
      <c r="I8" s="3"/>
      <c r="J8" s="3"/>
      <c r="K8" s="3"/>
      <c r="L8" s="3"/>
    </row>
    <row r="9" spans="1:15" ht="13.5" x14ac:dyDescent="0.25">
      <c r="A9" s="3"/>
      <c r="B9" s="6" t="s">
        <v>499</v>
      </c>
      <c r="C9" s="1238" t="s">
        <v>500</v>
      </c>
      <c r="D9" s="1057"/>
      <c r="E9" s="1058"/>
      <c r="F9" s="41">
        <v>4.2</v>
      </c>
      <c r="G9" s="1237">
        <f t="shared" ref="G9:G21" si="0">ROUND(F9*$M$14,0)</f>
        <v>245127</v>
      </c>
      <c r="H9" s="1058"/>
      <c r="I9" s="3"/>
      <c r="K9" s="3"/>
      <c r="L9" s="3"/>
    </row>
    <row r="10" spans="1:15" ht="13.5" x14ac:dyDescent="0.25">
      <c r="A10" s="3"/>
      <c r="B10" s="6" t="s">
        <v>501</v>
      </c>
      <c r="C10" s="1238" t="s">
        <v>502</v>
      </c>
      <c r="D10" s="1057"/>
      <c r="E10" s="1058"/>
      <c r="F10" s="41">
        <v>1.1499999999999999</v>
      </c>
      <c r="G10" s="1237">
        <f t="shared" si="0"/>
        <v>67118</v>
      </c>
      <c r="H10" s="1058"/>
      <c r="I10" s="3"/>
      <c r="K10" s="3"/>
      <c r="L10" s="3"/>
    </row>
    <row r="11" spans="1:15" ht="13.5" x14ac:dyDescent="0.25">
      <c r="A11" s="3"/>
      <c r="B11" s="6" t="s">
        <v>503</v>
      </c>
      <c r="C11" s="1238" t="s">
        <v>504</v>
      </c>
      <c r="D11" s="1057"/>
      <c r="E11" s="1058"/>
      <c r="F11" s="41"/>
      <c r="G11" s="1237">
        <f t="shared" si="0"/>
        <v>0</v>
      </c>
      <c r="H11" s="1058"/>
      <c r="I11" s="3"/>
      <c r="J11" s="1239" t="s">
        <v>505</v>
      </c>
      <c r="K11" s="1240"/>
      <c r="L11" s="1054"/>
      <c r="M11" s="1094">
        <f>'06'!J3</f>
        <v>1.7233500000000002</v>
      </c>
      <c r="N11" s="1058"/>
    </row>
    <row r="12" spans="1:15" ht="13.5" x14ac:dyDescent="0.25">
      <c r="A12" s="3"/>
      <c r="B12" s="6" t="s">
        <v>506</v>
      </c>
      <c r="C12" s="1238" t="s">
        <v>507</v>
      </c>
      <c r="D12" s="1057"/>
      <c r="E12" s="1058"/>
      <c r="F12" s="41">
        <v>1.1499999999999999</v>
      </c>
      <c r="G12" s="1237">
        <f>ROUND(F12*$M$14,0)</f>
        <v>67118</v>
      </c>
      <c r="H12" s="1058"/>
    </row>
    <row r="13" spans="1:15" ht="13.5" x14ac:dyDescent="0.25">
      <c r="A13" s="3"/>
      <c r="B13" s="6" t="s">
        <v>508</v>
      </c>
      <c r="C13" s="1238" t="s">
        <v>509</v>
      </c>
      <c r="D13" s="1057"/>
      <c r="E13" s="1058"/>
      <c r="F13" s="41">
        <v>2.5</v>
      </c>
      <c r="G13" s="1237">
        <f>ROUND(F13*$M$14,0)</f>
        <v>145909</v>
      </c>
      <c r="H13" s="1058"/>
      <c r="I13" s="3"/>
      <c r="J13" s="3"/>
      <c r="K13" s="3"/>
      <c r="L13" s="3"/>
    </row>
    <row r="14" spans="1:15" ht="13.5" x14ac:dyDescent="0.25">
      <c r="A14" s="3"/>
      <c r="B14" s="6" t="s">
        <v>510</v>
      </c>
      <c r="C14" s="1238" t="s">
        <v>511</v>
      </c>
      <c r="D14" s="1057"/>
      <c r="E14" s="1058"/>
      <c r="F14" s="41">
        <v>1.2</v>
      </c>
      <c r="G14" s="1237">
        <f t="shared" si="0"/>
        <v>70036</v>
      </c>
      <c r="H14" s="1058"/>
      <c r="I14" s="3"/>
      <c r="J14" s="1239" t="s">
        <v>512</v>
      </c>
      <c r="K14" s="1240"/>
      <c r="L14" s="1054"/>
      <c r="M14" s="1241">
        <f>+'06'!D10</f>
        <v>58363.5</v>
      </c>
      <c r="N14" s="1058"/>
    </row>
    <row r="15" spans="1:15" ht="13.5" x14ac:dyDescent="0.25">
      <c r="A15" s="3"/>
      <c r="B15" s="6" t="s">
        <v>513</v>
      </c>
      <c r="C15" s="1238" t="s">
        <v>514</v>
      </c>
      <c r="D15" s="1057"/>
      <c r="E15" s="1058"/>
      <c r="F15" s="41">
        <v>1.8</v>
      </c>
      <c r="G15" s="1237">
        <f t="shared" si="0"/>
        <v>105054</v>
      </c>
      <c r="H15" s="1058"/>
      <c r="I15" s="3"/>
      <c r="J15" s="3"/>
      <c r="K15" s="3"/>
      <c r="L15" s="3"/>
    </row>
    <row r="16" spans="1:15" ht="13.5" x14ac:dyDescent="0.25">
      <c r="A16" s="3"/>
      <c r="B16" s="6" t="s">
        <v>515</v>
      </c>
      <c r="C16" s="1238" t="s">
        <v>516</v>
      </c>
      <c r="D16" s="1057"/>
      <c r="E16" s="1058"/>
      <c r="F16" s="41">
        <v>1.2</v>
      </c>
      <c r="G16" s="1237">
        <f t="shared" si="0"/>
        <v>70036</v>
      </c>
      <c r="H16" s="1058"/>
      <c r="I16" s="3"/>
      <c r="J16" s="3"/>
      <c r="K16" s="3"/>
      <c r="L16" s="3"/>
    </row>
    <row r="17" spans="1:15" ht="13.5" x14ac:dyDescent="0.25">
      <c r="A17" s="3"/>
      <c r="B17" s="6" t="s">
        <v>517</v>
      </c>
      <c r="C17" s="1238" t="s">
        <v>518</v>
      </c>
      <c r="D17" s="1057"/>
      <c r="E17" s="1058"/>
      <c r="F17" s="41">
        <v>2</v>
      </c>
      <c r="G17" s="1237">
        <f t="shared" si="0"/>
        <v>116727</v>
      </c>
      <c r="H17" s="1058"/>
      <c r="I17" s="3"/>
      <c r="J17" s="3"/>
      <c r="K17" s="3"/>
      <c r="L17" s="3"/>
    </row>
    <row r="18" spans="1:15" ht="13.5" hidden="1" x14ac:dyDescent="0.25">
      <c r="A18" s="3"/>
      <c r="B18" s="6" t="s">
        <v>519</v>
      </c>
      <c r="C18" s="1238" t="s">
        <v>520</v>
      </c>
      <c r="D18" s="1057"/>
      <c r="E18" s="1058"/>
      <c r="F18" s="41"/>
      <c r="G18" s="1237">
        <f t="shared" si="0"/>
        <v>0</v>
      </c>
      <c r="H18" s="1058"/>
      <c r="I18" s="3"/>
      <c r="J18" s="3"/>
      <c r="K18" s="3"/>
      <c r="L18" s="3"/>
    </row>
    <row r="19" spans="1:15" ht="13.5" hidden="1" x14ac:dyDescent="0.25">
      <c r="A19" s="3"/>
      <c r="B19" s="6" t="s">
        <v>521</v>
      </c>
      <c r="C19" s="1238" t="s">
        <v>522</v>
      </c>
      <c r="D19" s="1057"/>
      <c r="E19" s="1058"/>
      <c r="F19" s="41"/>
      <c r="G19" s="1237">
        <f t="shared" si="0"/>
        <v>0</v>
      </c>
      <c r="H19" s="1058"/>
      <c r="I19" s="3"/>
      <c r="J19" s="3"/>
      <c r="K19" s="3"/>
      <c r="L19" s="3"/>
    </row>
    <row r="20" spans="1:15" ht="13.5" x14ac:dyDescent="0.25">
      <c r="A20" s="3"/>
      <c r="B20" s="6" t="s">
        <v>523</v>
      </c>
      <c r="C20" s="1238" t="s">
        <v>524</v>
      </c>
      <c r="D20" s="1057"/>
      <c r="E20" s="1058"/>
      <c r="F20" s="41">
        <v>4</v>
      </c>
      <c r="G20" s="1237">
        <f t="shared" si="0"/>
        <v>233454</v>
      </c>
      <c r="H20" s="1058"/>
      <c r="I20" s="3"/>
      <c r="J20" s="3"/>
      <c r="K20" s="3"/>
      <c r="L20" s="3"/>
    </row>
    <row r="21" spans="1:15" ht="13.5" x14ac:dyDescent="0.25">
      <c r="A21" s="3"/>
      <c r="B21" s="6" t="s">
        <v>523</v>
      </c>
      <c r="C21" s="1238" t="s">
        <v>524</v>
      </c>
      <c r="D21" s="1057"/>
      <c r="E21" s="1058"/>
      <c r="F21" s="41">
        <v>4</v>
      </c>
      <c r="G21" s="1237">
        <f t="shared" si="0"/>
        <v>233454</v>
      </c>
      <c r="H21" s="1058"/>
      <c r="I21" s="3"/>
      <c r="J21" s="3"/>
      <c r="K21" s="3"/>
      <c r="L21" s="3"/>
    </row>
    <row r="22" spans="1:15" ht="13.5" x14ac:dyDescent="0.2">
      <c r="A22" s="42">
        <v>1</v>
      </c>
      <c r="B22" s="42">
        <v>2</v>
      </c>
      <c r="C22" s="42">
        <v>3</v>
      </c>
      <c r="D22" s="42">
        <v>4</v>
      </c>
      <c r="E22" s="42">
        <v>5</v>
      </c>
      <c r="F22" s="42">
        <v>6</v>
      </c>
      <c r="G22" s="42">
        <v>7</v>
      </c>
      <c r="H22" s="42">
        <v>8</v>
      </c>
      <c r="I22" s="42">
        <v>9</v>
      </c>
      <c r="J22" s="42">
        <v>10</v>
      </c>
      <c r="K22" s="42">
        <v>11</v>
      </c>
      <c r="L22" s="42">
        <v>12</v>
      </c>
      <c r="M22" s="42">
        <v>13</v>
      </c>
      <c r="N22" s="42">
        <v>14</v>
      </c>
      <c r="O22" s="42">
        <v>15</v>
      </c>
    </row>
    <row r="23" spans="1:15" x14ac:dyDescent="0.2">
      <c r="A23" s="1236" t="s">
        <v>525</v>
      </c>
      <c r="B23" s="1057"/>
      <c r="C23" s="1057"/>
      <c r="D23" s="1058"/>
      <c r="E23" s="1236" t="s">
        <v>526</v>
      </c>
      <c r="F23" s="1058"/>
      <c r="G23" s="1236" t="s">
        <v>527</v>
      </c>
      <c r="H23" s="1057"/>
      <c r="I23" s="1058"/>
      <c r="J23" s="1236" t="s">
        <v>528</v>
      </c>
      <c r="K23" s="1057"/>
      <c r="L23" s="1058"/>
      <c r="M23" s="1236" t="s">
        <v>1497</v>
      </c>
      <c r="N23" s="1057"/>
      <c r="O23" s="1058"/>
    </row>
    <row r="24" spans="1:15" ht="13.5" x14ac:dyDescent="0.25">
      <c r="A24" s="1238" t="s">
        <v>396</v>
      </c>
      <c r="B24" s="1057"/>
      <c r="C24" s="1058"/>
      <c r="D24" s="43" t="s">
        <v>476</v>
      </c>
      <c r="E24" s="1227">
        <f t="shared" ref="E24:E49" si="1">(G24*H24)+(J24*K24)+(M24*N24)</f>
        <v>312245</v>
      </c>
      <c r="F24" s="1058"/>
      <c r="G24" s="6">
        <v>1</v>
      </c>
      <c r="H24" s="1237">
        <f>G9</f>
        <v>245127</v>
      </c>
      <c r="I24" s="1058"/>
      <c r="J24" s="6">
        <v>1</v>
      </c>
      <c r="K24" s="1237">
        <f>G10</f>
        <v>67118</v>
      </c>
      <c r="L24" s="1058"/>
      <c r="M24" s="6">
        <v>0</v>
      </c>
      <c r="N24" s="1237">
        <f>G11</f>
        <v>0</v>
      </c>
      <c r="O24" s="1058"/>
    </row>
    <row r="25" spans="1:15" ht="13.5" x14ac:dyDescent="0.25">
      <c r="A25" s="1238" t="s">
        <v>400</v>
      </c>
      <c r="B25" s="1057"/>
      <c r="C25" s="1058"/>
      <c r="D25" s="43" t="s">
        <v>476</v>
      </c>
      <c r="E25" s="1227">
        <f t="shared" si="1"/>
        <v>67118</v>
      </c>
      <c r="F25" s="1058"/>
      <c r="G25" s="6">
        <v>1</v>
      </c>
      <c r="H25" s="1237"/>
      <c r="I25" s="1058"/>
      <c r="J25" s="6">
        <v>1</v>
      </c>
      <c r="K25" s="1237">
        <f>$G$12</f>
        <v>67118</v>
      </c>
      <c r="L25" s="1058"/>
      <c r="M25" s="6"/>
      <c r="N25" s="1237"/>
      <c r="O25" s="1058"/>
    </row>
    <row r="26" spans="1:15" ht="13.5" x14ac:dyDescent="0.25">
      <c r="A26" s="1238" t="s">
        <v>423</v>
      </c>
      <c r="B26" s="1057"/>
      <c r="C26" s="1058"/>
      <c r="D26" s="43" t="s">
        <v>476</v>
      </c>
      <c r="E26" s="1227">
        <f>(G26*H26)+(J26*K26)+(M26*N26)</f>
        <v>134236</v>
      </c>
      <c r="F26" s="1058"/>
      <c r="G26" s="6">
        <v>1</v>
      </c>
      <c r="H26" s="1237"/>
      <c r="I26" s="1058"/>
      <c r="J26" s="6">
        <v>2</v>
      </c>
      <c r="K26" s="1237">
        <f t="shared" ref="K26:K27" si="2">$G$12</f>
        <v>67118</v>
      </c>
      <c r="L26" s="1058"/>
      <c r="M26" s="6"/>
      <c r="N26" s="1237"/>
      <c r="O26" s="1058"/>
    </row>
    <row r="27" spans="1:15" ht="13.5" x14ac:dyDescent="0.25">
      <c r="A27" s="1238" t="s">
        <v>434</v>
      </c>
      <c r="B27" s="1057"/>
      <c r="C27" s="1058"/>
      <c r="D27" s="43" t="s">
        <v>476</v>
      </c>
      <c r="E27" s="1227">
        <f t="shared" si="1"/>
        <v>201354</v>
      </c>
      <c r="F27" s="1058"/>
      <c r="G27" s="6">
        <v>1</v>
      </c>
      <c r="H27" s="1237"/>
      <c r="I27" s="1058"/>
      <c r="J27" s="6">
        <v>3</v>
      </c>
      <c r="K27" s="1237">
        <f t="shared" si="2"/>
        <v>67118</v>
      </c>
      <c r="L27" s="1058"/>
      <c r="M27" s="6"/>
      <c r="N27" s="1237"/>
      <c r="O27" s="1058"/>
    </row>
    <row r="28" spans="1:15" ht="13.5" hidden="1" customHeight="1" x14ac:dyDescent="0.25">
      <c r="A28" s="1238" t="s">
        <v>529</v>
      </c>
      <c r="B28" s="1057"/>
      <c r="C28" s="1058"/>
      <c r="D28" s="43" t="s">
        <v>476</v>
      </c>
      <c r="E28" s="1227">
        <f t="shared" si="1"/>
        <v>0</v>
      </c>
      <c r="F28" s="1058"/>
      <c r="G28" s="6"/>
      <c r="H28" s="1237">
        <f t="shared" ref="H28" si="3">$G$20</f>
        <v>233454</v>
      </c>
      <c r="I28" s="1058"/>
      <c r="J28" s="6"/>
      <c r="K28" s="1237">
        <f t="shared" ref="K28" si="4">$G$13</f>
        <v>145909</v>
      </c>
      <c r="L28" s="1058"/>
      <c r="M28" s="6"/>
      <c r="N28" s="1237"/>
      <c r="O28" s="1058"/>
    </row>
    <row r="29" spans="1:15" ht="13.5" x14ac:dyDescent="0.25">
      <c r="A29" s="1238" t="s">
        <v>404</v>
      </c>
      <c r="B29" s="1057"/>
      <c r="C29" s="1058"/>
      <c r="D29" s="43" t="s">
        <v>476</v>
      </c>
      <c r="E29" s="1227">
        <f t="shared" si="1"/>
        <v>213027</v>
      </c>
      <c r="F29" s="1058"/>
      <c r="G29" s="6">
        <v>1</v>
      </c>
      <c r="H29" s="1237">
        <f t="shared" ref="H29:H34" si="5">$G$13</f>
        <v>145909</v>
      </c>
      <c r="I29" s="1058"/>
      <c r="J29" s="6">
        <v>1</v>
      </c>
      <c r="K29" s="1237">
        <f t="shared" ref="K29:K38" si="6">$G$12</f>
        <v>67118</v>
      </c>
      <c r="L29" s="1058"/>
      <c r="M29" s="6"/>
      <c r="N29" s="1237"/>
      <c r="O29" s="1058"/>
    </row>
    <row r="30" spans="1:15" ht="13.5" x14ac:dyDescent="0.25">
      <c r="A30" s="1242" t="s">
        <v>418</v>
      </c>
      <c r="B30" s="1057"/>
      <c r="C30" s="1058"/>
      <c r="D30" s="43" t="s">
        <v>476</v>
      </c>
      <c r="E30" s="1227">
        <f t="shared" si="1"/>
        <v>280145</v>
      </c>
      <c r="F30" s="1058"/>
      <c r="G30" s="6">
        <v>1</v>
      </c>
      <c r="H30" s="1237">
        <f t="shared" si="5"/>
        <v>145909</v>
      </c>
      <c r="I30" s="1058"/>
      <c r="J30" s="6">
        <v>2</v>
      </c>
      <c r="K30" s="1237">
        <f t="shared" si="6"/>
        <v>67118</v>
      </c>
      <c r="L30" s="1058"/>
      <c r="M30" s="6"/>
      <c r="N30" s="1237"/>
      <c r="O30" s="1058"/>
    </row>
    <row r="31" spans="1:15" ht="13.5" x14ac:dyDescent="0.25">
      <c r="A31" s="1242" t="s">
        <v>530</v>
      </c>
      <c r="B31" s="1057"/>
      <c r="C31" s="1058"/>
      <c r="D31" s="43" t="s">
        <v>476</v>
      </c>
      <c r="E31" s="1227">
        <f t="shared" si="1"/>
        <v>347263</v>
      </c>
      <c r="F31" s="1058"/>
      <c r="G31" s="6">
        <v>1</v>
      </c>
      <c r="H31" s="1237">
        <f t="shared" si="5"/>
        <v>145909</v>
      </c>
      <c r="I31" s="1058"/>
      <c r="J31" s="6">
        <v>3</v>
      </c>
      <c r="K31" s="1237">
        <f t="shared" si="6"/>
        <v>67118</v>
      </c>
      <c r="L31" s="1058"/>
      <c r="M31" s="6"/>
      <c r="N31" s="1237"/>
      <c r="O31" s="1058"/>
    </row>
    <row r="32" spans="1:15" ht="13.5" x14ac:dyDescent="0.25">
      <c r="A32" s="1238" t="s">
        <v>411</v>
      </c>
      <c r="B32" s="1057"/>
      <c r="C32" s="1058"/>
      <c r="D32" s="43" t="s">
        <v>476</v>
      </c>
      <c r="E32" s="1227">
        <f t="shared" si="1"/>
        <v>414381</v>
      </c>
      <c r="F32" s="1058"/>
      <c r="G32" s="6">
        <v>1</v>
      </c>
      <c r="H32" s="1237">
        <f t="shared" si="5"/>
        <v>145909</v>
      </c>
      <c r="I32" s="1058"/>
      <c r="J32" s="6">
        <v>4</v>
      </c>
      <c r="K32" s="1237">
        <f t="shared" si="6"/>
        <v>67118</v>
      </c>
      <c r="L32" s="1058"/>
      <c r="M32" s="6"/>
      <c r="N32" s="1237"/>
      <c r="O32" s="1058"/>
    </row>
    <row r="33" spans="1:15" ht="13.5" x14ac:dyDescent="0.25">
      <c r="A33" s="1238" t="s">
        <v>432</v>
      </c>
      <c r="B33" s="1057"/>
      <c r="C33" s="1058"/>
      <c r="D33" s="43" t="s">
        <v>476</v>
      </c>
      <c r="E33" s="1227">
        <f t="shared" si="1"/>
        <v>481499</v>
      </c>
      <c r="F33" s="1058"/>
      <c r="G33" s="6">
        <v>1</v>
      </c>
      <c r="H33" s="1237">
        <f t="shared" si="5"/>
        <v>145909</v>
      </c>
      <c r="I33" s="1058"/>
      <c r="J33" s="6">
        <v>5</v>
      </c>
      <c r="K33" s="1237">
        <f t="shared" si="6"/>
        <v>67118</v>
      </c>
      <c r="L33" s="1058"/>
      <c r="M33" s="6"/>
      <c r="N33" s="1237"/>
      <c r="O33" s="1058"/>
    </row>
    <row r="34" spans="1:15" ht="13.5" x14ac:dyDescent="0.25">
      <c r="A34" s="1238" t="s">
        <v>531</v>
      </c>
      <c r="B34" s="1057"/>
      <c r="C34" s="1058"/>
      <c r="D34" s="43" t="s">
        <v>476</v>
      </c>
      <c r="E34" s="1227">
        <f t="shared" si="1"/>
        <v>548617</v>
      </c>
      <c r="F34" s="1058"/>
      <c r="G34" s="6">
        <v>1</v>
      </c>
      <c r="H34" s="1237">
        <f t="shared" si="5"/>
        <v>145909</v>
      </c>
      <c r="I34" s="1058"/>
      <c r="J34" s="6">
        <v>6</v>
      </c>
      <c r="K34" s="1237">
        <f t="shared" si="6"/>
        <v>67118</v>
      </c>
      <c r="L34" s="1058"/>
      <c r="M34" s="6"/>
      <c r="N34" s="1237"/>
      <c r="O34" s="1058"/>
    </row>
    <row r="35" spans="1:15" ht="13.5" x14ac:dyDescent="0.25">
      <c r="A35" s="1238" t="s">
        <v>532</v>
      </c>
      <c r="B35" s="1057"/>
      <c r="C35" s="1058"/>
      <c r="D35" s="43" t="s">
        <v>476</v>
      </c>
      <c r="E35" s="1227">
        <f t="shared" si="1"/>
        <v>446481</v>
      </c>
      <c r="F35" s="1058"/>
      <c r="G35" s="6">
        <v>1</v>
      </c>
      <c r="H35" s="1237">
        <f t="shared" ref="H35:H50" si="7">$G$20</f>
        <v>233454</v>
      </c>
      <c r="I35" s="1058"/>
      <c r="J35" s="6">
        <v>1</v>
      </c>
      <c r="K35" s="1237">
        <f t="shared" si="6"/>
        <v>67118</v>
      </c>
      <c r="L35" s="1058"/>
      <c r="M35" s="6">
        <v>1</v>
      </c>
      <c r="N35" s="1237">
        <f>$G$13</f>
        <v>145909</v>
      </c>
      <c r="O35" s="1058"/>
    </row>
    <row r="36" spans="1:15" ht="13.5" x14ac:dyDescent="0.25">
      <c r="A36" s="1238" t="s">
        <v>533</v>
      </c>
      <c r="B36" s="1057"/>
      <c r="C36" s="1058"/>
      <c r="D36" s="43" t="s">
        <v>476</v>
      </c>
      <c r="E36" s="1227">
        <f t="shared" si="1"/>
        <v>513599</v>
      </c>
      <c r="F36" s="1058"/>
      <c r="G36" s="6">
        <v>1</v>
      </c>
      <c r="H36" s="1237">
        <f t="shared" si="7"/>
        <v>233454</v>
      </c>
      <c r="I36" s="1058"/>
      <c r="J36" s="6">
        <v>2</v>
      </c>
      <c r="K36" s="1237">
        <f t="shared" si="6"/>
        <v>67118</v>
      </c>
      <c r="L36" s="1058"/>
      <c r="M36" s="6">
        <v>1</v>
      </c>
      <c r="N36" s="1237">
        <f>$G$13</f>
        <v>145909</v>
      </c>
      <c r="O36" s="1058"/>
    </row>
    <row r="37" spans="1:15" ht="13.5" x14ac:dyDescent="0.25">
      <c r="A37" s="1238" t="s">
        <v>534</v>
      </c>
      <c r="B37" s="1057"/>
      <c r="C37" s="1058"/>
      <c r="D37" s="43" t="s">
        <v>476</v>
      </c>
      <c r="E37" s="1227">
        <f t="shared" si="1"/>
        <v>580717</v>
      </c>
      <c r="F37" s="1058"/>
      <c r="G37" s="6">
        <v>1</v>
      </c>
      <c r="H37" s="1237">
        <f t="shared" si="7"/>
        <v>233454</v>
      </c>
      <c r="I37" s="1058"/>
      <c r="J37" s="6">
        <v>3</v>
      </c>
      <c r="K37" s="1237">
        <f t="shared" si="6"/>
        <v>67118</v>
      </c>
      <c r="L37" s="1058"/>
      <c r="M37" s="6">
        <v>1</v>
      </c>
      <c r="N37" s="1237">
        <f>$G$13</f>
        <v>145909</v>
      </c>
      <c r="O37" s="1058"/>
    </row>
    <row r="38" spans="1:15" ht="13.5" x14ac:dyDescent="0.25">
      <c r="A38" s="1238" t="s">
        <v>535</v>
      </c>
      <c r="B38" s="1057"/>
      <c r="C38" s="1058"/>
      <c r="D38" s="43" t="s">
        <v>476</v>
      </c>
      <c r="E38" s="1227">
        <f t="shared" si="1"/>
        <v>647835</v>
      </c>
      <c r="F38" s="1058"/>
      <c r="G38" s="6">
        <v>1</v>
      </c>
      <c r="H38" s="1237">
        <f t="shared" si="7"/>
        <v>233454</v>
      </c>
      <c r="I38" s="1058"/>
      <c r="J38" s="6">
        <v>4</v>
      </c>
      <c r="K38" s="1237">
        <f t="shared" si="6"/>
        <v>67118</v>
      </c>
      <c r="L38" s="1058"/>
      <c r="M38" s="6">
        <v>1</v>
      </c>
      <c r="N38" s="1237">
        <f>$G$13</f>
        <v>145909</v>
      </c>
      <c r="O38" s="1058"/>
    </row>
    <row r="39" spans="1:15" ht="13.5" x14ac:dyDescent="0.25">
      <c r="A39" s="1238" t="s">
        <v>536</v>
      </c>
      <c r="B39" s="1057"/>
      <c r="C39" s="1058"/>
      <c r="D39" s="43" t="s">
        <v>476</v>
      </c>
      <c r="E39" s="1227">
        <f t="shared" si="1"/>
        <v>714953</v>
      </c>
      <c r="F39" s="1058"/>
      <c r="G39" s="6">
        <v>1</v>
      </c>
      <c r="H39" s="1237">
        <f t="shared" si="7"/>
        <v>233454</v>
      </c>
      <c r="I39" s="1058"/>
      <c r="J39" s="6">
        <v>5</v>
      </c>
      <c r="K39" s="1237">
        <f t="shared" ref="K39:K44" si="8">$G$12</f>
        <v>67118</v>
      </c>
      <c r="L39" s="1058"/>
      <c r="M39" s="6">
        <v>1</v>
      </c>
      <c r="N39" s="1237">
        <f t="shared" ref="N39:N44" si="9">$G$13</f>
        <v>145909</v>
      </c>
      <c r="O39" s="1058"/>
    </row>
    <row r="40" spans="1:15" ht="13.5" x14ac:dyDescent="0.25">
      <c r="A40" s="1238" t="s">
        <v>537</v>
      </c>
      <c r="B40" s="1057"/>
      <c r="C40" s="1058"/>
      <c r="D40" s="43" t="s">
        <v>476</v>
      </c>
      <c r="E40" s="1227">
        <f t="shared" si="1"/>
        <v>782071</v>
      </c>
      <c r="F40" s="1058"/>
      <c r="G40" s="6">
        <v>1</v>
      </c>
      <c r="H40" s="1237">
        <f t="shared" si="7"/>
        <v>233454</v>
      </c>
      <c r="I40" s="1058"/>
      <c r="J40" s="6">
        <v>6</v>
      </c>
      <c r="K40" s="1237">
        <f t="shared" si="8"/>
        <v>67118</v>
      </c>
      <c r="L40" s="1058"/>
      <c r="M40" s="6">
        <v>1</v>
      </c>
      <c r="N40" s="1237">
        <f t="shared" si="9"/>
        <v>145909</v>
      </c>
      <c r="O40" s="1058"/>
    </row>
    <row r="41" spans="1:15" ht="13.5" x14ac:dyDescent="0.25">
      <c r="A41" s="1242" t="s">
        <v>1908</v>
      </c>
      <c r="B41" s="1057"/>
      <c r="C41" s="1058"/>
      <c r="D41" s="43" t="s">
        <v>476</v>
      </c>
      <c r="E41" s="1227">
        <f t="shared" ref="E41" si="10">(G41*H41)+(J41*K41)+(M41*N41)</f>
        <v>849189</v>
      </c>
      <c r="F41" s="1058"/>
      <c r="G41" s="6">
        <v>1</v>
      </c>
      <c r="H41" s="1237">
        <f t="shared" si="7"/>
        <v>233454</v>
      </c>
      <c r="I41" s="1058"/>
      <c r="J41" s="6">
        <v>7</v>
      </c>
      <c r="K41" s="1237">
        <f t="shared" si="8"/>
        <v>67118</v>
      </c>
      <c r="L41" s="1058"/>
      <c r="M41" s="6">
        <v>1</v>
      </c>
      <c r="N41" s="1237">
        <f t="shared" si="9"/>
        <v>145909</v>
      </c>
      <c r="O41" s="1058"/>
    </row>
    <row r="42" spans="1:15" ht="13.5" x14ac:dyDescent="0.25">
      <c r="A42" s="1242" t="s">
        <v>1909</v>
      </c>
      <c r="B42" s="1057"/>
      <c r="C42" s="1058"/>
      <c r="D42" s="43" t="s">
        <v>476</v>
      </c>
      <c r="E42" s="1227">
        <f t="shared" ref="E42:E44" si="11">(G42*H42)+(J42*K42)+(M42*N42)</f>
        <v>916307</v>
      </c>
      <c r="F42" s="1058"/>
      <c r="G42" s="6">
        <v>1</v>
      </c>
      <c r="H42" s="1237">
        <f t="shared" si="7"/>
        <v>233454</v>
      </c>
      <c r="I42" s="1058"/>
      <c r="J42" s="6">
        <v>8</v>
      </c>
      <c r="K42" s="1237">
        <f t="shared" si="8"/>
        <v>67118</v>
      </c>
      <c r="L42" s="1058"/>
      <c r="M42" s="6">
        <v>1</v>
      </c>
      <c r="N42" s="1237">
        <f t="shared" si="9"/>
        <v>145909</v>
      </c>
      <c r="O42" s="1058"/>
    </row>
    <row r="43" spans="1:15" ht="13.5" x14ac:dyDescent="0.25">
      <c r="A43" s="1242" t="s">
        <v>1910</v>
      </c>
      <c r="B43" s="1057"/>
      <c r="C43" s="1058"/>
      <c r="D43" s="43" t="s">
        <v>476</v>
      </c>
      <c r="E43" s="1227">
        <f t="shared" si="11"/>
        <v>983425</v>
      </c>
      <c r="F43" s="1058"/>
      <c r="G43" s="6">
        <v>1</v>
      </c>
      <c r="H43" s="1237">
        <f t="shared" si="7"/>
        <v>233454</v>
      </c>
      <c r="I43" s="1058"/>
      <c r="J43" s="6">
        <v>9</v>
      </c>
      <c r="K43" s="1237">
        <f t="shared" si="8"/>
        <v>67118</v>
      </c>
      <c r="L43" s="1058"/>
      <c r="M43" s="6">
        <v>1</v>
      </c>
      <c r="N43" s="1237">
        <f t="shared" si="9"/>
        <v>145909</v>
      </c>
      <c r="O43" s="1058"/>
    </row>
    <row r="44" spans="1:15" ht="13.5" x14ac:dyDescent="0.25">
      <c r="A44" s="1242" t="s">
        <v>1911</v>
      </c>
      <c r="B44" s="1057"/>
      <c r="C44" s="1058"/>
      <c r="D44" s="43" t="s">
        <v>476</v>
      </c>
      <c r="E44" s="1227">
        <f t="shared" si="11"/>
        <v>1050543</v>
      </c>
      <c r="F44" s="1058"/>
      <c r="G44" s="6">
        <v>1</v>
      </c>
      <c r="H44" s="1237">
        <f t="shared" si="7"/>
        <v>233454</v>
      </c>
      <c r="I44" s="1058"/>
      <c r="J44" s="6">
        <v>10</v>
      </c>
      <c r="K44" s="1237">
        <f t="shared" si="8"/>
        <v>67118</v>
      </c>
      <c r="L44" s="1058"/>
      <c r="M44" s="6">
        <v>1</v>
      </c>
      <c r="N44" s="1237">
        <f t="shared" si="9"/>
        <v>145909</v>
      </c>
      <c r="O44" s="1058"/>
    </row>
    <row r="45" spans="1:15" ht="13.5" x14ac:dyDescent="0.25">
      <c r="A45" s="1242" t="s">
        <v>1912</v>
      </c>
      <c r="B45" s="1057"/>
      <c r="C45" s="1058"/>
      <c r="D45" s="43" t="s">
        <v>476</v>
      </c>
      <c r="E45" s="1227">
        <f>(G45*H45)+(J45*K45)+(M45*N45)</f>
        <v>175090</v>
      </c>
      <c r="F45" s="1058"/>
      <c r="G45" s="6">
        <v>1</v>
      </c>
      <c r="H45" s="1237">
        <f>+$G$15</f>
        <v>105054</v>
      </c>
      <c r="I45" s="1058"/>
      <c r="J45" s="6">
        <v>1</v>
      </c>
      <c r="K45" s="1237">
        <f>$G$14</f>
        <v>70036</v>
      </c>
      <c r="L45" s="1058"/>
      <c r="M45" s="6"/>
      <c r="N45" s="1237"/>
      <c r="O45" s="1058"/>
    </row>
    <row r="46" spans="1:15" ht="13.5" x14ac:dyDescent="0.25">
      <c r="A46" s="1242" t="s">
        <v>1913</v>
      </c>
      <c r="B46" s="1057"/>
      <c r="C46" s="1058"/>
      <c r="D46" s="43" t="s">
        <v>476</v>
      </c>
      <c r="E46" s="1227">
        <f t="shared" si="1"/>
        <v>245126</v>
      </c>
      <c r="F46" s="1058"/>
      <c r="G46" s="6">
        <v>1</v>
      </c>
      <c r="H46" s="1237">
        <f>+$G$15</f>
        <v>105054</v>
      </c>
      <c r="I46" s="1058"/>
      <c r="J46" s="6">
        <v>2</v>
      </c>
      <c r="K46" s="1237">
        <f>$G$14</f>
        <v>70036</v>
      </c>
      <c r="L46" s="1058"/>
      <c r="M46" s="6"/>
      <c r="N46" s="1237"/>
      <c r="O46" s="1058"/>
    </row>
    <row r="47" spans="1:15" ht="13.5" x14ac:dyDescent="0.25">
      <c r="A47" s="1242" t="s">
        <v>1914</v>
      </c>
      <c r="B47" s="1057"/>
      <c r="C47" s="1058"/>
      <c r="D47" s="43" t="s">
        <v>476</v>
      </c>
      <c r="E47" s="1227">
        <f t="shared" si="1"/>
        <v>315162</v>
      </c>
      <c r="F47" s="1058"/>
      <c r="G47" s="6">
        <v>1</v>
      </c>
      <c r="H47" s="1237">
        <f t="shared" ref="H47:H49" si="12">+$G$15</f>
        <v>105054</v>
      </c>
      <c r="I47" s="1058"/>
      <c r="J47" s="6">
        <v>3</v>
      </c>
      <c r="K47" s="1237">
        <f t="shared" ref="K47:K49" si="13">$G$14</f>
        <v>70036</v>
      </c>
      <c r="L47" s="1058"/>
      <c r="M47" s="6"/>
      <c r="N47" s="1237"/>
      <c r="O47" s="1058"/>
    </row>
    <row r="48" spans="1:15" ht="13.5" x14ac:dyDescent="0.25">
      <c r="A48" s="1242" t="s">
        <v>1915</v>
      </c>
      <c r="B48" s="1057"/>
      <c r="C48" s="1058"/>
      <c r="D48" s="43" t="s">
        <v>476</v>
      </c>
      <c r="E48" s="1227">
        <f t="shared" si="1"/>
        <v>385198</v>
      </c>
      <c r="F48" s="1058"/>
      <c r="G48" s="6">
        <v>1</v>
      </c>
      <c r="H48" s="1237">
        <f t="shared" si="12"/>
        <v>105054</v>
      </c>
      <c r="I48" s="1058"/>
      <c r="J48" s="6">
        <v>4</v>
      </c>
      <c r="K48" s="1237">
        <f t="shared" si="13"/>
        <v>70036</v>
      </c>
      <c r="L48" s="1058"/>
      <c r="M48" s="6"/>
      <c r="N48" s="1237"/>
      <c r="O48" s="1058"/>
    </row>
    <row r="49" spans="1:15" ht="13.5" x14ac:dyDescent="0.25">
      <c r="A49" s="1242" t="s">
        <v>1916</v>
      </c>
      <c r="B49" s="1057"/>
      <c r="C49" s="1058"/>
      <c r="D49" s="43" t="s">
        <v>476</v>
      </c>
      <c r="E49" s="1227">
        <f t="shared" si="1"/>
        <v>455234</v>
      </c>
      <c r="F49" s="1058"/>
      <c r="G49" s="6">
        <v>1</v>
      </c>
      <c r="H49" s="1237">
        <f t="shared" si="12"/>
        <v>105054</v>
      </c>
      <c r="I49" s="1058"/>
      <c r="J49" s="6">
        <v>5</v>
      </c>
      <c r="K49" s="1237">
        <f t="shared" si="13"/>
        <v>70036</v>
      </c>
      <c r="L49" s="1058"/>
      <c r="M49" s="6"/>
      <c r="N49" s="1237"/>
      <c r="O49" s="1058"/>
    </row>
    <row r="50" spans="1:15" ht="13.5" x14ac:dyDescent="0.25">
      <c r="A50" s="1238" t="s">
        <v>538</v>
      </c>
      <c r="B50" s="1057"/>
      <c r="C50" s="1058"/>
      <c r="D50" s="43" t="s">
        <v>476</v>
      </c>
      <c r="E50" s="1227">
        <f t="shared" ref="E50" si="14">(G50*H50)+(J50*K50)+(M50*N50)</f>
        <v>233454</v>
      </c>
      <c r="F50" s="1058"/>
      <c r="G50" s="6">
        <v>1</v>
      </c>
      <c r="H50" s="1237">
        <f t="shared" si="7"/>
        <v>233454</v>
      </c>
      <c r="I50" s="1058"/>
      <c r="J50" s="6"/>
      <c r="K50" s="1237"/>
      <c r="L50" s="1058"/>
      <c r="M50" s="6"/>
      <c r="N50" s="1237"/>
      <c r="O50" s="1058"/>
    </row>
    <row r="51" spans="1:15" ht="13.5" x14ac:dyDescent="0.25">
      <c r="A51" s="1238" t="s">
        <v>539</v>
      </c>
      <c r="B51" s="1057"/>
      <c r="C51" s="1058"/>
      <c r="D51" s="43" t="s">
        <v>476</v>
      </c>
      <c r="E51" s="1227">
        <f>G12</f>
        <v>67118</v>
      </c>
      <c r="F51" s="1058"/>
      <c r="G51" s="6">
        <v>1</v>
      </c>
      <c r="H51" s="1237">
        <f>$G$12</f>
        <v>67118</v>
      </c>
      <c r="I51" s="1058"/>
      <c r="J51" s="6"/>
      <c r="K51" s="1237"/>
      <c r="L51" s="1058"/>
      <c r="M51" s="6"/>
      <c r="N51" s="1237"/>
      <c r="O51" s="1058"/>
    </row>
    <row r="52" spans="1:15" ht="13.5" x14ac:dyDescent="0.25">
      <c r="A52" s="1238" t="s">
        <v>540</v>
      </c>
      <c r="B52" s="1057"/>
      <c r="C52" s="1058"/>
      <c r="D52" s="43" t="s">
        <v>476</v>
      </c>
      <c r="E52" s="1227">
        <f>G13</f>
        <v>145909</v>
      </c>
      <c r="F52" s="1058"/>
      <c r="G52" s="6">
        <v>1</v>
      </c>
      <c r="H52" s="1237">
        <f>$G$13</f>
        <v>145909</v>
      </c>
      <c r="I52" s="1058"/>
      <c r="J52" s="6"/>
      <c r="K52" s="1237"/>
      <c r="L52" s="1058"/>
      <c r="M52" s="6"/>
      <c r="N52" s="1237"/>
      <c r="O52" s="1058"/>
    </row>
    <row r="53" spans="1:15" x14ac:dyDescent="0.2">
      <c r="A53" s="429"/>
      <c r="B53" s="430"/>
      <c r="C53" s="430"/>
      <c r="D53" s="430"/>
      <c r="E53" s="430"/>
      <c r="F53" s="430"/>
      <c r="G53" s="430"/>
      <c r="H53" s="430"/>
      <c r="I53" s="430"/>
      <c r="J53" s="430"/>
      <c r="K53" s="430"/>
      <c r="L53" s="430"/>
      <c r="M53" s="430"/>
      <c r="N53" s="430"/>
      <c r="O53" s="431"/>
    </row>
    <row r="54" spans="1:15" x14ac:dyDescent="0.2">
      <c r="A54" s="432"/>
      <c r="B54" s="76"/>
      <c r="C54" s="76"/>
      <c r="D54" s="76"/>
      <c r="E54" s="76"/>
      <c r="F54" s="76"/>
      <c r="G54" s="76"/>
      <c r="H54" s="76"/>
      <c r="I54" s="76"/>
      <c r="J54" s="76"/>
      <c r="K54" s="76"/>
      <c r="L54" s="76"/>
      <c r="M54" s="76"/>
      <c r="N54" s="76"/>
      <c r="O54" s="77"/>
    </row>
    <row r="55" spans="1:15" x14ac:dyDescent="0.2">
      <c r="A55" s="432"/>
      <c r="B55" s="76"/>
      <c r="C55" s="76"/>
      <c r="D55" s="76"/>
      <c r="E55" s="76"/>
      <c r="F55" s="76"/>
      <c r="G55" s="76"/>
      <c r="H55" s="76"/>
      <c r="I55" s="76"/>
      <c r="J55" s="76"/>
      <c r="K55" s="76"/>
      <c r="L55" s="76"/>
      <c r="M55" s="76"/>
      <c r="N55" s="76"/>
      <c r="O55" s="77"/>
    </row>
    <row r="56" spans="1:15" x14ac:dyDescent="0.2">
      <c r="A56" s="432"/>
      <c r="B56" s="76"/>
      <c r="C56" s="76"/>
      <c r="D56" s="76"/>
      <c r="E56" s="76"/>
      <c r="F56" s="76"/>
      <c r="G56" s="76"/>
      <c r="H56" s="76"/>
      <c r="I56" s="76"/>
      <c r="J56" s="76"/>
      <c r="K56" s="76"/>
      <c r="L56" s="76"/>
      <c r="M56" s="76"/>
      <c r="N56" s="76"/>
      <c r="O56" s="77"/>
    </row>
    <row r="57" spans="1:15" x14ac:dyDescent="0.2">
      <c r="A57" s="432"/>
      <c r="B57" s="76"/>
      <c r="C57" s="76"/>
      <c r="D57" s="76"/>
      <c r="E57" s="76"/>
      <c r="F57" s="76"/>
      <c r="G57" s="76"/>
      <c r="H57" s="76"/>
      <c r="I57" s="76"/>
      <c r="J57" s="76"/>
      <c r="K57" s="76"/>
      <c r="L57" s="76"/>
      <c r="M57" s="76"/>
      <c r="N57" s="76"/>
      <c r="O57" s="77"/>
    </row>
    <row r="58" spans="1:15" x14ac:dyDescent="0.2">
      <c r="A58" s="432"/>
      <c r="B58" s="76"/>
      <c r="C58" s="76"/>
      <c r="D58" s="76"/>
      <c r="E58" s="76"/>
      <c r="F58" s="76"/>
      <c r="G58" s="76"/>
      <c r="H58" s="76"/>
      <c r="I58" s="76"/>
      <c r="J58" s="76"/>
      <c r="K58" s="76"/>
      <c r="L58" s="76"/>
      <c r="M58" s="76"/>
      <c r="N58" s="76"/>
      <c r="O58" s="77"/>
    </row>
    <row r="59" spans="1:15" x14ac:dyDescent="0.2">
      <c r="A59" s="432"/>
      <c r="B59" s="76"/>
      <c r="C59" s="76"/>
      <c r="D59" s="76"/>
      <c r="E59" s="76"/>
      <c r="F59" s="76"/>
      <c r="G59" s="76"/>
      <c r="H59" s="76"/>
      <c r="I59" s="76"/>
      <c r="J59" s="76"/>
      <c r="K59" s="76"/>
      <c r="L59" s="76"/>
      <c r="M59" s="76"/>
      <c r="N59" s="76"/>
      <c r="O59" s="77"/>
    </row>
    <row r="60" spans="1:15" ht="21" customHeight="1" thickBot="1" x14ac:dyDescent="0.25">
      <c r="A60" s="432"/>
      <c r="B60" s="328"/>
      <c r="C60" s="328"/>
      <c r="D60" s="328"/>
      <c r="E60" s="328"/>
      <c r="F60" s="76"/>
      <c r="G60" s="76"/>
      <c r="H60" s="76"/>
      <c r="I60" s="76"/>
      <c r="J60" s="76"/>
      <c r="K60" s="76"/>
      <c r="L60" s="76"/>
      <c r="M60" s="76"/>
      <c r="N60" s="76"/>
      <c r="O60" s="77"/>
    </row>
    <row r="61" spans="1:15" ht="14.25" thickTop="1" x14ac:dyDescent="0.2">
      <c r="A61" s="432"/>
      <c r="B61" s="912" t="s">
        <v>1961</v>
      </c>
      <c r="C61" s="912"/>
      <c r="D61" s="912"/>
      <c r="E61" s="912"/>
      <c r="F61" s="76"/>
      <c r="G61" s="76"/>
      <c r="H61" s="76"/>
      <c r="I61" s="912" t="s">
        <v>1964</v>
      </c>
      <c r="J61" s="942"/>
      <c r="K61" s="942"/>
      <c r="L61" s="942"/>
      <c r="M61" s="76"/>
      <c r="N61" s="76"/>
      <c r="O61" s="77"/>
    </row>
    <row r="62" spans="1:15" ht="13.5" x14ac:dyDescent="0.25">
      <c r="A62" s="432"/>
      <c r="B62" s="926" t="s">
        <v>1962</v>
      </c>
      <c r="C62" s="927"/>
      <c r="D62" s="927"/>
      <c r="E62" s="927"/>
      <c r="F62" s="76"/>
      <c r="G62" s="76"/>
      <c r="H62" s="76"/>
      <c r="I62" s="938" t="s">
        <v>1965</v>
      </c>
      <c r="J62" s="939"/>
      <c r="K62" s="939"/>
      <c r="L62" s="939"/>
      <c r="M62" s="76"/>
      <c r="N62" s="76"/>
      <c r="O62" s="77"/>
    </row>
    <row r="63" spans="1:15" x14ac:dyDescent="0.2">
      <c r="A63" s="432"/>
      <c r="B63" s="1046" t="s">
        <v>1963</v>
      </c>
      <c r="C63" s="1046"/>
      <c r="D63" s="1046"/>
      <c r="E63" s="1046"/>
      <c r="F63" s="76"/>
      <c r="G63" s="76"/>
      <c r="H63" s="76"/>
      <c r="I63" s="1046" t="s">
        <v>1966</v>
      </c>
      <c r="J63" s="1046"/>
      <c r="K63" s="1046"/>
      <c r="L63" s="1046"/>
      <c r="M63" s="76"/>
      <c r="N63" s="76"/>
      <c r="O63" s="77"/>
    </row>
    <row r="64" spans="1:15" x14ac:dyDescent="0.2">
      <c r="A64" s="433"/>
      <c r="B64" s="434"/>
      <c r="C64" s="434"/>
      <c r="D64" s="434"/>
      <c r="E64" s="434"/>
      <c r="F64" s="434"/>
      <c r="G64" s="434"/>
      <c r="H64" s="434"/>
      <c r="I64" s="434"/>
      <c r="J64" s="434"/>
      <c r="K64" s="434"/>
      <c r="L64" s="434"/>
      <c r="M64" s="434"/>
      <c r="N64" s="434"/>
      <c r="O64" s="435"/>
    </row>
  </sheetData>
  <mergeCells count="192">
    <mergeCell ref="B63:E63"/>
    <mergeCell ref="J23:L23"/>
    <mergeCell ref="M23:O23"/>
    <mergeCell ref="K24:L24"/>
    <mergeCell ref="N24:O24"/>
    <mergeCell ref="K25:L25"/>
    <mergeCell ref="N25:O25"/>
    <mergeCell ref="K36:L36"/>
    <mergeCell ref="K37:L37"/>
    <mergeCell ref="K38:L38"/>
    <mergeCell ref="N36:O36"/>
    <mergeCell ref="N37:O37"/>
    <mergeCell ref="N38:O38"/>
    <mergeCell ref="K33:L33"/>
    <mergeCell ref="N33:O33"/>
    <mergeCell ref="K34:L34"/>
    <mergeCell ref="N34:O34"/>
    <mergeCell ref="N35:O35"/>
    <mergeCell ref="K35:L35"/>
    <mergeCell ref="N26:O26"/>
    <mergeCell ref="N30:O30"/>
    <mergeCell ref="N31:O31"/>
    <mergeCell ref="K26:L26"/>
    <mergeCell ref="K27:L27"/>
    <mergeCell ref="K28:L28"/>
    <mergeCell ref="K29:L29"/>
    <mergeCell ref="N29:O29"/>
    <mergeCell ref="K30:L30"/>
    <mergeCell ref="K31:L31"/>
    <mergeCell ref="N27:O27"/>
    <mergeCell ref="N28:O28"/>
    <mergeCell ref="N50:O50"/>
    <mergeCell ref="N51:O51"/>
    <mergeCell ref="K50:L50"/>
    <mergeCell ref="K51:L51"/>
    <mergeCell ref="N41:O41"/>
    <mergeCell ref="N42:O42"/>
    <mergeCell ref="N43:O43"/>
    <mergeCell ref="N44:O44"/>
    <mergeCell ref="N52:O52"/>
    <mergeCell ref="K40:L40"/>
    <mergeCell ref="K45:L45"/>
    <mergeCell ref="N39:O39"/>
    <mergeCell ref="N40:O40"/>
    <mergeCell ref="N45:O45"/>
    <mergeCell ref="N46:O46"/>
    <mergeCell ref="N47:O47"/>
    <mergeCell ref="H38:I38"/>
    <mergeCell ref="H39:I39"/>
    <mergeCell ref="H40:I40"/>
    <mergeCell ref="H45:I45"/>
    <mergeCell ref="H46:I46"/>
    <mergeCell ref="H47:I47"/>
    <mergeCell ref="H48:I48"/>
    <mergeCell ref="N48:O48"/>
    <mergeCell ref="N49:O49"/>
    <mergeCell ref="H49:I49"/>
    <mergeCell ref="K39:L39"/>
    <mergeCell ref="H52:I52"/>
    <mergeCell ref="K46:L46"/>
    <mergeCell ref="K47:L47"/>
    <mergeCell ref="K48:L48"/>
    <mergeCell ref="K49:L49"/>
    <mergeCell ref="K52:L52"/>
    <mergeCell ref="E50:F50"/>
    <mergeCell ref="H50:I50"/>
    <mergeCell ref="H51:I51"/>
    <mergeCell ref="E51:F51"/>
    <mergeCell ref="E52:F52"/>
    <mergeCell ref="E38:F38"/>
    <mergeCell ref="E39:F39"/>
    <mergeCell ref="E40:F40"/>
    <mergeCell ref="E45:F45"/>
    <mergeCell ref="E46:F46"/>
    <mergeCell ref="E47:F47"/>
    <mergeCell ref="E48:F48"/>
    <mergeCell ref="E49:F49"/>
    <mergeCell ref="E41:F41"/>
    <mergeCell ref="H41:I41"/>
    <mergeCell ref="H42:I42"/>
    <mergeCell ref="H43:I43"/>
    <mergeCell ref="H44:I44"/>
    <mergeCell ref="K41:L41"/>
    <mergeCell ref="K42:L42"/>
    <mergeCell ref="K43:L43"/>
    <mergeCell ref="K44:L44"/>
    <mergeCell ref="E42:F42"/>
    <mergeCell ref="A51:C51"/>
    <mergeCell ref="A52:C52"/>
    <mergeCell ref="A38:C38"/>
    <mergeCell ref="A39:C39"/>
    <mergeCell ref="A40:C40"/>
    <mergeCell ref="A45:C45"/>
    <mergeCell ref="A46:C46"/>
    <mergeCell ref="A47:C47"/>
    <mergeCell ref="A50:C50"/>
    <mergeCell ref="A48:C48"/>
    <mergeCell ref="A49:C49"/>
    <mergeCell ref="A41:C41"/>
    <mergeCell ref="A42:C42"/>
    <mergeCell ref="A43:C43"/>
    <mergeCell ref="A44:C44"/>
    <mergeCell ref="H35:I35"/>
    <mergeCell ref="H36:I36"/>
    <mergeCell ref="H37:I37"/>
    <mergeCell ref="A37:C37"/>
    <mergeCell ref="E37:F37"/>
    <mergeCell ref="A30:C30"/>
    <mergeCell ref="E32:F32"/>
    <mergeCell ref="E33:F33"/>
    <mergeCell ref="E34:F34"/>
    <mergeCell ref="E35:F35"/>
    <mergeCell ref="E36:F36"/>
    <mergeCell ref="A31:C31"/>
    <mergeCell ref="A32:C32"/>
    <mergeCell ref="A33:C33"/>
    <mergeCell ref="A34:C34"/>
    <mergeCell ref="A35:C35"/>
    <mergeCell ref="A36:C36"/>
    <mergeCell ref="H30:I30"/>
    <mergeCell ref="H31:I31"/>
    <mergeCell ref="E30:F30"/>
    <mergeCell ref="E31:F31"/>
    <mergeCell ref="A23:D23"/>
    <mergeCell ref="A24:C24"/>
    <mergeCell ref="A25:C25"/>
    <mergeCell ref="A26:C26"/>
    <mergeCell ref="A27:C27"/>
    <mergeCell ref="A28:C28"/>
    <mergeCell ref="A29:C29"/>
    <mergeCell ref="H33:I33"/>
    <mergeCell ref="H34:I34"/>
    <mergeCell ref="H24:I24"/>
    <mergeCell ref="E23:F23"/>
    <mergeCell ref="E24:F24"/>
    <mergeCell ref="H25:I25"/>
    <mergeCell ref="H26:I26"/>
    <mergeCell ref="H27:I27"/>
    <mergeCell ref="G23:I23"/>
    <mergeCell ref="E25:F25"/>
    <mergeCell ref="E26:F26"/>
    <mergeCell ref="E27:F27"/>
    <mergeCell ref="E28:F28"/>
    <mergeCell ref="E29:F29"/>
    <mergeCell ref="G9:H9"/>
    <mergeCell ref="G11:H11"/>
    <mergeCell ref="G12:H12"/>
    <mergeCell ref="C9:E9"/>
    <mergeCell ref="C10:E10"/>
    <mergeCell ref="G10:H10"/>
    <mergeCell ref="C11:E11"/>
    <mergeCell ref="K32:L32"/>
    <mergeCell ref="N32:O32"/>
    <mergeCell ref="C13:E13"/>
    <mergeCell ref="G13:H13"/>
    <mergeCell ref="C14:E14"/>
    <mergeCell ref="G14:H14"/>
    <mergeCell ref="J14:L14"/>
    <mergeCell ref="M14:N14"/>
    <mergeCell ref="G15:H15"/>
    <mergeCell ref="G18:H18"/>
    <mergeCell ref="H32:I32"/>
    <mergeCell ref="H28:I28"/>
    <mergeCell ref="H29:I29"/>
    <mergeCell ref="C20:E20"/>
    <mergeCell ref="G20:H20"/>
    <mergeCell ref="C21:E21"/>
    <mergeCell ref="G21:H21"/>
    <mergeCell ref="E43:F43"/>
    <mergeCell ref="E44:F44"/>
    <mergeCell ref="B61:E61"/>
    <mergeCell ref="B62:E62"/>
    <mergeCell ref="I61:L61"/>
    <mergeCell ref="I62:L62"/>
    <mergeCell ref="I63:L63"/>
    <mergeCell ref="A1:M3"/>
    <mergeCell ref="N1:O1"/>
    <mergeCell ref="N2:O3"/>
    <mergeCell ref="A5:O5"/>
    <mergeCell ref="C8:E8"/>
    <mergeCell ref="G8:H8"/>
    <mergeCell ref="G19:H19"/>
    <mergeCell ref="C15:E15"/>
    <mergeCell ref="C16:E16"/>
    <mergeCell ref="G16:H16"/>
    <mergeCell ref="C17:E17"/>
    <mergeCell ref="G17:H17"/>
    <mergeCell ref="C18:E18"/>
    <mergeCell ref="C19:E19"/>
    <mergeCell ref="J11:L11"/>
    <mergeCell ref="M11:N11"/>
    <mergeCell ref="C12:E12"/>
  </mergeCells>
  <conditionalFormatting sqref="B61:B62">
    <cfRule type="duplicateValues" dxfId="1401" priority="1"/>
  </conditionalFormatting>
  <printOptions horizontalCentered="1" verticalCentered="1"/>
  <pageMargins left="0.7" right="0.7" top="0.75" bottom="0.75" header="0.3" footer="0.3"/>
  <pageSetup scale="72"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2">
    <tabColor rgb="FF92D050"/>
    <pageSetUpPr fitToPage="1"/>
  </sheetPr>
  <dimension ref="A1:Z856"/>
  <sheetViews>
    <sheetView view="pageBreakPreview" topLeftCell="A94" zoomScale="85" zoomScaleNormal="100" zoomScaleSheetLayoutView="85" workbookViewId="0">
      <selection activeCell="C130" sqref="C128:F130"/>
    </sheetView>
  </sheetViews>
  <sheetFormatPr baseColWidth="10" defaultColWidth="12.7109375" defaultRowHeight="15" customHeight="1" x14ac:dyDescent="0.2"/>
  <cols>
    <col min="1" max="1" width="10.42578125" customWidth="1"/>
    <col min="2" max="2" width="11.5703125" bestFit="1" customWidth="1"/>
    <col min="3" max="7" width="10.42578125" customWidth="1"/>
    <col min="8" max="8" width="14.42578125" customWidth="1"/>
    <col min="9" max="9" width="10.42578125" style="125" customWidth="1"/>
    <col min="10" max="10" width="10.42578125" customWidth="1"/>
    <col min="11" max="11" width="13.28515625" customWidth="1"/>
    <col min="12" max="18" width="10.42578125" customWidth="1"/>
    <col min="19" max="25" width="12.42578125" customWidth="1"/>
    <col min="26" max="26" width="14.7109375" customWidth="1"/>
  </cols>
  <sheetData>
    <row r="1" spans="1:26" ht="12.75" customHeight="1" x14ac:dyDescent="0.2">
      <c r="A1" s="1228" t="str">
        <f>+Indice!$B$2</f>
        <v>CONSTRUCCIÓN DE LA FASE 1 DEL PLAN MAESTRO DE ACUEDUCTO DEL MUNICIPIO DE ÍQUIRA, HUILA</v>
      </c>
      <c r="B1" s="1108"/>
      <c r="C1" s="1108"/>
      <c r="D1" s="1108"/>
      <c r="E1" s="1108"/>
      <c r="F1" s="1108"/>
      <c r="G1" s="1108"/>
      <c r="H1" s="1108"/>
      <c r="I1" s="1108"/>
      <c r="J1" s="1108"/>
      <c r="K1" s="1108"/>
      <c r="L1" s="1108"/>
      <c r="M1" s="1108"/>
      <c r="N1" s="1109"/>
      <c r="O1" s="1228" t="s">
        <v>541</v>
      </c>
      <c r="P1" s="1109"/>
      <c r="Q1" s="1232" t="s">
        <v>0</v>
      </c>
      <c r="R1" s="1058"/>
    </row>
    <row r="2" spans="1:26" ht="12.75" customHeight="1" x14ac:dyDescent="0.2">
      <c r="A2" s="1229"/>
      <c r="B2" s="1230"/>
      <c r="C2" s="1230"/>
      <c r="D2" s="1230"/>
      <c r="E2" s="1230"/>
      <c r="F2" s="1230"/>
      <c r="G2" s="1230"/>
      <c r="H2" s="1230"/>
      <c r="I2" s="1230"/>
      <c r="J2" s="1230"/>
      <c r="K2" s="1230"/>
      <c r="L2" s="1230"/>
      <c r="M2" s="1230"/>
      <c r="N2" s="1231"/>
      <c r="O2" s="1229"/>
      <c r="P2" s="1231"/>
      <c r="Q2" s="1233">
        <f>Indice!$Q$3</f>
        <v>46195</v>
      </c>
      <c r="R2" s="1109"/>
    </row>
    <row r="3" spans="1:26" ht="12.75" customHeight="1" x14ac:dyDescent="0.2">
      <c r="A3" s="1110"/>
      <c r="B3" s="1111"/>
      <c r="C3" s="1111"/>
      <c r="D3" s="1111"/>
      <c r="E3" s="1111"/>
      <c r="F3" s="1111"/>
      <c r="G3" s="1111"/>
      <c r="H3" s="1111"/>
      <c r="I3" s="1111"/>
      <c r="J3" s="1111"/>
      <c r="K3" s="1111"/>
      <c r="L3" s="1111"/>
      <c r="M3" s="1111"/>
      <c r="N3" s="1112"/>
      <c r="O3" s="1110"/>
      <c r="P3" s="1112"/>
      <c r="Q3" s="1110"/>
      <c r="R3" s="1112"/>
    </row>
    <row r="4" spans="1:26" ht="12.75" customHeight="1" x14ac:dyDescent="0.2">
      <c r="C4" s="44">
        <v>1</v>
      </c>
      <c r="D4" s="44">
        <v>2</v>
      </c>
      <c r="E4" s="44">
        <v>3</v>
      </c>
      <c r="F4" s="44">
        <v>4</v>
      </c>
      <c r="G4" s="44">
        <v>5</v>
      </c>
      <c r="H4" s="44">
        <v>6</v>
      </c>
      <c r="I4" s="44">
        <v>7</v>
      </c>
      <c r="J4" s="44"/>
      <c r="K4" s="44">
        <v>9</v>
      </c>
      <c r="L4" s="44">
        <v>10</v>
      </c>
      <c r="M4" s="44">
        <v>11</v>
      </c>
      <c r="N4" s="44">
        <v>12</v>
      </c>
      <c r="O4" s="44">
        <v>13</v>
      </c>
      <c r="P4" s="44">
        <v>14</v>
      </c>
      <c r="Q4" s="44">
        <v>15</v>
      </c>
      <c r="R4" s="44">
        <v>16</v>
      </c>
    </row>
    <row r="5" spans="1:26" ht="12.75" customHeight="1" x14ac:dyDescent="0.2">
      <c r="A5" s="17" t="s">
        <v>496</v>
      </c>
      <c r="B5" s="17" t="s">
        <v>0</v>
      </c>
      <c r="C5" s="1271" t="s">
        <v>383</v>
      </c>
      <c r="D5" s="1272"/>
      <c r="E5" s="1272"/>
      <c r="F5" s="1272"/>
      <c r="G5" s="1272"/>
      <c r="H5" s="1273"/>
      <c r="I5" s="17" t="s">
        <v>39</v>
      </c>
      <c r="J5" s="1267" t="s">
        <v>542</v>
      </c>
      <c r="K5" s="1268"/>
      <c r="L5" s="1267" t="s">
        <v>280</v>
      </c>
      <c r="M5" s="1268"/>
      <c r="N5" s="1267" t="s">
        <v>543</v>
      </c>
      <c r="O5" s="1268"/>
      <c r="P5" s="1269" t="s">
        <v>850</v>
      </c>
      <c r="Q5" s="1270"/>
      <c r="R5" s="17" t="s">
        <v>544</v>
      </c>
    </row>
    <row r="6" spans="1:26" ht="13.5" x14ac:dyDescent="0.2">
      <c r="A6" s="9" t="s">
        <v>545</v>
      </c>
      <c r="B6" s="323">
        <v>45539</v>
      </c>
      <c r="C6" s="1244" t="s">
        <v>1540</v>
      </c>
      <c r="D6" s="1245"/>
      <c r="E6" s="1245"/>
      <c r="F6" s="1245"/>
      <c r="G6" s="1245"/>
      <c r="H6" s="1246"/>
      <c r="I6" s="110" t="s">
        <v>20</v>
      </c>
      <c r="J6" s="1247">
        <v>5300</v>
      </c>
      <c r="K6" s="1248"/>
      <c r="L6" s="1249"/>
      <c r="M6" s="1250"/>
      <c r="N6" s="1249"/>
      <c r="O6" s="1250"/>
      <c r="P6" s="1251" t="s">
        <v>1886</v>
      </c>
      <c r="Q6" s="1250"/>
      <c r="R6" s="9"/>
      <c r="S6" s="45"/>
      <c r="T6" s="1247">
        <v>2908</v>
      </c>
      <c r="U6" s="1050"/>
      <c r="V6" s="45"/>
      <c r="W6" s="1227">
        <v>2908</v>
      </c>
      <c r="X6" s="1058"/>
      <c r="Y6" s="45"/>
      <c r="Z6" s="124">
        <f>+W6-T6</f>
        <v>0</v>
      </c>
    </row>
    <row r="7" spans="1:26" ht="13.5" x14ac:dyDescent="0.2">
      <c r="A7" s="9" t="s">
        <v>547</v>
      </c>
      <c r="B7" s="323">
        <v>45527</v>
      </c>
      <c r="C7" s="1244" t="s">
        <v>1918</v>
      </c>
      <c r="D7" s="1245"/>
      <c r="E7" s="1245"/>
      <c r="F7" s="1245"/>
      <c r="G7" s="1245"/>
      <c r="H7" s="1246"/>
      <c r="I7" s="110" t="s">
        <v>180</v>
      </c>
      <c r="J7" s="1247">
        <v>209916</v>
      </c>
      <c r="K7" s="1248"/>
      <c r="L7" s="1249"/>
      <c r="M7" s="1250"/>
      <c r="N7" s="1249"/>
      <c r="O7" s="1250"/>
      <c r="P7" s="1251" t="s">
        <v>860</v>
      </c>
      <c r="Q7" s="1250"/>
      <c r="R7" s="9"/>
      <c r="S7" s="45"/>
      <c r="T7" s="1247"/>
      <c r="U7" s="1050"/>
      <c r="V7" s="45"/>
      <c r="W7" s="1227"/>
      <c r="X7" s="1058"/>
      <c r="Y7" s="45"/>
      <c r="Z7" s="124"/>
    </row>
    <row r="8" spans="1:26" ht="13.5" x14ac:dyDescent="0.2">
      <c r="A8" s="9" t="s">
        <v>548</v>
      </c>
      <c r="B8" s="323">
        <v>45527</v>
      </c>
      <c r="C8" s="1244" t="s">
        <v>408</v>
      </c>
      <c r="D8" s="1245"/>
      <c r="E8" s="1245"/>
      <c r="F8" s="1245"/>
      <c r="G8" s="1245"/>
      <c r="H8" s="1246"/>
      <c r="I8" s="110" t="s">
        <v>1499</v>
      </c>
      <c r="J8" s="1247">
        <v>20</v>
      </c>
      <c r="K8" s="1248"/>
      <c r="L8" s="1249"/>
      <c r="M8" s="1250"/>
      <c r="N8" s="1249"/>
      <c r="O8" s="1250"/>
      <c r="P8" s="1251" t="s">
        <v>1886</v>
      </c>
      <c r="Q8" s="1250"/>
      <c r="R8" s="9"/>
      <c r="S8" s="45"/>
      <c r="T8" s="1247">
        <f>84800*1.19</f>
        <v>100912</v>
      </c>
      <c r="U8" s="1050"/>
      <c r="V8" s="45"/>
      <c r="W8" s="1227">
        <f>84800*1.19</f>
        <v>100912</v>
      </c>
      <c r="X8" s="1058"/>
      <c r="Y8" s="45"/>
      <c r="Z8" s="124">
        <f t="shared" ref="Z8:Z71" si="0">+W8-T8</f>
        <v>0</v>
      </c>
    </row>
    <row r="9" spans="1:26" ht="13.5" x14ac:dyDescent="0.2">
      <c r="A9" s="9" t="s">
        <v>549</v>
      </c>
      <c r="B9" s="323">
        <v>45527</v>
      </c>
      <c r="C9" s="1244" t="s">
        <v>1596</v>
      </c>
      <c r="D9" s="1245"/>
      <c r="E9" s="1245"/>
      <c r="F9" s="1245"/>
      <c r="G9" s="1245"/>
      <c r="H9" s="1246"/>
      <c r="I9" s="9" t="s">
        <v>551</v>
      </c>
      <c r="J9" s="1247">
        <v>860.37</v>
      </c>
      <c r="K9" s="1248"/>
      <c r="L9" s="1249"/>
      <c r="M9" s="1250"/>
      <c r="N9" s="1249"/>
      <c r="O9" s="1250"/>
      <c r="P9" s="1251" t="s">
        <v>1420</v>
      </c>
      <c r="Q9" s="1250"/>
      <c r="R9" s="9"/>
      <c r="S9" s="45"/>
      <c r="T9" s="1247">
        <f>4900*1.19</f>
        <v>5831</v>
      </c>
      <c r="U9" s="1050"/>
      <c r="V9" s="45"/>
      <c r="W9" s="1227">
        <f>4900*1.19</f>
        <v>5831</v>
      </c>
      <c r="X9" s="1058"/>
      <c r="Y9" s="45"/>
      <c r="Z9" s="124">
        <f t="shared" si="0"/>
        <v>0</v>
      </c>
    </row>
    <row r="10" spans="1:26" ht="13.5" x14ac:dyDescent="0.2">
      <c r="A10" s="9" t="s">
        <v>550</v>
      </c>
      <c r="B10" s="323">
        <v>45528</v>
      </c>
      <c r="C10" s="1244" t="s">
        <v>1522</v>
      </c>
      <c r="D10" s="1245"/>
      <c r="E10" s="1245"/>
      <c r="F10" s="1245"/>
      <c r="G10" s="1245"/>
      <c r="H10" s="1246"/>
      <c r="I10" s="9" t="s">
        <v>20</v>
      </c>
      <c r="J10" s="1247">
        <v>8500</v>
      </c>
      <c r="K10" s="1248"/>
      <c r="L10" s="1249"/>
      <c r="M10" s="1250"/>
      <c r="N10" s="1249"/>
      <c r="O10" s="1250"/>
      <c r="P10" s="1251" t="s">
        <v>1886</v>
      </c>
      <c r="Q10" s="1250"/>
      <c r="R10" s="9"/>
      <c r="S10" s="45"/>
      <c r="T10" s="1247">
        <f>24900/100</f>
        <v>249</v>
      </c>
      <c r="U10" s="1050"/>
      <c r="V10" s="45"/>
      <c r="W10" s="1227">
        <f>24900/100</f>
        <v>249</v>
      </c>
      <c r="X10" s="1058"/>
      <c r="Y10" s="45"/>
      <c r="Z10" s="124">
        <f t="shared" si="0"/>
        <v>0</v>
      </c>
    </row>
    <row r="11" spans="1:26" ht="13.5" x14ac:dyDescent="0.2">
      <c r="A11" s="9" t="s">
        <v>552</v>
      </c>
      <c r="B11" s="323">
        <v>45528</v>
      </c>
      <c r="C11" s="1244" t="s">
        <v>1595</v>
      </c>
      <c r="D11" s="1245"/>
      <c r="E11" s="1245"/>
      <c r="F11" s="1245"/>
      <c r="G11" s="1245"/>
      <c r="H11" s="1246"/>
      <c r="I11" s="110" t="s">
        <v>551</v>
      </c>
      <c r="J11" s="1247">
        <v>6464.08</v>
      </c>
      <c r="K11" s="1248"/>
      <c r="L11" s="1249"/>
      <c r="M11" s="1250"/>
      <c r="N11" s="1249"/>
      <c r="O11" s="1250"/>
      <c r="P11" s="1251" t="s">
        <v>1420</v>
      </c>
      <c r="Q11" s="1250"/>
      <c r="R11" s="9"/>
      <c r="S11" s="45"/>
      <c r="T11" s="1247">
        <f>18000/100</f>
        <v>180</v>
      </c>
      <c r="U11" s="1050"/>
      <c r="W11" s="1227">
        <f>18000/100</f>
        <v>180</v>
      </c>
      <c r="X11" s="1058"/>
      <c r="Y11" s="45"/>
      <c r="Z11" s="124">
        <f t="shared" si="0"/>
        <v>0</v>
      </c>
    </row>
    <row r="12" spans="1:26" ht="13.5" x14ac:dyDescent="0.2">
      <c r="A12" s="9" t="s">
        <v>553</v>
      </c>
      <c r="B12" s="323">
        <v>45527</v>
      </c>
      <c r="C12" s="1244" t="s">
        <v>1599</v>
      </c>
      <c r="D12" s="1245"/>
      <c r="E12" s="1245"/>
      <c r="F12" s="1245"/>
      <c r="G12" s="1245"/>
      <c r="H12" s="1246"/>
      <c r="I12" s="110" t="s">
        <v>20</v>
      </c>
      <c r="J12" s="1247">
        <v>13545</v>
      </c>
      <c r="K12" s="1248"/>
      <c r="L12" s="1249"/>
      <c r="M12" s="1250"/>
      <c r="N12" s="1249"/>
      <c r="O12" s="1250"/>
      <c r="P12" s="1251" t="s">
        <v>1904</v>
      </c>
      <c r="Q12" s="1265"/>
      <c r="R12" s="9"/>
      <c r="S12" s="45"/>
      <c r="T12" s="1264">
        <v>896</v>
      </c>
      <c r="U12" s="1261"/>
      <c r="W12" s="1227">
        <f>33500/50</f>
        <v>670</v>
      </c>
      <c r="X12" s="1058"/>
      <c r="Y12" s="45"/>
      <c r="Z12" s="124">
        <f t="shared" si="0"/>
        <v>-226</v>
      </c>
    </row>
    <row r="13" spans="1:26" ht="13.5" x14ac:dyDescent="0.2">
      <c r="A13" s="9" t="s">
        <v>554</v>
      </c>
      <c r="B13" s="323">
        <v>45363</v>
      </c>
      <c r="C13" s="1244" t="s">
        <v>1579</v>
      </c>
      <c r="D13" s="1245"/>
      <c r="E13" s="1245"/>
      <c r="F13" s="1245"/>
      <c r="G13" s="1245"/>
      <c r="H13" s="1246"/>
      <c r="I13" s="9" t="s">
        <v>20</v>
      </c>
      <c r="J13" s="1247">
        <v>50405</v>
      </c>
      <c r="K13" s="1248"/>
      <c r="L13" s="1249"/>
      <c r="M13" s="1250"/>
      <c r="N13" s="1249"/>
      <c r="O13" s="1250"/>
      <c r="P13" s="1251" t="s">
        <v>1900</v>
      </c>
      <c r="Q13" s="1265"/>
      <c r="R13" s="9"/>
      <c r="S13" s="45"/>
      <c r="T13" s="1264">
        <v>90000</v>
      </c>
      <c r="U13" s="1261"/>
      <c r="W13" s="1227">
        <v>40000</v>
      </c>
      <c r="X13" s="1058"/>
      <c r="Y13" s="45"/>
      <c r="Z13" s="124">
        <f t="shared" si="0"/>
        <v>-50000</v>
      </c>
    </row>
    <row r="14" spans="1:26" ht="13.5" x14ac:dyDescent="0.2">
      <c r="A14" s="9" t="s">
        <v>555</v>
      </c>
      <c r="B14" s="323">
        <v>45363</v>
      </c>
      <c r="C14" s="1244" t="s">
        <v>1523</v>
      </c>
      <c r="D14" s="1245"/>
      <c r="E14" s="1245"/>
      <c r="F14" s="1245"/>
      <c r="G14" s="1245"/>
      <c r="H14" s="1246"/>
      <c r="I14" s="67" t="s">
        <v>474</v>
      </c>
      <c r="J14" s="1247">
        <v>71400</v>
      </c>
      <c r="K14" s="1248"/>
      <c r="L14" s="1249"/>
      <c r="M14" s="1250"/>
      <c r="N14" s="1249"/>
      <c r="O14" s="1250"/>
      <c r="P14" s="1251" t="s">
        <v>1885</v>
      </c>
      <c r="Q14" s="1265"/>
      <c r="R14" s="9"/>
      <c r="S14" s="45"/>
      <c r="T14" s="1247">
        <v>85000</v>
      </c>
      <c r="U14" s="1050"/>
      <c r="V14" s="45"/>
      <c r="W14" s="1227">
        <v>85000</v>
      </c>
      <c r="X14" s="1058"/>
      <c r="Y14" s="45"/>
      <c r="Z14" s="124">
        <f t="shared" si="0"/>
        <v>0</v>
      </c>
    </row>
    <row r="15" spans="1:26" ht="13.5" x14ac:dyDescent="0.2">
      <c r="A15" s="9" t="s">
        <v>556</v>
      </c>
      <c r="B15" s="323">
        <v>45032</v>
      </c>
      <c r="C15" s="1244" t="s">
        <v>1505</v>
      </c>
      <c r="D15" s="1245"/>
      <c r="E15" s="1245"/>
      <c r="F15" s="1245"/>
      <c r="G15" s="1245"/>
      <c r="H15" s="1246"/>
      <c r="I15" s="9" t="s">
        <v>474</v>
      </c>
      <c r="J15" s="1247">
        <v>71400</v>
      </c>
      <c r="K15" s="1248"/>
      <c r="L15" s="1249"/>
      <c r="M15" s="1250"/>
      <c r="N15" s="1249"/>
      <c r="O15" s="1250"/>
      <c r="P15" s="1251" t="s">
        <v>1885</v>
      </c>
      <c r="Q15" s="1250"/>
      <c r="R15" s="9"/>
      <c r="S15" s="45"/>
      <c r="T15" s="1247">
        <v>20</v>
      </c>
      <c r="U15" s="1050"/>
      <c r="V15" s="45"/>
      <c r="W15" s="1227">
        <v>20</v>
      </c>
      <c r="X15" s="1058"/>
      <c r="Y15" s="45"/>
      <c r="Z15" s="124">
        <f t="shared" si="0"/>
        <v>0</v>
      </c>
    </row>
    <row r="16" spans="1:26" ht="13.5" x14ac:dyDescent="0.2">
      <c r="A16" s="9" t="s">
        <v>558</v>
      </c>
      <c r="B16" s="323">
        <v>45539</v>
      </c>
      <c r="C16" s="1244" t="s">
        <v>1524</v>
      </c>
      <c r="D16" s="1245"/>
      <c r="E16" s="1245"/>
      <c r="F16" s="1245"/>
      <c r="G16" s="1245"/>
      <c r="H16" s="1246"/>
      <c r="I16" s="9" t="s">
        <v>474</v>
      </c>
      <c r="J16" s="1247">
        <v>71400</v>
      </c>
      <c r="K16" s="1248"/>
      <c r="L16" s="1249"/>
      <c r="M16" s="1250"/>
      <c r="N16" s="1249"/>
      <c r="O16" s="1250"/>
      <c r="P16" s="1251" t="s">
        <v>1885</v>
      </c>
      <c r="Q16" s="1265"/>
      <c r="R16" s="9"/>
      <c r="S16" s="45"/>
      <c r="T16" s="1264">
        <v>5300</v>
      </c>
      <c r="U16" s="1261"/>
      <c r="V16" s="74"/>
      <c r="W16" s="1227">
        <f>23950/(0.994*6)</f>
        <v>4015.761234071093</v>
      </c>
      <c r="X16" s="1058"/>
      <c r="Y16" s="45"/>
      <c r="Z16" s="124">
        <f t="shared" si="0"/>
        <v>-1284.238765928907</v>
      </c>
    </row>
    <row r="17" spans="1:26" ht="13.5" x14ac:dyDescent="0.2">
      <c r="A17" s="9" t="s">
        <v>559</v>
      </c>
      <c r="B17" s="323">
        <v>45539</v>
      </c>
      <c r="C17" s="1244" t="s">
        <v>1602</v>
      </c>
      <c r="D17" s="1245"/>
      <c r="E17" s="1245"/>
      <c r="F17" s="1245"/>
      <c r="G17" s="1245"/>
      <c r="H17" s="1246"/>
      <c r="I17" s="9" t="s">
        <v>20</v>
      </c>
      <c r="J17" s="1247">
        <v>18890</v>
      </c>
      <c r="K17" s="1248"/>
      <c r="L17" s="1249"/>
      <c r="M17" s="1250"/>
      <c r="N17" s="1249"/>
      <c r="O17" s="1250"/>
      <c r="P17" s="1251" t="s">
        <v>1900</v>
      </c>
      <c r="Q17" s="1265"/>
      <c r="R17" s="9"/>
      <c r="S17" s="45"/>
      <c r="T17" s="1247">
        <f>134900/25</f>
        <v>5396</v>
      </c>
      <c r="U17" s="1050"/>
      <c r="V17" s="45"/>
      <c r="W17" s="1227">
        <f>134900/25</f>
        <v>5396</v>
      </c>
      <c r="X17" s="1058"/>
      <c r="Y17" s="45"/>
      <c r="Z17" s="124">
        <f t="shared" si="0"/>
        <v>0</v>
      </c>
    </row>
    <row r="18" spans="1:26" ht="13.5" x14ac:dyDescent="0.2">
      <c r="A18" s="9" t="s">
        <v>560</v>
      </c>
      <c r="B18" s="323">
        <v>45033</v>
      </c>
      <c r="C18" s="1244" t="s">
        <v>1581</v>
      </c>
      <c r="D18" s="1245"/>
      <c r="E18" s="1245"/>
      <c r="F18" s="1245"/>
      <c r="G18" s="1245"/>
      <c r="H18" s="1246"/>
      <c r="I18" s="110" t="s">
        <v>180</v>
      </c>
      <c r="J18" s="1247">
        <v>4750</v>
      </c>
      <c r="K18" s="1248"/>
      <c r="L18" s="1249"/>
      <c r="M18" s="1250"/>
      <c r="N18" s="1249"/>
      <c r="O18" s="1250"/>
      <c r="P18" s="1251" t="s">
        <v>1901</v>
      </c>
      <c r="Q18" s="1250"/>
      <c r="R18" s="9"/>
      <c r="S18" s="45"/>
      <c r="T18" s="1247">
        <v>533019</v>
      </c>
      <c r="U18" s="1050"/>
      <c r="V18" s="45"/>
      <c r="W18" s="1227">
        <v>533019</v>
      </c>
      <c r="X18" s="1058"/>
      <c r="Y18" s="45"/>
      <c r="Z18" s="124">
        <f t="shared" si="0"/>
        <v>0</v>
      </c>
    </row>
    <row r="19" spans="1:26" ht="13.5" x14ac:dyDescent="0.2">
      <c r="A19" s="9" t="s">
        <v>561</v>
      </c>
      <c r="B19" s="323">
        <v>45541</v>
      </c>
      <c r="C19" s="1244" t="s">
        <v>405</v>
      </c>
      <c r="D19" s="1245"/>
      <c r="E19" s="1245"/>
      <c r="F19" s="1245"/>
      <c r="G19" s="1245"/>
      <c r="H19" s="1246"/>
      <c r="I19" s="9" t="s">
        <v>20</v>
      </c>
      <c r="J19" s="1247">
        <v>646</v>
      </c>
      <c r="K19" s="1248"/>
      <c r="L19" s="1249"/>
      <c r="M19" s="1250"/>
      <c r="N19" s="1249"/>
      <c r="O19" s="1250"/>
      <c r="P19" s="1251" t="s">
        <v>1884</v>
      </c>
      <c r="Q19" s="1250"/>
      <c r="R19" s="9"/>
      <c r="S19" s="45"/>
      <c r="T19" s="1247">
        <f>1000*1.19</f>
        <v>1190</v>
      </c>
      <c r="U19" s="1050"/>
      <c r="V19" s="45"/>
      <c r="W19" s="1227">
        <f>1000*1.19</f>
        <v>1190</v>
      </c>
      <c r="X19" s="1058"/>
      <c r="Y19" s="45"/>
      <c r="Z19" s="124">
        <f t="shared" si="0"/>
        <v>0</v>
      </c>
    </row>
    <row r="20" spans="1:26" ht="13.5" x14ac:dyDescent="0.2">
      <c r="A20" s="9" t="s">
        <v>563</v>
      </c>
      <c r="B20" s="323">
        <v>45033</v>
      </c>
      <c r="C20" s="1244" t="s">
        <v>1601</v>
      </c>
      <c r="D20" s="1245"/>
      <c r="E20" s="1245"/>
      <c r="F20" s="1245"/>
      <c r="G20" s="1245"/>
      <c r="H20" s="1246"/>
      <c r="I20" s="9" t="s">
        <v>9</v>
      </c>
      <c r="J20" s="1247">
        <v>140000</v>
      </c>
      <c r="K20" s="1248"/>
      <c r="L20" s="1249"/>
      <c r="M20" s="1250"/>
      <c r="N20" s="1249"/>
      <c r="O20" s="1250"/>
      <c r="P20" s="1251" t="s">
        <v>1907</v>
      </c>
      <c r="Q20" s="1250"/>
      <c r="R20" s="9"/>
      <c r="S20" s="45"/>
      <c r="T20" s="1247">
        <v>418293</v>
      </c>
      <c r="U20" s="1050"/>
      <c r="V20" s="45"/>
      <c r="W20" s="1227">
        <v>418293</v>
      </c>
      <c r="X20" s="1058"/>
      <c r="Y20" s="45"/>
      <c r="Z20" s="124">
        <f t="shared" si="0"/>
        <v>0</v>
      </c>
    </row>
    <row r="21" spans="1:26" ht="13.5" x14ac:dyDescent="0.2">
      <c r="A21" s="9" t="s">
        <v>564</v>
      </c>
      <c r="B21" s="323">
        <v>45542</v>
      </c>
      <c r="C21" s="1244" t="s">
        <v>1548</v>
      </c>
      <c r="D21" s="1245"/>
      <c r="E21" s="1245"/>
      <c r="F21" s="1245"/>
      <c r="G21" s="1245"/>
      <c r="H21" s="1246"/>
      <c r="I21" s="110" t="s">
        <v>180</v>
      </c>
      <c r="J21" s="1247">
        <v>20900</v>
      </c>
      <c r="K21" s="1248"/>
      <c r="L21" s="1249"/>
      <c r="M21" s="1250"/>
      <c r="N21" s="1249"/>
      <c r="O21" s="1250"/>
      <c r="P21" s="1251" t="s">
        <v>1884</v>
      </c>
      <c r="Q21" s="1250"/>
      <c r="R21" s="9"/>
      <c r="S21" s="45"/>
      <c r="T21" s="1247">
        <f>18995*1.19</f>
        <v>22604.05</v>
      </c>
      <c r="U21" s="1050"/>
      <c r="V21" s="45"/>
      <c r="W21" s="1227">
        <f>18995*1.19</f>
        <v>22604.05</v>
      </c>
      <c r="X21" s="1058"/>
      <c r="Y21" s="45"/>
      <c r="Z21" s="124">
        <f t="shared" si="0"/>
        <v>0</v>
      </c>
    </row>
    <row r="22" spans="1:26" ht="13.5" x14ac:dyDescent="0.2">
      <c r="A22" s="9" t="s">
        <v>565</v>
      </c>
      <c r="B22" s="323">
        <v>45062</v>
      </c>
      <c r="C22" s="1244" t="s">
        <v>1504</v>
      </c>
      <c r="D22" s="1245"/>
      <c r="E22" s="1245"/>
      <c r="F22" s="1245"/>
      <c r="G22" s="1245"/>
      <c r="H22" s="1246"/>
      <c r="I22" s="110" t="s">
        <v>1498</v>
      </c>
      <c r="J22" s="1247">
        <v>15900</v>
      </c>
      <c r="K22" s="1248"/>
      <c r="L22" s="1249"/>
      <c r="M22" s="1250"/>
      <c r="N22" s="1249"/>
      <c r="O22" s="1250"/>
      <c r="P22" s="1251" t="s">
        <v>1884</v>
      </c>
      <c r="Q22" s="1250"/>
      <c r="R22" s="9"/>
      <c r="S22" s="45"/>
      <c r="T22" s="1247">
        <f>26000*1.19</f>
        <v>30940</v>
      </c>
      <c r="U22" s="1050"/>
      <c r="V22" s="45"/>
      <c r="W22" s="1227">
        <f>26000*1.19</f>
        <v>30940</v>
      </c>
      <c r="X22" s="1058"/>
      <c r="Y22" s="45"/>
      <c r="Z22" s="124">
        <f t="shared" si="0"/>
        <v>0</v>
      </c>
    </row>
    <row r="23" spans="1:26" ht="13.5" x14ac:dyDescent="0.2">
      <c r="A23" s="9" t="s">
        <v>566</v>
      </c>
      <c r="B23" s="323">
        <v>45532</v>
      </c>
      <c r="C23" s="1244" t="s">
        <v>1598</v>
      </c>
      <c r="D23" s="1245"/>
      <c r="E23" s="1245"/>
      <c r="F23" s="1245"/>
      <c r="G23" s="1245"/>
      <c r="H23" s="1246"/>
      <c r="I23" s="110" t="s">
        <v>9</v>
      </c>
      <c r="J23" s="1247">
        <v>136376.09005958124</v>
      </c>
      <c r="K23" s="1248"/>
      <c r="L23" s="1249"/>
      <c r="M23" s="1250"/>
      <c r="N23" s="1249"/>
      <c r="O23" s="1250"/>
      <c r="P23" s="1251" t="s">
        <v>1897</v>
      </c>
      <c r="Q23" s="1250"/>
      <c r="R23" s="9"/>
      <c r="S23" s="45"/>
      <c r="T23" s="1247">
        <f>(96900/6)*1.19</f>
        <v>19218.5</v>
      </c>
      <c r="U23" s="1050"/>
      <c r="V23" s="45"/>
      <c r="W23" s="1227">
        <f>(96900/6)*1.19</f>
        <v>19218.5</v>
      </c>
      <c r="X23" s="1058"/>
      <c r="Y23" s="45"/>
      <c r="Z23" s="124">
        <f t="shared" si="0"/>
        <v>0</v>
      </c>
    </row>
    <row r="24" spans="1:26" ht="13.5" x14ac:dyDescent="0.2">
      <c r="A24" s="9" t="s">
        <v>567</v>
      </c>
      <c r="B24" s="323">
        <v>45532</v>
      </c>
      <c r="C24" s="1244" t="s">
        <v>1543</v>
      </c>
      <c r="D24" s="1245"/>
      <c r="E24" s="1245"/>
      <c r="F24" s="1245"/>
      <c r="G24" s="1245"/>
      <c r="H24" s="1246"/>
      <c r="I24" s="110" t="s">
        <v>180</v>
      </c>
      <c r="J24" s="1247">
        <v>566879</v>
      </c>
      <c r="K24" s="1248"/>
      <c r="L24" s="1249"/>
      <c r="M24" s="1250"/>
      <c r="N24" s="1249"/>
      <c r="O24" s="1250"/>
      <c r="P24" s="1251" t="s">
        <v>1887</v>
      </c>
      <c r="Q24" s="1250"/>
      <c r="R24" s="9"/>
      <c r="S24" s="45"/>
      <c r="T24" s="1247">
        <f>74000*1.19</f>
        <v>88060</v>
      </c>
      <c r="U24" s="1050"/>
      <c r="V24" s="45"/>
      <c r="W24" s="1227">
        <f>74000*1.19</f>
        <v>88060</v>
      </c>
      <c r="X24" s="1058"/>
      <c r="Y24" s="45"/>
      <c r="Z24" s="124">
        <f t="shared" si="0"/>
        <v>0</v>
      </c>
    </row>
    <row r="25" spans="1:26" ht="13.5" x14ac:dyDescent="0.2">
      <c r="A25" s="9" t="s">
        <v>568</v>
      </c>
      <c r="B25" s="323">
        <v>45532</v>
      </c>
      <c r="C25" s="1244" t="s">
        <v>1528</v>
      </c>
      <c r="D25" s="1245"/>
      <c r="E25" s="1245"/>
      <c r="F25" s="1245"/>
      <c r="G25" s="1245"/>
      <c r="H25" s="1246"/>
      <c r="I25" s="110" t="s">
        <v>180</v>
      </c>
      <c r="J25" s="1247">
        <v>3422495</v>
      </c>
      <c r="K25" s="1248"/>
      <c r="L25" s="1249"/>
      <c r="M25" s="1250"/>
      <c r="N25" s="1249"/>
      <c r="O25" s="1250"/>
      <c r="P25" s="1251" t="s">
        <v>1894</v>
      </c>
      <c r="Q25" s="1250"/>
      <c r="R25" s="9"/>
      <c r="S25" s="45"/>
      <c r="T25" s="1247">
        <f>1500*1.19</f>
        <v>1785</v>
      </c>
      <c r="U25" s="1050"/>
      <c r="V25" s="45"/>
      <c r="W25" s="1227">
        <f>1500*1.19</f>
        <v>1785</v>
      </c>
      <c r="X25" s="1058"/>
      <c r="Y25" s="45"/>
      <c r="Z25" s="124">
        <f t="shared" si="0"/>
        <v>0</v>
      </c>
    </row>
    <row r="26" spans="1:26" ht="13.5" x14ac:dyDescent="0.2">
      <c r="A26" s="9" t="s">
        <v>569</v>
      </c>
      <c r="B26" s="323">
        <v>45037</v>
      </c>
      <c r="C26" s="1244" t="s">
        <v>1533</v>
      </c>
      <c r="D26" s="1245"/>
      <c r="E26" s="1245"/>
      <c r="F26" s="1245"/>
      <c r="G26" s="1245"/>
      <c r="H26" s="1246"/>
      <c r="I26" s="110" t="s">
        <v>180</v>
      </c>
      <c r="J26" s="1247">
        <v>64863.329999999994</v>
      </c>
      <c r="K26" s="1248"/>
      <c r="L26" s="1249"/>
      <c r="M26" s="1250"/>
      <c r="N26" s="1249"/>
      <c r="O26" s="1250"/>
      <c r="P26" s="1251" t="s">
        <v>1894</v>
      </c>
      <c r="Q26" s="1250"/>
      <c r="R26" s="9"/>
      <c r="S26" s="45"/>
      <c r="T26" s="1247">
        <v>497116</v>
      </c>
      <c r="U26" s="1050"/>
      <c r="V26" s="45"/>
      <c r="W26" s="1227">
        <v>497116</v>
      </c>
      <c r="X26" s="1058"/>
      <c r="Y26" s="45"/>
      <c r="Z26" s="124">
        <f t="shared" si="0"/>
        <v>0</v>
      </c>
    </row>
    <row r="27" spans="1:26" ht="13.5" x14ac:dyDescent="0.2">
      <c r="A27" s="9" t="s">
        <v>570</v>
      </c>
      <c r="B27" s="323">
        <v>45527</v>
      </c>
      <c r="C27" s="1244" t="s">
        <v>1553</v>
      </c>
      <c r="D27" s="1245"/>
      <c r="E27" s="1245"/>
      <c r="F27" s="1245"/>
      <c r="G27" s="1245"/>
      <c r="H27" s="1246"/>
      <c r="I27" s="110" t="s">
        <v>180</v>
      </c>
      <c r="J27" s="1247">
        <v>1706652.9513600001</v>
      </c>
      <c r="K27" s="1248"/>
      <c r="L27" s="1249"/>
      <c r="M27" s="1250"/>
      <c r="N27" s="1249"/>
      <c r="O27" s="1250"/>
      <c r="P27" s="1251" t="s">
        <v>1896</v>
      </c>
      <c r="Q27" s="1250"/>
      <c r="R27" s="9"/>
      <c r="S27" s="45"/>
      <c r="T27" s="1247">
        <f>68600/6</f>
        <v>11433.333333333334</v>
      </c>
      <c r="U27" s="1050"/>
      <c r="V27" s="45"/>
      <c r="W27" s="1227">
        <f>68600/6</f>
        <v>11433.333333333334</v>
      </c>
      <c r="X27" s="1058"/>
      <c r="Y27" s="45"/>
      <c r="Z27" s="124">
        <f t="shared" si="0"/>
        <v>0</v>
      </c>
    </row>
    <row r="28" spans="1:26" ht="13.5" x14ac:dyDescent="0.2">
      <c r="A28" s="9" t="s">
        <v>571</v>
      </c>
      <c r="B28" s="323">
        <v>45528</v>
      </c>
      <c r="C28" s="1244" t="s">
        <v>1564</v>
      </c>
      <c r="D28" s="1245"/>
      <c r="E28" s="1245"/>
      <c r="F28" s="1245"/>
      <c r="G28" s="1245"/>
      <c r="H28" s="1246"/>
      <c r="I28" s="110" t="s">
        <v>180</v>
      </c>
      <c r="J28" s="1247">
        <v>98082</v>
      </c>
      <c r="K28" s="1248"/>
      <c r="L28" s="1249"/>
      <c r="M28" s="1250"/>
      <c r="N28" s="1249"/>
      <c r="O28" s="1250"/>
      <c r="P28" s="1251" t="s">
        <v>859</v>
      </c>
      <c r="Q28" s="1250"/>
      <c r="R28" s="9"/>
      <c r="S28" s="45"/>
      <c r="T28" s="133"/>
      <c r="U28" s="131"/>
      <c r="V28" s="45"/>
      <c r="W28" s="140"/>
      <c r="X28" s="131"/>
      <c r="Y28" s="45"/>
      <c r="Z28" s="124"/>
    </row>
    <row r="29" spans="1:26" ht="13.5" x14ac:dyDescent="0.2">
      <c r="A29" s="9" t="s">
        <v>572</v>
      </c>
      <c r="B29" s="323">
        <v>45529</v>
      </c>
      <c r="C29" s="1244" t="s">
        <v>1565</v>
      </c>
      <c r="D29" s="1245"/>
      <c r="E29" s="1245"/>
      <c r="F29" s="1245"/>
      <c r="G29" s="1245"/>
      <c r="H29" s="1246"/>
      <c r="I29" s="110" t="s">
        <v>180</v>
      </c>
      <c r="J29" s="1247">
        <v>199968</v>
      </c>
      <c r="K29" s="1248"/>
      <c r="L29" s="1249"/>
      <c r="M29" s="1250"/>
      <c r="N29" s="1249"/>
      <c r="O29" s="1250"/>
      <c r="P29" s="1251" t="s">
        <v>859</v>
      </c>
      <c r="Q29" s="1250"/>
      <c r="R29" s="9"/>
      <c r="S29" s="45"/>
      <c r="T29" s="1247">
        <f>27900*1.19</f>
        <v>33201</v>
      </c>
      <c r="U29" s="1050"/>
      <c r="V29" s="45"/>
      <c r="W29" s="1227">
        <f>27900*1.19</f>
        <v>33201</v>
      </c>
      <c r="X29" s="1058"/>
      <c r="Y29" s="45"/>
      <c r="Z29" s="124">
        <f t="shared" si="0"/>
        <v>0</v>
      </c>
    </row>
    <row r="30" spans="1:26" ht="13.5" x14ac:dyDescent="0.2">
      <c r="A30" s="9" t="s">
        <v>573</v>
      </c>
      <c r="B30" s="323">
        <v>45530</v>
      </c>
      <c r="C30" s="1244" t="s">
        <v>1559</v>
      </c>
      <c r="D30" s="1245"/>
      <c r="E30" s="1245"/>
      <c r="F30" s="1245"/>
      <c r="G30" s="1245"/>
      <c r="H30" s="1246"/>
      <c r="I30" s="110" t="s">
        <v>180</v>
      </c>
      <c r="J30" s="1247">
        <v>912045.90707999992</v>
      </c>
      <c r="K30" s="1248"/>
      <c r="L30" s="1249"/>
      <c r="M30" s="1250"/>
      <c r="N30" s="1249"/>
      <c r="O30" s="1250"/>
      <c r="P30" s="1251" t="s">
        <v>1896</v>
      </c>
      <c r="Q30" s="1266"/>
      <c r="R30" s="9"/>
      <c r="S30" s="45"/>
      <c r="T30" s="133"/>
      <c r="U30" s="131"/>
      <c r="V30" s="45"/>
      <c r="W30" s="140"/>
      <c r="X30" s="131"/>
      <c r="Y30" s="45"/>
      <c r="Z30" s="124"/>
    </row>
    <row r="31" spans="1:26" ht="13.5" x14ac:dyDescent="0.2">
      <c r="A31" s="9" t="s">
        <v>574</v>
      </c>
      <c r="B31" s="323">
        <v>45527</v>
      </c>
      <c r="C31" s="1244" t="s">
        <v>1580</v>
      </c>
      <c r="D31" s="1245"/>
      <c r="E31" s="1245"/>
      <c r="F31" s="1245"/>
      <c r="G31" s="1245"/>
      <c r="H31" s="1246"/>
      <c r="I31" s="110" t="s">
        <v>180</v>
      </c>
      <c r="J31" s="1247">
        <v>18130.84</v>
      </c>
      <c r="K31" s="1248"/>
      <c r="L31" s="1249"/>
      <c r="M31" s="1250"/>
      <c r="N31" s="1249"/>
      <c r="O31" s="1250"/>
      <c r="P31" s="1251" t="s">
        <v>1887</v>
      </c>
      <c r="Q31" s="1250"/>
      <c r="R31" s="9"/>
      <c r="S31" s="45"/>
      <c r="T31" s="1247">
        <f>350000/350</f>
        <v>1000</v>
      </c>
      <c r="U31" s="1050"/>
      <c r="V31" s="45"/>
      <c r="W31" s="1227">
        <f>350000/350</f>
        <v>1000</v>
      </c>
      <c r="X31" s="1058"/>
      <c r="Y31" s="45"/>
      <c r="Z31" s="124">
        <f t="shared" si="0"/>
        <v>0</v>
      </c>
    </row>
    <row r="32" spans="1:26" ht="13.5" x14ac:dyDescent="0.2">
      <c r="A32" s="9" t="s">
        <v>575</v>
      </c>
      <c r="B32" s="323">
        <v>45527</v>
      </c>
      <c r="C32" s="1244" t="s">
        <v>1529</v>
      </c>
      <c r="D32" s="1245"/>
      <c r="E32" s="1245"/>
      <c r="F32" s="1245"/>
      <c r="G32" s="1245"/>
      <c r="H32" s="1246"/>
      <c r="I32" s="110" t="s">
        <v>180</v>
      </c>
      <c r="J32" s="1247">
        <v>4139604</v>
      </c>
      <c r="K32" s="1248"/>
      <c r="L32" s="1249"/>
      <c r="M32" s="1250"/>
      <c r="N32" s="1249"/>
      <c r="O32" s="1250"/>
      <c r="P32" s="1251" t="s">
        <v>1892</v>
      </c>
      <c r="Q32" s="1250"/>
      <c r="R32" s="9"/>
      <c r="S32" s="45"/>
      <c r="T32" s="1247">
        <f>82400*1.19</f>
        <v>98056</v>
      </c>
      <c r="U32" s="1050"/>
      <c r="V32" s="45"/>
      <c r="W32" s="1227">
        <f>82400*1.19</f>
        <v>98056</v>
      </c>
      <c r="X32" s="1058"/>
      <c r="Y32" s="45"/>
      <c r="Z32" s="124">
        <f t="shared" si="0"/>
        <v>0</v>
      </c>
    </row>
    <row r="33" spans="1:26" ht="13.5" x14ac:dyDescent="0.2">
      <c r="A33" s="9" t="s">
        <v>576</v>
      </c>
      <c r="B33" s="323">
        <v>45527</v>
      </c>
      <c r="C33" s="1244" t="s">
        <v>1542</v>
      </c>
      <c r="D33" s="1245"/>
      <c r="E33" s="1245"/>
      <c r="F33" s="1245"/>
      <c r="G33" s="1245"/>
      <c r="H33" s="1246"/>
      <c r="I33" s="110" t="s">
        <v>180</v>
      </c>
      <c r="J33" s="1247">
        <v>496394</v>
      </c>
      <c r="K33" s="1248"/>
      <c r="L33" s="1249"/>
      <c r="M33" s="1250"/>
      <c r="N33" s="1249"/>
      <c r="O33" s="1250"/>
      <c r="P33" s="1251" t="s">
        <v>1887</v>
      </c>
      <c r="Q33" s="1250"/>
      <c r="R33" s="9"/>
      <c r="S33" s="45"/>
      <c r="T33" s="1247">
        <f>18000*1.19</f>
        <v>21420</v>
      </c>
      <c r="U33" s="1050"/>
      <c r="V33" s="45"/>
      <c r="W33" s="1227">
        <f>18000*1.19</f>
        <v>21420</v>
      </c>
      <c r="X33" s="1058"/>
      <c r="Y33" s="45"/>
      <c r="Z33" s="124">
        <f t="shared" si="0"/>
        <v>0</v>
      </c>
    </row>
    <row r="34" spans="1:26" ht="13.5" x14ac:dyDescent="0.2">
      <c r="A34" s="9" t="s">
        <v>578</v>
      </c>
      <c r="B34" s="323">
        <v>45527</v>
      </c>
      <c r="C34" s="1244" t="s">
        <v>1532</v>
      </c>
      <c r="D34" s="1245"/>
      <c r="E34" s="1245"/>
      <c r="F34" s="1245"/>
      <c r="G34" s="1245"/>
      <c r="H34" s="1246"/>
      <c r="I34" s="110" t="s">
        <v>180</v>
      </c>
      <c r="J34" s="1247">
        <v>143940</v>
      </c>
      <c r="K34" s="1248"/>
      <c r="L34" s="1249"/>
      <c r="M34" s="1250"/>
      <c r="N34" s="1249"/>
      <c r="O34" s="1250"/>
      <c r="P34" s="1251" t="s">
        <v>1887</v>
      </c>
      <c r="Q34" s="1250"/>
      <c r="R34" s="9"/>
      <c r="S34" s="45"/>
      <c r="T34" s="1247">
        <f>17000*1.19</f>
        <v>20230</v>
      </c>
      <c r="U34" s="1050"/>
      <c r="V34" s="45"/>
      <c r="W34" s="1227">
        <f>17000*1.19</f>
        <v>20230</v>
      </c>
      <c r="X34" s="1058"/>
      <c r="Y34" s="45"/>
      <c r="Z34" s="124">
        <f t="shared" si="0"/>
        <v>0</v>
      </c>
    </row>
    <row r="35" spans="1:26" ht="13.5" x14ac:dyDescent="0.2">
      <c r="A35" s="9" t="s">
        <v>579</v>
      </c>
      <c r="B35" s="323">
        <v>45527</v>
      </c>
      <c r="C35" s="1244" t="s">
        <v>1521</v>
      </c>
      <c r="D35" s="1245"/>
      <c r="E35" s="1245"/>
      <c r="F35" s="1245"/>
      <c r="G35" s="1245"/>
      <c r="H35" s="1246"/>
      <c r="I35" s="110" t="s">
        <v>180</v>
      </c>
      <c r="J35" s="1247">
        <v>64956.149999999994</v>
      </c>
      <c r="K35" s="1248"/>
      <c r="L35" s="1249"/>
      <c r="M35" s="1250"/>
      <c r="N35" s="1249"/>
      <c r="O35" s="1250"/>
      <c r="P35" s="1251" t="s">
        <v>1892</v>
      </c>
      <c r="Q35" s="1250"/>
      <c r="R35" s="9"/>
      <c r="S35" s="45"/>
      <c r="T35" s="1247">
        <f>4900*1.19</f>
        <v>5831</v>
      </c>
      <c r="U35" s="1050"/>
      <c r="V35" s="45"/>
      <c r="W35" s="1227">
        <f>4900*1.19</f>
        <v>5831</v>
      </c>
      <c r="X35" s="1058"/>
      <c r="Y35" s="45"/>
      <c r="Z35" s="124">
        <f t="shared" si="0"/>
        <v>0</v>
      </c>
    </row>
    <row r="36" spans="1:26" ht="13.5" x14ac:dyDescent="0.2">
      <c r="A36" s="9" t="s">
        <v>580</v>
      </c>
      <c r="B36" s="323">
        <v>45542</v>
      </c>
      <c r="C36" s="1244" t="s">
        <v>1593</v>
      </c>
      <c r="D36" s="1245"/>
      <c r="E36" s="1245"/>
      <c r="F36" s="1245"/>
      <c r="G36" s="1245"/>
      <c r="H36" s="1246"/>
      <c r="I36" s="110" t="s">
        <v>474</v>
      </c>
      <c r="J36" s="1247">
        <v>428260.01</v>
      </c>
      <c r="K36" s="1248"/>
      <c r="L36" s="1249"/>
      <c r="M36" s="1250"/>
      <c r="N36" s="1249"/>
      <c r="O36" s="1250"/>
      <c r="P36" s="1251" t="s">
        <v>1886</v>
      </c>
      <c r="Q36" s="1250"/>
      <c r="R36" s="9"/>
      <c r="S36" s="45"/>
      <c r="T36" s="1247">
        <f>UNITARIOS!$F$381</f>
        <v>241471.21856195002</v>
      </c>
      <c r="U36" s="1050"/>
      <c r="V36" s="45"/>
      <c r="W36" s="1227">
        <f>UNITARIOS!$F$381</f>
        <v>241471.21856195002</v>
      </c>
      <c r="X36" s="1058"/>
      <c r="Y36" s="45"/>
      <c r="Z36" s="124">
        <f t="shared" si="0"/>
        <v>0</v>
      </c>
    </row>
    <row r="37" spans="1:26" ht="13.5" x14ac:dyDescent="0.2">
      <c r="A37" s="9" t="s">
        <v>581</v>
      </c>
      <c r="B37" s="323">
        <v>45527</v>
      </c>
      <c r="C37" s="1244" t="s">
        <v>1592</v>
      </c>
      <c r="D37" s="1245"/>
      <c r="E37" s="1245"/>
      <c r="F37" s="1245"/>
      <c r="G37" s="1245"/>
      <c r="H37" s="1246"/>
      <c r="I37" s="110" t="s">
        <v>474</v>
      </c>
      <c r="J37" s="1247">
        <v>530540</v>
      </c>
      <c r="K37" s="1248"/>
      <c r="L37" s="1249"/>
      <c r="M37" s="1250"/>
      <c r="N37" s="1249"/>
      <c r="O37" s="1250"/>
      <c r="P37" s="1251" t="s">
        <v>1886</v>
      </c>
      <c r="Q37" s="1250"/>
      <c r="R37" s="9"/>
      <c r="S37" s="45"/>
      <c r="T37" s="1247">
        <f>39700*1.19</f>
        <v>47243</v>
      </c>
      <c r="U37" s="1050"/>
      <c r="V37" s="45"/>
      <c r="W37" s="1227">
        <f>39700*1.19</f>
        <v>47243</v>
      </c>
      <c r="X37" s="1058"/>
      <c r="Y37" s="45"/>
      <c r="Z37" s="124">
        <f t="shared" si="0"/>
        <v>0</v>
      </c>
    </row>
    <row r="38" spans="1:26" ht="13.5" x14ac:dyDescent="0.2">
      <c r="A38" s="9" t="s">
        <v>582</v>
      </c>
      <c r="B38" s="323">
        <v>45540</v>
      </c>
      <c r="C38" s="1244" t="s">
        <v>1930</v>
      </c>
      <c r="D38" s="1245"/>
      <c r="E38" s="1245"/>
      <c r="F38" s="1245"/>
      <c r="G38" s="1245"/>
      <c r="H38" s="1246"/>
      <c r="I38" s="110" t="s">
        <v>474</v>
      </c>
      <c r="J38" s="1247">
        <f>+CONRETOS!F4</f>
        <v>760862.06829960004</v>
      </c>
      <c r="K38" s="1248"/>
      <c r="L38" s="1249"/>
      <c r="M38" s="1250"/>
      <c r="N38" s="1249"/>
      <c r="O38" s="1250"/>
      <c r="P38" s="1251" t="s">
        <v>1897</v>
      </c>
      <c r="Q38" s="1250"/>
      <c r="R38" s="9"/>
      <c r="S38" s="45"/>
      <c r="T38" s="1247">
        <v>77350</v>
      </c>
      <c r="U38" s="1050"/>
      <c r="W38" s="1227">
        <f>65000*1.19</f>
        <v>77350</v>
      </c>
      <c r="X38" s="1058"/>
      <c r="Y38" s="45"/>
      <c r="Z38" s="124">
        <f t="shared" si="0"/>
        <v>0</v>
      </c>
    </row>
    <row r="39" spans="1:26" ht="13.5" x14ac:dyDescent="0.2">
      <c r="A39" s="9" t="s">
        <v>583</v>
      </c>
      <c r="B39" s="323"/>
      <c r="C39" s="1244" t="s">
        <v>1933</v>
      </c>
      <c r="D39" s="1245"/>
      <c r="E39" s="1245"/>
      <c r="F39" s="1245"/>
      <c r="G39" s="1245"/>
      <c r="H39" s="1246"/>
      <c r="I39" s="110" t="s">
        <v>474</v>
      </c>
      <c r="J39" s="1247">
        <f>+CONRETOS!F46</f>
        <v>816464.22535045003</v>
      </c>
      <c r="K39" s="1248"/>
      <c r="L39" s="1249"/>
      <c r="M39" s="1250"/>
      <c r="N39" s="1249"/>
      <c r="O39" s="1250"/>
      <c r="P39" s="1251"/>
      <c r="Q39" s="1250"/>
      <c r="R39" s="9"/>
      <c r="S39" s="45"/>
      <c r="T39" s="1247"/>
      <c r="U39" s="1050"/>
      <c r="W39" s="1227"/>
      <c r="X39" s="1058"/>
      <c r="Y39" s="45"/>
      <c r="Z39" s="124"/>
    </row>
    <row r="40" spans="1:26" ht="13.5" x14ac:dyDescent="0.2">
      <c r="A40" s="9" t="s">
        <v>584</v>
      </c>
      <c r="B40" s="323">
        <v>45528</v>
      </c>
      <c r="C40" s="1244" t="s">
        <v>1547</v>
      </c>
      <c r="D40" s="1245"/>
      <c r="E40" s="1245"/>
      <c r="F40" s="1245"/>
      <c r="G40" s="1245"/>
      <c r="H40" s="1246"/>
      <c r="I40" s="110" t="s">
        <v>474</v>
      </c>
      <c r="J40" s="1247">
        <v>2500</v>
      </c>
      <c r="K40" s="1248"/>
      <c r="L40" s="1249"/>
      <c r="M40" s="1250"/>
      <c r="N40" s="1249"/>
      <c r="O40" s="1250"/>
      <c r="P40" s="1251" t="s">
        <v>1886</v>
      </c>
      <c r="Q40" s="1250"/>
      <c r="R40" s="9"/>
      <c r="S40" s="45"/>
      <c r="T40" s="1247">
        <f>(83100/(6*2.35))+(((83100/((6*2.35))*0.19)))</f>
        <v>7013.4042553191484</v>
      </c>
      <c r="U40" s="1050"/>
      <c r="W40" s="1227">
        <f>(83100/(6*2.35))+(((83100/((6*2.35))*0.19)))</f>
        <v>7013.4042553191484</v>
      </c>
      <c r="X40" s="1058"/>
      <c r="Y40" s="45"/>
      <c r="Z40" s="124">
        <f t="shared" si="0"/>
        <v>0</v>
      </c>
    </row>
    <row r="41" spans="1:26" ht="13.5" x14ac:dyDescent="0.2">
      <c r="A41" s="9" t="s">
        <v>585</v>
      </c>
      <c r="B41" s="323">
        <v>45041</v>
      </c>
      <c r="C41" s="1244" t="s">
        <v>1502</v>
      </c>
      <c r="D41" s="1245"/>
      <c r="E41" s="1245"/>
      <c r="F41" s="1245"/>
      <c r="G41" s="1245"/>
      <c r="H41" s="1246"/>
      <c r="I41" s="110" t="s">
        <v>180</v>
      </c>
      <c r="J41" s="1247">
        <v>3075</v>
      </c>
      <c r="K41" s="1248"/>
      <c r="L41" s="1249"/>
      <c r="M41" s="1250"/>
      <c r="N41" s="1249"/>
      <c r="O41" s="1250"/>
      <c r="P41" s="1251" t="s">
        <v>858</v>
      </c>
      <c r="Q41" s="1250"/>
      <c r="R41" s="9"/>
      <c r="S41" s="45"/>
      <c r="T41" s="1247">
        <v>24887</v>
      </c>
      <c r="U41" s="1050"/>
      <c r="V41" s="45"/>
      <c r="W41" s="1227">
        <v>24887</v>
      </c>
      <c r="X41" s="1058"/>
      <c r="Y41" s="45"/>
      <c r="Z41" s="124">
        <f t="shared" si="0"/>
        <v>0</v>
      </c>
    </row>
    <row r="42" spans="1:26" ht="13.5" x14ac:dyDescent="0.2">
      <c r="A42" s="9" t="s">
        <v>586</v>
      </c>
      <c r="B42" s="323"/>
      <c r="C42" s="1244" t="s">
        <v>1928</v>
      </c>
      <c r="D42" s="1245"/>
      <c r="E42" s="1245"/>
      <c r="F42" s="1245"/>
      <c r="G42" s="1245"/>
      <c r="H42" s="1246"/>
      <c r="I42" s="110" t="s">
        <v>180</v>
      </c>
      <c r="J42" s="1247">
        <v>1094443</v>
      </c>
      <c r="K42" s="1248"/>
      <c r="L42" s="1249"/>
      <c r="M42" s="1250"/>
      <c r="N42" s="1249"/>
      <c r="O42" s="1250"/>
      <c r="P42" s="1251"/>
      <c r="Q42" s="1250"/>
      <c r="R42" s="9"/>
      <c r="S42" s="45"/>
      <c r="T42" s="1247"/>
      <c r="U42" s="1050"/>
      <c r="V42" s="45"/>
      <c r="W42" s="1227"/>
      <c r="X42" s="1058"/>
      <c r="Y42" s="45"/>
      <c r="Z42" s="124"/>
    </row>
    <row r="43" spans="1:26" ht="13.5" x14ac:dyDescent="0.2">
      <c r="A43" s="9" t="s">
        <v>587</v>
      </c>
      <c r="B43" s="323"/>
      <c r="C43" s="1244" t="s">
        <v>1934</v>
      </c>
      <c r="D43" s="1245"/>
      <c r="E43" s="1245"/>
      <c r="F43" s="1245"/>
      <c r="G43" s="1245"/>
      <c r="H43" s="1246"/>
      <c r="I43" s="110" t="s">
        <v>180</v>
      </c>
      <c r="J43" s="1247">
        <v>6809.6</v>
      </c>
      <c r="K43" s="1248"/>
      <c r="L43" s="1249"/>
      <c r="M43" s="1250"/>
      <c r="N43" s="1249"/>
      <c r="O43" s="1250"/>
      <c r="P43" s="1251"/>
      <c r="Q43" s="1250"/>
      <c r="R43" s="9"/>
      <c r="S43" s="45"/>
      <c r="T43" s="1247"/>
      <c r="U43" s="1050"/>
      <c r="V43" s="45"/>
      <c r="W43" s="1227"/>
      <c r="X43" s="1058"/>
      <c r="Y43" s="45"/>
      <c r="Z43" s="124"/>
    </row>
    <row r="44" spans="1:26" ht="13.5" x14ac:dyDescent="0.2">
      <c r="A44" s="9" t="s">
        <v>588</v>
      </c>
      <c r="B44" s="323">
        <v>45542</v>
      </c>
      <c r="C44" s="1244" t="s">
        <v>1582</v>
      </c>
      <c r="D44" s="1245"/>
      <c r="E44" s="1245"/>
      <c r="F44" s="1245"/>
      <c r="G44" s="1245"/>
      <c r="H44" s="1246"/>
      <c r="I44" s="110" t="s">
        <v>180</v>
      </c>
      <c r="J44" s="1247">
        <v>708.6</v>
      </c>
      <c r="K44" s="1248"/>
      <c r="L44" s="1249"/>
      <c r="M44" s="1250"/>
      <c r="N44" s="1249"/>
      <c r="O44" s="1250"/>
      <c r="P44" s="1251" t="s">
        <v>1901</v>
      </c>
      <c r="Q44" s="1250"/>
      <c r="R44" s="9"/>
      <c r="S44" s="45"/>
      <c r="T44" s="1247">
        <f>31900*1.19</f>
        <v>37961</v>
      </c>
      <c r="U44" s="1050"/>
      <c r="V44" s="45"/>
      <c r="W44" s="1227">
        <f>31900*1.19</f>
        <v>37961</v>
      </c>
      <c r="X44" s="1058"/>
      <c r="Y44" s="45"/>
      <c r="Z44" s="124">
        <f t="shared" si="0"/>
        <v>0</v>
      </c>
    </row>
    <row r="45" spans="1:26" ht="13.5" x14ac:dyDescent="0.2">
      <c r="A45" s="9" t="s">
        <v>589</v>
      </c>
      <c r="B45" s="323">
        <v>45527</v>
      </c>
      <c r="C45" s="1244" t="s">
        <v>1578</v>
      </c>
      <c r="D45" s="1245"/>
      <c r="E45" s="1245"/>
      <c r="F45" s="1245"/>
      <c r="G45" s="1245"/>
      <c r="H45" s="1246"/>
      <c r="I45" s="110" t="s">
        <v>20</v>
      </c>
      <c r="J45" s="1247">
        <v>18890</v>
      </c>
      <c r="K45" s="1248"/>
      <c r="L45" s="1249"/>
      <c r="M45" s="1250"/>
      <c r="N45" s="1249"/>
      <c r="O45" s="1250"/>
      <c r="P45" s="1251" t="s">
        <v>1900</v>
      </c>
      <c r="Q45" s="1250"/>
      <c r="R45" s="9"/>
      <c r="S45" s="45"/>
      <c r="T45" s="1247">
        <f>14000/25</f>
        <v>560</v>
      </c>
      <c r="U45" s="1050"/>
      <c r="V45" s="45"/>
      <c r="W45" s="1227">
        <f>14000/25</f>
        <v>560</v>
      </c>
      <c r="X45" s="1058"/>
      <c r="Y45" s="45"/>
      <c r="Z45" s="124">
        <f t="shared" si="0"/>
        <v>0</v>
      </c>
    </row>
    <row r="46" spans="1:26" ht="13.5" x14ac:dyDescent="0.2">
      <c r="A46" s="9" t="s">
        <v>590</v>
      </c>
      <c r="B46" s="323">
        <v>45527</v>
      </c>
      <c r="C46" s="1244" t="s">
        <v>1577</v>
      </c>
      <c r="D46" s="1245"/>
      <c r="E46" s="1245"/>
      <c r="F46" s="1245"/>
      <c r="G46" s="1245"/>
      <c r="H46" s="1246"/>
      <c r="I46" s="110" t="s">
        <v>20</v>
      </c>
      <c r="J46" s="1247">
        <v>18890</v>
      </c>
      <c r="K46" s="1248"/>
      <c r="L46" s="1249"/>
      <c r="M46" s="1250"/>
      <c r="N46" s="1249"/>
      <c r="O46" s="1250"/>
      <c r="P46" s="1251" t="s">
        <v>1900</v>
      </c>
      <c r="Q46" s="1250"/>
      <c r="R46" s="9"/>
      <c r="S46" s="45"/>
      <c r="T46" s="1247">
        <f>6500*1.19</f>
        <v>7735</v>
      </c>
      <c r="U46" s="1050"/>
      <c r="V46" s="45"/>
      <c r="W46" s="1227">
        <f>6500*1.19</f>
        <v>7735</v>
      </c>
      <c r="X46" s="1058"/>
      <c r="Y46" s="45"/>
      <c r="Z46" s="124">
        <f t="shared" si="0"/>
        <v>0</v>
      </c>
    </row>
    <row r="47" spans="1:26" ht="13.5" x14ac:dyDescent="0.2">
      <c r="A47" s="9" t="s">
        <v>591</v>
      </c>
      <c r="B47" s="323">
        <v>45527</v>
      </c>
      <c r="C47" s="1244" t="s">
        <v>1576</v>
      </c>
      <c r="D47" s="1245"/>
      <c r="E47" s="1245"/>
      <c r="F47" s="1245"/>
      <c r="G47" s="1245"/>
      <c r="H47" s="1246"/>
      <c r="I47" s="110" t="s">
        <v>20</v>
      </c>
      <c r="J47" s="1247">
        <v>18890</v>
      </c>
      <c r="K47" s="1248"/>
      <c r="L47" s="1249"/>
      <c r="M47" s="1250"/>
      <c r="N47" s="1249"/>
      <c r="O47" s="1250"/>
      <c r="P47" s="1251" t="s">
        <v>1900</v>
      </c>
      <c r="Q47" s="1250"/>
      <c r="R47" s="9"/>
      <c r="S47" s="45"/>
      <c r="T47" s="1247">
        <f>84800*1.19</f>
        <v>100912</v>
      </c>
      <c r="U47" s="1050"/>
      <c r="V47" s="45"/>
      <c r="W47" s="1227">
        <f>84800*1.19</f>
        <v>100912</v>
      </c>
      <c r="X47" s="1058"/>
      <c r="Y47" s="45"/>
      <c r="Z47" s="124">
        <f t="shared" si="0"/>
        <v>0</v>
      </c>
    </row>
    <row r="48" spans="1:26" ht="13.5" x14ac:dyDescent="0.2">
      <c r="A48" s="9" t="s">
        <v>592</v>
      </c>
      <c r="B48" s="323">
        <v>45542</v>
      </c>
      <c r="C48" s="1244" t="s">
        <v>1525</v>
      </c>
      <c r="D48" s="1245"/>
      <c r="E48" s="1245"/>
      <c r="F48" s="1245"/>
      <c r="G48" s="1245"/>
      <c r="H48" s="1246"/>
      <c r="I48" s="110" t="s">
        <v>474</v>
      </c>
      <c r="J48" s="1247">
        <v>83300</v>
      </c>
      <c r="K48" s="1248"/>
      <c r="L48" s="1249"/>
      <c r="M48" s="1250"/>
      <c r="N48" s="1249"/>
      <c r="O48" s="1250"/>
      <c r="P48" s="1251" t="s">
        <v>1885</v>
      </c>
      <c r="Q48" s="1250"/>
      <c r="R48" s="9"/>
      <c r="S48" s="45"/>
      <c r="T48" s="1264">
        <v>1583331</v>
      </c>
      <c r="U48" s="1261"/>
      <c r="V48" s="45"/>
      <c r="W48" s="1227">
        <f>253000*1.19</f>
        <v>301070</v>
      </c>
      <c r="X48" s="1058"/>
      <c r="Y48" s="45"/>
      <c r="Z48" s="124">
        <f t="shared" si="0"/>
        <v>-1282261</v>
      </c>
    </row>
    <row r="49" spans="1:26" ht="13.5" x14ac:dyDescent="0.2">
      <c r="A49" s="9" t="s">
        <v>593</v>
      </c>
      <c r="B49" s="323">
        <v>45544</v>
      </c>
      <c r="C49" s="1244" t="s">
        <v>1588</v>
      </c>
      <c r="D49" s="1245"/>
      <c r="E49" s="1245"/>
      <c r="F49" s="1245"/>
      <c r="G49" s="1245"/>
      <c r="H49" s="1246"/>
      <c r="I49" s="110" t="s">
        <v>20</v>
      </c>
      <c r="J49" s="1247">
        <v>26956.521739130436</v>
      </c>
      <c r="K49" s="1248"/>
      <c r="L49" s="1249"/>
      <c r="M49" s="1250"/>
      <c r="N49" s="1249"/>
      <c r="O49" s="1250"/>
      <c r="P49" s="1251" t="s">
        <v>1904</v>
      </c>
      <c r="Q49" s="1250"/>
      <c r="R49" s="9"/>
      <c r="S49" s="45"/>
      <c r="T49" s="1264">
        <v>2297874</v>
      </c>
      <c r="U49" s="1261"/>
      <c r="V49" s="45"/>
      <c r="W49" s="1227">
        <f>1029000*1.19</f>
        <v>1224510</v>
      </c>
      <c r="X49" s="1058"/>
      <c r="Y49" s="45"/>
      <c r="Z49" s="124">
        <f t="shared" si="0"/>
        <v>-1073364</v>
      </c>
    </row>
    <row r="50" spans="1:26" ht="30.75" customHeight="1" x14ac:dyDescent="0.2">
      <c r="A50" s="9" t="s">
        <v>594</v>
      </c>
      <c r="B50" s="323">
        <v>45512</v>
      </c>
      <c r="C50" s="919" t="s">
        <v>1519</v>
      </c>
      <c r="D50" s="1274"/>
      <c r="E50" s="1274"/>
      <c r="F50" s="1274"/>
      <c r="G50" s="1274"/>
      <c r="H50" s="1275"/>
      <c r="I50" s="110" t="s">
        <v>180</v>
      </c>
      <c r="J50" s="1247">
        <v>11543</v>
      </c>
      <c r="K50" s="1248"/>
      <c r="L50" s="1249"/>
      <c r="M50" s="1250"/>
      <c r="N50" s="1249"/>
      <c r="O50" s="1250"/>
      <c r="P50" s="1251" t="s">
        <v>1893</v>
      </c>
      <c r="Q50" s="1250"/>
      <c r="R50" s="9"/>
      <c r="S50" s="45"/>
      <c r="T50" s="1247">
        <f>1158000*1.19</f>
        <v>1378020</v>
      </c>
      <c r="U50" s="1050"/>
      <c r="V50" s="45"/>
      <c r="W50" s="1227">
        <f>1158000*1.19</f>
        <v>1378020</v>
      </c>
      <c r="X50" s="1058"/>
      <c r="Y50" s="45"/>
      <c r="Z50" s="124">
        <f t="shared" si="0"/>
        <v>0</v>
      </c>
    </row>
    <row r="51" spans="1:26" ht="13.5" x14ac:dyDescent="0.2">
      <c r="A51" s="9" t="s">
        <v>595</v>
      </c>
      <c r="B51" s="323">
        <v>45542</v>
      </c>
      <c r="C51" s="1244" t="s">
        <v>1526</v>
      </c>
      <c r="D51" s="1245"/>
      <c r="E51" s="1245"/>
      <c r="F51" s="1245"/>
      <c r="G51" s="1245"/>
      <c r="H51" s="1246"/>
      <c r="I51" s="110" t="s">
        <v>180</v>
      </c>
      <c r="J51" s="1247">
        <v>800</v>
      </c>
      <c r="K51" s="1248"/>
      <c r="L51" s="1249"/>
      <c r="M51" s="1250"/>
      <c r="N51" s="1249"/>
      <c r="O51" s="1250"/>
      <c r="P51" s="1251" t="s">
        <v>1884</v>
      </c>
      <c r="Q51" s="1250"/>
      <c r="R51" s="9"/>
      <c r="S51" s="45"/>
      <c r="T51" s="1247">
        <f>1956000*1.19</f>
        <v>2327640</v>
      </c>
      <c r="U51" s="1050"/>
      <c r="V51" s="45"/>
      <c r="W51" s="1227">
        <f>1956000*1.19</f>
        <v>2327640</v>
      </c>
      <c r="X51" s="1058"/>
      <c r="Y51" s="45"/>
      <c r="Z51" s="124">
        <f t="shared" si="0"/>
        <v>0</v>
      </c>
    </row>
    <row r="52" spans="1:26" ht="13.5" x14ac:dyDescent="0.2">
      <c r="A52" s="9" t="s">
        <v>596</v>
      </c>
      <c r="B52" s="323">
        <v>45542</v>
      </c>
      <c r="C52" s="1244" t="s">
        <v>1604</v>
      </c>
      <c r="D52" s="1245"/>
      <c r="E52" s="1245"/>
      <c r="F52" s="1245"/>
      <c r="G52" s="1245"/>
      <c r="H52" s="1246"/>
      <c r="I52" s="110" t="s">
        <v>1500</v>
      </c>
      <c r="J52" s="1247">
        <v>4788</v>
      </c>
      <c r="K52" s="1248"/>
      <c r="L52" s="1249"/>
      <c r="M52" s="1250"/>
      <c r="N52" s="1249"/>
      <c r="O52" s="1250"/>
      <c r="P52" s="1251" t="s">
        <v>859</v>
      </c>
      <c r="Q52" s="1250"/>
      <c r="R52" s="9"/>
      <c r="S52" s="45"/>
      <c r="T52" s="1247">
        <f>(367710/3)*1.19</f>
        <v>145858.29999999999</v>
      </c>
      <c r="U52" s="1050"/>
      <c r="V52" s="45"/>
      <c r="W52" s="1227">
        <f>(367710/3)*1.19</f>
        <v>145858.29999999999</v>
      </c>
      <c r="X52" s="1058"/>
      <c r="Y52" s="45"/>
      <c r="Z52" s="124">
        <f t="shared" si="0"/>
        <v>0</v>
      </c>
    </row>
    <row r="53" spans="1:26" ht="13.5" x14ac:dyDescent="0.2">
      <c r="A53" s="9" t="s">
        <v>597</v>
      </c>
      <c r="B53" s="323">
        <v>45043</v>
      </c>
      <c r="C53" s="1244" t="s">
        <v>1590</v>
      </c>
      <c r="D53" s="1245"/>
      <c r="E53" s="1245"/>
      <c r="F53" s="1245"/>
      <c r="G53" s="1245"/>
      <c r="H53" s="1246"/>
      <c r="I53" s="110" t="s">
        <v>562</v>
      </c>
      <c r="J53" s="1247">
        <v>26656</v>
      </c>
      <c r="K53" s="1248"/>
      <c r="L53" s="1249"/>
      <c r="M53" s="1250"/>
      <c r="N53" s="1249"/>
      <c r="O53" s="1250"/>
      <c r="P53" s="1251" t="s">
        <v>1420</v>
      </c>
      <c r="Q53" s="1250"/>
      <c r="R53" s="9"/>
      <c r="S53" s="45"/>
      <c r="T53" s="1247">
        <v>209612</v>
      </c>
      <c r="U53" s="1050"/>
      <c r="W53" s="1227">
        <v>209612</v>
      </c>
      <c r="X53" s="1058"/>
      <c r="Y53" s="45"/>
      <c r="Z53" s="124">
        <f t="shared" si="0"/>
        <v>0</v>
      </c>
    </row>
    <row r="54" spans="1:26" ht="13.5" x14ac:dyDescent="0.2">
      <c r="A54" s="9" t="s">
        <v>598</v>
      </c>
      <c r="B54" s="323">
        <v>45043</v>
      </c>
      <c r="C54" s="1244" t="s">
        <v>1572</v>
      </c>
      <c r="D54" s="1245"/>
      <c r="E54" s="1245"/>
      <c r="F54" s="1245"/>
      <c r="G54" s="1245"/>
      <c r="H54" s="1246"/>
      <c r="I54" s="110" t="s">
        <v>9</v>
      </c>
      <c r="J54" s="1247">
        <v>2700</v>
      </c>
      <c r="K54" s="1248"/>
      <c r="L54" s="1249"/>
      <c r="M54" s="1250"/>
      <c r="N54" s="1249"/>
      <c r="O54" s="1250"/>
      <c r="P54" s="1251" t="s">
        <v>1884</v>
      </c>
      <c r="Q54" s="1250"/>
      <c r="R54" s="9"/>
      <c r="S54" s="45"/>
      <c r="T54" s="1247">
        <v>548189</v>
      </c>
      <c r="U54" s="1050"/>
      <c r="W54" s="1227">
        <v>548189</v>
      </c>
      <c r="X54" s="1058"/>
      <c r="Y54" s="45"/>
      <c r="Z54" s="124">
        <f t="shared" si="0"/>
        <v>0</v>
      </c>
    </row>
    <row r="55" spans="1:26" ht="13.5" x14ac:dyDescent="0.2">
      <c r="A55" s="9" t="s">
        <v>599</v>
      </c>
      <c r="B55" s="323">
        <v>45043</v>
      </c>
      <c r="C55" s="1244" t="s">
        <v>1589</v>
      </c>
      <c r="D55" s="1245"/>
      <c r="E55" s="1245"/>
      <c r="F55" s="1245"/>
      <c r="G55" s="1245"/>
      <c r="H55" s="1246"/>
      <c r="I55" s="110" t="s">
        <v>180</v>
      </c>
      <c r="J55" s="1247">
        <v>16169933.01</v>
      </c>
      <c r="K55" s="1248"/>
      <c r="L55" s="1249"/>
      <c r="M55" s="1250"/>
      <c r="N55" s="1249"/>
      <c r="O55" s="1250"/>
      <c r="P55" s="1251" t="s">
        <v>1892</v>
      </c>
      <c r="Q55" s="1250"/>
      <c r="R55" s="9"/>
      <c r="S55" s="45"/>
      <c r="T55" s="1247">
        <v>250000</v>
      </c>
      <c r="U55" s="1050"/>
      <c r="W55" s="1227">
        <v>250000</v>
      </c>
      <c r="X55" s="1058"/>
      <c r="Y55" s="45"/>
      <c r="Z55" s="124">
        <f t="shared" si="0"/>
        <v>0</v>
      </c>
    </row>
    <row r="56" spans="1:26" ht="13.5" x14ac:dyDescent="0.2">
      <c r="A56" s="9" t="s">
        <v>600</v>
      </c>
      <c r="B56" s="323">
        <v>45043</v>
      </c>
      <c r="C56" s="1244" t="s">
        <v>1550</v>
      </c>
      <c r="D56" s="1245"/>
      <c r="E56" s="1245"/>
      <c r="F56" s="1245"/>
      <c r="G56" s="1245"/>
      <c r="H56" s="1246"/>
      <c r="I56" s="110" t="s">
        <v>180</v>
      </c>
      <c r="J56" s="1247">
        <v>12613695</v>
      </c>
      <c r="K56" s="1248"/>
      <c r="L56" s="1249"/>
      <c r="M56" s="1250"/>
      <c r="N56" s="1249"/>
      <c r="O56" s="1250"/>
      <c r="P56" s="1251" t="s">
        <v>1893</v>
      </c>
      <c r="Q56" s="1250"/>
      <c r="R56" s="9"/>
      <c r="S56" s="45"/>
      <c r="T56" s="1247">
        <v>11200</v>
      </c>
      <c r="U56" s="1050"/>
      <c r="V56" s="45"/>
      <c r="W56" s="1227">
        <v>11200</v>
      </c>
      <c r="X56" s="1058"/>
      <c r="Y56" s="45"/>
      <c r="Z56" s="124">
        <f t="shared" si="0"/>
        <v>0</v>
      </c>
    </row>
    <row r="57" spans="1:26" ht="13.5" x14ac:dyDescent="0.2">
      <c r="A57" s="9" t="s">
        <v>601</v>
      </c>
      <c r="B57" s="323">
        <v>45043</v>
      </c>
      <c r="C57" s="1244" t="s">
        <v>1605</v>
      </c>
      <c r="D57" s="1245"/>
      <c r="E57" s="1245"/>
      <c r="F57" s="1245"/>
      <c r="G57" s="1245"/>
      <c r="H57" s="1246"/>
      <c r="I57" s="110" t="s">
        <v>180</v>
      </c>
      <c r="J57" s="1247">
        <v>8213750</v>
      </c>
      <c r="K57" s="1248"/>
      <c r="L57" s="1249"/>
      <c r="M57" s="1250"/>
      <c r="N57" s="1249"/>
      <c r="O57" s="1250"/>
      <c r="P57" s="1251" t="s">
        <v>1892</v>
      </c>
      <c r="Q57" s="1250"/>
      <c r="R57" s="9"/>
      <c r="S57" s="45"/>
      <c r="T57" s="1247">
        <v>4015.76</v>
      </c>
      <c r="U57" s="1050"/>
      <c r="V57" s="45"/>
      <c r="W57" s="1227">
        <v>4015.76</v>
      </c>
      <c r="X57" s="1058"/>
      <c r="Y57" s="45"/>
      <c r="Z57" s="124">
        <f t="shared" si="0"/>
        <v>0</v>
      </c>
    </row>
    <row r="58" spans="1:26" ht="13.5" x14ac:dyDescent="0.2">
      <c r="A58" s="9" t="s">
        <v>602</v>
      </c>
      <c r="B58" s="323">
        <v>45043</v>
      </c>
      <c r="C58" s="1244" t="s">
        <v>1520</v>
      </c>
      <c r="D58" s="1245"/>
      <c r="E58" s="1245"/>
      <c r="F58" s="1245"/>
      <c r="G58" s="1245"/>
      <c r="H58" s="1246"/>
      <c r="I58" s="110" t="s">
        <v>180</v>
      </c>
      <c r="J58" s="1247">
        <v>179394.88</v>
      </c>
      <c r="K58" s="1248"/>
      <c r="L58" s="1249"/>
      <c r="M58" s="1250"/>
      <c r="N58" s="1249"/>
      <c r="O58" s="1250"/>
      <c r="P58" s="1251" t="s">
        <v>1892</v>
      </c>
      <c r="Q58" s="1250"/>
      <c r="R58" s="9"/>
      <c r="S58" s="45"/>
      <c r="T58" s="1264">
        <v>3339892</v>
      </c>
      <c r="U58" s="1261"/>
      <c r="V58" s="45"/>
      <c r="W58" s="1227">
        <v>588564</v>
      </c>
      <c r="X58" s="1058"/>
      <c r="Y58" s="45"/>
      <c r="Z58" s="124">
        <f t="shared" si="0"/>
        <v>-2751328</v>
      </c>
    </row>
    <row r="59" spans="1:26" ht="13.5" x14ac:dyDescent="0.2">
      <c r="A59" s="9" t="s">
        <v>603</v>
      </c>
      <c r="B59" s="323">
        <v>45046</v>
      </c>
      <c r="C59" s="1244" t="s">
        <v>1568</v>
      </c>
      <c r="D59" s="1245"/>
      <c r="E59" s="1245"/>
      <c r="F59" s="1245"/>
      <c r="G59" s="1245"/>
      <c r="H59" s="1246"/>
      <c r="I59" s="110" t="s">
        <v>180</v>
      </c>
      <c r="J59" s="1247">
        <v>460000</v>
      </c>
      <c r="K59" s="1248"/>
      <c r="L59" s="1249"/>
      <c r="M59" s="1250"/>
      <c r="N59" s="1249"/>
      <c r="O59" s="1250"/>
      <c r="P59" s="1251" t="s">
        <v>1896</v>
      </c>
      <c r="Q59" s="1250"/>
      <c r="R59" s="9"/>
      <c r="S59" s="45"/>
      <c r="T59" s="1264">
        <v>24951</v>
      </c>
      <c r="U59" s="1261"/>
      <c r="V59" s="45"/>
      <c r="W59" s="1227">
        <v>22535</v>
      </c>
      <c r="X59" s="1058"/>
      <c r="Y59" s="45"/>
      <c r="Z59" s="124">
        <f t="shared" si="0"/>
        <v>-2416</v>
      </c>
    </row>
    <row r="60" spans="1:26" ht="13.5" x14ac:dyDescent="0.2">
      <c r="A60" s="9" t="s">
        <v>604</v>
      </c>
      <c r="B60" s="323">
        <v>45512</v>
      </c>
      <c r="C60" s="1244" t="s">
        <v>1555</v>
      </c>
      <c r="D60" s="1245"/>
      <c r="E60" s="1245"/>
      <c r="F60" s="1245"/>
      <c r="G60" s="1245"/>
      <c r="H60" s="1246"/>
      <c r="I60" s="110" t="s">
        <v>180</v>
      </c>
      <c r="J60" s="1247">
        <v>1000869.29684</v>
      </c>
      <c r="K60" s="1248"/>
      <c r="L60" s="1249"/>
      <c r="M60" s="1250"/>
      <c r="N60" s="1249"/>
      <c r="O60" s="1250"/>
      <c r="P60" s="1251" t="s">
        <v>1896</v>
      </c>
      <c r="Q60" s="1250"/>
      <c r="R60" s="9"/>
      <c r="S60" s="45"/>
      <c r="T60" s="1247">
        <f>168000*1.19</f>
        <v>199920</v>
      </c>
      <c r="U60" s="1050"/>
      <c r="V60" s="45"/>
      <c r="W60" s="1227">
        <f>168000*1.19</f>
        <v>199920</v>
      </c>
      <c r="X60" s="1058"/>
      <c r="Y60" s="45"/>
      <c r="Z60" s="124">
        <f t="shared" si="0"/>
        <v>0</v>
      </c>
    </row>
    <row r="61" spans="1:26" ht="13.5" x14ac:dyDescent="0.2">
      <c r="A61" s="9" t="s">
        <v>605</v>
      </c>
      <c r="B61" s="323">
        <v>45512</v>
      </c>
      <c r="C61" s="1244" t="s">
        <v>1560</v>
      </c>
      <c r="D61" s="1245"/>
      <c r="E61" s="1245"/>
      <c r="F61" s="1245"/>
      <c r="G61" s="1245"/>
      <c r="H61" s="1246"/>
      <c r="I61" s="110" t="s">
        <v>180</v>
      </c>
      <c r="J61" s="1247">
        <v>508123.06943999999</v>
      </c>
      <c r="K61" s="1248"/>
      <c r="L61" s="1249"/>
      <c r="M61" s="1250"/>
      <c r="N61" s="1249"/>
      <c r="O61" s="1250"/>
      <c r="P61" s="1251" t="s">
        <v>1896</v>
      </c>
      <c r="Q61" s="1250"/>
      <c r="R61" s="9"/>
      <c r="S61" s="45"/>
      <c r="T61" s="1247">
        <f>350000*1.19</f>
        <v>416500</v>
      </c>
      <c r="U61" s="1050"/>
      <c r="V61" s="45"/>
      <c r="W61" s="1227">
        <f>350000*1.19</f>
        <v>416500</v>
      </c>
      <c r="X61" s="1058"/>
      <c r="Y61" s="45"/>
      <c r="Z61" s="124">
        <f t="shared" si="0"/>
        <v>0</v>
      </c>
    </row>
    <row r="62" spans="1:26" ht="28.5" customHeight="1" x14ac:dyDescent="0.2">
      <c r="A62" s="9" t="s">
        <v>606</v>
      </c>
      <c r="B62" s="323">
        <v>45512</v>
      </c>
      <c r="C62" s="919" t="s">
        <v>1549</v>
      </c>
      <c r="D62" s="1274"/>
      <c r="E62" s="1274"/>
      <c r="F62" s="1274"/>
      <c r="G62" s="1274"/>
      <c r="H62" s="1275"/>
      <c r="I62" s="110" t="s">
        <v>180</v>
      </c>
      <c r="J62" s="1247">
        <v>111860</v>
      </c>
      <c r="K62" s="1248"/>
      <c r="L62" s="1249"/>
      <c r="M62" s="1250"/>
      <c r="N62" s="1249"/>
      <c r="O62" s="1250"/>
      <c r="P62" s="1251" t="s">
        <v>1895</v>
      </c>
      <c r="Q62" s="1250"/>
      <c r="R62" s="9"/>
      <c r="S62" s="45"/>
      <c r="T62" s="1264">
        <v>502447</v>
      </c>
      <c r="U62" s="1261"/>
      <c r="V62" s="45"/>
      <c r="W62" s="1227">
        <f>322000*1.19</f>
        <v>383180</v>
      </c>
      <c r="X62" s="1058"/>
      <c r="Y62" s="45"/>
      <c r="Z62" s="124">
        <f t="shared" si="0"/>
        <v>-119267</v>
      </c>
    </row>
    <row r="63" spans="1:26" ht="13.5" x14ac:dyDescent="0.2">
      <c r="A63" s="9" t="s">
        <v>607</v>
      </c>
      <c r="B63" s="324">
        <v>45541</v>
      </c>
      <c r="C63" s="1244" t="s">
        <v>388</v>
      </c>
      <c r="D63" s="1245"/>
      <c r="E63" s="1245"/>
      <c r="F63" s="1245"/>
      <c r="G63" s="1245"/>
      <c r="H63" s="1246"/>
      <c r="I63" s="110" t="s">
        <v>475</v>
      </c>
      <c r="J63" s="1247">
        <v>94900</v>
      </c>
      <c r="K63" s="1248"/>
      <c r="L63" s="1249"/>
      <c r="M63" s="1250"/>
      <c r="N63" s="1249"/>
      <c r="O63" s="1250"/>
      <c r="P63" s="1251" t="s">
        <v>1884</v>
      </c>
      <c r="Q63" s="1250"/>
      <c r="R63" s="9"/>
      <c r="S63" s="45"/>
      <c r="T63" s="1247">
        <v>564000</v>
      </c>
      <c r="U63" s="1050"/>
      <c r="V63" s="45"/>
      <c r="W63" s="1227">
        <v>564000</v>
      </c>
      <c r="X63" s="1058"/>
      <c r="Y63" s="45"/>
      <c r="Z63" s="124">
        <f t="shared" si="0"/>
        <v>0</v>
      </c>
    </row>
    <row r="64" spans="1:26" ht="13.5" x14ac:dyDescent="0.2">
      <c r="A64" s="9" t="s">
        <v>608</v>
      </c>
      <c r="B64" s="324">
        <v>45541</v>
      </c>
      <c r="C64" s="1244" t="s">
        <v>436</v>
      </c>
      <c r="D64" s="1245"/>
      <c r="E64" s="1245"/>
      <c r="F64" s="1245"/>
      <c r="G64" s="1245"/>
      <c r="H64" s="1246"/>
      <c r="I64" s="110" t="s">
        <v>180</v>
      </c>
      <c r="J64" s="1247">
        <v>15900</v>
      </c>
      <c r="K64" s="1248"/>
      <c r="L64" s="1249"/>
      <c r="M64" s="1250"/>
      <c r="N64" s="1249"/>
      <c r="O64" s="1250"/>
      <c r="P64" s="1251" t="s">
        <v>1884</v>
      </c>
      <c r="Q64" s="1250"/>
      <c r="R64" s="9"/>
      <c r="S64" s="45"/>
      <c r="T64" s="1247">
        <v>886000</v>
      </c>
      <c r="U64" s="1050"/>
      <c r="V64" s="45"/>
      <c r="W64" s="1227">
        <v>886000</v>
      </c>
      <c r="X64" s="1058"/>
      <c r="Y64" s="45"/>
      <c r="Z64" s="124">
        <f t="shared" si="0"/>
        <v>0</v>
      </c>
    </row>
    <row r="65" spans="1:26" ht="13.5" x14ac:dyDescent="0.2">
      <c r="A65" s="9" t="s">
        <v>609</v>
      </c>
      <c r="B65" s="323">
        <v>45512</v>
      </c>
      <c r="C65" s="1244" t="s">
        <v>1586</v>
      </c>
      <c r="D65" s="1245"/>
      <c r="E65" s="1245"/>
      <c r="F65" s="1245"/>
      <c r="G65" s="1245"/>
      <c r="H65" s="1246"/>
      <c r="I65" s="9" t="s">
        <v>180</v>
      </c>
      <c r="J65" s="1247">
        <v>95900</v>
      </c>
      <c r="K65" s="1248"/>
      <c r="L65" s="1249"/>
      <c r="M65" s="1250"/>
      <c r="N65" s="1249"/>
      <c r="O65" s="1250"/>
      <c r="P65" s="1251" t="s">
        <v>1884</v>
      </c>
      <c r="Q65" s="1250"/>
      <c r="R65" s="9"/>
      <c r="S65" s="45"/>
      <c r="T65" s="1247">
        <f>((168000*0.25)/0.5)*1.19</f>
        <v>99960</v>
      </c>
      <c r="U65" s="1050"/>
      <c r="V65" s="45"/>
      <c r="W65" s="1227">
        <f>((168000*0.25)/0.5)*1.19</f>
        <v>99960</v>
      </c>
      <c r="X65" s="1058"/>
      <c r="Y65" s="45"/>
      <c r="Z65" s="124">
        <f t="shared" si="0"/>
        <v>0</v>
      </c>
    </row>
    <row r="66" spans="1:26" ht="13.5" x14ac:dyDescent="0.2">
      <c r="A66" s="9" t="s">
        <v>610</v>
      </c>
      <c r="B66" s="323">
        <v>45513</v>
      </c>
      <c r="C66" s="1244" t="s">
        <v>1503</v>
      </c>
      <c r="D66" s="1245"/>
      <c r="E66" s="1245"/>
      <c r="F66" s="1245"/>
      <c r="G66" s="1245"/>
      <c r="H66" s="1246"/>
      <c r="I66" s="110" t="s">
        <v>577</v>
      </c>
      <c r="J66" s="1247">
        <v>5100</v>
      </c>
      <c r="K66" s="1248"/>
      <c r="L66" s="1249"/>
      <c r="M66" s="1250"/>
      <c r="N66" s="1249"/>
      <c r="O66" s="1250"/>
      <c r="P66" s="1251" t="s">
        <v>1884</v>
      </c>
      <c r="Q66" s="1265"/>
      <c r="R66" s="9"/>
      <c r="S66" s="45"/>
      <c r="T66" s="1264">
        <v>52395</v>
      </c>
      <c r="U66" s="1261"/>
      <c r="W66" s="1227">
        <f>280543/6</f>
        <v>46757.166666666664</v>
      </c>
      <c r="X66" s="1058"/>
      <c r="Y66" s="45"/>
      <c r="Z66" s="124">
        <f t="shared" si="0"/>
        <v>-5637.8333333333358</v>
      </c>
    </row>
    <row r="67" spans="1:26" ht="13.5" x14ac:dyDescent="0.2">
      <c r="A67" s="9" t="s">
        <v>1919</v>
      </c>
      <c r="B67" s="323">
        <v>45513</v>
      </c>
      <c r="C67" s="1244" t="s">
        <v>1587</v>
      </c>
      <c r="D67" s="1245"/>
      <c r="E67" s="1245"/>
      <c r="F67" s="1245"/>
      <c r="G67" s="1245"/>
      <c r="H67" s="1246"/>
      <c r="I67" s="110" t="s">
        <v>474</v>
      </c>
      <c r="J67" s="1247">
        <v>83300</v>
      </c>
      <c r="K67" s="1248"/>
      <c r="L67" s="1249"/>
      <c r="M67" s="1250"/>
      <c r="N67" s="1249"/>
      <c r="O67" s="1250"/>
      <c r="P67" s="1251" t="s">
        <v>1885</v>
      </c>
      <c r="Q67" s="1266"/>
      <c r="R67" s="9"/>
      <c r="S67" s="45"/>
      <c r="T67" s="1264">
        <v>89166</v>
      </c>
      <c r="U67" s="1261"/>
      <c r="W67" s="1257">
        <f>354442/6</f>
        <v>59073.666666666664</v>
      </c>
      <c r="X67" s="1058"/>
      <c r="Y67" s="45"/>
      <c r="Z67" s="124">
        <f t="shared" si="0"/>
        <v>-30092.333333333336</v>
      </c>
    </row>
    <row r="68" spans="1:26" ht="13.5" x14ac:dyDescent="0.2">
      <c r="A68" s="9" t="s">
        <v>1920</v>
      </c>
      <c r="B68" s="323">
        <v>45527</v>
      </c>
      <c r="C68" s="1244" t="s">
        <v>422</v>
      </c>
      <c r="D68" s="1245"/>
      <c r="E68" s="1245"/>
      <c r="F68" s="1245"/>
      <c r="G68" s="1245"/>
      <c r="H68" s="1246"/>
      <c r="I68" s="110" t="s">
        <v>474</v>
      </c>
      <c r="J68" s="1247">
        <v>47600</v>
      </c>
      <c r="K68" s="1248"/>
      <c r="L68" s="1249"/>
      <c r="M68" s="1250"/>
      <c r="N68" s="1249"/>
      <c r="O68" s="1250"/>
      <c r="P68" s="1251" t="s">
        <v>1885</v>
      </c>
      <c r="Q68" s="1250"/>
      <c r="R68" s="9"/>
      <c r="S68" s="45"/>
      <c r="T68" s="1264">
        <v>4790</v>
      </c>
      <c r="U68" s="1261"/>
      <c r="V68" s="45"/>
      <c r="W68" s="1227">
        <v>3200</v>
      </c>
      <c r="X68" s="1058"/>
      <c r="Y68" s="45"/>
      <c r="Z68" s="124">
        <f t="shared" si="0"/>
        <v>-1590</v>
      </c>
    </row>
    <row r="69" spans="1:26" ht="13.5" x14ac:dyDescent="0.2">
      <c r="A69" s="9" t="s">
        <v>1921</v>
      </c>
      <c r="B69" s="323"/>
      <c r="C69" s="1244" t="s">
        <v>1531</v>
      </c>
      <c r="D69" s="1245"/>
      <c r="E69" s="1245"/>
      <c r="F69" s="1245"/>
      <c r="G69" s="1245"/>
      <c r="H69" s="1246"/>
      <c r="I69" s="110" t="s">
        <v>180</v>
      </c>
      <c r="J69" s="1247">
        <v>403249</v>
      </c>
      <c r="K69" s="1248"/>
      <c r="L69" s="1249"/>
      <c r="M69" s="1250"/>
      <c r="N69" s="1249"/>
      <c r="O69" s="1250"/>
      <c r="P69" s="1251" t="s">
        <v>1892</v>
      </c>
      <c r="Q69" s="1250"/>
      <c r="R69" s="9"/>
      <c r="S69" s="45"/>
      <c r="T69" s="134"/>
      <c r="U69" s="132"/>
      <c r="V69" s="45"/>
      <c r="W69" s="140"/>
      <c r="X69" s="131"/>
      <c r="Y69" s="45"/>
      <c r="Z69" s="124"/>
    </row>
    <row r="70" spans="1:26" ht="13.5" x14ac:dyDescent="0.2">
      <c r="A70" s="9" t="s">
        <v>611</v>
      </c>
      <c r="B70" s="323">
        <v>45541</v>
      </c>
      <c r="C70" s="1244" t="s">
        <v>1541</v>
      </c>
      <c r="D70" s="1245"/>
      <c r="E70" s="1245"/>
      <c r="F70" s="1245"/>
      <c r="G70" s="1245"/>
      <c r="H70" s="1246"/>
      <c r="I70" s="110" t="s">
        <v>180</v>
      </c>
      <c r="J70" s="1247">
        <v>333002</v>
      </c>
      <c r="K70" s="1248"/>
      <c r="L70" s="1249"/>
      <c r="M70" s="1250"/>
      <c r="N70" s="1249"/>
      <c r="O70" s="1250"/>
      <c r="P70" s="1251" t="s">
        <v>1887</v>
      </c>
      <c r="Q70" s="1250"/>
      <c r="R70" s="9"/>
      <c r="S70" s="45"/>
      <c r="T70" s="1247">
        <v>1000</v>
      </c>
      <c r="U70" s="1050"/>
      <c r="V70" s="45"/>
      <c r="W70" s="1227">
        <v>1000</v>
      </c>
      <c r="X70" s="1058"/>
      <c r="Y70" s="45"/>
      <c r="Z70" s="124">
        <f t="shared" si="0"/>
        <v>0</v>
      </c>
    </row>
    <row r="71" spans="1:26" ht="13.5" x14ac:dyDescent="0.2">
      <c r="A71" s="9" t="s">
        <v>612</v>
      </c>
      <c r="B71" s="323">
        <v>45047</v>
      </c>
      <c r="C71" s="1244" t="s">
        <v>1527</v>
      </c>
      <c r="D71" s="1245"/>
      <c r="E71" s="1245"/>
      <c r="F71" s="1245"/>
      <c r="G71" s="1245"/>
      <c r="H71" s="1246"/>
      <c r="I71" s="110" t="s">
        <v>180</v>
      </c>
      <c r="J71" s="1247">
        <v>3032266</v>
      </c>
      <c r="K71" s="1248"/>
      <c r="L71" s="1249"/>
      <c r="M71" s="1250"/>
      <c r="N71" s="1249"/>
      <c r="O71" s="1250"/>
      <c r="P71" s="1251" t="s">
        <v>1892</v>
      </c>
      <c r="Q71" s="1250"/>
      <c r="R71" s="9"/>
      <c r="S71" s="45"/>
      <c r="T71" s="1247">
        <v>132.03</v>
      </c>
      <c r="U71" s="1050"/>
      <c r="V71" s="45"/>
      <c r="W71" s="1227">
        <v>132.03</v>
      </c>
      <c r="X71" s="1058"/>
      <c r="Y71" s="45"/>
      <c r="Z71" s="124">
        <f t="shared" si="0"/>
        <v>0</v>
      </c>
    </row>
    <row r="72" spans="1:26" ht="13.5" x14ac:dyDescent="0.2">
      <c r="A72" s="9" t="s">
        <v>613</v>
      </c>
      <c r="B72" s="323">
        <v>45047</v>
      </c>
      <c r="C72" s="1244" t="s">
        <v>1518</v>
      </c>
      <c r="D72" s="1245"/>
      <c r="E72" s="1245"/>
      <c r="F72" s="1245"/>
      <c r="G72" s="1245"/>
      <c r="H72" s="1246"/>
      <c r="I72" s="110" t="s">
        <v>180</v>
      </c>
      <c r="J72" s="1247">
        <v>30702</v>
      </c>
      <c r="K72" s="1248"/>
      <c r="L72" s="1249"/>
      <c r="M72" s="1250"/>
      <c r="N72" s="1249"/>
      <c r="O72" s="1250"/>
      <c r="P72" s="1251" t="s">
        <v>1892</v>
      </c>
      <c r="Q72" s="1250"/>
      <c r="R72" s="9"/>
      <c r="S72" s="45"/>
      <c r="T72" s="1247">
        <f>65000/6</f>
        <v>10833.333333333334</v>
      </c>
      <c r="U72" s="1050"/>
      <c r="V72" s="45"/>
      <c r="W72" s="1227">
        <f>65000/6</f>
        <v>10833.333333333334</v>
      </c>
      <c r="X72" s="1058"/>
      <c r="Y72" s="45"/>
      <c r="Z72" s="124">
        <f t="shared" ref="Z72:Z119" si="1">+W72-T72</f>
        <v>0</v>
      </c>
    </row>
    <row r="73" spans="1:26" ht="13.5" x14ac:dyDescent="0.2">
      <c r="A73" s="9" t="s">
        <v>614</v>
      </c>
      <c r="B73" s="323">
        <v>45047</v>
      </c>
      <c r="C73" s="1244" t="s">
        <v>1517</v>
      </c>
      <c r="D73" s="1245"/>
      <c r="E73" s="1245"/>
      <c r="F73" s="1245"/>
      <c r="G73" s="1245"/>
      <c r="H73" s="1246"/>
      <c r="I73" s="9" t="s">
        <v>180</v>
      </c>
      <c r="J73" s="1247">
        <v>35700</v>
      </c>
      <c r="K73" s="1248"/>
      <c r="L73" s="1249"/>
      <c r="M73" s="1250"/>
      <c r="N73" s="1249"/>
      <c r="O73" s="1250"/>
      <c r="P73" s="1251" t="s">
        <v>1892</v>
      </c>
      <c r="Q73" s="1250"/>
      <c r="R73" s="9"/>
      <c r="S73" s="45"/>
      <c r="T73" s="1247">
        <v>422.48</v>
      </c>
      <c r="U73" s="1050"/>
      <c r="V73" s="45"/>
      <c r="W73" s="1227">
        <v>422.48</v>
      </c>
      <c r="X73" s="1058"/>
      <c r="Y73" s="45"/>
      <c r="Z73" s="124">
        <f t="shared" si="1"/>
        <v>0</v>
      </c>
    </row>
    <row r="74" spans="1:26" ht="13.5" x14ac:dyDescent="0.2">
      <c r="A74" s="9" t="s">
        <v>615</v>
      </c>
      <c r="B74" s="323">
        <v>45047</v>
      </c>
      <c r="C74" s="1244" t="s">
        <v>1600</v>
      </c>
      <c r="D74" s="1245"/>
      <c r="E74" s="1245"/>
      <c r="F74" s="1245"/>
      <c r="G74" s="1245"/>
      <c r="H74" s="1246"/>
      <c r="I74" s="110" t="s">
        <v>9</v>
      </c>
      <c r="J74" s="1247">
        <v>11300.274149970919</v>
      </c>
      <c r="K74" s="1248"/>
      <c r="L74" s="1249"/>
      <c r="M74" s="1250"/>
      <c r="N74" s="1249"/>
      <c r="O74" s="1250"/>
      <c r="P74" s="1251" t="s">
        <v>1897</v>
      </c>
      <c r="Q74" s="1250"/>
      <c r="R74" s="9"/>
      <c r="S74" s="45"/>
      <c r="T74" s="1247">
        <v>485.85</v>
      </c>
      <c r="U74" s="1050"/>
      <c r="V74" s="45"/>
      <c r="W74" s="1227">
        <v>485.85</v>
      </c>
      <c r="X74" s="1058"/>
      <c r="Y74" s="45"/>
      <c r="Z74" s="124">
        <f t="shared" si="1"/>
        <v>0</v>
      </c>
    </row>
    <row r="75" spans="1:26" ht="13.5" x14ac:dyDescent="0.2">
      <c r="A75" s="9" t="s">
        <v>616</v>
      </c>
      <c r="B75" s="323">
        <v>45513</v>
      </c>
      <c r="C75" s="1244" t="s">
        <v>1591</v>
      </c>
      <c r="D75" s="1245"/>
      <c r="E75" s="1245"/>
      <c r="F75" s="1245"/>
      <c r="G75" s="1245"/>
      <c r="H75" s="1246"/>
      <c r="I75" s="110" t="s">
        <v>20</v>
      </c>
      <c r="J75" s="1247">
        <v>26596.5</v>
      </c>
      <c r="K75" s="1248"/>
      <c r="L75" s="1249"/>
      <c r="M75" s="1250"/>
      <c r="N75" s="1249"/>
      <c r="O75" s="1250"/>
      <c r="P75" s="1251" t="s">
        <v>1905</v>
      </c>
      <c r="Q75" s="1250"/>
      <c r="R75" s="9"/>
      <c r="S75" s="45"/>
      <c r="T75" s="1264">
        <v>1176728</v>
      </c>
      <c r="U75" s="1261"/>
      <c r="V75" s="45"/>
      <c r="W75" s="1227">
        <v>128248</v>
      </c>
      <c r="X75" s="1058"/>
      <c r="Y75" s="45"/>
      <c r="Z75" s="124">
        <f t="shared" si="1"/>
        <v>-1048480</v>
      </c>
    </row>
    <row r="76" spans="1:26" ht="13.5" x14ac:dyDescent="0.2">
      <c r="A76" s="9" t="s">
        <v>617</v>
      </c>
      <c r="B76" s="323">
        <v>45048</v>
      </c>
      <c r="C76" s="1244" t="s">
        <v>1513</v>
      </c>
      <c r="D76" s="1245"/>
      <c r="E76" s="1245"/>
      <c r="F76" s="1245"/>
      <c r="G76" s="1245"/>
      <c r="H76" s="1246"/>
      <c r="I76" s="110" t="s">
        <v>9</v>
      </c>
      <c r="J76" s="1247">
        <v>90000</v>
      </c>
      <c r="K76" s="1248"/>
      <c r="L76" s="1249"/>
      <c r="M76" s="1250"/>
      <c r="N76" s="1249"/>
      <c r="O76" s="1250"/>
      <c r="P76" s="1251" t="s">
        <v>1889</v>
      </c>
      <c r="Q76" s="1250"/>
      <c r="R76" s="9"/>
      <c r="S76" s="45"/>
      <c r="T76" s="1247">
        <v>662205.71</v>
      </c>
      <c r="U76" s="1050"/>
      <c r="V76" s="45"/>
      <c r="W76" s="1227">
        <v>662205.71</v>
      </c>
      <c r="X76" s="1058"/>
      <c r="Y76" s="45"/>
      <c r="Z76" s="124">
        <f t="shared" si="1"/>
        <v>0</v>
      </c>
    </row>
    <row r="77" spans="1:26" ht="13.5" x14ac:dyDescent="0.2">
      <c r="A77" s="9" t="s">
        <v>618</v>
      </c>
      <c r="B77" s="323">
        <v>45048</v>
      </c>
      <c r="C77" s="1244" t="s">
        <v>1509</v>
      </c>
      <c r="D77" s="1245"/>
      <c r="E77" s="1245"/>
      <c r="F77" s="1245"/>
      <c r="G77" s="1245"/>
      <c r="H77" s="1246"/>
      <c r="I77" s="110" t="s">
        <v>9</v>
      </c>
      <c r="J77" s="1247">
        <v>40673</v>
      </c>
      <c r="K77" s="1248"/>
      <c r="L77" s="1249"/>
      <c r="M77" s="1250"/>
      <c r="N77" s="1249"/>
      <c r="O77" s="1250"/>
      <c r="P77" s="1251" t="s">
        <v>1889</v>
      </c>
      <c r="Q77" s="1250"/>
      <c r="R77" s="9"/>
      <c r="S77" s="45"/>
      <c r="T77" s="1247">
        <v>276410.71000000002</v>
      </c>
      <c r="U77" s="1050"/>
      <c r="V77" s="45"/>
      <c r="W77" s="1227">
        <v>276410.71000000002</v>
      </c>
      <c r="X77" s="1058"/>
      <c r="Y77" s="45"/>
      <c r="Z77" s="124">
        <f t="shared" si="1"/>
        <v>0</v>
      </c>
    </row>
    <row r="78" spans="1:26" ht="13.5" x14ac:dyDescent="0.2">
      <c r="A78" s="9" t="s">
        <v>619</v>
      </c>
      <c r="B78" s="323">
        <v>45541</v>
      </c>
      <c r="C78" s="1244" t="s">
        <v>1511</v>
      </c>
      <c r="D78" s="1245"/>
      <c r="E78" s="1245"/>
      <c r="F78" s="1245"/>
      <c r="G78" s="1245"/>
      <c r="H78" s="1246"/>
      <c r="I78" s="110" t="s">
        <v>180</v>
      </c>
      <c r="J78" s="1247">
        <v>60000</v>
      </c>
      <c r="K78" s="1248"/>
      <c r="L78" s="1249"/>
      <c r="M78" s="1250"/>
      <c r="N78" s="1249"/>
      <c r="O78" s="1250"/>
      <c r="P78" s="1251" t="s">
        <v>1889</v>
      </c>
      <c r="Q78" s="1250"/>
      <c r="R78" s="9"/>
      <c r="S78" s="45"/>
      <c r="T78" s="1247">
        <f>1000*1.19</f>
        <v>1190</v>
      </c>
      <c r="U78" s="1050"/>
      <c r="V78" s="45"/>
      <c r="W78" s="1227">
        <f>1000*1.19</f>
        <v>1190</v>
      </c>
      <c r="X78" s="1058"/>
      <c r="Y78" s="45"/>
      <c r="Z78" s="124">
        <f t="shared" si="1"/>
        <v>0</v>
      </c>
    </row>
    <row r="79" spans="1:26" ht="13.5" x14ac:dyDescent="0.2">
      <c r="A79" s="9" t="s">
        <v>620</v>
      </c>
      <c r="B79" s="323">
        <v>45539</v>
      </c>
      <c r="C79" s="1244" t="s">
        <v>1603</v>
      </c>
      <c r="D79" s="1245"/>
      <c r="E79" s="1245"/>
      <c r="F79" s="1245"/>
      <c r="G79" s="1245"/>
      <c r="H79" s="1246"/>
      <c r="I79" s="110" t="s">
        <v>1501</v>
      </c>
      <c r="J79" s="1247">
        <v>8539</v>
      </c>
      <c r="K79" s="1248"/>
      <c r="L79" s="1249"/>
      <c r="M79" s="1250"/>
      <c r="N79" s="1249"/>
      <c r="O79" s="1250"/>
      <c r="P79" s="1251" t="s">
        <v>859</v>
      </c>
      <c r="Q79" s="1265"/>
      <c r="R79" s="9"/>
      <c r="S79" s="45"/>
      <c r="T79" s="1247">
        <f>56900/2.3</f>
        <v>24739.130434782612</v>
      </c>
      <c r="U79" s="1050"/>
      <c r="W79" s="1227">
        <f>56900/2.3</f>
        <v>24739.130434782612</v>
      </c>
      <c r="X79" s="1058"/>
      <c r="Y79" s="45"/>
      <c r="Z79" s="124">
        <f t="shared" si="1"/>
        <v>0</v>
      </c>
    </row>
    <row r="80" spans="1:26" ht="13.5" x14ac:dyDescent="0.2">
      <c r="A80" s="9" t="s">
        <v>1922</v>
      </c>
      <c r="B80" s="323">
        <v>45527</v>
      </c>
      <c r="C80" s="1244" t="s">
        <v>1597</v>
      </c>
      <c r="D80" s="1245"/>
      <c r="E80" s="1245"/>
      <c r="F80" s="1245"/>
      <c r="G80" s="1245"/>
      <c r="H80" s="1246"/>
      <c r="I80" s="110" t="s">
        <v>180</v>
      </c>
      <c r="J80" s="1247">
        <v>9321.6666666666624</v>
      </c>
      <c r="K80" s="1248"/>
      <c r="L80" s="1249"/>
      <c r="M80" s="1250"/>
      <c r="N80" s="1249"/>
      <c r="O80" s="1250"/>
      <c r="P80" s="1251" t="s">
        <v>1906</v>
      </c>
      <c r="Q80" s="1250"/>
      <c r="R80" s="9"/>
      <c r="S80" s="45"/>
      <c r="T80" s="1247">
        <v>8000</v>
      </c>
      <c r="U80" s="1050"/>
      <c r="W80" s="1227">
        <v>8000</v>
      </c>
      <c r="X80" s="1058"/>
      <c r="Y80" s="45"/>
      <c r="Z80" s="124">
        <f t="shared" si="1"/>
        <v>0</v>
      </c>
    </row>
    <row r="81" spans="1:26" ht="13.5" x14ac:dyDescent="0.2">
      <c r="A81" s="9" t="s">
        <v>1923</v>
      </c>
      <c r="B81" s="323">
        <v>45050</v>
      </c>
      <c r="C81" s="1244" t="s">
        <v>1583</v>
      </c>
      <c r="D81" s="1245"/>
      <c r="E81" s="1245"/>
      <c r="F81" s="1245"/>
      <c r="G81" s="1245"/>
      <c r="H81" s="1246"/>
      <c r="I81" s="9" t="s">
        <v>551</v>
      </c>
      <c r="J81" s="1247">
        <v>13000</v>
      </c>
      <c r="K81" s="1248"/>
      <c r="L81" s="1249"/>
      <c r="M81" s="1250"/>
      <c r="N81" s="1249"/>
      <c r="O81" s="1250"/>
      <c r="P81" s="1251" t="s">
        <v>1902</v>
      </c>
      <c r="Q81" s="1250"/>
      <c r="R81" s="9"/>
      <c r="S81" s="45"/>
      <c r="T81" s="1264">
        <v>1386112</v>
      </c>
      <c r="U81" s="1261"/>
      <c r="W81" s="1227">
        <v>549541.86</v>
      </c>
      <c r="X81" s="1058"/>
      <c r="Y81" s="45"/>
      <c r="Z81" s="124">
        <f t="shared" si="1"/>
        <v>-836570.14</v>
      </c>
    </row>
    <row r="82" spans="1:26" ht="13.5" x14ac:dyDescent="0.2">
      <c r="A82" s="9" t="s">
        <v>1924</v>
      </c>
      <c r="B82" s="323">
        <v>45527</v>
      </c>
      <c r="C82" s="1244" t="s">
        <v>1563</v>
      </c>
      <c r="D82" s="1245"/>
      <c r="E82" s="1245"/>
      <c r="F82" s="1245"/>
      <c r="G82" s="1245"/>
      <c r="H82" s="1246"/>
      <c r="I82" s="9" t="s">
        <v>180</v>
      </c>
      <c r="J82" s="1247">
        <v>110075</v>
      </c>
      <c r="K82" s="1248"/>
      <c r="L82" s="1249"/>
      <c r="M82" s="1250"/>
      <c r="N82" s="1249"/>
      <c r="O82" s="1250"/>
      <c r="P82" s="1251" t="s">
        <v>1420</v>
      </c>
      <c r="Q82" s="1250"/>
      <c r="R82" s="9"/>
      <c r="S82" s="45"/>
      <c r="T82" s="1247">
        <v>32000</v>
      </c>
      <c r="U82" s="1050"/>
      <c r="V82" s="45"/>
      <c r="W82" s="1227">
        <v>32000</v>
      </c>
      <c r="X82" s="1058"/>
      <c r="Y82" s="45"/>
      <c r="Z82" s="124">
        <f t="shared" si="1"/>
        <v>0</v>
      </c>
    </row>
    <row r="83" spans="1:26" ht="13.5" x14ac:dyDescent="0.2">
      <c r="A83" s="9" t="s">
        <v>1925</v>
      </c>
      <c r="B83" s="323">
        <v>45532</v>
      </c>
      <c r="C83" s="1244" t="s">
        <v>1538</v>
      </c>
      <c r="D83" s="1245"/>
      <c r="E83" s="1245"/>
      <c r="F83" s="1245"/>
      <c r="G83" s="1245"/>
      <c r="H83" s="1246"/>
      <c r="I83" s="9" t="s">
        <v>180</v>
      </c>
      <c r="J83" s="1247">
        <v>364140</v>
      </c>
      <c r="K83" s="1248"/>
      <c r="L83" s="1249"/>
      <c r="M83" s="1250"/>
      <c r="N83" s="1249"/>
      <c r="O83" s="1250"/>
      <c r="P83" s="1251" t="s">
        <v>860</v>
      </c>
      <c r="Q83" s="1250"/>
      <c r="R83" s="9"/>
      <c r="S83" s="45"/>
      <c r="T83" s="1247">
        <v>24000</v>
      </c>
      <c r="U83" s="1050"/>
      <c r="V83" s="45"/>
      <c r="W83" s="1227">
        <v>24000</v>
      </c>
      <c r="X83" s="1058"/>
      <c r="Y83" s="45"/>
      <c r="Z83" s="124">
        <f t="shared" si="1"/>
        <v>0</v>
      </c>
    </row>
    <row r="84" spans="1:26" ht="13.5" x14ac:dyDescent="0.2">
      <c r="A84" s="9" t="s">
        <v>1926</v>
      </c>
      <c r="B84" s="323">
        <v>45541</v>
      </c>
      <c r="C84" s="1244" t="s">
        <v>1539</v>
      </c>
      <c r="D84" s="1245"/>
      <c r="E84" s="1245"/>
      <c r="F84" s="1245"/>
      <c r="G84" s="1245"/>
      <c r="H84" s="1246"/>
      <c r="I84" s="110" t="s">
        <v>180</v>
      </c>
      <c r="J84" s="1247">
        <v>330120</v>
      </c>
      <c r="K84" s="1248"/>
      <c r="L84" s="1249"/>
      <c r="M84" s="1250"/>
      <c r="N84" s="1249"/>
      <c r="O84" s="1250"/>
      <c r="P84" s="1251" t="s">
        <v>1895</v>
      </c>
      <c r="Q84" s="1250"/>
      <c r="R84" s="9"/>
      <c r="S84" s="45"/>
      <c r="T84" s="1247">
        <v>6900</v>
      </c>
      <c r="U84" s="1050"/>
      <c r="V84" s="45"/>
      <c r="W84" s="1227">
        <v>6900</v>
      </c>
      <c r="X84" s="1058"/>
      <c r="Y84" s="45"/>
      <c r="Z84" s="124">
        <f t="shared" si="1"/>
        <v>0</v>
      </c>
    </row>
    <row r="85" spans="1:26" ht="13.5" x14ac:dyDescent="0.2">
      <c r="A85" s="9" t="s">
        <v>621</v>
      </c>
      <c r="B85" s="323">
        <v>45527</v>
      </c>
      <c r="C85" s="1244" t="s">
        <v>1534</v>
      </c>
      <c r="D85" s="1245"/>
      <c r="E85" s="1245"/>
      <c r="F85" s="1245"/>
      <c r="G85" s="1245"/>
      <c r="H85" s="1246"/>
      <c r="I85" s="110" t="s">
        <v>180</v>
      </c>
      <c r="J85" s="1247">
        <v>91073</v>
      </c>
      <c r="K85" s="1248"/>
      <c r="L85" s="1249"/>
      <c r="M85" s="1250"/>
      <c r="N85" s="1249"/>
      <c r="O85" s="1250"/>
      <c r="P85" s="1251" t="s">
        <v>1887</v>
      </c>
      <c r="Q85" s="1250"/>
      <c r="R85" s="9"/>
      <c r="S85" s="45"/>
      <c r="T85" s="1247">
        <f>25000*1.19</f>
        <v>29750</v>
      </c>
      <c r="U85" s="1050"/>
      <c r="V85" s="45"/>
      <c r="W85" s="1227">
        <f>25000*1.19</f>
        <v>29750</v>
      </c>
      <c r="X85" s="1058"/>
      <c r="Y85" s="45"/>
      <c r="Z85" s="124">
        <f t="shared" si="1"/>
        <v>0</v>
      </c>
    </row>
    <row r="86" spans="1:26" ht="13.5" x14ac:dyDescent="0.2">
      <c r="A86" s="9" t="s">
        <v>622</v>
      </c>
      <c r="B86" s="323">
        <v>45540</v>
      </c>
      <c r="C86" s="1244" t="s">
        <v>1574</v>
      </c>
      <c r="D86" s="1245"/>
      <c r="E86" s="1245"/>
      <c r="F86" s="1245"/>
      <c r="G86" s="1245"/>
      <c r="H86" s="1246"/>
      <c r="I86" s="110" t="s">
        <v>180</v>
      </c>
      <c r="J86" s="1247">
        <v>183560</v>
      </c>
      <c r="K86" s="1248"/>
      <c r="L86" s="1249"/>
      <c r="M86" s="1250"/>
      <c r="N86" s="1249"/>
      <c r="O86" s="1250"/>
      <c r="P86" s="1251" t="s">
        <v>1898</v>
      </c>
      <c r="Q86" s="1250"/>
      <c r="R86" s="9"/>
      <c r="S86" s="45"/>
      <c r="T86" s="1247">
        <f>101150</f>
        <v>101150</v>
      </c>
      <c r="U86" s="1050"/>
      <c r="V86" s="45"/>
      <c r="W86" s="1227">
        <f>101150</f>
        <v>101150</v>
      </c>
      <c r="X86" s="1058"/>
      <c r="Y86" s="45"/>
      <c r="Z86" s="124">
        <f t="shared" si="1"/>
        <v>0</v>
      </c>
    </row>
    <row r="87" spans="1:26" ht="13.5" x14ac:dyDescent="0.2">
      <c r="A87" s="9" t="s">
        <v>623</v>
      </c>
      <c r="B87" s="323">
        <v>45541</v>
      </c>
      <c r="C87" s="1244" t="s">
        <v>1552</v>
      </c>
      <c r="D87" s="1245"/>
      <c r="E87" s="1245"/>
      <c r="F87" s="1245"/>
      <c r="G87" s="1245"/>
      <c r="H87" s="1246"/>
      <c r="I87" s="110" t="s">
        <v>180</v>
      </c>
      <c r="J87" s="1247">
        <v>2046469.5179599999</v>
      </c>
      <c r="K87" s="1248"/>
      <c r="L87" s="1249"/>
      <c r="M87" s="1250"/>
      <c r="N87" s="1249"/>
      <c r="O87" s="1250"/>
      <c r="P87" s="1251" t="s">
        <v>859</v>
      </c>
      <c r="Q87" s="1250"/>
      <c r="R87" s="9"/>
      <c r="S87" s="45"/>
      <c r="T87" s="1247">
        <v>4879000</v>
      </c>
      <c r="U87" s="1050"/>
      <c r="V87" s="45"/>
      <c r="W87" s="1227">
        <v>4879000</v>
      </c>
      <c r="X87" s="1058"/>
      <c r="Y87" s="45"/>
      <c r="Z87" s="124">
        <f t="shared" si="1"/>
        <v>0</v>
      </c>
    </row>
    <row r="88" spans="1:26" ht="13.5" x14ac:dyDescent="0.2">
      <c r="A88" s="9" t="s">
        <v>624</v>
      </c>
      <c r="B88" s="323">
        <v>45541</v>
      </c>
      <c r="C88" s="1244" t="s">
        <v>1569</v>
      </c>
      <c r="D88" s="1245"/>
      <c r="E88" s="1245"/>
      <c r="F88" s="1245"/>
      <c r="G88" s="1245"/>
      <c r="H88" s="1246"/>
      <c r="I88" s="110" t="s">
        <v>180</v>
      </c>
      <c r="J88" s="1247">
        <v>410550</v>
      </c>
      <c r="K88" s="1248"/>
      <c r="L88" s="1249"/>
      <c r="M88" s="1250"/>
      <c r="N88" s="1249"/>
      <c r="O88" s="1250"/>
      <c r="P88" s="1251" t="s">
        <v>1898</v>
      </c>
      <c r="Q88" s="1250"/>
      <c r="R88" s="9"/>
      <c r="S88" s="45"/>
      <c r="T88" s="1247">
        <f>+UNITARIOS!P2145</f>
        <v>0</v>
      </c>
      <c r="U88" s="1050"/>
      <c r="V88" s="45"/>
      <c r="W88" s="1227">
        <f>+UNITARIOS!S2145</f>
        <v>0</v>
      </c>
      <c r="X88" s="1058"/>
      <c r="Y88" s="45"/>
      <c r="Z88" s="124">
        <f t="shared" si="1"/>
        <v>0</v>
      </c>
    </row>
    <row r="89" spans="1:26" ht="13.5" x14ac:dyDescent="0.2">
      <c r="A89" s="9" t="s">
        <v>1927</v>
      </c>
      <c r="B89" s="323">
        <v>45057</v>
      </c>
      <c r="C89" s="1244" t="s">
        <v>1558</v>
      </c>
      <c r="D89" s="1245"/>
      <c r="E89" s="1245"/>
      <c r="F89" s="1245"/>
      <c r="G89" s="1245"/>
      <c r="H89" s="1246"/>
      <c r="I89" s="110" t="s">
        <v>180</v>
      </c>
      <c r="J89" s="1247">
        <v>1058345.6114000001</v>
      </c>
      <c r="K89" s="1248"/>
      <c r="L89" s="1249"/>
      <c r="M89" s="1250"/>
      <c r="N89" s="1249"/>
      <c r="O89" s="1250"/>
      <c r="P89" s="1251" t="s">
        <v>1896</v>
      </c>
      <c r="Q89" s="1250"/>
      <c r="R89" s="9"/>
      <c r="S89" s="45"/>
      <c r="T89" s="1247">
        <v>1250</v>
      </c>
      <c r="U89" s="1050"/>
      <c r="W89" s="1227">
        <v>1250</v>
      </c>
      <c r="X89" s="1058"/>
      <c r="Y89" s="45"/>
      <c r="Z89" s="124">
        <f t="shared" si="1"/>
        <v>0</v>
      </c>
    </row>
    <row r="90" spans="1:26" ht="13.5" x14ac:dyDescent="0.2">
      <c r="A90" s="9" t="s">
        <v>625</v>
      </c>
      <c r="B90" s="324">
        <v>45057</v>
      </c>
      <c r="C90" s="1244" t="s">
        <v>1530</v>
      </c>
      <c r="D90" s="1245"/>
      <c r="E90" s="1245"/>
      <c r="F90" s="1245"/>
      <c r="G90" s="1245"/>
      <c r="H90" s="1246"/>
      <c r="I90" s="110" t="s">
        <v>180</v>
      </c>
      <c r="J90" s="1247">
        <v>191170</v>
      </c>
      <c r="K90" s="1248"/>
      <c r="L90" s="1249"/>
      <c r="M90" s="1250"/>
      <c r="N90" s="1249"/>
      <c r="O90" s="1250"/>
      <c r="P90" s="1251" t="s">
        <v>1891</v>
      </c>
      <c r="Q90" s="1250"/>
      <c r="R90" s="9"/>
      <c r="S90" s="45"/>
      <c r="T90" s="1258">
        <v>78000</v>
      </c>
      <c r="U90" s="1050"/>
      <c r="W90" s="1254">
        <v>78000</v>
      </c>
      <c r="X90" s="1058"/>
      <c r="Y90" s="45"/>
      <c r="Z90" s="124">
        <f t="shared" si="1"/>
        <v>0</v>
      </c>
    </row>
    <row r="91" spans="1:26" ht="13.5" x14ac:dyDescent="0.2">
      <c r="A91" s="9" t="s">
        <v>626</v>
      </c>
      <c r="B91" s="324">
        <v>45541</v>
      </c>
      <c r="C91" s="1244" t="s">
        <v>1584</v>
      </c>
      <c r="D91" s="1245"/>
      <c r="E91" s="1245"/>
      <c r="F91" s="1245"/>
      <c r="G91" s="1245"/>
      <c r="H91" s="1246"/>
      <c r="I91" s="110" t="s">
        <v>180</v>
      </c>
      <c r="J91" s="1247">
        <v>71471</v>
      </c>
      <c r="K91" s="1248"/>
      <c r="L91" s="1249"/>
      <c r="M91" s="1250"/>
      <c r="N91" s="1249"/>
      <c r="O91" s="1250"/>
      <c r="P91" s="1251" t="s">
        <v>1935</v>
      </c>
      <c r="Q91" s="1250"/>
      <c r="R91" s="9"/>
      <c r="S91" s="45"/>
      <c r="T91" s="1258">
        <f>UNITARIOS!P45</f>
        <v>0</v>
      </c>
      <c r="U91" s="1259"/>
      <c r="W91" s="1255">
        <f>UNITARIOS!S45</f>
        <v>0</v>
      </c>
      <c r="X91" s="1256"/>
      <c r="Y91" s="45"/>
      <c r="Z91" s="124">
        <f t="shared" si="1"/>
        <v>0</v>
      </c>
    </row>
    <row r="92" spans="1:26" ht="13.5" x14ac:dyDescent="0.2">
      <c r="A92" s="9" t="s">
        <v>627</v>
      </c>
      <c r="B92" s="324">
        <v>45541</v>
      </c>
      <c r="C92" s="1244" t="s">
        <v>1575</v>
      </c>
      <c r="D92" s="1245"/>
      <c r="E92" s="1245"/>
      <c r="F92" s="1245"/>
      <c r="G92" s="1245"/>
      <c r="H92" s="1246"/>
      <c r="I92" s="110" t="s">
        <v>562</v>
      </c>
      <c r="J92" s="1247">
        <v>33820</v>
      </c>
      <c r="K92" s="1248"/>
      <c r="L92" s="1249"/>
      <c r="M92" s="1250"/>
      <c r="N92" s="1249"/>
      <c r="O92" s="1250"/>
      <c r="P92" s="1251" t="s">
        <v>1899</v>
      </c>
      <c r="Q92" s="1250"/>
      <c r="R92" s="9"/>
      <c r="S92" s="45"/>
      <c r="T92" s="1258">
        <f>UNITARIOS!P86</f>
        <v>0</v>
      </c>
      <c r="U92" s="1050"/>
      <c r="V92" s="45"/>
      <c r="W92" s="1254">
        <f>UNITARIOS!S86</f>
        <v>0</v>
      </c>
      <c r="X92" s="1058"/>
      <c r="Y92" s="45"/>
      <c r="Z92" s="124">
        <f t="shared" si="1"/>
        <v>0</v>
      </c>
    </row>
    <row r="93" spans="1:26" ht="13.5" x14ac:dyDescent="0.2">
      <c r="A93" s="9" t="s">
        <v>628</v>
      </c>
      <c r="B93" s="324">
        <v>45541</v>
      </c>
      <c r="C93" s="1244" t="s">
        <v>1506</v>
      </c>
      <c r="D93" s="1245"/>
      <c r="E93" s="1245"/>
      <c r="F93" s="1245"/>
      <c r="G93" s="1245"/>
      <c r="H93" s="1246"/>
      <c r="I93" s="110" t="s">
        <v>474</v>
      </c>
      <c r="J93" s="1247">
        <v>83300</v>
      </c>
      <c r="K93" s="1248"/>
      <c r="L93" s="1249"/>
      <c r="M93" s="1250"/>
      <c r="N93" s="1249"/>
      <c r="O93" s="1250"/>
      <c r="P93" s="1251" t="s">
        <v>1884</v>
      </c>
      <c r="Q93" s="1250"/>
      <c r="R93" s="9"/>
      <c r="S93" s="45"/>
      <c r="T93" s="1258">
        <f>UNITARIOS!P464</f>
        <v>0</v>
      </c>
      <c r="U93" s="1050"/>
      <c r="W93" s="1254">
        <f>UNITARIOS!S464</f>
        <v>0</v>
      </c>
      <c r="X93" s="1058"/>
      <c r="Y93" s="45"/>
      <c r="Z93" s="124">
        <f t="shared" si="1"/>
        <v>0</v>
      </c>
    </row>
    <row r="94" spans="1:26" ht="26.25" customHeight="1" x14ac:dyDescent="0.2">
      <c r="A94" s="9" t="s">
        <v>629</v>
      </c>
      <c r="B94" s="324">
        <v>45541</v>
      </c>
      <c r="C94" s="919" t="s">
        <v>1507</v>
      </c>
      <c r="D94" s="1274"/>
      <c r="E94" s="1274"/>
      <c r="F94" s="1274"/>
      <c r="G94" s="1274"/>
      <c r="H94" s="1275"/>
      <c r="I94" s="110" t="s">
        <v>9</v>
      </c>
      <c r="J94" s="1247">
        <v>10120.949999999999</v>
      </c>
      <c r="K94" s="1248"/>
      <c r="L94" s="1249"/>
      <c r="M94" s="1250"/>
      <c r="N94" s="1249"/>
      <c r="O94" s="1250"/>
      <c r="P94" s="1251" t="s">
        <v>1887</v>
      </c>
      <c r="Q94" s="1250"/>
      <c r="R94" s="9"/>
      <c r="S94" s="45"/>
      <c r="T94" s="1258">
        <f>UNITARIOS!P255</f>
        <v>0</v>
      </c>
      <c r="U94" s="1050"/>
      <c r="W94" s="1254">
        <f>UNITARIOS!S255</f>
        <v>0</v>
      </c>
      <c r="X94" s="1058"/>
      <c r="Y94" s="45"/>
      <c r="Z94" s="124">
        <f t="shared" si="1"/>
        <v>0</v>
      </c>
    </row>
    <row r="95" spans="1:26" ht="29.25" customHeight="1" x14ac:dyDescent="0.2">
      <c r="A95" s="9" t="s">
        <v>630</v>
      </c>
      <c r="B95" s="324">
        <v>45541</v>
      </c>
      <c r="C95" s="919" t="s">
        <v>1510</v>
      </c>
      <c r="D95" s="1274"/>
      <c r="E95" s="1274"/>
      <c r="F95" s="1274"/>
      <c r="G95" s="1274"/>
      <c r="H95" s="1275"/>
      <c r="I95" s="46" t="s">
        <v>9</v>
      </c>
      <c r="J95" s="1247">
        <v>316866</v>
      </c>
      <c r="K95" s="1248"/>
      <c r="L95" s="1249"/>
      <c r="M95" s="1250"/>
      <c r="N95" s="1249"/>
      <c r="O95" s="1250"/>
      <c r="P95" s="1252" t="s">
        <v>1888</v>
      </c>
      <c r="Q95" s="1253"/>
      <c r="R95" s="9"/>
      <c r="S95" s="45"/>
      <c r="T95" s="1258">
        <f>UNITARIOS!P296</f>
        <v>0</v>
      </c>
      <c r="U95" s="1050"/>
      <c r="W95" s="1254">
        <f>UNITARIOS!S296</f>
        <v>0</v>
      </c>
      <c r="X95" s="1058"/>
      <c r="Y95" s="45"/>
      <c r="Z95" s="124">
        <f t="shared" si="1"/>
        <v>0</v>
      </c>
    </row>
    <row r="96" spans="1:26" ht="35.25" customHeight="1" x14ac:dyDescent="0.2">
      <c r="A96" s="9" t="s">
        <v>631</v>
      </c>
      <c r="B96" s="324">
        <v>45541</v>
      </c>
      <c r="C96" s="919" t="s">
        <v>1508</v>
      </c>
      <c r="D96" s="1274"/>
      <c r="E96" s="1274"/>
      <c r="F96" s="1274"/>
      <c r="G96" s="1274"/>
      <c r="H96" s="1275"/>
      <c r="I96" s="110" t="s">
        <v>9</v>
      </c>
      <c r="J96" s="1247">
        <v>20483.039999999997</v>
      </c>
      <c r="K96" s="1248"/>
      <c r="L96" s="1249"/>
      <c r="M96" s="1250"/>
      <c r="N96" s="1249"/>
      <c r="O96" s="1250"/>
      <c r="P96" s="1252" t="s">
        <v>1888</v>
      </c>
      <c r="Q96" s="1253"/>
      <c r="R96" s="9"/>
      <c r="S96" s="45"/>
      <c r="T96" s="1247">
        <f>UNITARIOS!$F$381</f>
        <v>241471.21856195002</v>
      </c>
      <c r="U96" s="1050"/>
      <c r="V96" s="45"/>
      <c r="W96" s="1227">
        <f>UNITARIOS!$F$381</f>
        <v>241471.21856195002</v>
      </c>
      <c r="X96" s="1058"/>
      <c r="Y96" s="45"/>
      <c r="Z96" s="124">
        <f t="shared" si="1"/>
        <v>0</v>
      </c>
    </row>
    <row r="97" spans="1:26" ht="30" customHeight="1" x14ac:dyDescent="0.2">
      <c r="A97" s="9" t="s">
        <v>632</v>
      </c>
      <c r="B97" s="324">
        <v>45060</v>
      </c>
      <c r="C97" s="919" t="s">
        <v>1512</v>
      </c>
      <c r="D97" s="1274"/>
      <c r="E97" s="1274"/>
      <c r="F97" s="1274"/>
      <c r="G97" s="1274"/>
      <c r="H97" s="1275"/>
      <c r="I97" s="46" t="s">
        <v>9</v>
      </c>
      <c r="J97" s="1247">
        <v>80999</v>
      </c>
      <c r="K97" s="1248"/>
      <c r="L97" s="1249"/>
      <c r="M97" s="1250"/>
      <c r="N97" s="1249"/>
      <c r="O97" s="1250"/>
      <c r="P97" s="1252" t="s">
        <v>1888</v>
      </c>
      <c r="Q97" s="1253"/>
      <c r="R97" s="9"/>
      <c r="S97" s="45"/>
      <c r="T97" s="1258">
        <v>1190135.97</v>
      </c>
      <c r="U97" s="1050"/>
      <c r="V97" s="45"/>
      <c r="W97" s="1254">
        <v>1190135.97</v>
      </c>
      <c r="X97" s="1058"/>
      <c r="Y97" s="45"/>
      <c r="Z97" s="124">
        <f t="shared" si="1"/>
        <v>0</v>
      </c>
    </row>
    <row r="98" spans="1:26" ht="13.5" x14ac:dyDescent="0.2">
      <c r="A98" s="9" t="s">
        <v>633</v>
      </c>
      <c r="B98" s="324">
        <v>45060</v>
      </c>
      <c r="C98" s="1244" t="s">
        <v>1554</v>
      </c>
      <c r="D98" s="1245"/>
      <c r="E98" s="1245"/>
      <c r="F98" s="1245"/>
      <c r="G98" s="1245"/>
      <c r="H98" s="1246"/>
      <c r="I98" s="110" t="s">
        <v>9</v>
      </c>
      <c r="J98" s="1247">
        <v>304133.86666666664</v>
      </c>
      <c r="K98" s="1248"/>
      <c r="L98" s="1249"/>
      <c r="M98" s="1250"/>
      <c r="N98" s="1249"/>
      <c r="O98" s="1250"/>
      <c r="P98" s="1251" t="s">
        <v>859</v>
      </c>
      <c r="Q98" s="1250"/>
      <c r="R98" s="9"/>
      <c r="S98" s="45"/>
      <c r="T98" s="1258">
        <v>1398321</v>
      </c>
      <c r="U98" s="1050"/>
      <c r="V98" s="45"/>
      <c r="W98" s="1254">
        <v>1398321</v>
      </c>
      <c r="X98" s="1058"/>
      <c r="Y98" s="45"/>
      <c r="Z98" s="124">
        <f t="shared" si="1"/>
        <v>0</v>
      </c>
    </row>
    <row r="99" spans="1:26" ht="13.5" x14ac:dyDescent="0.2">
      <c r="A99" s="9" t="s">
        <v>634</v>
      </c>
      <c r="B99" s="324">
        <v>45541</v>
      </c>
      <c r="C99" s="1244" t="s">
        <v>1570</v>
      </c>
      <c r="D99" s="1245"/>
      <c r="E99" s="1245"/>
      <c r="F99" s="1245"/>
      <c r="G99" s="1245"/>
      <c r="H99" s="1246"/>
      <c r="I99" s="110" t="s">
        <v>9</v>
      </c>
      <c r="J99" s="1247">
        <v>93801.930666666667</v>
      </c>
      <c r="K99" s="1248"/>
      <c r="L99" s="1249"/>
      <c r="M99" s="1250"/>
      <c r="N99" s="1249"/>
      <c r="O99" s="1250"/>
      <c r="P99" s="1251" t="s">
        <v>859</v>
      </c>
      <c r="Q99" s="1250"/>
      <c r="R99" s="9"/>
      <c r="S99" s="45"/>
      <c r="T99" s="1258">
        <f>UNITARIOS!P1789</f>
        <v>0</v>
      </c>
      <c r="U99" s="1050"/>
      <c r="V99" s="45"/>
      <c r="W99" s="1254">
        <f>UNITARIOS!S1789</f>
        <v>0</v>
      </c>
      <c r="X99" s="1058"/>
      <c r="Y99" s="45"/>
      <c r="Z99" s="124">
        <f t="shared" si="1"/>
        <v>0</v>
      </c>
    </row>
    <row r="100" spans="1:26" ht="13.5" x14ac:dyDescent="0.2">
      <c r="A100" s="9" t="s">
        <v>635</v>
      </c>
      <c r="B100" s="324">
        <v>45060</v>
      </c>
      <c r="C100" s="1244" t="s">
        <v>1571</v>
      </c>
      <c r="D100" s="1245"/>
      <c r="E100" s="1245"/>
      <c r="F100" s="1245"/>
      <c r="G100" s="1245"/>
      <c r="H100" s="1246"/>
      <c r="I100" s="110" t="s">
        <v>9</v>
      </c>
      <c r="J100" s="1247">
        <v>199968.01733333335</v>
      </c>
      <c r="K100" s="1248"/>
      <c r="L100" s="1249"/>
      <c r="M100" s="1250"/>
      <c r="N100" s="1249"/>
      <c r="O100" s="1250"/>
      <c r="P100" s="1251" t="s">
        <v>859</v>
      </c>
      <c r="Q100" s="1250"/>
      <c r="R100" s="9"/>
      <c r="S100" s="45"/>
      <c r="T100" s="1258">
        <v>97673.85</v>
      </c>
      <c r="U100" s="1050"/>
      <c r="V100" s="45"/>
      <c r="W100" s="1254">
        <v>97673.85</v>
      </c>
      <c r="X100" s="1058"/>
      <c r="Y100" s="45"/>
      <c r="Z100" s="124">
        <f t="shared" si="1"/>
        <v>0</v>
      </c>
    </row>
    <row r="101" spans="1:26" ht="13.5" x14ac:dyDescent="0.2">
      <c r="A101" s="9" t="s">
        <v>636</v>
      </c>
      <c r="B101" s="324">
        <v>45060</v>
      </c>
      <c r="C101" s="1244" t="s">
        <v>1562</v>
      </c>
      <c r="D101" s="1245"/>
      <c r="E101" s="1245"/>
      <c r="F101" s="1245"/>
      <c r="G101" s="1245"/>
      <c r="H101" s="1246"/>
      <c r="I101" s="110" t="s">
        <v>9</v>
      </c>
      <c r="J101" s="1247">
        <v>266117.1333333333</v>
      </c>
      <c r="K101" s="1248"/>
      <c r="L101" s="1249"/>
      <c r="M101" s="1250"/>
      <c r="N101" s="1249"/>
      <c r="O101" s="1250"/>
      <c r="P101" s="1251" t="s">
        <v>859</v>
      </c>
      <c r="Q101" s="1250"/>
      <c r="R101" s="9"/>
      <c r="S101" s="45"/>
      <c r="T101" s="1258">
        <v>833487.79</v>
      </c>
      <c r="U101" s="1050"/>
      <c r="W101" s="1254">
        <v>833487.79</v>
      </c>
      <c r="X101" s="1058"/>
      <c r="Y101" s="45"/>
      <c r="Z101" s="124">
        <f t="shared" si="1"/>
        <v>0</v>
      </c>
    </row>
    <row r="102" spans="1:26" ht="13.5" x14ac:dyDescent="0.2">
      <c r="A102" s="9" t="s">
        <v>637</v>
      </c>
      <c r="B102" s="324">
        <v>45512</v>
      </c>
      <c r="C102" s="1244" t="s">
        <v>1594</v>
      </c>
      <c r="D102" s="1245"/>
      <c r="E102" s="1245"/>
      <c r="F102" s="1245"/>
      <c r="G102" s="1245"/>
      <c r="H102" s="1246"/>
      <c r="I102" s="110" t="s">
        <v>551</v>
      </c>
      <c r="J102" s="1247">
        <v>33040.35</v>
      </c>
      <c r="K102" s="1248"/>
      <c r="L102" s="1249"/>
      <c r="M102" s="1250"/>
      <c r="N102" s="1249"/>
      <c r="O102" s="1250"/>
      <c r="P102" s="1251" t="s">
        <v>1420</v>
      </c>
      <c r="Q102" s="1250"/>
      <c r="R102" s="9"/>
      <c r="S102" s="45"/>
      <c r="T102" s="1262">
        <f>((350000+(0.19*350000))*0.85)/0.5</f>
        <v>708050</v>
      </c>
      <c r="U102" s="1263"/>
      <c r="W102" s="1254">
        <f>((350000+(0.19*350000))*0.85)/0.5</f>
        <v>708050</v>
      </c>
      <c r="X102" s="1058"/>
      <c r="Y102" s="45"/>
      <c r="Z102" s="124">
        <f t="shared" si="1"/>
        <v>0</v>
      </c>
    </row>
    <row r="103" spans="1:26" ht="13.5" x14ac:dyDescent="0.2">
      <c r="A103" s="9" t="s">
        <v>638</v>
      </c>
      <c r="B103" s="324">
        <v>45512</v>
      </c>
      <c r="C103" s="1244" t="s">
        <v>1556</v>
      </c>
      <c r="D103" s="1245"/>
      <c r="E103" s="1245"/>
      <c r="F103" s="1245"/>
      <c r="G103" s="1245"/>
      <c r="H103" s="1246"/>
      <c r="I103" s="110" t="s">
        <v>180</v>
      </c>
      <c r="J103" s="1247">
        <v>1000869.29684</v>
      </c>
      <c r="K103" s="1248"/>
      <c r="L103" s="1249"/>
      <c r="M103" s="1250"/>
      <c r="N103" s="1249"/>
      <c r="O103" s="1250"/>
      <c r="P103" s="1251" t="s">
        <v>1896</v>
      </c>
      <c r="Q103" s="1250"/>
      <c r="R103" s="9"/>
      <c r="S103" s="45"/>
      <c r="T103" s="1258">
        <f>((350000+(0.19*350000))*0.15)/0.5</f>
        <v>124950</v>
      </c>
      <c r="U103" s="1259"/>
      <c r="W103" s="1255">
        <f>((350000+(0.19*350000))*0.15)/0.5</f>
        <v>124950</v>
      </c>
      <c r="X103" s="1256"/>
      <c r="Y103" s="45"/>
      <c r="Z103" s="124">
        <f t="shared" si="1"/>
        <v>0</v>
      </c>
    </row>
    <row r="104" spans="1:26" ht="13.5" x14ac:dyDescent="0.2">
      <c r="A104" s="9" t="s">
        <v>639</v>
      </c>
      <c r="B104" s="324">
        <v>45512</v>
      </c>
      <c r="C104" s="1244" t="s">
        <v>1561</v>
      </c>
      <c r="D104" s="1245"/>
      <c r="E104" s="1245"/>
      <c r="F104" s="1245"/>
      <c r="G104" s="1245"/>
      <c r="H104" s="1246"/>
      <c r="I104" s="774" t="s">
        <v>180</v>
      </c>
      <c r="J104" s="1247">
        <v>508123.06943999999</v>
      </c>
      <c r="K104" s="1248"/>
      <c r="L104" s="1249"/>
      <c r="M104" s="1250"/>
      <c r="N104" s="1249"/>
      <c r="O104" s="1250"/>
      <c r="P104" s="1251" t="s">
        <v>1896</v>
      </c>
      <c r="Q104" s="1250"/>
      <c r="R104" s="9"/>
      <c r="S104" s="45"/>
      <c r="T104" s="1260">
        <v>1365246</v>
      </c>
      <c r="U104" s="1261"/>
      <c r="V104" s="45"/>
      <c r="W104" s="1254">
        <f>728000+(728000*0.19)</f>
        <v>866320</v>
      </c>
      <c r="X104" s="1058"/>
      <c r="Y104" s="45"/>
      <c r="Z104" s="124">
        <f t="shared" si="1"/>
        <v>-498926</v>
      </c>
    </row>
    <row r="105" spans="1:26" ht="13.5" x14ac:dyDescent="0.2">
      <c r="A105" s="9" t="s">
        <v>640</v>
      </c>
      <c r="B105" s="324">
        <v>45541</v>
      </c>
      <c r="C105" s="1244" t="s">
        <v>1573</v>
      </c>
      <c r="D105" s="1245"/>
      <c r="E105" s="1245"/>
      <c r="F105" s="1245"/>
      <c r="G105" s="1245"/>
      <c r="H105" s="1246"/>
      <c r="I105" s="110" t="s">
        <v>180</v>
      </c>
      <c r="J105" s="1247">
        <v>5131280</v>
      </c>
      <c r="K105" s="1248"/>
      <c r="L105" s="1249"/>
      <c r="M105" s="1250"/>
      <c r="N105" s="1249"/>
      <c r="O105" s="1250"/>
      <c r="P105" s="1251" t="s">
        <v>1893</v>
      </c>
      <c r="Q105" s="1250"/>
      <c r="R105" s="9"/>
      <c r="S105" s="45"/>
      <c r="T105" s="1258">
        <f>UNITARIOS!P127</f>
        <v>0</v>
      </c>
      <c r="U105" s="1050"/>
      <c r="V105" s="45"/>
      <c r="W105" s="1254">
        <f>UNITARIOS!S127</f>
        <v>0</v>
      </c>
      <c r="X105" s="1058"/>
      <c r="Y105" s="45"/>
      <c r="Z105" s="124">
        <f t="shared" si="1"/>
        <v>0</v>
      </c>
    </row>
    <row r="106" spans="1:26" ht="13.5" x14ac:dyDescent="0.2">
      <c r="A106" s="9" t="s">
        <v>641</v>
      </c>
      <c r="B106" s="324">
        <v>45541</v>
      </c>
      <c r="C106" s="1244" t="s">
        <v>1546</v>
      </c>
      <c r="D106" s="1245"/>
      <c r="E106" s="1245"/>
      <c r="F106" s="1245"/>
      <c r="G106" s="1245"/>
      <c r="H106" s="1246"/>
      <c r="I106" s="110" t="s">
        <v>180</v>
      </c>
      <c r="J106" s="1247">
        <v>3124232.7560000001</v>
      </c>
      <c r="K106" s="1248"/>
      <c r="L106" s="1249"/>
      <c r="M106" s="1250"/>
      <c r="N106" s="1249"/>
      <c r="O106" s="1250"/>
      <c r="P106" s="1251" t="s">
        <v>1896</v>
      </c>
      <c r="Q106" s="1250"/>
      <c r="R106" s="9"/>
      <c r="S106" s="45"/>
      <c r="T106" s="1258">
        <f>UNITARIOS!P590</f>
        <v>0</v>
      </c>
      <c r="U106" s="1050"/>
      <c r="V106" s="45"/>
      <c r="W106" s="1254">
        <f>UNITARIOS!S590</f>
        <v>0</v>
      </c>
      <c r="X106" s="1058"/>
      <c r="Y106" s="45"/>
      <c r="Z106" s="124">
        <f t="shared" si="1"/>
        <v>0</v>
      </c>
    </row>
    <row r="107" spans="1:26" ht="13.5" x14ac:dyDescent="0.2">
      <c r="A107" s="9" t="s">
        <v>642</v>
      </c>
      <c r="B107" s="324">
        <v>45061</v>
      </c>
      <c r="C107" s="1244" t="s">
        <v>1551</v>
      </c>
      <c r="D107" s="1245"/>
      <c r="E107" s="1245"/>
      <c r="F107" s="1245"/>
      <c r="G107" s="1245"/>
      <c r="H107" s="1246"/>
      <c r="I107" s="110" t="s">
        <v>180</v>
      </c>
      <c r="J107" s="1247">
        <v>6522390</v>
      </c>
      <c r="K107" s="1248"/>
      <c r="L107" s="1249"/>
      <c r="M107" s="1250"/>
      <c r="N107" s="1249"/>
      <c r="O107" s="1250"/>
      <c r="P107" s="1251" t="s">
        <v>1891</v>
      </c>
      <c r="Q107" s="1250"/>
      <c r="R107" s="9"/>
      <c r="S107" s="45"/>
      <c r="T107" s="1258">
        <v>604632.31000000006</v>
      </c>
      <c r="U107" s="1050"/>
      <c r="V107" s="45"/>
      <c r="W107" s="1254">
        <v>604632.31000000006</v>
      </c>
      <c r="X107" s="1058"/>
      <c r="Y107" s="45"/>
      <c r="Z107" s="124">
        <f t="shared" si="1"/>
        <v>0</v>
      </c>
    </row>
    <row r="108" spans="1:26" ht="13.5" x14ac:dyDescent="0.2">
      <c r="A108" s="9" t="s">
        <v>643</v>
      </c>
      <c r="B108" s="324">
        <v>45541</v>
      </c>
      <c r="C108" s="1244" t="s">
        <v>1557</v>
      </c>
      <c r="D108" s="1245"/>
      <c r="E108" s="1245"/>
      <c r="F108" s="1245"/>
      <c r="G108" s="1245"/>
      <c r="H108" s="1246"/>
      <c r="I108" s="46" t="s">
        <v>180</v>
      </c>
      <c r="J108" s="1247">
        <v>1784572</v>
      </c>
      <c r="K108" s="1248"/>
      <c r="L108" s="1249"/>
      <c r="M108" s="1250"/>
      <c r="N108" s="1249"/>
      <c r="O108" s="1250"/>
      <c r="P108" s="1251" t="s">
        <v>1891</v>
      </c>
      <c r="Q108" s="1250"/>
      <c r="R108" s="9"/>
      <c r="S108" s="45"/>
      <c r="T108" s="1258">
        <f>UNITARIOS!P1319</f>
        <v>0</v>
      </c>
      <c r="U108" s="1050"/>
      <c r="W108" s="1254">
        <f>UNITARIOS!S1319</f>
        <v>0</v>
      </c>
      <c r="X108" s="1058"/>
      <c r="Y108" s="45"/>
      <c r="Z108" s="124">
        <f t="shared" si="1"/>
        <v>0</v>
      </c>
    </row>
    <row r="109" spans="1:26" ht="13.5" x14ac:dyDescent="0.2">
      <c r="A109" s="9" t="s">
        <v>644</v>
      </c>
      <c r="B109" s="324">
        <v>45513</v>
      </c>
      <c r="C109" s="1244" t="s">
        <v>1544</v>
      </c>
      <c r="D109" s="1245"/>
      <c r="E109" s="1245"/>
      <c r="F109" s="1245"/>
      <c r="G109" s="1245"/>
      <c r="H109" s="1246"/>
      <c r="I109" s="46" t="s">
        <v>180</v>
      </c>
      <c r="J109" s="1247">
        <v>1362874.8699999999</v>
      </c>
      <c r="K109" s="1248"/>
      <c r="L109" s="1249"/>
      <c r="M109" s="1250"/>
      <c r="N109" s="1249"/>
      <c r="O109" s="1250"/>
      <c r="P109" s="1251" t="s">
        <v>1891</v>
      </c>
      <c r="Q109" s="1250"/>
      <c r="R109" s="9"/>
      <c r="S109" s="45"/>
      <c r="T109" s="1260">
        <v>46935</v>
      </c>
      <c r="U109" s="1261"/>
      <c r="W109" s="1254">
        <f>(281608+(281608*0.19))/6</f>
        <v>55852.253333333334</v>
      </c>
      <c r="X109" s="1058"/>
      <c r="Y109" s="45"/>
      <c r="Z109" s="124">
        <f t="shared" si="1"/>
        <v>8917.253333333334</v>
      </c>
    </row>
    <row r="110" spans="1:26" ht="13.5" x14ac:dyDescent="0.2">
      <c r="A110" s="9" t="s">
        <v>645</v>
      </c>
      <c r="B110" s="324">
        <v>45061</v>
      </c>
      <c r="C110" s="1244" t="s">
        <v>1536</v>
      </c>
      <c r="D110" s="1245"/>
      <c r="E110" s="1245"/>
      <c r="F110" s="1245"/>
      <c r="G110" s="1245"/>
      <c r="H110" s="1246"/>
      <c r="I110" s="46" t="s">
        <v>180</v>
      </c>
      <c r="J110" s="1247">
        <v>3472420</v>
      </c>
      <c r="K110" s="1248"/>
      <c r="L110" s="1249"/>
      <c r="M110" s="1250"/>
      <c r="N110" s="1249"/>
      <c r="O110" s="1250"/>
      <c r="P110" s="1251" t="s">
        <v>1890</v>
      </c>
      <c r="Q110" s="1250"/>
      <c r="R110" s="9"/>
      <c r="S110" s="45"/>
      <c r="T110" s="1260">
        <v>34682.21</v>
      </c>
      <c r="U110" s="1261"/>
      <c r="W110" s="1254">
        <v>34682.21</v>
      </c>
      <c r="X110" s="1058"/>
      <c r="Y110" s="45"/>
      <c r="Z110" s="124">
        <f t="shared" si="1"/>
        <v>0</v>
      </c>
    </row>
    <row r="111" spans="1:26" ht="13.5" x14ac:dyDescent="0.2">
      <c r="A111" s="9" t="s">
        <v>646</v>
      </c>
      <c r="B111" s="324">
        <v>45061</v>
      </c>
      <c r="C111" s="1244" t="s">
        <v>1535</v>
      </c>
      <c r="D111" s="1245"/>
      <c r="E111" s="1245"/>
      <c r="F111" s="1245"/>
      <c r="G111" s="1245"/>
      <c r="H111" s="1246"/>
      <c r="I111" s="110" t="s">
        <v>180</v>
      </c>
      <c r="J111" s="1247">
        <v>8596560</v>
      </c>
      <c r="K111" s="1248"/>
      <c r="L111" s="1249"/>
      <c r="M111" s="1250"/>
      <c r="N111" s="1249"/>
      <c r="O111" s="1250"/>
      <c r="P111" s="1251" t="s">
        <v>1890</v>
      </c>
      <c r="Q111" s="1250"/>
      <c r="R111" s="9"/>
      <c r="S111" s="45"/>
      <c r="T111" s="1258">
        <v>5923.68</v>
      </c>
      <c r="U111" s="1050"/>
      <c r="V111" s="45"/>
      <c r="W111" s="1254">
        <v>5923.68</v>
      </c>
      <c r="X111" s="1058"/>
      <c r="Y111" s="45"/>
      <c r="Z111" s="124">
        <f t="shared" si="1"/>
        <v>0</v>
      </c>
    </row>
    <row r="112" spans="1:26" ht="13.5" x14ac:dyDescent="0.2">
      <c r="A112" s="9" t="s">
        <v>647</v>
      </c>
      <c r="B112" s="324">
        <v>45061</v>
      </c>
      <c r="C112" s="1244" t="s">
        <v>1567</v>
      </c>
      <c r="D112" s="1245"/>
      <c r="E112" s="1245"/>
      <c r="F112" s="1245"/>
      <c r="G112" s="1245"/>
      <c r="H112" s="1246"/>
      <c r="I112" s="46" t="s">
        <v>180</v>
      </c>
      <c r="J112" s="1247">
        <v>10643360</v>
      </c>
      <c r="K112" s="1248"/>
      <c r="L112" s="1249"/>
      <c r="M112" s="1250"/>
      <c r="N112" s="1249"/>
      <c r="O112" s="1250"/>
      <c r="P112" s="1251" t="s">
        <v>1890</v>
      </c>
      <c r="Q112" s="1250"/>
      <c r="R112" s="9"/>
      <c r="S112" s="45"/>
      <c r="T112" s="1258">
        <v>24299.4</v>
      </c>
      <c r="U112" s="1050"/>
      <c r="V112" s="45"/>
      <c r="W112" s="1254">
        <v>24299.4</v>
      </c>
      <c r="X112" s="1058"/>
      <c r="Y112" s="45"/>
      <c r="Z112" s="124">
        <f t="shared" si="1"/>
        <v>0</v>
      </c>
    </row>
    <row r="113" spans="1:26" ht="13.5" x14ac:dyDescent="0.2">
      <c r="A113" s="9" t="s">
        <v>648</v>
      </c>
      <c r="B113" s="324">
        <v>45061</v>
      </c>
      <c r="C113" s="1244" t="s">
        <v>1545</v>
      </c>
      <c r="D113" s="1245"/>
      <c r="E113" s="1245"/>
      <c r="F113" s="1245"/>
      <c r="G113" s="1245"/>
      <c r="H113" s="1246"/>
      <c r="I113" s="110" t="s">
        <v>180</v>
      </c>
      <c r="J113" s="1247">
        <v>4529551.74</v>
      </c>
      <c r="K113" s="1248"/>
      <c r="L113" s="1249"/>
      <c r="M113" s="1250"/>
      <c r="N113" s="1249"/>
      <c r="O113" s="1250"/>
      <c r="P113" s="1251" t="s">
        <v>1891</v>
      </c>
      <c r="Q113" s="1250"/>
      <c r="R113" s="9"/>
      <c r="S113" s="45"/>
      <c r="T113" s="1258">
        <v>621070.9</v>
      </c>
      <c r="U113" s="1050"/>
      <c r="V113" s="45"/>
      <c r="W113" s="1254">
        <v>621070.9</v>
      </c>
      <c r="X113" s="1058"/>
      <c r="Y113" s="45"/>
      <c r="Z113" s="124">
        <f t="shared" si="1"/>
        <v>0</v>
      </c>
    </row>
    <row r="114" spans="1:26" ht="13.5" x14ac:dyDescent="0.2">
      <c r="A114" s="9" t="s">
        <v>649</v>
      </c>
      <c r="B114" s="324">
        <v>45061</v>
      </c>
      <c r="C114" s="1244" t="s">
        <v>1515</v>
      </c>
      <c r="D114" s="1245"/>
      <c r="E114" s="1245"/>
      <c r="F114" s="1245"/>
      <c r="G114" s="1245"/>
      <c r="H114" s="1246"/>
      <c r="I114" s="46" t="s">
        <v>180</v>
      </c>
      <c r="J114" s="1247">
        <v>1113840</v>
      </c>
      <c r="K114" s="1248"/>
      <c r="L114" s="1249"/>
      <c r="M114" s="1250"/>
      <c r="N114" s="1249"/>
      <c r="O114" s="1250"/>
      <c r="P114" s="1251" t="s">
        <v>1891</v>
      </c>
      <c r="Q114" s="1250"/>
      <c r="R114" s="9"/>
      <c r="S114" s="45"/>
      <c r="T114" s="1258">
        <v>28126.05</v>
      </c>
      <c r="U114" s="1050"/>
      <c r="V114" s="45"/>
      <c r="W114" s="1254">
        <v>28126.05</v>
      </c>
      <c r="X114" s="1058"/>
      <c r="Y114" s="45"/>
      <c r="Z114" s="124">
        <f t="shared" si="1"/>
        <v>0</v>
      </c>
    </row>
    <row r="115" spans="1:26" ht="13.5" x14ac:dyDescent="0.2">
      <c r="A115" s="9" t="s">
        <v>650</v>
      </c>
      <c r="B115" s="324">
        <v>45532</v>
      </c>
      <c r="C115" s="1244" t="s">
        <v>1566</v>
      </c>
      <c r="D115" s="1245"/>
      <c r="E115" s="1245"/>
      <c r="F115" s="1245"/>
      <c r="G115" s="1245"/>
      <c r="H115" s="1246"/>
      <c r="I115" s="46" t="s">
        <v>180</v>
      </c>
      <c r="J115" s="1247">
        <v>2598960</v>
      </c>
      <c r="K115" s="1248"/>
      <c r="L115" s="1249"/>
      <c r="M115" s="1250"/>
      <c r="N115" s="1249"/>
      <c r="O115" s="1250"/>
      <c r="P115" s="1251" t="s">
        <v>1890</v>
      </c>
      <c r="Q115" s="1250"/>
      <c r="R115" s="9"/>
      <c r="S115" s="45"/>
      <c r="T115" s="1258">
        <v>8000</v>
      </c>
      <c r="U115" s="1050"/>
      <c r="V115" s="45"/>
      <c r="W115" s="1254">
        <v>8000</v>
      </c>
      <c r="X115" s="1058"/>
      <c r="Y115" s="45"/>
      <c r="Z115" s="124">
        <f t="shared" si="1"/>
        <v>0</v>
      </c>
    </row>
    <row r="116" spans="1:26" ht="13.5" x14ac:dyDescent="0.2">
      <c r="A116" s="9" t="s">
        <v>651</v>
      </c>
      <c r="B116" s="324">
        <v>45061</v>
      </c>
      <c r="C116" s="1244" t="s">
        <v>1516</v>
      </c>
      <c r="D116" s="1245"/>
      <c r="E116" s="1245"/>
      <c r="F116" s="1245"/>
      <c r="G116" s="1245"/>
      <c r="H116" s="1246"/>
      <c r="I116" s="110" t="s">
        <v>180</v>
      </c>
      <c r="J116" s="1247">
        <v>6999580</v>
      </c>
      <c r="K116" s="1248"/>
      <c r="L116" s="1249"/>
      <c r="M116" s="1250"/>
      <c r="N116" s="1249"/>
      <c r="O116" s="1250"/>
      <c r="P116" s="1251" t="s">
        <v>1890</v>
      </c>
      <c r="Q116" s="1250"/>
      <c r="R116" s="9"/>
      <c r="S116" s="45"/>
      <c r="T116" s="1258">
        <v>630509</v>
      </c>
      <c r="U116" s="1050"/>
      <c r="V116" s="45"/>
      <c r="W116" s="1254">
        <v>630509</v>
      </c>
      <c r="X116" s="1058"/>
      <c r="Y116" s="45"/>
      <c r="Z116" s="124">
        <f t="shared" si="1"/>
        <v>0</v>
      </c>
    </row>
    <row r="117" spans="1:26" ht="13.5" x14ac:dyDescent="0.2">
      <c r="A117" s="9" t="s">
        <v>652</v>
      </c>
      <c r="B117" s="324">
        <v>45061</v>
      </c>
      <c r="C117" s="1244" t="s">
        <v>1537</v>
      </c>
      <c r="D117" s="1245"/>
      <c r="E117" s="1245"/>
      <c r="F117" s="1245"/>
      <c r="G117" s="1245"/>
      <c r="H117" s="1246"/>
      <c r="I117" s="774" t="s">
        <v>180</v>
      </c>
      <c r="J117" s="1247">
        <v>14666750</v>
      </c>
      <c r="K117" s="1248"/>
      <c r="L117" s="1249"/>
      <c r="M117" s="1250"/>
      <c r="N117" s="1249"/>
      <c r="O117" s="1250"/>
      <c r="P117" s="1251" t="s">
        <v>1890</v>
      </c>
      <c r="Q117" s="1250"/>
      <c r="R117" s="9"/>
      <c r="S117" s="45"/>
      <c r="T117" s="1262">
        <v>614911.42000000004</v>
      </c>
      <c r="U117" s="1263"/>
      <c r="W117" s="1254">
        <v>614911.42000000004</v>
      </c>
      <c r="X117" s="1058"/>
      <c r="Y117" s="45"/>
      <c r="Z117" s="124">
        <f t="shared" si="1"/>
        <v>0</v>
      </c>
    </row>
    <row r="118" spans="1:26" ht="43.5" customHeight="1" x14ac:dyDescent="0.2">
      <c r="A118" s="9" t="s">
        <v>1959</v>
      </c>
      <c r="B118" s="324">
        <v>45061</v>
      </c>
      <c r="C118" s="919" t="s">
        <v>1514</v>
      </c>
      <c r="D118" s="1274"/>
      <c r="E118" s="1274"/>
      <c r="F118" s="1274"/>
      <c r="G118" s="1274"/>
      <c r="H118" s="1275"/>
      <c r="I118" s="46" t="s">
        <v>180</v>
      </c>
      <c r="J118" s="1247">
        <v>654500</v>
      </c>
      <c r="K118" s="1248"/>
      <c r="L118" s="1249"/>
      <c r="M118" s="1250"/>
      <c r="N118" s="1249"/>
      <c r="O118" s="1250"/>
      <c r="P118" s="1251" t="s">
        <v>1890</v>
      </c>
      <c r="Q118" s="1250"/>
      <c r="R118" s="9"/>
      <c r="S118" s="45"/>
      <c r="T118" s="1262">
        <v>608090</v>
      </c>
      <c r="U118" s="1263"/>
      <c r="W118" s="1254">
        <v>376295.84</v>
      </c>
      <c r="X118" s="1058"/>
      <c r="Y118" s="45"/>
      <c r="Z118" s="124">
        <f t="shared" si="1"/>
        <v>-231794.15999999997</v>
      </c>
    </row>
    <row r="119" spans="1:26" ht="13.5" x14ac:dyDescent="0.2">
      <c r="A119" s="9" t="s">
        <v>1960</v>
      </c>
      <c r="B119" s="324">
        <v>45541</v>
      </c>
      <c r="C119" s="1244" t="s">
        <v>1585</v>
      </c>
      <c r="D119" s="1245"/>
      <c r="E119" s="1245"/>
      <c r="F119" s="1245"/>
      <c r="G119" s="1245"/>
      <c r="H119" s="1246"/>
      <c r="I119" s="110" t="s">
        <v>551</v>
      </c>
      <c r="J119" s="1247">
        <v>7366.666666666667</v>
      </c>
      <c r="K119" s="1248"/>
      <c r="L119" s="1278"/>
      <c r="M119" s="1277"/>
      <c r="N119" s="1278"/>
      <c r="O119" s="1277"/>
      <c r="P119" s="1276" t="s">
        <v>1903</v>
      </c>
      <c r="Q119" s="1277"/>
      <c r="R119" s="9"/>
      <c r="S119" s="45"/>
      <c r="T119" s="1258">
        <f>60845+(60845*0.19)</f>
        <v>72405.55</v>
      </c>
      <c r="U119" s="1050"/>
      <c r="W119" s="1254">
        <f>60845+(60845*0.19)</f>
        <v>72405.55</v>
      </c>
      <c r="X119" s="1058"/>
      <c r="Y119" s="45"/>
      <c r="Z119" s="124">
        <f t="shared" si="1"/>
        <v>0</v>
      </c>
    </row>
    <row r="120" spans="1:26" ht="15.75" customHeight="1" x14ac:dyDescent="0.2">
      <c r="A120" s="436"/>
      <c r="B120" s="437"/>
      <c r="C120" s="437"/>
      <c r="D120" s="437"/>
      <c r="E120" s="437"/>
      <c r="F120" s="437"/>
      <c r="G120" s="437"/>
      <c r="H120" s="437"/>
      <c r="I120" s="438"/>
      <c r="J120" s="437"/>
      <c r="K120" s="437"/>
      <c r="L120" s="437"/>
      <c r="M120" s="437"/>
      <c r="N120" s="437"/>
      <c r="O120" s="437"/>
      <c r="P120" s="437"/>
      <c r="Q120" s="437"/>
      <c r="R120" s="331"/>
    </row>
    <row r="121" spans="1:26" ht="15.75" customHeight="1" x14ac:dyDescent="0.2">
      <c r="A121" s="333"/>
      <c r="B121" s="76"/>
      <c r="C121" s="76"/>
      <c r="D121" s="76"/>
      <c r="E121" s="76"/>
      <c r="F121" s="76"/>
      <c r="G121" s="76"/>
      <c r="H121" s="76"/>
      <c r="I121" s="327"/>
      <c r="J121" s="76"/>
      <c r="K121" s="76"/>
      <c r="L121" s="76"/>
      <c r="M121" s="76"/>
      <c r="N121" s="76"/>
      <c r="O121" s="76"/>
      <c r="P121" s="76"/>
      <c r="Q121" s="76"/>
      <c r="R121" s="332"/>
    </row>
    <row r="122" spans="1:26" ht="15.75" customHeight="1" x14ac:dyDescent="0.2">
      <c r="A122" s="333"/>
      <c r="B122" s="76"/>
      <c r="C122" s="76"/>
      <c r="D122" s="76"/>
      <c r="E122" s="76"/>
      <c r="F122" s="76"/>
      <c r="G122" s="76"/>
      <c r="H122" s="76"/>
      <c r="I122" s="327"/>
      <c r="J122" s="76"/>
      <c r="K122" s="76"/>
      <c r="L122" s="76"/>
      <c r="M122" s="76"/>
      <c r="N122" s="76"/>
      <c r="O122" s="76"/>
      <c r="P122" s="76"/>
      <c r="Q122" s="76"/>
      <c r="R122" s="332"/>
    </row>
    <row r="123" spans="1:26" ht="15.75" customHeight="1" x14ac:dyDescent="0.2">
      <c r="A123" s="333"/>
      <c r="B123" s="76"/>
      <c r="C123" s="76"/>
      <c r="D123" s="76"/>
      <c r="E123" s="76"/>
      <c r="F123" s="76"/>
      <c r="G123" s="76"/>
      <c r="H123" s="76"/>
      <c r="I123" s="327"/>
      <c r="J123" s="76"/>
      <c r="K123" s="76"/>
      <c r="L123" s="76"/>
      <c r="M123" s="76"/>
      <c r="N123" s="76"/>
      <c r="O123" s="76"/>
      <c r="P123" s="76"/>
      <c r="Q123" s="76"/>
      <c r="R123" s="332"/>
    </row>
    <row r="124" spans="1:26" ht="15.75" customHeight="1" x14ac:dyDescent="0.2">
      <c r="A124" s="333"/>
      <c r="B124" s="76"/>
      <c r="C124" s="76"/>
      <c r="D124" s="76"/>
      <c r="E124" s="76"/>
      <c r="F124" s="76"/>
      <c r="G124" s="76"/>
      <c r="H124" s="76"/>
      <c r="I124" s="327"/>
      <c r="J124" s="76"/>
      <c r="K124" s="76"/>
      <c r="L124" s="76"/>
      <c r="M124" s="76"/>
      <c r="N124" s="76"/>
      <c r="O124" s="76"/>
      <c r="P124" s="76"/>
      <c r="Q124" s="76"/>
      <c r="R124" s="332"/>
    </row>
    <row r="125" spans="1:26" ht="15.75" customHeight="1" x14ac:dyDescent="0.2">
      <c r="A125" s="333"/>
      <c r="B125" s="76"/>
      <c r="C125" s="76"/>
      <c r="D125" s="76"/>
      <c r="E125" s="76"/>
      <c r="F125" s="76"/>
      <c r="G125" s="76"/>
      <c r="H125" s="76"/>
      <c r="I125" s="327"/>
      <c r="J125" s="76"/>
      <c r="K125" s="76"/>
      <c r="L125" s="76"/>
      <c r="M125" s="76"/>
      <c r="N125" s="76"/>
      <c r="O125" s="76"/>
      <c r="P125" s="76"/>
      <c r="Q125" s="76"/>
      <c r="R125" s="332"/>
    </row>
    <row r="126" spans="1:26" ht="15.75" customHeight="1" x14ac:dyDescent="0.2">
      <c r="A126" s="333"/>
      <c r="B126" s="76"/>
      <c r="C126" s="76"/>
      <c r="D126" s="76"/>
      <c r="E126" s="76"/>
      <c r="F126" s="76"/>
      <c r="G126" s="76"/>
      <c r="H126" s="76"/>
      <c r="I126" s="76"/>
      <c r="J126" s="76"/>
      <c r="K126" s="76"/>
      <c r="L126" s="76"/>
      <c r="M126" s="76"/>
      <c r="N126" s="76"/>
      <c r="O126" s="76"/>
      <c r="P126" s="76"/>
      <c r="Q126" s="76"/>
      <c r="R126" s="332"/>
    </row>
    <row r="127" spans="1:26" ht="15.75" customHeight="1" thickBot="1" x14ac:dyDescent="0.25">
      <c r="A127" s="333"/>
      <c r="B127" s="76"/>
      <c r="C127" s="328"/>
      <c r="D127" s="328"/>
      <c r="E127" s="328"/>
      <c r="F127" s="328"/>
      <c r="G127" s="76"/>
      <c r="H127" s="76"/>
      <c r="I127" s="76"/>
      <c r="J127" s="76"/>
      <c r="K127" s="76"/>
      <c r="L127" s="76"/>
      <c r="M127" s="76"/>
      <c r="N127" s="76"/>
      <c r="O127" s="76"/>
      <c r="P127" s="76"/>
      <c r="Q127" s="76"/>
      <c r="R127" s="332"/>
    </row>
    <row r="128" spans="1:26" ht="15.75" customHeight="1" thickTop="1" x14ac:dyDescent="0.2">
      <c r="A128" s="333"/>
      <c r="B128" s="76"/>
      <c r="C128" s="912" t="s">
        <v>1961</v>
      </c>
      <c r="D128" s="912"/>
      <c r="E128" s="912"/>
      <c r="F128" s="912"/>
      <c r="G128" s="76"/>
      <c r="H128" s="76"/>
      <c r="I128" s="76"/>
      <c r="J128" s="912" t="s">
        <v>1964</v>
      </c>
      <c r="K128" s="942"/>
      <c r="L128" s="942"/>
      <c r="M128" s="942"/>
      <c r="N128" s="76"/>
      <c r="O128" s="76"/>
      <c r="P128" s="76"/>
      <c r="Q128" s="76"/>
      <c r="R128" s="332"/>
    </row>
    <row r="129" spans="1:18" ht="15.75" customHeight="1" x14ac:dyDescent="0.25">
      <c r="A129" s="333"/>
      <c r="B129" s="76"/>
      <c r="C129" s="926" t="s">
        <v>1962</v>
      </c>
      <c r="D129" s="927"/>
      <c r="E129" s="927"/>
      <c r="F129" s="927"/>
      <c r="G129" s="76"/>
      <c r="H129" s="76"/>
      <c r="I129" s="76"/>
      <c r="J129" s="938" t="s">
        <v>1965</v>
      </c>
      <c r="K129" s="939"/>
      <c r="L129" s="939"/>
      <c r="M129" s="939"/>
      <c r="N129" s="76"/>
      <c r="O129" s="76"/>
      <c r="P129" s="76"/>
      <c r="Q129" s="76"/>
      <c r="R129" s="332"/>
    </row>
    <row r="130" spans="1:18" ht="15.75" customHeight="1" x14ac:dyDescent="0.2">
      <c r="A130" s="333"/>
      <c r="B130" s="76"/>
      <c r="C130" s="1046" t="s">
        <v>1963</v>
      </c>
      <c r="D130" s="1046"/>
      <c r="E130" s="1046"/>
      <c r="F130" s="1046"/>
      <c r="G130" s="76"/>
      <c r="H130" s="76"/>
      <c r="I130" s="76"/>
      <c r="J130" s="1046" t="s">
        <v>1966</v>
      </c>
      <c r="K130" s="1046"/>
      <c r="L130" s="1046"/>
      <c r="M130" s="1046"/>
      <c r="N130" s="76"/>
      <c r="O130" s="76"/>
      <c r="P130" s="76"/>
      <c r="Q130" s="76"/>
      <c r="R130" s="332"/>
    </row>
    <row r="131" spans="1:18" ht="15.75" customHeight="1" x14ac:dyDescent="0.2">
      <c r="A131" s="334"/>
      <c r="B131" s="335"/>
      <c r="C131" s="335"/>
      <c r="D131" s="335"/>
      <c r="E131" s="335"/>
      <c r="F131" s="335"/>
      <c r="G131" s="335"/>
      <c r="H131" s="335"/>
      <c r="I131" s="335"/>
      <c r="J131" s="335"/>
      <c r="K131" s="335"/>
      <c r="L131" s="335"/>
      <c r="M131" s="335"/>
      <c r="N131" s="335"/>
      <c r="O131" s="335"/>
      <c r="P131" s="335"/>
      <c r="Q131" s="335"/>
      <c r="R131" s="336"/>
    </row>
    <row r="132" spans="1:18" ht="15.75" customHeight="1" x14ac:dyDescent="0.2"/>
    <row r="133" spans="1:18" ht="15.75" customHeight="1" x14ac:dyDescent="0.2"/>
    <row r="134" spans="1:18" ht="15.75" customHeight="1" x14ac:dyDescent="0.2"/>
    <row r="135" spans="1:18" ht="15.75" customHeight="1" x14ac:dyDescent="0.2"/>
    <row r="136" spans="1:18" ht="15.75" customHeight="1" x14ac:dyDescent="0.2"/>
    <row r="137" spans="1:18" ht="15.75" customHeight="1" x14ac:dyDescent="0.2"/>
    <row r="138" spans="1:18" ht="15.75" customHeight="1" x14ac:dyDescent="0.2"/>
    <row r="139" spans="1:18" ht="15.75" customHeight="1" x14ac:dyDescent="0.2"/>
    <row r="140" spans="1:18" ht="15.75" customHeight="1" x14ac:dyDescent="0.2">
      <c r="H140">
        <v>12</v>
      </c>
      <c r="I140" s="1243">
        <v>140000</v>
      </c>
      <c r="J140" s="1243"/>
    </row>
    <row r="141" spans="1:18" ht="15.75" customHeight="1" x14ac:dyDescent="0.2">
      <c r="H141" s="826">
        <f>+H140*I140</f>
        <v>1680000</v>
      </c>
    </row>
    <row r="142" spans="1:18" ht="15.75" customHeight="1" x14ac:dyDescent="0.2">
      <c r="H142" s="123">
        <f>140000*3</f>
        <v>420000</v>
      </c>
    </row>
    <row r="143" spans="1:18" ht="15.75" customHeight="1" x14ac:dyDescent="0.2">
      <c r="H143" s="826">
        <f>+H141-H142</f>
        <v>1260000</v>
      </c>
    </row>
    <row r="144" spans="1:18"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sheetData>
  <autoFilter ref="A5:Z119" xr:uid="{00000000-0009-0000-0000-000008000000}">
    <filterColumn colId="2" showButton="0"/>
    <filterColumn colId="3" showButton="0"/>
    <filterColumn colId="4" showButton="0"/>
    <filterColumn colId="5" showButton="0"/>
    <filterColumn colId="6" showButton="0"/>
    <filterColumn colId="9" showButton="0"/>
    <filterColumn colId="11" showButton="0"/>
    <filterColumn colId="13" showButton="0"/>
    <filterColumn colId="15" showButton="0"/>
  </autoFilter>
  <mergeCells count="808">
    <mergeCell ref="N73:O73"/>
    <mergeCell ref="N71:O71"/>
    <mergeCell ref="J68:K68"/>
    <mergeCell ref="J70:K70"/>
    <mergeCell ref="L70:M70"/>
    <mergeCell ref="N70:O70"/>
    <mergeCell ref="J76:K76"/>
    <mergeCell ref="L76:M76"/>
    <mergeCell ref="N69:O69"/>
    <mergeCell ref="C130:F130"/>
    <mergeCell ref="J119:K119"/>
    <mergeCell ref="L119:M119"/>
    <mergeCell ref="N119:O119"/>
    <mergeCell ref="L116:M116"/>
    <mergeCell ref="L111:M111"/>
    <mergeCell ref="N111:O111"/>
    <mergeCell ref="J118:K118"/>
    <mergeCell ref="C119:H119"/>
    <mergeCell ref="C129:F129"/>
    <mergeCell ref="J129:M129"/>
    <mergeCell ref="J130:M130"/>
    <mergeCell ref="C112:H112"/>
    <mergeCell ref="C113:H113"/>
    <mergeCell ref="C114:H114"/>
    <mergeCell ref="C115:H115"/>
    <mergeCell ref="C116:H116"/>
    <mergeCell ref="C117:H117"/>
    <mergeCell ref="C118:H118"/>
    <mergeCell ref="P119:Q119"/>
    <mergeCell ref="N113:O113"/>
    <mergeCell ref="P113:Q113"/>
    <mergeCell ref="P114:Q114"/>
    <mergeCell ref="N117:O117"/>
    <mergeCell ref="P117:Q117"/>
    <mergeCell ref="L118:M118"/>
    <mergeCell ref="N118:O118"/>
    <mergeCell ref="P118:Q118"/>
    <mergeCell ref="N116:O116"/>
    <mergeCell ref="L114:M114"/>
    <mergeCell ref="N114:O114"/>
    <mergeCell ref="P116:Q116"/>
    <mergeCell ref="L115:M115"/>
    <mergeCell ref="J20:K20"/>
    <mergeCell ref="L20:M20"/>
    <mergeCell ref="P46:Q46"/>
    <mergeCell ref="L47:M47"/>
    <mergeCell ref="J41:K41"/>
    <mergeCell ref="L41:M41"/>
    <mergeCell ref="N41:O41"/>
    <mergeCell ref="P41:Q41"/>
    <mergeCell ref="J117:K117"/>
    <mergeCell ref="L117:M117"/>
    <mergeCell ref="J114:K114"/>
    <mergeCell ref="J115:K115"/>
    <mergeCell ref="L67:M67"/>
    <mergeCell ref="N67:O67"/>
    <mergeCell ref="N65:O65"/>
    <mergeCell ref="J60:K60"/>
    <mergeCell ref="L60:M60"/>
    <mergeCell ref="N60:O60"/>
    <mergeCell ref="N76:O76"/>
    <mergeCell ref="N78:O78"/>
    <mergeCell ref="N85:O85"/>
    <mergeCell ref="L65:M65"/>
    <mergeCell ref="J67:K67"/>
    <mergeCell ref="L73:M73"/>
    <mergeCell ref="P19:Q19"/>
    <mergeCell ref="J13:K13"/>
    <mergeCell ref="L13:M13"/>
    <mergeCell ref="N13:O13"/>
    <mergeCell ref="P13:Q13"/>
    <mergeCell ref="L14:M14"/>
    <mergeCell ref="N14:O14"/>
    <mergeCell ref="P14:Q14"/>
    <mergeCell ref="J14:K14"/>
    <mergeCell ref="J15:K15"/>
    <mergeCell ref="L15:M15"/>
    <mergeCell ref="N15:O15"/>
    <mergeCell ref="P15:Q15"/>
    <mergeCell ref="P34:Q34"/>
    <mergeCell ref="J16:K16"/>
    <mergeCell ref="L16:M16"/>
    <mergeCell ref="J17:K17"/>
    <mergeCell ref="L17:M17"/>
    <mergeCell ref="N17:O17"/>
    <mergeCell ref="N16:O16"/>
    <mergeCell ref="P16:Q16"/>
    <mergeCell ref="N24:O24"/>
    <mergeCell ref="P24:Q24"/>
    <mergeCell ref="J21:K21"/>
    <mergeCell ref="L21:M21"/>
    <mergeCell ref="N21:O21"/>
    <mergeCell ref="P21:Q21"/>
    <mergeCell ref="P17:Q17"/>
    <mergeCell ref="L18:M18"/>
    <mergeCell ref="N18:O18"/>
    <mergeCell ref="P18:Q18"/>
    <mergeCell ref="N20:O20"/>
    <mergeCell ref="P20:Q20"/>
    <mergeCell ref="J18:K18"/>
    <mergeCell ref="J19:K19"/>
    <mergeCell ref="L19:M19"/>
    <mergeCell ref="N19:O19"/>
    <mergeCell ref="N26:O26"/>
    <mergeCell ref="P26:Q26"/>
    <mergeCell ref="N37:O37"/>
    <mergeCell ref="P37:Q37"/>
    <mergeCell ref="N25:O25"/>
    <mergeCell ref="P25:Q25"/>
    <mergeCell ref="L26:M26"/>
    <mergeCell ref="J28:K28"/>
    <mergeCell ref="L28:M28"/>
    <mergeCell ref="N28:O28"/>
    <mergeCell ref="J26:K26"/>
    <mergeCell ref="L35:M35"/>
    <mergeCell ref="N35:O35"/>
    <mergeCell ref="P35:Q35"/>
    <mergeCell ref="L36:M36"/>
    <mergeCell ref="N36:O36"/>
    <mergeCell ref="P36:Q36"/>
    <mergeCell ref="J36:K36"/>
    <mergeCell ref="L27:M27"/>
    <mergeCell ref="P32:Q32"/>
    <mergeCell ref="N34:O34"/>
    <mergeCell ref="N33:O33"/>
    <mergeCell ref="P33:Q33"/>
    <mergeCell ref="J34:K34"/>
    <mergeCell ref="P28:Q28"/>
    <mergeCell ref="J27:K27"/>
    <mergeCell ref="N27:O27"/>
    <mergeCell ref="P27:Q27"/>
    <mergeCell ref="J32:K32"/>
    <mergeCell ref="J33:K33"/>
    <mergeCell ref="L33:M33"/>
    <mergeCell ref="N32:O32"/>
    <mergeCell ref="N29:O29"/>
    <mergeCell ref="P29:Q29"/>
    <mergeCell ref="J31:K31"/>
    <mergeCell ref="L31:M31"/>
    <mergeCell ref="N31:O31"/>
    <mergeCell ref="J29:K29"/>
    <mergeCell ref="L29:M29"/>
    <mergeCell ref="L32:M32"/>
    <mergeCell ref="J30:K30"/>
    <mergeCell ref="L30:M30"/>
    <mergeCell ref="N30:O30"/>
    <mergeCell ref="P30:Q30"/>
    <mergeCell ref="P31:Q31"/>
    <mergeCell ref="P22:Q22"/>
    <mergeCell ref="J22:K22"/>
    <mergeCell ref="J23:K23"/>
    <mergeCell ref="L23:M23"/>
    <mergeCell ref="N23:O23"/>
    <mergeCell ref="P23:Q23"/>
    <mergeCell ref="J24:K24"/>
    <mergeCell ref="L24:M24"/>
    <mergeCell ref="J25:K25"/>
    <mergeCell ref="L25:M25"/>
    <mergeCell ref="N22:O22"/>
    <mergeCell ref="C25:H25"/>
    <mergeCell ref="C26:H26"/>
    <mergeCell ref="J50:K50"/>
    <mergeCell ref="L50:M50"/>
    <mergeCell ref="L22:M22"/>
    <mergeCell ref="J37:K37"/>
    <mergeCell ref="L37:M37"/>
    <mergeCell ref="C27:H27"/>
    <mergeCell ref="C29:H29"/>
    <mergeCell ref="C31:H31"/>
    <mergeCell ref="C32:H32"/>
    <mergeCell ref="C33:H33"/>
    <mergeCell ref="C34:H34"/>
    <mergeCell ref="C35:H35"/>
    <mergeCell ref="C36:H36"/>
    <mergeCell ref="C37:H37"/>
    <mergeCell ref="C38:H38"/>
    <mergeCell ref="C40:H40"/>
    <mergeCell ref="J45:K45"/>
    <mergeCell ref="J35:K35"/>
    <mergeCell ref="L34:M34"/>
    <mergeCell ref="J38:K38"/>
    <mergeCell ref="L45:M45"/>
    <mergeCell ref="C16:H16"/>
    <mergeCell ref="C17:H17"/>
    <mergeCell ref="C18:H18"/>
    <mergeCell ref="C19:H19"/>
    <mergeCell ref="C20:H20"/>
    <mergeCell ref="C21:H21"/>
    <mergeCell ref="C22:H22"/>
    <mergeCell ref="C23:H23"/>
    <mergeCell ref="C24:H24"/>
    <mergeCell ref="C78:H78"/>
    <mergeCell ref="C79:H79"/>
    <mergeCell ref="C28:H28"/>
    <mergeCell ref="C46:H46"/>
    <mergeCell ref="C47:H47"/>
    <mergeCell ref="C48:H48"/>
    <mergeCell ref="C49:H49"/>
    <mergeCell ref="C50:H50"/>
    <mergeCell ref="C51:H51"/>
    <mergeCell ref="C52:H52"/>
    <mergeCell ref="C53:H53"/>
    <mergeCell ref="C41:H41"/>
    <mergeCell ref="C42:H42"/>
    <mergeCell ref="C44:H44"/>
    <mergeCell ref="C45:H45"/>
    <mergeCell ref="C30:H30"/>
    <mergeCell ref="C54:H54"/>
    <mergeCell ref="C55:H55"/>
    <mergeCell ref="C56:H56"/>
    <mergeCell ref="C73:H73"/>
    <mergeCell ref="C74:H74"/>
    <mergeCell ref="C75:H75"/>
    <mergeCell ref="C76:H76"/>
    <mergeCell ref="C58:H58"/>
    <mergeCell ref="C89:H89"/>
    <mergeCell ref="C80:H80"/>
    <mergeCell ref="C81:H81"/>
    <mergeCell ref="C82:H82"/>
    <mergeCell ref="C83:H83"/>
    <mergeCell ref="C84:H84"/>
    <mergeCell ref="C85:H85"/>
    <mergeCell ref="C86:H86"/>
    <mergeCell ref="C87:H87"/>
    <mergeCell ref="C88:H88"/>
    <mergeCell ref="C8:H8"/>
    <mergeCell ref="C9:H9"/>
    <mergeCell ref="C10:H10"/>
    <mergeCell ref="C11:H11"/>
    <mergeCell ref="C77:H77"/>
    <mergeCell ref="C69:H69"/>
    <mergeCell ref="C57:H57"/>
    <mergeCell ref="C68:H68"/>
    <mergeCell ref="C70:H70"/>
    <mergeCell ref="C71:H71"/>
    <mergeCell ref="C72:H72"/>
    <mergeCell ref="C59:H59"/>
    <mergeCell ref="C60:H60"/>
    <mergeCell ref="C61:H61"/>
    <mergeCell ref="C62:H62"/>
    <mergeCell ref="C63:H63"/>
    <mergeCell ref="C64:H64"/>
    <mergeCell ref="C65:H65"/>
    <mergeCell ref="C66:H66"/>
    <mergeCell ref="C67:H67"/>
    <mergeCell ref="C12:H12"/>
    <mergeCell ref="C13:H13"/>
    <mergeCell ref="C14:H14"/>
    <mergeCell ref="C15:H15"/>
    <mergeCell ref="C107:H107"/>
    <mergeCell ref="C108:H108"/>
    <mergeCell ref="C109:H109"/>
    <mergeCell ref="C110:H110"/>
    <mergeCell ref="C111:H111"/>
    <mergeCell ref="C90:H90"/>
    <mergeCell ref="C91:H91"/>
    <mergeCell ref="C92:H92"/>
    <mergeCell ref="C93:H93"/>
    <mergeCell ref="C94:H94"/>
    <mergeCell ref="C95:H95"/>
    <mergeCell ref="C96:H96"/>
    <mergeCell ref="C97:H97"/>
    <mergeCell ref="C98:H98"/>
    <mergeCell ref="C99:H99"/>
    <mergeCell ref="C100:H100"/>
    <mergeCell ref="C101:H101"/>
    <mergeCell ref="C102:H102"/>
    <mergeCell ref="C103:H103"/>
    <mergeCell ref="C104:H104"/>
    <mergeCell ref="C105:H105"/>
    <mergeCell ref="C106:H106"/>
    <mergeCell ref="A1:N3"/>
    <mergeCell ref="O1:P3"/>
    <mergeCell ref="Q1:R1"/>
    <mergeCell ref="Q2:R3"/>
    <mergeCell ref="C5:H5"/>
    <mergeCell ref="L5:M5"/>
    <mergeCell ref="L6:M6"/>
    <mergeCell ref="N6:O6"/>
    <mergeCell ref="P6:Q6"/>
    <mergeCell ref="C6:H6"/>
    <mergeCell ref="J5:K5"/>
    <mergeCell ref="J6:K6"/>
    <mergeCell ref="J8:K8"/>
    <mergeCell ref="J9:K9"/>
    <mergeCell ref="J10:K10"/>
    <mergeCell ref="J11:K11"/>
    <mergeCell ref="N5:O5"/>
    <mergeCell ref="P5:Q5"/>
    <mergeCell ref="J12:K12"/>
    <mergeCell ref="N8:O8"/>
    <mergeCell ref="P8:Q8"/>
    <mergeCell ref="L11:M11"/>
    <mergeCell ref="N11:O11"/>
    <mergeCell ref="P11:Q11"/>
    <mergeCell ref="L12:M12"/>
    <mergeCell ref="N12:O12"/>
    <mergeCell ref="P12:Q12"/>
    <mergeCell ref="L8:M8"/>
    <mergeCell ref="L9:M9"/>
    <mergeCell ref="N9:O9"/>
    <mergeCell ref="P9:Q9"/>
    <mergeCell ref="L10:M10"/>
    <mergeCell ref="N10:O10"/>
    <mergeCell ref="P10:Q10"/>
    <mergeCell ref="P53:Q53"/>
    <mergeCell ref="P50:Q50"/>
    <mergeCell ref="L51:M51"/>
    <mergeCell ref="N51:O51"/>
    <mergeCell ref="P51:Q51"/>
    <mergeCell ref="J51:K51"/>
    <mergeCell ref="J52:K52"/>
    <mergeCell ref="N47:O47"/>
    <mergeCell ref="P47:Q47"/>
    <mergeCell ref="J47:K47"/>
    <mergeCell ref="J48:K48"/>
    <mergeCell ref="L48:M48"/>
    <mergeCell ref="N48:O48"/>
    <mergeCell ref="P48:Q48"/>
    <mergeCell ref="J49:K49"/>
    <mergeCell ref="P49:Q49"/>
    <mergeCell ref="L52:M52"/>
    <mergeCell ref="N52:O52"/>
    <mergeCell ref="P52:Q52"/>
    <mergeCell ref="N50:O50"/>
    <mergeCell ref="J53:K53"/>
    <mergeCell ref="L53:M53"/>
    <mergeCell ref="N53:O53"/>
    <mergeCell ref="N45:O45"/>
    <mergeCell ref="P45:Q45"/>
    <mergeCell ref="L49:M49"/>
    <mergeCell ref="J46:K46"/>
    <mergeCell ref="L46:M46"/>
    <mergeCell ref="N46:O46"/>
    <mergeCell ref="J42:K42"/>
    <mergeCell ref="J44:K44"/>
    <mergeCell ref="L44:M44"/>
    <mergeCell ref="N44:O44"/>
    <mergeCell ref="P44:Q44"/>
    <mergeCell ref="N49:O49"/>
    <mergeCell ref="N38:O38"/>
    <mergeCell ref="P38:Q38"/>
    <mergeCell ref="J40:K40"/>
    <mergeCell ref="L40:M40"/>
    <mergeCell ref="N40:O40"/>
    <mergeCell ref="P40:Q40"/>
    <mergeCell ref="L42:M42"/>
    <mergeCell ref="N42:O42"/>
    <mergeCell ref="L38:M38"/>
    <mergeCell ref="P42:Q42"/>
    <mergeCell ref="P57:Q57"/>
    <mergeCell ref="J55:K55"/>
    <mergeCell ref="J56:K56"/>
    <mergeCell ref="L56:M56"/>
    <mergeCell ref="N56:O56"/>
    <mergeCell ref="P56:Q56"/>
    <mergeCell ref="J57:K57"/>
    <mergeCell ref="L57:M57"/>
    <mergeCell ref="P54:Q54"/>
    <mergeCell ref="L55:M55"/>
    <mergeCell ref="N55:O55"/>
    <mergeCell ref="P55:Q55"/>
    <mergeCell ref="N57:O57"/>
    <mergeCell ref="J54:K54"/>
    <mergeCell ref="L54:M54"/>
    <mergeCell ref="N54:O54"/>
    <mergeCell ref="P62:Q62"/>
    <mergeCell ref="L63:M63"/>
    <mergeCell ref="N63:O63"/>
    <mergeCell ref="P63:Q63"/>
    <mergeCell ref="J63:K63"/>
    <mergeCell ref="J64:K64"/>
    <mergeCell ref="L64:M64"/>
    <mergeCell ref="N64:O64"/>
    <mergeCell ref="P64:Q64"/>
    <mergeCell ref="J62:K62"/>
    <mergeCell ref="L62:M62"/>
    <mergeCell ref="N62:O62"/>
    <mergeCell ref="P71:Q71"/>
    <mergeCell ref="P60:Q60"/>
    <mergeCell ref="J61:K61"/>
    <mergeCell ref="L61:M61"/>
    <mergeCell ref="J58:K58"/>
    <mergeCell ref="L58:M58"/>
    <mergeCell ref="N58:O58"/>
    <mergeCell ref="P58:Q58"/>
    <mergeCell ref="L59:M59"/>
    <mergeCell ref="N59:O59"/>
    <mergeCell ref="P59:Q59"/>
    <mergeCell ref="J59:K59"/>
    <mergeCell ref="P61:Q61"/>
    <mergeCell ref="N61:O61"/>
    <mergeCell ref="P65:Q65"/>
    <mergeCell ref="J66:K66"/>
    <mergeCell ref="L66:M66"/>
    <mergeCell ref="N66:O66"/>
    <mergeCell ref="P66:Q66"/>
    <mergeCell ref="P67:Q67"/>
    <mergeCell ref="J65:K65"/>
    <mergeCell ref="L68:M68"/>
    <mergeCell ref="N68:O68"/>
    <mergeCell ref="P68:Q68"/>
    <mergeCell ref="P70:Q70"/>
    <mergeCell ref="J71:K71"/>
    <mergeCell ref="L71:M71"/>
    <mergeCell ref="P78:Q78"/>
    <mergeCell ref="J78:K78"/>
    <mergeCell ref="L78:M78"/>
    <mergeCell ref="J72:K72"/>
    <mergeCell ref="L72:M72"/>
    <mergeCell ref="N72:O72"/>
    <mergeCell ref="P72:Q72"/>
    <mergeCell ref="P73:Q73"/>
    <mergeCell ref="N75:O75"/>
    <mergeCell ref="P75:Q75"/>
    <mergeCell ref="J73:K73"/>
    <mergeCell ref="J74:K74"/>
    <mergeCell ref="L74:M74"/>
    <mergeCell ref="N74:O74"/>
    <mergeCell ref="P74:Q74"/>
    <mergeCell ref="J75:K75"/>
    <mergeCell ref="L75:M75"/>
    <mergeCell ref="L77:M77"/>
    <mergeCell ref="N77:O77"/>
    <mergeCell ref="P77:Q77"/>
    <mergeCell ref="J77:K77"/>
    <mergeCell ref="P76:Q76"/>
    <mergeCell ref="P85:Q85"/>
    <mergeCell ref="J83:K83"/>
    <mergeCell ref="J84:K84"/>
    <mergeCell ref="L84:M84"/>
    <mergeCell ref="N84:O84"/>
    <mergeCell ref="P84:Q84"/>
    <mergeCell ref="J79:K79"/>
    <mergeCell ref="L79:M79"/>
    <mergeCell ref="N79:O79"/>
    <mergeCell ref="P79:Q79"/>
    <mergeCell ref="L80:M80"/>
    <mergeCell ref="N80:O80"/>
    <mergeCell ref="P80:Q80"/>
    <mergeCell ref="J80:K80"/>
    <mergeCell ref="J81:K81"/>
    <mergeCell ref="L81:M81"/>
    <mergeCell ref="N81:O81"/>
    <mergeCell ref="P81:Q81"/>
    <mergeCell ref="L83:M83"/>
    <mergeCell ref="N83:O83"/>
    <mergeCell ref="J82:K82"/>
    <mergeCell ref="L82:M82"/>
    <mergeCell ref="N82:O82"/>
    <mergeCell ref="P82:Q82"/>
    <mergeCell ref="P83:Q83"/>
    <mergeCell ref="J89:K89"/>
    <mergeCell ref="L89:M89"/>
    <mergeCell ref="L91:M91"/>
    <mergeCell ref="N91:O91"/>
    <mergeCell ref="N89:O89"/>
    <mergeCell ref="P87:Q87"/>
    <mergeCell ref="J90:K90"/>
    <mergeCell ref="L90:M90"/>
    <mergeCell ref="N90:O90"/>
    <mergeCell ref="P89:Q89"/>
    <mergeCell ref="J85:K85"/>
    <mergeCell ref="L85:M85"/>
    <mergeCell ref="J86:K86"/>
    <mergeCell ref="L86:M86"/>
    <mergeCell ref="N86:O86"/>
    <mergeCell ref="P86:Q86"/>
    <mergeCell ref="L87:M87"/>
    <mergeCell ref="N87:O87"/>
    <mergeCell ref="J87:K87"/>
    <mergeCell ref="J88:K88"/>
    <mergeCell ref="L88:M88"/>
    <mergeCell ref="N88:O88"/>
    <mergeCell ref="P88:Q88"/>
    <mergeCell ref="P93:Q93"/>
    <mergeCell ref="J91:K91"/>
    <mergeCell ref="J92:K92"/>
    <mergeCell ref="L92:M92"/>
    <mergeCell ref="N92:O92"/>
    <mergeCell ref="P92:Q92"/>
    <mergeCell ref="J93:K93"/>
    <mergeCell ref="L93:M93"/>
    <mergeCell ref="J94:K94"/>
    <mergeCell ref="L94:M94"/>
    <mergeCell ref="N94:O94"/>
    <mergeCell ref="T42:U42"/>
    <mergeCell ref="T44:U44"/>
    <mergeCell ref="T45:U45"/>
    <mergeCell ref="T46:U46"/>
    <mergeCell ref="T47:U47"/>
    <mergeCell ref="T48:U48"/>
    <mergeCell ref="T70:U70"/>
    <mergeCell ref="T71:U71"/>
    <mergeCell ref="T74:U74"/>
    <mergeCell ref="T64:U64"/>
    <mergeCell ref="T65:U65"/>
    <mergeCell ref="T66:U66"/>
    <mergeCell ref="T67:U67"/>
    <mergeCell ref="T68:U68"/>
    <mergeCell ref="T76:U76"/>
    <mergeCell ref="T77:U77"/>
    <mergeCell ref="T78:U78"/>
    <mergeCell ref="T79:U79"/>
    <mergeCell ref="T80:U80"/>
    <mergeCell ref="J69:K69"/>
    <mergeCell ref="L69:M69"/>
    <mergeCell ref="T32:U32"/>
    <mergeCell ref="T33:U33"/>
    <mergeCell ref="T34:U34"/>
    <mergeCell ref="T35:U35"/>
    <mergeCell ref="T36:U36"/>
    <mergeCell ref="T37:U37"/>
    <mergeCell ref="T38:U38"/>
    <mergeCell ref="T40:U40"/>
    <mergeCell ref="T41:U41"/>
    <mergeCell ref="T23:U23"/>
    <mergeCell ref="T24:U24"/>
    <mergeCell ref="P94:Q94"/>
    <mergeCell ref="L95:M95"/>
    <mergeCell ref="N95:O95"/>
    <mergeCell ref="J103:K103"/>
    <mergeCell ref="N96:O96"/>
    <mergeCell ref="P96:Q96"/>
    <mergeCell ref="J97:K97"/>
    <mergeCell ref="L97:M97"/>
    <mergeCell ref="L99:M99"/>
    <mergeCell ref="N99:O99"/>
    <mergeCell ref="N97:O97"/>
    <mergeCell ref="P97:Q97"/>
    <mergeCell ref="J98:K98"/>
    <mergeCell ref="P90:Q90"/>
    <mergeCell ref="P91:Q91"/>
    <mergeCell ref="N93:O93"/>
    <mergeCell ref="T25:U25"/>
    <mergeCell ref="T26:U26"/>
    <mergeCell ref="T27:U27"/>
    <mergeCell ref="T29:U29"/>
    <mergeCell ref="T31:U31"/>
    <mergeCell ref="T75:U75"/>
    <mergeCell ref="T6:U6"/>
    <mergeCell ref="T8:U8"/>
    <mergeCell ref="T9:U9"/>
    <mergeCell ref="T10:U10"/>
    <mergeCell ref="T11:U11"/>
    <mergeCell ref="T12:U12"/>
    <mergeCell ref="T13:U13"/>
    <mergeCell ref="T14:U14"/>
    <mergeCell ref="T15:U15"/>
    <mergeCell ref="T16:U16"/>
    <mergeCell ref="T17:U17"/>
    <mergeCell ref="T18:U18"/>
    <mergeCell ref="T19:U19"/>
    <mergeCell ref="T20:U20"/>
    <mergeCell ref="T21:U21"/>
    <mergeCell ref="T22:U22"/>
    <mergeCell ref="T72:U72"/>
    <mergeCell ref="T73:U73"/>
    <mergeCell ref="T49:U49"/>
    <mergeCell ref="T50:U50"/>
    <mergeCell ref="T51:U51"/>
    <mergeCell ref="T52:U52"/>
    <mergeCell ref="T53:U53"/>
    <mergeCell ref="T54:U54"/>
    <mergeCell ref="T55:U55"/>
    <mergeCell ref="T56:U56"/>
    <mergeCell ref="T57:U57"/>
    <mergeCell ref="T58:U58"/>
    <mergeCell ref="T59:U59"/>
    <mergeCell ref="T60:U60"/>
    <mergeCell ref="T61:U61"/>
    <mergeCell ref="T62:U62"/>
    <mergeCell ref="T63:U63"/>
    <mergeCell ref="T100:U100"/>
    <mergeCell ref="T101:U101"/>
    <mergeCell ref="T102:U102"/>
    <mergeCell ref="T81:U81"/>
    <mergeCell ref="T82:U82"/>
    <mergeCell ref="T83:U83"/>
    <mergeCell ref="T84:U84"/>
    <mergeCell ref="T85:U85"/>
    <mergeCell ref="T90:U90"/>
    <mergeCell ref="T91:U91"/>
    <mergeCell ref="T92:U92"/>
    <mergeCell ref="T93:U93"/>
    <mergeCell ref="T94:U94"/>
    <mergeCell ref="T95:U95"/>
    <mergeCell ref="T96:U96"/>
    <mergeCell ref="T97:U97"/>
    <mergeCell ref="T98:U98"/>
    <mergeCell ref="T86:U86"/>
    <mergeCell ref="T87:U87"/>
    <mergeCell ref="T88:U88"/>
    <mergeCell ref="T89:U89"/>
    <mergeCell ref="T99:U99"/>
    <mergeCell ref="W36:X36"/>
    <mergeCell ref="W37:X37"/>
    <mergeCell ref="T119:U119"/>
    <mergeCell ref="T103:U103"/>
    <mergeCell ref="T104:U104"/>
    <mergeCell ref="T105:U105"/>
    <mergeCell ref="T106:U106"/>
    <mergeCell ref="T107:U107"/>
    <mergeCell ref="T108:U108"/>
    <mergeCell ref="T109:U109"/>
    <mergeCell ref="T110:U110"/>
    <mergeCell ref="T111:U111"/>
    <mergeCell ref="T112:U112"/>
    <mergeCell ref="T113:U113"/>
    <mergeCell ref="T114:U114"/>
    <mergeCell ref="T115:U115"/>
    <mergeCell ref="T116:U116"/>
    <mergeCell ref="T117:U117"/>
    <mergeCell ref="T118:U118"/>
    <mergeCell ref="W38:X38"/>
    <mergeCell ref="W40:X40"/>
    <mergeCell ref="W41:X41"/>
    <mergeCell ref="W42:X42"/>
    <mergeCell ref="W44:X44"/>
    <mergeCell ref="W25:X25"/>
    <mergeCell ref="W26:X26"/>
    <mergeCell ref="W27:X27"/>
    <mergeCell ref="W29:X29"/>
    <mergeCell ref="W31:X31"/>
    <mergeCell ref="W32:X32"/>
    <mergeCell ref="W33:X33"/>
    <mergeCell ref="W34:X34"/>
    <mergeCell ref="W35:X35"/>
    <mergeCell ref="W16:X16"/>
    <mergeCell ref="W17:X17"/>
    <mergeCell ref="W18:X18"/>
    <mergeCell ref="W19:X19"/>
    <mergeCell ref="W20:X20"/>
    <mergeCell ref="W21:X21"/>
    <mergeCell ref="W22:X22"/>
    <mergeCell ref="W23:X23"/>
    <mergeCell ref="W24:X24"/>
    <mergeCell ref="W6:X6"/>
    <mergeCell ref="W8:X8"/>
    <mergeCell ref="W9:X9"/>
    <mergeCell ref="W10:X10"/>
    <mergeCell ref="W11:X11"/>
    <mergeCell ref="W12:X12"/>
    <mergeCell ref="W13:X13"/>
    <mergeCell ref="W14:X14"/>
    <mergeCell ref="W15:X15"/>
    <mergeCell ref="W45:X45"/>
    <mergeCell ref="W46:X46"/>
    <mergeCell ref="W47:X47"/>
    <mergeCell ref="W57:X57"/>
    <mergeCell ref="W48:X48"/>
    <mergeCell ref="W49:X49"/>
    <mergeCell ref="W50:X50"/>
    <mergeCell ref="W51:X51"/>
    <mergeCell ref="W52:X52"/>
    <mergeCell ref="W53:X53"/>
    <mergeCell ref="W54:X54"/>
    <mergeCell ref="W55:X55"/>
    <mergeCell ref="W56:X56"/>
    <mergeCell ref="W58:X58"/>
    <mergeCell ref="W59:X59"/>
    <mergeCell ref="W60:X60"/>
    <mergeCell ref="W61:X61"/>
    <mergeCell ref="W62:X62"/>
    <mergeCell ref="W63:X63"/>
    <mergeCell ref="W91:X91"/>
    <mergeCell ref="W92:X92"/>
    <mergeCell ref="W89:X89"/>
    <mergeCell ref="W90:X90"/>
    <mergeCell ref="W64:X64"/>
    <mergeCell ref="W65:X65"/>
    <mergeCell ref="W66:X66"/>
    <mergeCell ref="W67:X67"/>
    <mergeCell ref="W68:X68"/>
    <mergeCell ref="W93:X93"/>
    <mergeCell ref="W94:X94"/>
    <mergeCell ref="W95:X95"/>
    <mergeCell ref="W96:X96"/>
    <mergeCell ref="W97:X97"/>
    <mergeCell ref="W70:X70"/>
    <mergeCell ref="W71:X71"/>
    <mergeCell ref="W72:X72"/>
    <mergeCell ref="W73:X73"/>
    <mergeCell ref="W74:X74"/>
    <mergeCell ref="W75:X75"/>
    <mergeCell ref="W76:X76"/>
    <mergeCell ref="W77:X77"/>
    <mergeCell ref="W78:X78"/>
    <mergeCell ref="W79:X79"/>
    <mergeCell ref="W80:X80"/>
    <mergeCell ref="W81:X81"/>
    <mergeCell ref="W82:X82"/>
    <mergeCell ref="W83:X83"/>
    <mergeCell ref="W84:X84"/>
    <mergeCell ref="W85:X85"/>
    <mergeCell ref="W86:X86"/>
    <mergeCell ref="W87:X87"/>
    <mergeCell ref="W88:X88"/>
    <mergeCell ref="W119:X119"/>
    <mergeCell ref="W98:X98"/>
    <mergeCell ref="W99:X99"/>
    <mergeCell ref="W100:X100"/>
    <mergeCell ref="W101:X101"/>
    <mergeCell ref="W102:X102"/>
    <mergeCell ref="W103:X103"/>
    <mergeCell ref="W104:X104"/>
    <mergeCell ref="W105:X105"/>
    <mergeCell ref="W106:X106"/>
    <mergeCell ref="W107:X107"/>
    <mergeCell ref="W108:X108"/>
    <mergeCell ref="W109:X109"/>
    <mergeCell ref="W110:X110"/>
    <mergeCell ref="W111:X111"/>
    <mergeCell ref="W112:X112"/>
    <mergeCell ref="W113:X113"/>
    <mergeCell ref="N110:O110"/>
    <mergeCell ref="P110:Q110"/>
    <mergeCell ref="J110:K110"/>
    <mergeCell ref="L110:M110"/>
    <mergeCell ref="N109:O109"/>
    <mergeCell ref="W115:X115"/>
    <mergeCell ref="W116:X116"/>
    <mergeCell ref="W117:X117"/>
    <mergeCell ref="W118:X118"/>
    <mergeCell ref="N115:O115"/>
    <mergeCell ref="P115:Q115"/>
    <mergeCell ref="J116:K116"/>
    <mergeCell ref="W114:X114"/>
    <mergeCell ref="P111:Q111"/>
    <mergeCell ref="J111:K111"/>
    <mergeCell ref="J112:K112"/>
    <mergeCell ref="L112:M112"/>
    <mergeCell ref="N112:O112"/>
    <mergeCell ref="P112:Q112"/>
    <mergeCell ref="J113:K113"/>
    <mergeCell ref="L113:M113"/>
    <mergeCell ref="L98:M98"/>
    <mergeCell ref="P107:Q107"/>
    <mergeCell ref="N104:O104"/>
    <mergeCell ref="P104:Q104"/>
    <mergeCell ref="J105:K105"/>
    <mergeCell ref="L105:M105"/>
    <mergeCell ref="L107:M107"/>
    <mergeCell ref="N107:O107"/>
    <mergeCell ref="N105:O105"/>
    <mergeCell ref="J106:K106"/>
    <mergeCell ref="L106:M106"/>
    <mergeCell ref="N98:O98"/>
    <mergeCell ref="P98:Q98"/>
    <mergeCell ref="P99:Q99"/>
    <mergeCell ref="J99:K99"/>
    <mergeCell ref="J100:K100"/>
    <mergeCell ref="L100:M100"/>
    <mergeCell ref="N100:O100"/>
    <mergeCell ref="P100:Q100"/>
    <mergeCell ref="N106:O106"/>
    <mergeCell ref="P106:Q106"/>
    <mergeCell ref="P105:Q105"/>
    <mergeCell ref="N102:O102"/>
    <mergeCell ref="P102:Q102"/>
    <mergeCell ref="P69:Q69"/>
    <mergeCell ref="J109:K109"/>
    <mergeCell ref="N101:O101"/>
    <mergeCell ref="P101:Q101"/>
    <mergeCell ref="L109:M109"/>
    <mergeCell ref="J107:K107"/>
    <mergeCell ref="J108:K108"/>
    <mergeCell ref="L108:M108"/>
    <mergeCell ref="N108:O108"/>
    <mergeCell ref="P108:Q108"/>
    <mergeCell ref="L103:M103"/>
    <mergeCell ref="N103:O103"/>
    <mergeCell ref="P103:Q103"/>
    <mergeCell ref="P95:Q95"/>
    <mergeCell ref="P109:Q109"/>
    <mergeCell ref="J95:K95"/>
    <mergeCell ref="J96:K96"/>
    <mergeCell ref="L96:M96"/>
    <mergeCell ref="J101:K101"/>
    <mergeCell ref="L101:M101"/>
    <mergeCell ref="J102:K102"/>
    <mergeCell ref="L102:M102"/>
    <mergeCell ref="J104:K104"/>
    <mergeCell ref="L104:M104"/>
    <mergeCell ref="I140:J140"/>
    <mergeCell ref="C7:H7"/>
    <mergeCell ref="J7:K7"/>
    <mergeCell ref="L7:M7"/>
    <mergeCell ref="N7:O7"/>
    <mergeCell ref="P7:Q7"/>
    <mergeCell ref="T7:U7"/>
    <mergeCell ref="W7:X7"/>
    <mergeCell ref="C43:H43"/>
    <mergeCell ref="J43:K43"/>
    <mergeCell ref="L43:M43"/>
    <mergeCell ref="N43:O43"/>
    <mergeCell ref="P43:Q43"/>
    <mergeCell ref="T43:U43"/>
    <mergeCell ref="W43:X43"/>
    <mergeCell ref="C39:H39"/>
    <mergeCell ref="J39:K39"/>
    <mergeCell ref="L39:M39"/>
    <mergeCell ref="N39:O39"/>
    <mergeCell ref="P39:Q39"/>
    <mergeCell ref="T39:U39"/>
    <mergeCell ref="W39:X39"/>
    <mergeCell ref="C128:F128"/>
    <mergeCell ref="J128:M128"/>
  </mergeCells>
  <phoneticPr fontId="36" type="noConversion"/>
  <conditionalFormatting sqref="C128:C129">
    <cfRule type="duplicateValues" dxfId="1400" priority="1"/>
  </conditionalFormatting>
  <printOptions horizontalCentered="1" verticalCentered="1"/>
  <pageMargins left="0.78740157480314998" right="0.78740157480314998" top="0.78740157480314998" bottom="0.78740157480314998" header="0" footer="0"/>
  <pageSetup scale="62"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B1:M33"/>
  <sheetViews>
    <sheetView view="pageBreakPreview" zoomScale="90" zoomScaleNormal="100" zoomScaleSheetLayoutView="90" workbookViewId="0">
      <selection activeCell="I37" sqref="I37"/>
    </sheetView>
  </sheetViews>
  <sheetFormatPr baseColWidth="10" defaultRowHeight="12.75" x14ac:dyDescent="0.2"/>
  <cols>
    <col min="1" max="1" width="4.140625" customWidth="1"/>
    <col min="3" max="3" width="21.42578125" customWidth="1"/>
    <col min="6" max="6" width="22.42578125" customWidth="1"/>
    <col min="7" max="7" width="11.5703125" customWidth="1"/>
    <col min="8" max="8" width="20.7109375" customWidth="1"/>
    <col min="12" max="12" width="23.7109375" customWidth="1"/>
    <col min="13" max="13" width="11.7109375" bestFit="1" customWidth="1"/>
  </cols>
  <sheetData>
    <row r="1" spans="2:13" ht="13.5" thickBot="1" x14ac:dyDescent="0.25"/>
    <row r="2" spans="2:13" ht="12.75" customHeight="1" x14ac:dyDescent="0.2">
      <c r="B2" s="1206" t="str">
        <f>+Indice!$B$2</f>
        <v>CONSTRUCCIÓN DE LA FASE 1 DEL PLAN MAESTRO DE ACUEDUCTO DEL MUNICIPIO DE ÍQUIRA, HUILA</v>
      </c>
      <c r="C2" s="1289"/>
      <c r="D2" s="1289"/>
      <c r="E2" s="1289"/>
      <c r="F2" s="1289"/>
      <c r="G2" s="1289"/>
      <c r="H2" s="1284"/>
      <c r="I2" s="1283" t="s">
        <v>653</v>
      </c>
      <c r="J2" s="1284"/>
      <c r="K2" s="1018" t="s">
        <v>0</v>
      </c>
      <c r="L2" s="1282"/>
    </row>
    <row r="3" spans="2:13" x14ac:dyDescent="0.2">
      <c r="B3" s="1290"/>
      <c r="C3" s="1291"/>
      <c r="D3" s="1291"/>
      <c r="E3" s="1291"/>
      <c r="F3" s="1291"/>
      <c r="G3" s="1291"/>
      <c r="H3" s="1286"/>
      <c r="I3" s="1285"/>
      <c r="J3" s="1286"/>
      <c r="K3" s="1151">
        <f>Indice!$Q$3</f>
        <v>46195</v>
      </c>
      <c r="L3" s="1301"/>
    </row>
    <row r="4" spans="2:13" x14ac:dyDescent="0.2">
      <c r="B4" s="1292"/>
      <c r="C4" s="1293"/>
      <c r="D4" s="1293"/>
      <c r="E4" s="1293"/>
      <c r="F4" s="1293"/>
      <c r="G4" s="1293"/>
      <c r="H4" s="1288"/>
      <c r="I4" s="1287"/>
      <c r="J4" s="1288"/>
      <c r="K4" s="1302"/>
      <c r="L4" s="1303"/>
    </row>
    <row r="5" spans="2:13" x14ac:dyDescent="0.2">
      <c r="B5" s="337"/>
      <c r="C5" s="76"/>
      <c r="D5" s="440">
        <v>1</v>
      </c>
      <c r="E5" s="440">
        <v>2</v>
      </c>
      <c r="F5" s="440">
        <v>3</v>
      </c>
      <c r="G5" s="440">
        <v>4</v>
      </c>
      <c r="H5" s="440">
        <v>5</v>
      </c>
      <c r="I5" s="440">
        <v>6</v>
      </c>
      <c r="J5" s="440">
        <v>7</v>
      </c>
      <c r="K5" s="440">
        <v>8</v>
      </c>
      <c r="L5" s="856">
        <v>9</v>
      </c>
    </row>
    <row r="6" spans="2:13" ht="15" x14ac:dyDescent="0.2">
      <c r="B6" s="857" t="s">
        <v>496</v>
      </c>
      <c r="C6" s="825" t="s">
        <v>0</v>
      </c>
      <c r="D6" s="1296" t="s">
        <v>383</v>
      </c>
      <c r="E6" s="1179"/>
      <c r="F6" s="1179"/>
      <c r="G6" s="1179"/>
      <c r="H6" s="1179"/>
      <c r="I6" s="1180"/>
      <c r="J6" s="825" t="s">
        <v>39</v>
      </c>
      <c r="K6" s="1294" t="s">
        <v>542</v>
      </c>
      <c r="L6" s="1295"/>
    </row>
    <row r="7" spans="2:13" ht="19.899999999999999" customHeight="1" x14ac:dyDescent="0.2">
      <c r="B7" s="858" t="s">
        <v>654</v>
      </c>
      <c r="C7" s="439">
        <v>45539</v>
      </c>
      <c r="D7" s="1297" t="s">
        <v>391</v>
      </c>
      <c r="E7" s="1187"/>
      <c r="F7" s="1187"/>
      <c r="G7" s="1187"/>
      <c r="H7" s="1187"/>
      <c r="I7" s="1007"/>
      <c r="J7" s="441" t="s">
        <v>655</v>
      </c>
      <c r="K7" s="1298"/>
      <c r="L7" s="1215"/>
      <c r="M7" s="45"/>
    </row>
    <row r="8" spans="2:13" ht="39" customHeight="1" x14ac:dyDescent="0.2">
      <c r="B8" s="858" t="s">
        <v>656</v>
      </c>
      <c r="C8" s="439">
        <v>45527</v>
      </c>
      <c r="D8" s="1011" t="s">
        <v>1607</v>
      </c>
      <c r="E8" s="1299"/>
      <c r="F8" s="1299"/>
      <c r="G8" s="1299"/>
      <c r="H8" s="1299"/>
      <c r="I8" s="1300"/>
      <c r="J8" s="403" t="s">
        <v>661</v>
      </c>
      <c r="K8" s="1298">
        <v>14684.3225513011</v>
      </c>
      <c r="L8" s="1215"/>
      <c r="M8" s="75"/>
    </row>
    <row r="9" spans="2:13" ht="19.899999999999999" customHeight="1" x14ac:dyDescent="0.2">
      <c r="B9" s="858" t="s">
        <v>657</v>
      </c>
      <c r="C9" s="439">
        <v>45525</v>
      </c>
      <c r="D9" s="1011" t="s">
        <v>1608</v>
      </c>
      <c r="E9" s="1299"/>
      <c r="F9" s="1299"/>
      <c r="G9" s="1299"/>
      <c r="H9" s="1299"/>
      <c r="I9" s="1300"/>
      <c r="J9" s="403" t="s">
        <v>661</v>
      </c>
      <c r="K9" s="1298">
        <v>13863.2983810241</v>
      </c>
      <c r="L9" s="1215"/>
      <c r="M9" s="45"/>
    </row>
    <row r="10" spans="2:13" ht="19.899999999999999" customHeight="1" x14ac:dyDescent="0.2">
      <c r="B10" s="858" t="s">
        <v>658</v>
      </c>
      <c r="C10" s="439">
        <v>45525</v>
      </c>
      <c r="D10" s="1011" t="s">
        <v>1609</v>
      </c>
      <c r="E10" s="1299"/>
      <c r="F10" s="1299"/>
      <c r="G10" s="1299"/>
      <c r="H10" s="1299"/>
      <c r="I10" s="1300"/>
      <c r="J10" s="403" t="s">
        <v>1618</v>
      </c>
      <c r="K10" s="1298">
        <v>200000</v>
      </c>
      <c r="L10" s="1215"/>
      <c r="M10" s="45"/>
    </row>
    <row r="11" spans="2:13" ht="19.899999999999999" customHeight="1" x14ac:dyDescent="0.2">
      <c r="B11" s="858" t="s">
        <v>659</v>
      </c>
      <c r="C11" s="439">
        <v>45526</v>
      </c>
      <c r="D11" s="1011" t="s">
        <v>1610</v>
      </c>
      <c r="E11" s="1299"/>
      <c r="F11" s="1299"/>
      <c r="G11" s="1299"/>
      <c r="H11" s="1299"/>
      <c r="I11" s="1300"/>
      <c r="J11" s="403" t="s">
        <v>661</v>
      </c>
      <c r="K11" s="1298">
        <v>88105.935056075105</v>
      </c>
      <c r="L11" s="1215"/>
      <c r="M11" s="45"/>
    </row>
    <row r="12" spans="2:13" ht="19.899999999999999" customHeight="1" x14ac:dyDescent="0.2">
      <c r="B12" s="858" t="s">
        <v>660</v>
      </c>
      <c r="C12" s="439">
        <v>45524</v>
      </c>
      <c r="D12" s="1011" t="s">
        <v>1611</v>
      </c>
      <c r="E12" s="1299"/>
      <c r="F12" s="1299"/>
      <c r="G12" s="1299"/>
      <c r="H12" s="1299"/>
      <c r="I12" s="1300"/>
      <c r="J12" s="403" t="s">
        <v>546</v>
      </c>
      <c r="K12" s="1298">
        <v>164468.19631467</v>
      </c>
      <c r="L12" s="1215"/>
      <c r="M12" s="45"/>
    </row>
    <row r="13" spans="2:13" ht="19.899999999999999" customHeight="1" x14ac:dyDescent="0.2">
      <c r="B13" s="858" t="s">
        <v>662</v>
      </c>
      <c r="C13" s="439">
        <v>45386</v>
      </c>
      <c r="D13" s="1011" t="s">
        <v>1612</v>
      </c>
      <c r="E13" s="1299"/>
      <c r="F13" s="1299"/>
      <c r="G13" s="1299"/>
      <c r="H13" s="1299"/>
      <c r="I13" s="1300"/>
      <c r="J13" s="403" t="s">
        <v>661</v>
      </c>
      <c r="K13" s="1298">
        <v>13784.079533132501</v>
      </c>
      <c r="L13" s="1215"/>
      <c r="M13" s="45"/>
    </row>
    <row r="14" spans="2:13" ht="19.899999999999999" customHeight="1" x14ac:dyDescent="0.2">
      <c r="B14" s="858" t="s">
        <v>663</v>
      </c>
      <c r="C14" s="439">
        <v>45526</v>
      </c>
      <c r="D14" s="1011" t="s">
        <v>1613</v>
      </c>
      <c r="E14" s="1299"/>
      <c r="F14" s="1299"/>
      <c r="G14" s="1299"/>
      <c r="H14" s="1299"/>
      <c r="I14" s="1300"/>
      <c r="J14" s="403" t="s">
        <v>661</v>
      </c>
      <c r="K14" s="1298">
        <v>81144.770470410993</v>
      </c>
      <c r="L14" s="1215"/>
      <c r="M14" s="45"/>
    </row>
    <row r="15" spans="2:13" ht="19.899999999999999" customHeight="1" x14ac:dyDescent="0.2">
      <c r="B15" s="858" t="s">
        <v>664</v>
      </c>
      <c r="C15" s="439">
        <v>45525</v>
      </c>
      <c r="D15" s="1011" t="s">
        <v>1614</v>
      </c>
      <c r="E15" s="1299"/>
      <c r="F15" s="1299"/>
      <c r="G15" s="1299"/>
      <c r="H15" s="1299"/>
      <c r="I15" s="1300"/>
      <c r="J15" s="403" t="s">
        <v>661</v>
      </c>
      <c r="K15" s="1298">
        <v>156610.27137963599</v>
      </c>
      <c r="L15" s="1215"/>
      <c r="M15" s="45"/>
    </row>
    <row r="16" spans="2:13" ht="19.899999999999999" customHeight="1" x14ac:dyDescent="0.2">
      <c r="B16" s="858" t="s">
        <v>665</v>
      </c>
      <c r="C16" s="439">
        <v>45525</v>
      </c>
      <c r="D16" s="1011" t="s">
        <v>1620</v>
      </c>
      <c r="E16" s="1299"/>
      <c r="F16" s="1299"/>
      <c r="G16" s="1299"/>
      <c r="H16" s="1299"/>
      <c r="I16" s="1300"/>
      <c r="J16" s="403" t="s">
        <v>1619</v>
      </c>
      <c r="K16" s="1298">
        <v>14292.4052865903</v>
      </c>
      <c r="L16" s="1215"/>
      <c r="M16" s="45"/>
    </row>
    <row r="17" spans="2:13" ht="19.899999999999999" customHeight="1" x14ac:dyDescent="0.2">
      <c r="B17" s="858" t="s">
        <v>666</v>
      </c>
      <c r="C17" s="439">
        <v>45509</v>
      </c>
      <c r="D17" s="1011" t="s">
        <v>1621</v>
      </c>
      <c r="E17" s="1299"/>
      <c r="F17" s="1299"/>
      <c r="G17" s="1299"/>
      <c r="H17" s="1299"/>
      <c r="I17" s="1300"/>
      <c r="J17" s="403" t="s">
        <v>1619</v>
      </c>
      <c r="K17" s="1298">
        <v>14324.4066205298</v>
      </c>
      <c r="L17" s="1215"/>
      <c r="M17" s="45"/>
    </row>
    <row r="18" spans="2:13" ht="19.899999999999999" customHeight="1" x14ac:dyDescent="0.2">
      <c r="B18" s="858" t="s">
        <v>667</v>
      </c>
      <c r="C18" s="439">
        <v>45539</v>
      </c>
      <c r="D18" s="1011" t="s">
        <v>1615</v>
      </c>
      <c r="E18" s="1299"/>
      <c r="F18" s="1299"/>
      <c r="G18" s="1299"/>
      <c r="H18" s="1299"/>
      <c r="I18" s="1300"/>
      <c r="J18" s="403" t="s">
        <v>661</v>
      </c>
      <c r="K18" s="1298">
        <v>1108.5499826768701</v>
      </c>
      <c r="L18" s="1215"/>
      <c r="M18" s="45"/>
    </row>
    <row r="19" spans="2:13" ht="19.899999999999999" customHeight="1" x14ac:dyDescent="0.2">
      <c r="B19" s="858" t="s">
        <v>668</v>
      </c>
      <c r="C19" s="439">
        <v>45540</v>
      </c>
      <c r="D19" s="1011" t="s">
        <v>1612</v>
      </c>
      <c r="E19" s="1299"/>
      <c r="F19" s="1299"/>
      <c r="G19" s="1299"/>
      <c r="H19" s="1299"/>
      <c r="I19" s="1300"/>
      <c r="J19" s="403" t="s">
        <v>661</v>
      </c>
      <c r="K19" s="1298">
        <v>13784.079533132501</v>
      </c>
      <c r="L19" s="1215"/>
      <c r="M19" s="45"/>
    </row>
    <row r="20" spans="2:13" ht="19.899999999999999" customHeight="1" x14ac:dyDescent="0.2">
      <c r="B20" s="858" t="s">
        <v>669</v>
      </c>
      <c r="C20" s="439">
        <v>45539</v>
      </c>
      <c r="D20" s="1011" t="s">
        <v>1616</v>
      </c>
      <c r="E20" s="1299"/>
      <c r="F20" s="1299"/>
      <c r="G20" s="1299"/>
      <c r="H20" s="1299"/>
      <c r="I20" s="1300"/>
      <c r="J20" s="403" t="s">
        <v>661</v>
      </c>
      <c r="K20" s="1298">
        <v>6302.8778918375201</v>
      </c>
      <c r="L20" s="1215"/>
      <c r="M20" s="45"/>
    </row>
    <row r="21" spans="2:13" ht="31.5" customHeight="1" x14ac:dyDescent="0.2">
      <c r="B21" s="858" t="s">
        <v>670</v>
      </c>
      <c r="C21" s="439">
        <v>45525</v>
      </c>
      <c r="D21" s="1011" t="s">
        <v>1617</v>
      </c>
      <c r="E21" s="1299"/>
      <c r="F21" s="1299"/>
      <c r="G21" s="1299"/>
      <c r="H21" s="1299"/>
      <c r="I21" s="1300"/>
      <c r="J21" s="403" t="s">
        <v>661</v>
      </c>
      <c r="K21" s="1298">
        <v>11628</v>
      </c>
      <c r="L21" s="1215"/>
      <c r="M21" s="45"/>
    </row>
    <row r="22" spans="2:13" x14ac:dyDescent="0.2">
      <c r="B22" s="859"/>
      <c r="C22" s="430"/>
      <c r="D22" s="430"/>
      <c r="E22" s="430"/>
      <c r="F22" s="430"/>
      <c r="G22" s="430"/>
      <c r="H22" s="430"/>
      <c r="I22" s="430"/>
      <c r="J22" s="430"/>
      <c r="K22" s="430"/>
      <c r="L22" s="860"/>
    </row>
    <row r="23" spans="2:13" x14ac:dyDescent="0.2">
      <c r="B23" s="337"/>
      <c r="C23" s="76"/>
      <c r="D23" s="76"/>
      <c r="E23" s="76"/>
      <c r="F23" s="76"/>
      <c r="G23" s="76"/>
      <c r="H23" s="76"/>
      <c r="I23" s="76"/>
      <c r="J23" s="76"/>
      <c r="K23" s="76"/>
      <c r="L23" s="338"/>
    </row>
    <row r="24" spans="2:13" x14ac:dyDescent="0.2">
      <c r="B24" s="337"/>
      <c r="C24" s="76"/>
      <c r="D24" s="76"/>
      <c r="E24" s="76"/>
      <c r="F24" s="76"/>
      <c r="G24" s="76"/>
      <c r="H24" s="76"/>
      <c r="I24" s="76"/>
      <c r="J24" s="76"/>
      <c r="K24" s="76"/>
      <c r="L24" s="338"/>
    </row>
    <row r="25" spans="2:13" x14ac:dyDescent="0.2">
      <c r="B25" s="337"/>
      <c r="C25" s="76"/>
      <c r="D25" s="76"/>
      <c r="E25" s="76"/>
      <c r="F25" s="76"/>
      <c r="G25" s="76"/>
      <c r="H25" s="76"/>
      <c r="I25" s="76"/>
      <c r="J25" s="76"/>
      <c r="K25" s="76"/>
      <c r="L25" s="338"/>
    </row>
    <row r="26" spans="2:13" x14ac:dyDescent="0.2">
      <c r="B26" s="337"/>
      <c r="C26" s="76"/>
      <c r="D26" s="76"/>
      <c r="E26" s="76"/>
      <c r="F26" s="76"/>
      <c r="G26" s="76"/>
      <c r="H26" s="76"/>
      <c r="I26" s="76"/>
      <c r="J26" s="76"/>
      <c r="K26" s="76"/>
      <c r="L26" s="338"/>
    </row>
    <row r="27" spans="2:13" x14ac:dyDescent="0.2">
      <c r="B27" s="337"/>
      <c r="C27" s="76"/>
      <c r="D27" s="76"/>
      <c r="E27" s="76"/>
      <c r="F27" s="76"/>
      <c r="G27" s="76"/>
      <c r="H27" s="76"/>
      <c r="I27" s="76"/>
      <c r="J27" s="76"/>
      <c r="K27" s="76"/>
      <c r="L27" s="338"/>
    </row>
    <row r="28" spans="2:13" x14ac:dyDescent="0.2">
      <c r="B28" s="337"/>
      <c r="C28" s="76"/>
      <c r="D28" s="76"/>
      <c r="E28" s="76"/>
      <c r="F28" s="76"/>
      <c r="G28" s="76"/>
      <c r="H28" s="76"/>
      <c r="I28" s="76"/>
      <c r="J28" s="76"/>
      <c r="K28" s="76"/>
      <c r="L28" s="338"/>
    </row>
    <row r="29" spans="2:13" x14ac:dyDescent="0.2">
      <c r="B29" s="337"/>
      <c r="C29" s="76"/>
      <c r="D29" s="76"/>
      <c r="E29" s="76"/>
      <c r="F29" s="76"/>
      <c r="G29" s="76"/>
      <c r="H29" s="76"/>
      <c r="I29" s="76"/>
      <c r="J29" s="76"/>
      <c r="K29" s="76"/>
      <c r="L29" s="338"/>
    </row>
    <row r="30" spans="2:13" ht="13.5" thickBot="1" x14ac:dyDescent="0.25">
      <c r="B30" s="855"/>
      <c r="C30" s="328"/>
      <c r="D30" s="328"/>
      <c r="E30" s="328"/>
      <c r="F30" s="76"/>
      <c r="G30" s="76"/>
      <c r="H30" s="76"/>
      <c r="I30" s="76"/>
      <c r="J30" s="76"/>
      <c r="K30" s="76"/>
      <c r="L30" s="338"/>
    </row>
    <row r="31" spans="2:13" ht="14.25" thickTop="1" x14ac:dyDescent="0.2">
      <c r="B31" s="1198" t="s">
        <v>1961</v>
      </c>
      <c r="C31" s="912"/>
      <c r="D31" s="912"/>
      <c r="E31" s="912"/>
      <c r="F31" s="76"/>
      <c r="G31" s="76"/>
      <c r="H31" s="76"/>
      <c r="I31" s="912" t="s">
        <v>1964</v>
      </c>
      <c r="J31" s="942"/>
      <c r="K31" s="942"/>
      <c r="L31" s="1199"/>
    </row>
    <row r="32" spans="2:13" ht="13.5" x14ac:dyDescent="0.25">
      <c r="B32" s="1197" t="s">
        <v>1962</v>
      </c>
      <c r="C32" s="927"/>
      <c r="D32" s="927"/>
      <c r="E32" s="927"/>
      <c r="F32" s="76"/>
      <c r="G32" s="76"/>
      <c r="H32" s="76"/>
      <c r="I32" s="938" t="s">
        <v>1965</v>
      </c>
      <c r="J32" s="939"/>
      <c r="K32" s="939"/>
      <c r="L32" s="1200"/>
    </row>
    <row r="33" spans="2:12" ht="13.5" thickBot="1" x14ac:dyDescent="0.25">
      <c r="B33" s="1281" t="s">
        <v>1963</v>
      </c>
      <c r="C33" s="1279"/>
      <c r="D33" s="1279"/>
      <c r="E33" s="1279"/>
      <c r="F33" s="342"/>
      <c r="G33" s="342"/>
      <c r="H33" s="342"/>
      <c r="I33" s="1279" t="s">
        <v>1966</v>
      </c>
      <c r="J33" s="1279"/>
      <c r="K33" s="1279"/>
      <c r="L33" s="1280"/>
    </row>
  </sheetData>
  <mergeCells count="42">
    <mergeCell ref="K16:L16"/>
    <mergeCell ref="D16:I16"/>
    <mergeCell ref="D17:I17"/>
    <mergeCell ref="K17:L17"/>
    <mergeCell ref="D21:I21"/>
    <mergeCell ref="K21:L21"/>
    <mergeCell ref="D19:I19"/>
    <mergeCell ref="D20:I20"/>
    <mergeCell ref="K20:L20"/>
    <mergeCell ref="K19:L19"/>
    <mergeCell ref="D18:I18"/>
    <mergeCell ref="K18:L18"/>
    <mergeCell ref="D10:I10"/>
    <mergeCell ref="D9:I9"/>
    <mergeCell ref="K13:L13"/>
    <mergeCell ref="K14:L14"/>
    <mergeCell ref="D15:I15"/>
    <mergeCell ref="K15:L15"/>
    <mergeCell ref="D11:I11"/>
    <mergeCell ref="D12:I12"/>
    <mergeCell ref="K12:L12"/>
    <mergeCell ref="D13:I13"/>
    <mergeCell ref="D14:I14"/>
    <mergeCell ref="K9:L9"/>
    <mergeCell ref="K10:L10"/>
    <mergeCell ref="K11:L11"/>
    <mergeCell ref="D7:I7"/>
    <mergeCell ref="K7:L7"/>
    <mergeCell ref="D8:I8"/>
    <mergeCell ref="K8:L8"/>
    <mergeCell ref="K3:L4"/>
    <mergeCell ref="K2:L2"/>
    <mergeCell ref="I2:J4"/>
    <mergeCell ref="B2:H4"/>
    <mergeCell ref="K6:L6"/>
    <mergeCell ref="D6:I6"/>
    <mergeCell ref="B31:E31"/>
    <mergeCell ref="I31:L31"/>
    <mergeCell ref="B32:E32"/>
    <mergeCell ref="I32:L32"/>
    <mergeCell ref="I33:L33"/>
    <mergeCell ref="B33:E33"/>
  </mergeCells>
  <phoneticPr fontId="36" type="noConversion"/>
  <conditionalFormatting sqref="B31:B32">
    <cfRule type="duplicateValues" dxfId="1399" priority="1"/>
  </conditionalFormatting>
  <printOptions horizontalCentered="1" verticalCentered="1"/>
  <pageMargins left="0" right="0" top="0" bottom="0" header="0" footer="0"/>
  <pageSetup scale="67"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R65"/>
  <sheetViews>
    <sheetView view="pageBreakPreview" zoomScale="70" zoomScaleNormal="100" zoomScaleSheetLayoutView="70" workbookViewId="0">
      <selection activeCell="P48" sqref="P48:R48"/>
    </sheetView>
  </sheetViews>
  <sheetFormatPr baseColWidth="10" defaultRowHeight="12.75" x14ac:dyDescent="0.2"/>
  <cols>
    <col min="1" max="1" width="5.28515625" customWidth="1"/>
    <col min="19" max="19" width="4.7109375" customWidth="1"/>
  </cols>
  <sheetData>
    <row r="1" spans="2:18" ht="13.5" thickBot="1" x14ac:dyDescent="0.25"/>
    <row r="2" spans="2:18" x14ac:dyDescent="0.2">
      <c r="B2" s="1164" t="str">
        <f>Indice!$B$2</f>
        <v>CONSTRUCCIÓN DE LA FASE 1 DEL PLAN MAESTRO DE ACUEDUCTO DEL MUNICIPIO DE ÍQUIRA, HUILA</v>
      </c>
      <c r="C2" s="1165"/>
      <c r="D2" s="1165"/>
      <c r="E2" s="1165"/>
      <c r="F2" s="1165"/>
      <c r="G2" s="1165"/>
      <c r="H2" s="1165"/>
      <c r="I2" s="1165"/>
      <c r="J2" s="1165"/>
      <c r="K2" s="1165"/>
      <c r="L2" s="1165"/>
      <c r="M2" s="1166"/>
      <c r="N2" s="1146" t="s">
        <v>0</v>
      </c>
      <c r="O2" s="1147"/>
      <c r="P2" s="1148">
        <f>Q25</f>
        <v>92526804</v>
      </c>
      <c r="Q2" s="1142"/>
      <c r="R2" s="1149"/>
    </row>
    <row r="3" spans="2:18" x14ac:dyDescent="0.2">
      <c r="B3" s="1167"/>
      <c r="C3" s="1168"/>
      <c r="D3" s="1168"/>
      <c r="E3" s="1168"/>
      <c r="F3" s="1168"/>
      <c r="G3" s="1168"/>
      <c r="H3" s="1168"/>
      <c r="I3" s="1168"/>
      <c r="J3" s="1168"/>
      <c r="K3" s="1168"/>
      <c r="L3" s="1168"/>
      <c r="M3" s="1169"/>
      <c r="N3" s="1151">
        <f>Indice!$Q$3</f>
        <v>46195</v>
      </c>
      <c r="O3" s="1053"/>
      <c r="P3" s="1029"/>
      <c r="Q3" s="939"/>
      <c r="R3" s="1140"/>
    </row>
    <row r="4" spans="2:18" x14ac:dyDescent="0.2">
      <c r="B4" s="1170"/>
      <c r="C4" s="1171"/>
      <c r="D4" s="1171"/>
      <c r="E4" s="1171"/>
      <c r="F4" s="1171"/>
      <c r="G4" s="1171"/>
      <c r="H4" s="1171"/>
      <c r="I4" s="1171"/>
      <c r="J4" s="1171"/>
      <c r="K4" s="1171"/>
      <c r="L4" s="1171"/>
      <c r="M4" s="1172"/>
      <c r="N4" s="1031"/>
      <c r="O4" s="1055"/>
      <c r="P4" s="1031"/>
      <c r="Q4" s="1032"/>
      <c r="R4" s="1150"/>
    </row>
    <row r="5" spans="2:18" ht="13.5" x14ac:dyDescent="0.2">
      <c r="B5" s="381"/>
      <c r="C5" s="382"/>
      <c r="D5" s="382"/>
      <c r="E5" s="382"/>
      <c r="F5" s="382"/>
      <c r="G5" s="382"/>
      <c r="H5" s="382"/>
      <c r="I5" s="382"/>
      <c r="J5" s="382"/>
      <c r="K5" s="382"/>
      <c r="L5" s="382"/>
      <c r="M5" s="382"/>
      <c r="N5" s="382"/>
      <c r="O5" s="382"/>
      <c r="P5" s="382"/>
      <c r="Q5" s="382"/>
      <c r="R5" s="395"/>
    </row>
    <row r="6" spans="2:18" x14ac:dyDescent="0.2">
      <c r="B6" s="1127" t="s">
        <v>258</v>
      </c>
      <c r="C6" s="1128"/>
      <c r="D6" s="1128"/>
      <c r="E6" s="1128"/>
      <c r="F6" s="1128"/>
      <c r="G6" s="1128"/>
      <c r="H6" s="1128"/>
      <c r="I6" s="1128"/>
      <c r="J6" s="1128"/>
      <c r="K6" s="1128"/>
      <c r="L6" s="1128"/>
      <c r="M6" s="1128"/>
      <c r="N6" s="1128"/>
      <c r="O6" s="1128"/>
      <c r="P6" s="1128"/>
      <c r="Q6" s="1128"/>
      <c r="R6" s="1129"/>
    </row>
    <row r="7" spans="2:18" x14ac:dyDescent="0.2">
      <c r="B7" s="1130"/>
      <c r="C7" s="1131"/>
      <c r="D7" s="1131"/>
      <c r="E7" s="1131"/>
      <c r="F7" s="1131"/>
      <c r="G7" s="1131"/>
      <c r="H7" s="1131"/>
      <c r="I7" s="1131"/>
      <c r="J7" s="1131"/>
      <c r="K7" s="1131"/>
      <c r="L7" s="1131"/>
      <c r="M7" s="1131"/>
      <c r="N7" s="1131"/>
      <c r="O7" s="1131"/>
      <c r="P7" s="1131"/>
      <c r="Q7" s="1131"/>
      <c r="R7" s="1132"/>
    </row>
    <row r="8" spans="2:18" ht="13.5" x14ac:dyDescent="0.25">
      <c r="B8" s="442"/>
      <c r="C8" s="121"/>
      <c r="D8" s="121"/>
      <c r="E8" s="121"/>
      <c r="F8" s="121"/>
      <c r="G8" s="121"/>
      <c r="H8" s="121"/>
      <c r="I8" s="121"/>
      <c r="J8" s="121"/>
      <c r="K8" s="121"/>
      <c r="L8" s="121"/>
      <c r="M8" s="121"/>
      <c r="N8" s="121"/>
      <c r="O8" s="121"/>
      <c r="P8" s="121"/>
      <c r="Q8" s="121"/>
      <c r="R8" s="443"/>
    </row>
    <row r="9" spans="2:18" ht="17.25" x14ac:dyDescent="0.3">
      <c r="B9" s="446"/>
      <c r="C9" s="447"/>
      <c r="D9" s="1312" t="s">
        <v>259</v>
      </c>
      <c r="E9" s="1007"/>
      <c r="F9" s="1313">
        <f>'PTO OC PLIEGO'!M188</f>
        <v>4540006805.7299995</v>
      </c>
      <c r="G9" s="1007"/>
      <c r="H9" s="1314" t="s">
        <v>260</v>
      </c>
      <c r="I9" s="1187"/>
      <c r="J9" s="1291" t="s">
        <v>261</v>
      </c>
      <c r="K9" s="1174"/>
      <c r="L9" s="1174"/>
      <c r="M9" s="1169"/>
      <c r="N9" s="409">
        <f>Indice!$G$7</f>
        <v>6</v>
      </c>
      <c r="O9" s="1285" t="s">
        <v>262</v>
      </c>
      <c r="P9" s="1174"/>
      <c r="Q9" s="1169"/>
      <c r="R9" s="448">
        <f>+N9*30</f>
        <v>180</v>
      </c>
    </row>
    <row r="10" spans="2:18" ht="17.25" x14ac:dyDescent="0.3">
      <c r="B10" s="446"/>
      <c r="C10" s="447"/>
      <c r="D10" s="449"/>
      <c r="E10" s="447"/>
      <c r="F10" s="447"/>
      <c r="G10" s="447"/>
      <c r="H10" s="447"/>
      <c r="I10" s="447"/>
      <c r="J10" s="447"/>
      <c r="K10" s="447"/>
      <c r="L10" s="447"/>
      <c r="M10" s="447"/>
      <c r="N10" s="447"/>
      <c r="O10" s="447"/>
      <c r="P10" s="447"/>
      <c r="Q10" s="447"/>
      <c r="R10" s="450"/>
    </row>
    <row r="11" spans="2:18" x14ac:dyDescent="0.2">
      <c r="B11" s="1309" t="s">
        <v>263</v>
      </c>
      <c r="C11" s="1180"/>
      <c r="D11" s="1038" t="s">
        <v>264</v>
      </c>
      <c r="E11" s="1179"/>
      <c r="F11" s="1180"/>
      <c r="G11" s="1038" t="s">
        <v>265</v>
      </c>
      <c r="H11" s="1179"/>
      <c r="I11" s="1180"/>
      <c r="J11" s="1038" t="s">
        <v>266</v>
      </c>
      <c r="K11" s="1179"/>
      <c r="L11" s="1180"/>
      <c r="M11" s="1038" t="s">
        <v>267</v>
      </c>
      <c r="N11" s="1179"/>
      <c r="O11" s="1180"/>
      <c r="P11" s="1038" t="s">
        <v>268</v>
      </c>
      <c r="Q11" s="1179"/>
      <c r="R11" s="1184"/>
    </row>
    <row r="12" spans="2:18" x14ac:dyDescent="0.2">
      <c r="B12" s="1167"/>
      <c r="C12" s="1169"/>
      <c r="D12" s="1181"/>
      <c r="E12" s="1171"/>
      <c r="F12" s="1172"/>
      <c r="G12" s="1181"/>
      <c r="H12" s="1171"/>
      <c r="I12" s="1172"/>
      <c r="J12" s="1181"/>
      <c r="K12" s="1171"/>
      <c r="L12" s="1172"/>
      <c r="M12" s="1181"/>
      <c r="N12" s="1171"/>
      <c r="O12" s="1172"/>
      <c r="P12" s="1181"/>
      <c r="Q12" s="1171"/>
      <c r="R12" s="1185"/>
    </row>
    <row r="13" spans="2:18" ht="24.6" customHeight="1" x14ac:dyDescent="0.2">
      <c r="B13" s="1311" t="s">
        <v>11</v>
      </c>
      <c r="C13" s="1180"/>
      <c r="D13" s="1306">
        <v>0.3</v>
      </c>
      <c r="E13" s="1187"/>
      <c r="F13" s="1007"/>
      <c r="G13" s="1306">
        <v>0.3</v>
      </c>
      <c r="H13" s="1187"/>
      <c r="I13" s="1007"/>
      <c r="J13" s="1306">
        <v>0.3</v>
      </c>
      <c r="K13" s="1187"/>
      <c r="L13" s="1007"/>
      <c r="M13" s="1306">
        <v>0.3</v>
      </c>
      <c r="N13" s="1187"/>
      <c r="O13" s="1007"/>
      <c r="P13" s="1306">
        <v>0.25</v>
      </c>
      <c r="Q13" s="1187"/>
      <c r="R13" s="1189"/>
    </row>
    <row r="14" spans="2:18" ht="22.15" customHeight="1" x14ac:dyDescent="0.2">
      <c r="B14" s="1309" t="s">
        <v>269</v>
      </c>
      <c r="C14" s="1180"/>
      <c r="D14" s="1308" t="s">
        <v>270</v>
      </c>
      <c r="E14" s="1179"/>
      <c r="F14" s="1180"/>
      <c r="G14" s="1308" t="s">
        <v>270</v>
      </c>
      <c r="H14" s="1179"/>
      <c r="I14" s="1180"/>
      <c r="J14" s="1308" t="s">
        <v>270</v>
      </c>
      <c r="K14" s="1179"/>
      <c r="L14" s="1180"/>
      <c r="M14" s="1308" t="s">
        <v>271</v>
      </c>
      <c r="N14" s="1179"/>
      <c r="O14" s="1180"/>
      <c r="P14" s="1308" t="s">
        <v>272</v>
      </c>
      <c r="Q14" s="1179"/>
      <c r="R14" s="1184"/>
    </row>
    <row r="15" spans="2:18" ht="24" customHeight="1" x14ac:dyDescent="0.2">
      <c r="B15" s="1167"/>
      <c r="C15" s="1169"/>
      <c r="D15" s="1181"/>
      <c r="E15" s="1171"/>
      <c r="F15" s="1172"/>
      <c r="G15" s="1181"/>
      <c r="H15" s="1171"/>
      <c r="I15" s="1172"/>
      <c r="J15" s="1181"/>
      <c r="K15" s="1171"/>
      <c r="L15" s="1172"/>
      <c r="M15" s="1181"/>
      <c r="N15" s="1171"/>
      <c r="O15" s="1172"/>
      <c r="P15" s="1181"/>
      <c r="Q15" s="1171"/>
      <c r="R15" s="1185"/>
    </row>
    <row r="16" spans="2:18" ht="17.25" x14ac:dyDescent="0.2">
      <c r="B16" s="1310" t="s">
        <v>273</v>
      </c>
      <c r="C16" s="1007"/>
      <c r="D16" s="1306">
        <v>5.0000000000000001E-3</v>
      </c>
      <c r="E16" s="1187"/>
      <c r="F16" s="1007"/>
      <c r="G16" s="1306">
        <v>5.0000000000000001E-3</v>
      </c>
      <c r="H16" s="1187"/>
      <c r="I16" s="1007"/>
      <c r="J16" s="1306">
        <v>5.0000000000000001E-3</v>
      </c>
      <c r="K16" s="1187"/>
      <c r="L16" s="1007"/>
      <c r="M16" s="1306">
        <v>5.0000000000000001E-3</v>
      </c>
      <c r="N16" s="1187"/>
      <c r="O16" s="1007"/>
      <c r="P16" s="1306">
        <v>5.0000000000000001E-3</v>
      </c>
      <c r="Q16" s="1187"/>
      <c r="R16" s="1189"/>
    </row>
    <row r="17" spans="2:18" ht="33" customHeight="1" x14ac:dyDescent="0.2">
      <c r="B17" s="1310" t="s">
        <v>274</v>
      </c>
      <c r="C17" s="1007"/>
      <c r="D17" s="1298">
        <f>$F$9*D13</f>
        <v>1362002041.7189999</v>
      </c>
      <c r="E17" s="1187"/>
      <c r="F17" s="1007"/>
      <c r="G17" s="1298">
        <f>$F$9*G13</f>
        <v>1362002041.7189999</v>
      </c>
      <c r="H17" s="1187"/>
      <c r="I17" s="1007"/>
      <c r="J17" s="1298">
        <f>$F$9*J13</f>
        <v>1362002041.7189999</v>
      </c>
      <c r="K17" s="1187"/>
      <c r="L17" s="1007"/>
      <c r="M17" s="1298">
        <f>$F$9*M13</f>
        <v>1362002041.7189999</v>
      </c>
      <c r="N17" s="1187"/>
      <c r="O17" s="1007"/>
      <c r="P17" s="1298">
        <f>$F$9*P13</f>
        <v>1135001701.4324999</v>
      </c>
      <c r="Q17" s="1187"/>
      <c r="R17" s="1189"/>
    </row>
    <row r="18" spans="2:18" ht="17.25" x14ac:dyDescent="0.2">
      <c r="B18" s="1310" t="s">
        <v>275</v>
      </c>
      <c r="C18" s="1007"/>
      <c r="D18" s="1307">
        <f>6*30</f>
        <v>180</v>
      </c>
      <c r="E18" s="1187"/>
      <c r="F18" s="1007"/>
      <c r="G18" s="1307">
        <f>6*30</f>
        <v>180</v>
      </c>
      <c r="H18" s="1187"/>
      <c r="I18" s="1007"/>
      <c r="J18" s="1307">
        <f>6*30</f>
        <v>180</v>
      </c>
      <c r="K18" s="1187"/>
      <c r="L18" s="1007"/>
      <c r="M18" s="1307">
        <f>5*12*30</f>
        <v>1800</v>
      </c>
      <c r="N18" s="1187"/>
      <c r="O18" s="1007"/>
      <c r="P18" s="1307">
        <f>3*12*30</f>
        <v>1080</v>
      </c>
      <c r="Q18" s="1187"/>
      <c r="R18" s="1189"/>
    </row>
    <row r="19" spans="2:18" ht="17.25" x14ac:dyDescent="0.2">
      <c r="B19" s="1310" t="s">
        <v>276</v>
      </c>
      <c r="C19" s="1007"/>
      <c r="D19" s="1307">
        <f>$R$9+D18</f>
        <v>360</v>
      </c>
      <c r="E19" s="1187"/>
      <c r="F19" s="1007"/>
      <c r="G19" s="1307">
        <f>$R$9+G18</f>
        <v>360</v>
      </c>
      <c r="H19" s="1187"/>
      <c r="I19" s="1007"/>
      <c r="J19" s="1307">
        <f>$R$9+J18</f>
        <v>360</v>
      </c>
      <c r="K19" s="1187"/>
      <c r="L19" s="1007"/>
      <c r="M19" s="1307">
        <f>$R$9+M18</f>
        <v>1980</v>
      </c>
      <c r="N19" s="1187"/>
      <c r="O19" s="1007"/>
      <c r="P19" s="1307">
        <f>$R$9+P18</f>
        <v>1260</v>
      </c>
      <c r="Q19" s="1187"/>
      <c r="R19" s="1189"/>
    </row>
    <row r="20" spans="2:18" ht="17.25" x14ac:dyDescent="0.2">
      <c r="B20" s="1310" t="s">
        <v>277</v>
      </c>
      <c r="C20" s="1007"/>
      <c r="D20" s="1298">
        <f>(D17*D16)/360*D19</f>
        <v>6810010.2085950002</v>
      </c>
      <c r="E20" s="1187"/>
      <c r="F20" s="1007"/>
      <c r="G20" s="1298">
        <f>(G17*G16)/360*G19</f>
        <v>6810010.2085950002</v>
      </c>
      <c r="H20" s="1187"/>
      <c r="I20" s="1007"/>
      <c r="J20" s="1298">
        <f>(J17*J16)/360*J19</f>
        <v>6810010.2085950002</v>
      </c>
      <c r="K20" s="1187"/>
      <c r="L20" s="1007"/>
      <c r="M20" s="1298">
        <f>(M17*M16)/360*M19</f>
        <v>37455056.147272497</v>
      </c>
      <c r="N20" s="1187"/>
      <c r="O20" s="1007"/>
      <c r="P20" s="1298">
        <f>(P17*P16)/360*P19</f>
        <v>19862529.775068749</v>
      </c>
      <c r="Q20" s="1187"/>
      <c r="R20" s="1189"/>
    </row>
    <row r="21" spans="2:18" ht="13.5" x14ac:dyDescent="0.25">
      <c r="B21" s="442"/>
      <c r="C21" s="122"/>
      <c r="D21" s="122"/>
      <c r="E21" s="122"/>
      <c r="F21" s="122"/>
      <c r="G21" s="122"/>
      <c r="H21" s="122"/>
      <c r="I21" s="122"/>
      <c r="J21" s="122"/>
      <c r="K21" s="122"/>
      <c r="L21" s="122"/>
      <c r="M21" s="122"/>
      <c r="N21" s="122"/>
      <c r="O21" s="121"/>
      <c r="P21" s="121"/>
      <c r="Q21" s="121"/>
      <c r="R21" s="443"/>
    </row>
    <row r="22" spans="2:18" ht="23.45" customHeight="1" x14ac:dyDescent="0.25">
      <c r="B22" s="442"/>
      <c r="C22" s="121"/>
      <c r="D22" s="121"/>
      <c r="E22" s="121"/>
      <c r="F22" s="121"/>
      <c r="G22" s="121"/>
      <c r="H22" s="121"/>
      <c r="I22" s="121"/>
      <c r="J22" s="121"/>
      <c r="K22" s="121"/>
      <c r="L22" s="121"/>
      <c r="M22" s="121"/>
      <c r="N22" s="121"/>
      <c r="O22" s="1315" t="s">
        <v>278</v>
      </c>
      <c r="P22" s="1007"/>
      <c r="Q22" s="1316">
        <f>SUM(D20:R20)</f>
        <v>77747616.548126251</v>
      </c>
      <c r="R22" s="1189"/>
    </row>
    <row r="23" spans="2:18" ht="34.15" customHeight="1" x14ac:dyDescent="0.25">
      <c r="B23" s="442"/>
      <c r="C23" s="121"/>
      <c r="D23" s="121"/>
      <c r="E23" s="121"/>
      <c r="F23" s="121"/>
      <c r="G23" s="121"/>
      <c r="H23" s="121"/>
      <c r="I23" s="121"/>
      <c r="J23" s="121"/>
      <c r="K23" s="121"/>
      <c r="L23" s="121"/>
      <c r="M23" s="121"/>
      <c r="N23" s="121"/>
      <c r="O23" s="1315" t="s">
        <v>279</v>
      </c>
      <c r="P23" s="1007"/>
      <c r="Q23" s="1316">
        <v>6000</v>
      </c>
      <c r="R23" s="1189"/>
    </row>
    <row r="24" spans="2:18" ht="24" customHeight="1" x14ac:dyDescent="0.25">
      <c r="B24" s="442"/>
      <c r="C24" s="121"/>
      <c r="D24" s="121"/>
      <c r="E24" s="121"/>
      <c r="F24" s="121"/>
      <c r="G24" s="121"/>
      <c r="H24" s="121"/>
      <c r="I24" s="121"/>
      <c r="J24" s="121"/>
      <c r="K24" s="121"/>
      <c r="L24" s="121"/>
      <c r="M24" s="121"/>
      <c r="N24" s="121"/>
      <c r="O24" s="451" t="s">
        <v>280</v>
      </c>
      <c r="P24" s="452">
        <v>0.19</v>
      </c>
      <c r="Q24" s="1316">
        <f>(Q22+Q23)*P24</f>
        <v>14773187.144143987</v>
      </c>
      <c r="R24" s="1189"/>
    </row>
    <row r="25" spans="2:18" ht="24.6" customHeight="1" x14ac:dyDescent="0.25">
      <c r="B25" s="442"/>
      <c r="C25" s="121"/>
      <c r="D25" s="121"/>
      <c r="E25" s="121"/>
      <c r="F25" s="121"/>
      <c r="G25" s="121"/>
      <c r="H25" s="121"/>
      <c r="I25" s="121"/>
      <c r="J25" s="121"/>
      <c r="K25" s="121"/>
      <c r="L25" s="121"/>
      <c r="M25" s="121"/>
      <c r="N25" s="121"/>
      <c r="O25" s="1315" t="s">
        <v>281</v>
      </c>
      <c r="P25" s="1007"/>
      <c r="Q25" s="1316">
        <f>ROUND((Q22+Q23+Q24),0)</f>
        <v>92526804</v>
      </c>
      <c r="R25" s="1189"/>
    </row>
    <row r="26" spans="2:18" x14ac:dyDescent="0.2">
      <c r="B26" s="389"/>
      <c r="C26" s="76"/>
      <c r="D26" s="76"/>
      <c r="E26" s="76"/>
      <c r="F26" s="76"/>
      <c r="G26" s="76"/>
      <c r="H26" s="76"/>
      <c r="I26" s="76"/>
      <c r="J26" s="76"/>
      <c r="K26" s="76"/>
      <c r="L26" s="76"/>
      <c r="M26" s="76"/>
      <c r="N26" s="76"/>
      <c r="O26" s="76"/>
      <c r="P26" s="76"/>
      <c r="Q26" s="76"/>
      <c r="R26" s="390"/>
    </row>
    <row r="27" spans="2:18" x14ac:dyDescent="0.2">
      <c r="B27" s="389"/>
      <c r="C27" s="76"/>
      <c r="D27" s="76"/>
      <c r="E27" s="76"/>
      <c r="F27" s="76"/>
      <c r="G27" s="76"/>
      <c r="H27" s="76"/>
      <c r="I27" s="76"/>
      <c r="J27" s="76"/>
      <c r="K27" s="76"/>
      <c r="L27" s="76"/>
      <c r="M27" s="76"/>
      <c r="N27" s="76"/>
      <c r="O27" s="76"/>
      <c r="P27" s="76"/>
      <c r="Q27" s="76"/>
      <c r="R27" s="390"/>
    </row>
    <row r="28" spans="2:18" x14ac:dyDescent="0.2">
      <c r="B28" s="389"/>
      <c r="C28" s="76"/>
      <c r="D28" s="76"/>
      <c r="E28" s="76"/>
      <c r="F28" s="76"/>
      <c r="G28" s="76"/>
      <c r="H28" s="76"/>
      <c r="I28" s="76"/>
      <c r="J28" s="76"/>
      <c r="K28" s="76"/>
      <c r="L28" s="76"/>
      <c r="M28" s="76"/>
      <c r="N28" s="76"/>
      <c r="O28" s="76"/>
      <c r="P28" s="76"/>
      <c r="Q28" s="76"/>
      <c r="R28" s="390"/>
    </row>
    <row r="29" spans="2:18" x14ac:dyDescent="0.2">
      <c r="B29" s="389"/>
      <c r="C29" s="76"/>
      <c r="D29" s="76"/>
      <c r="E29" s="76"/>
      <c r="F29" s="76"/>
      <c r="G29" s="76"/>
      <c r="H29" s="76"/>
      <c r="I29" s="76"/>
      <c r="J29" s="76"/>
      <c r="K29" s="76"/>
      <c r="L29" s="76"/>
      <c r="M29" s="76"/>
      <c r="N29" s="76"/>
      <c r="O29" s="76"/>
      <c r="P29" s="76"/>
      <c r="Q29" s="76"/>
      <c r="R29" s="390"/>
    </row>
    <row r="30" spans="2:18" ht="13.5" thickBot="1" x14ac:dyDescent="0.25">
      <c r="B30" s="389"/>
      <c r="C30" s="76"/>
      <c r="D30" s="76"/>
      <c r="E30" s="76"/>
      <c r="F30" s="76"/>
      <c r="G30" s="76"/>
      <c r="H30" s="76"/>
      <c r="I30" s="76"/>
      <c r="J30" s="76"/>
      <c r="K30" s="76"/>
      <c r="L30" s="76"/>
      <c r="M30" s="76"/>
      <c r="N30" s="76"/>
      <c r="O30" s="76"/>
      <c r="P30" s="76"/>
      <c r="Q30" s="76"/>
      <c r="R30" s="390"/>
    </row>
    <row r="31" spans="2:18" ht="14.25" thickTop="1" x14ac:dyDescent="0.2">
      <c r="B31" s="389"/>
      <c r="C31" s="76"/>
      <c r="D31" s="76"/>
      <c r="E31" s="912" t="s">
        <v>1961</v>
      </c>
      <c r="F31" s="912"/>
      <c r="G31" s="912"/>
      <c r="H31" s="912"/>
      <c r="I31" s="76"/>
      <c r="J31" s="76"/>
      <c r="K31" s="912" t="s">
        <v>1964</v>
      </c>
      <c r="L31" s="942"/>
      <c r="M31" s="942"/>
      <c r="N31" s="942"/>
      <c r="O31" s="76"/>
      <c r="P31" s="76"/>
      <c r="Q31" s="76"/>
      <c r="R31" s="390"/>
    </row>
    <row r="32" spans="2:18" ht="13.5" x14ac:dyDescent="0.25">
      <c r="B32" s="389"/>
      <c r="C32" s="76"/>
      <c r="D32" s="76"/>
      <c r="E32" s="926" t="s">
        <v>1962</v>
      </c>
      <c r="F32" s="927"/>
      <c r="G32" s="927"/>
      <c r="H32" s="927"/>
      <c r="I32" s="76"/>
      <c r="J32" s="76"/>
      <c r="K32" s="938" t="s">
        <v>1965</v>
      </c>
      <c r="L32" s="939"/>
      <c r="M32" s="939"/>
      <c r="N32" s="939"/>
      <c r="O32" s="76"/>
      <c r="P32" s="76"/>
      <c r="Q32" s="76"/>
      <c r="R32" s="390"/>
    </row>
    <row r="33" spans="2:18" x14ac:dyDescent="0.2">
      <c r="B33" s="389"/>
      <c r="C33" s="76"/>
      <c r="D33" s="76"/>
      <c r="E33" s="1046" t="s">
        <v>1963</v>
      </c>
      <c r="F33" s="1046"/>
      <c r="G33" s="1046"/>
      <c r="H33" s="1046"/>
      <c r="I33" s="76"/>
      <c r="J33" s="76"/>
      <c r="K33" s="1046" t="s">
        <v>1966</v>
      </c>
      <c r="L33" s="1046"/>
      <c r="M33" s="1046"/>
      <c r="N33" s="1046"/>
      <c r="O33" s="76"/>
      <c r="P33" s="76"/>
      <c r="Q33" s="76"/>
      <c r="R33" s="390"/>
    </row>
    <row r="34" spans="2:18" ht="14.25" thickBot="1" x14ac:dyDescent="0.3">
      <c r="B34" s="392"/>
      <c r="C34" s="393"/>
      <c r="D34" s="393"/>
      <c r="E34" s="444"/>
      <c r="F34" s="445"/>
      <c r="G34" s="445"/>
      <c r="H34" s="445"/>
      <c r="I34" s="393"/>
      <c r="J34" s="393"/>
      <c r="K34" s="1304"/>
      <c r="L34" s="1305"/>
      <c r="M34" s="1305"/>
      <c r="N34" s="1305"/>
      <c r="O34" s="393"/>
      <c r="P34" s="393"/>
      <c r="Q34" s="393"/>
      <c r="R34" s="394"/>
    </row>
    <row r="37" spans="2:18" x14ac:dyDescent="0.2">
      <c r="B37" s="1127" t="s">
        <v>258</v>
      </c>
      <c r="C37" s="1128"/>
      <c r="D37" s="1128"/>
      <c r="E37" s="1128"/>
      <c r="F37" s="1128"/>
      <c r="G37" s="1128"/>
      <c r="H37" s="1128"/>
      <c r="I37" s="1128"/>
      <c r="J37" s="1128"/>
      <c r="K37" s="1128"/>
      <c r="L37" s="1128"/>
      <c r="M37" s="1128"/>
      <c r="N37" s="1128"/>
      <c r="O37" s="1128"/>
      <c r="P37" s="1128"/>
      <c r="Q37" s="1128"/>
      <c r="R37" s="1129"/>
    </row>
    <row r="38" spans="2:18" x14ac:dyDescent="0.2">
      <c r="B38" s="1130"/>
      <c r="C38" s="1131"/>
      <c r="D38" s="1131"/>
      <c r="E38" s="1131"/>
      <c r="F38" s="1131"/>
      <c r="G38" s="1131"/>
      <c r="H38" s="1131"/>
      <c r="I38" s="1131"/>
      <c r="J38" s="1131"/>
      <c r="K38" s="1131"/>
      <c r="L38" s="1131"/>
      <c r="M38" s="1131"/>
      <c r="N38" s="1131"/>
      <c r="O38" s="1131"/>
      <c r="P38" s="1131"/>
      <c r="Q38" s="1131"/>
      <c r="R38" s="1132"/>
    </row>
    <row r="39" spans="2:18" ht="13.5" x14ac:dyDescent="0.25">
      <c r="B39" s="442"/>
      <c r="C39" s="121"/>
      <c r="D39" s="121"/>
      <c r="E39" s="121"/>
      <c r="F39" s="121"/>
      <c r="G39" s="121"/>
      <c r="H39" s="121"/>
      <c r="I39" s="121"/>
      <c r="J39" s="121"/>
      <c r="K39" s="121"/>
      <c r="L39" s="121"/>
      <c r="M39" s="121"/>
      <c r="N39" s="121"/>
      <c r="O39" s="121"/>
      <c r="P39" s="121"/>
      <c r="Q39" s="121"/>
      <c r="R39" s="443"/>
    </row>
    <row r="40" spans="2:18" ht="17.25" x14ac:dyDescent="0.3">
      <c r="B40" s="446"/>
      <c r="C40" s="447"/>
      <c r="D40" s="1312" t="s">
        <v>259</v>
      </c>
      <c r="E40" s="1007"/>
      <c r="F40" s="1313">
        <f>+'03'!$E$9</f>
        <v>192779227.06999999</v>
      </c>
      <c r="G40" s="1007"/>
      <c r="H40" s="1314" t="s">
        <v>260</v>
      </c>
      <c r="I40" s="1187"/>
      <c r="J40" s="1291" t="s">
        <v>261</v>
      </c>
      <c r="K40" s="1174"/>
      <c r="L40" s="1174"/>
      <c r="M40" s="1169"/>
      <c r="N40" s="409">
        <f>Indice!$G$7</f>
        <v>6</v>
      </c>
      <c r="O40" s="1285" t="s">
        <v>262</v>
      </c>
      <c r="P40" s="1174"/>
      <c r="Q40" s="1169"/>
      <c r="R40" s="448">
        <f>+N40*30</f>
        <v>180</v>
      </c>
    </row>
    <row r="41" spans="2:18" ht="17.25" x14ac:dyDescent="0.3">
      <c r="B41" s="446"/>
      <c r="C41" s="447"/>
      <c r="D41" s="449"/>
      <c r="E41" s="447"/>
      <c r="F41" s="447"/>
      <c r="G41" s="447"/>
      <c r="H41" s="447"/>
      <c r="I41" s="447"/>
      <c r="J41" s="447"/>
      <c r="K41" s="447"/>
      <c r="L41" s="447"/>
      <c r="M41" s="447"/>
      <c r="N41" s="447"/>
      <c r="O41" s="447"/>
      <c r="P41" s="447"/>
      <c r="Q41" s="447"/>
      <c r="R41" s="450"/>
    </row>
    <row r="42" spans="2:18" x14ac:dyDescent="0.2">
      <c r="B42" s="1309" t="s">
        <v>263</v>
      </c>
      <c r="C42" s="1180"/>
      <c r="D42" s="1038" t="s">
        <v>264</v>
      </c>
      <c r="E42" s="1179"/>
      <c r="F42" s="1180"/>
      <c r="G42" s="1038" t="s">
        <v>265</v>
      </c>
      <c r="H42" s="1179"/>
      <c r="I42" s="1180"/>
      <c r="J42" s="1038" t="s">
        <v>266</v>
      </c>
      <c r="K42" s="1179"/>
      <c r="L42" s="1180"/>
      <c r="M42" s="1038" t="s">
        <v>267</v>
      </c>
      <c r="N42" s="1179"/>
      <c r="O42" s="1180"/>
      <c r="P42" s="1038" t="s">
        <v>268</v>
      </c>
      <c r="Q42" s="1179"/>
      <c r="R42" s="1184"/>
    </row>
    <row r="43" spans="2:18" x14ac:dyDescent="0.2">
      <c r="B43" s="1167"/>
      <c r="C43" s="1169"/>
      <c r="D43" s="1181"/>
      <c r="E43" s="1171"/>
      <c r="F43" s="1172"/>
      <c r="G43" s="1181"/>
      <c r="H43" s="1171"/>
      <c r="I43" s="1172"/>
      <c r="J43" s="1181"/>
      <c r="K43" s="1171"/>
      <c r="L43" s="1172"/>
      <c r="M43" s="1181"/>
      <c r="N43" s="1171"/>
      <c r="O43" s="1172"/>
      <c r="P43" s="1181"/>
      <c r="Q43" s="1171"/>
      <c r="R43" s="1185"/>
    </row>
    <row r="44" spans="2:18" ht="24.6" customHeight="1" x14ac:dyDescent="0.2">
      <c r="B44" s="1311" t="s">
        <v>11</v>
      </c>
      <c r="C44" s="1180"/>
      <c r="D44" s="1306">
        <v>0.3</v>
      </c>
      <c r="E44" s="1187"/>
      <c r="F44" s="1007"/>
      <c r="G44" s="1306">
        <v>0.3</v>
      </c>
      <c r="H44" s="1187"/>
      <c r="I44" s="1007"/>
      <c r="J44" s="1306">
        <v>0.3</v>
      </c>
      <c r="K44" s="1187"/>
      <c r="L44" s="1007"/>
      <c r="M44" s="1306">
        <v>0.3</v>
      </c>
      <c r="N44" s="1187"/>
      <c r="O44" s="1007"/>
      <c r="P44" s="1306">
        <v>0.25</v>
      </c>
      <c r="Q44" s="1187"/>
      <c r="R44" s="1189"/>
    </row>
    <row r="45" spans="2:18" ht="22.15" customHeight="1" x14ac:dyDescent="0.2">
      <c r="B45" s="1309" t="s">
        <v>269</v>
      </c>
      <c r="C45" s="1180"/>
      <c r="D45" s="1308" t="s">
        <v>270</v>
      </c>
      <c r="E45" s="1179"/>
      <c r="F45" s="1180"/>
      <c r="G45" s="1308" t="s">
        <v>270</v>
      </c>
      <c r="H45" s="1179"/>
      <c r="I45" s="1180"/>
      <c r="J45" s="1308" t="s">
        <v>270</v>
      </c>
      <c r="K45" s="1179"/>
      <c r="L45" s="1180"/>
      <c r="M45" s="1308" t="s">
        <v>271</v>
      </c>
      <c r="N45" s="1179"/>
      <c r="O45" s="1180"/>
      <c r="P45" s="1308" t="s">
        <v>272</v>
      </c>
      <c r="Q45" s="1179"/>
      <c r="R45" s="1184"/>
    </row>
    <row r="46" spans="2:18" ht="24" customHeight="1" x14ac:dyDescent="0.2">
      <c r="B46" s="1167"/>
      <c r="C46" s="1169"/>
      <c r="D46" s="1181"/>
      <c r="E46" s="1171"/>
      <c r="F46" s="1172"/>
      <c r="G46" s="1181"/>
      <c r="H46" s="1171"/>
      <c r="I46" s="1172"/>
      <c r="J46" s="1181"/>
      <c r="K46" s="1171"/>
      <c r="L46" s="1172"/>
      <c r="M46" s="1181"/>
      <c r="N46" s="1171"/>
      <c r="O46" s="1172"/>
      <c r="P46" s="1181"/>
      <c r="Q46" s="1171"/>
      <c r="R46" s="1185"/>
    </row>
    <row r="47" spans="2:18" ht="17.25" x14ac:dyDescent="0.2">
      <c r="B47" s="1310" t="s">
        <v>273</v>
      </c>
      <c r="C47" s="1007"/>
      <c r="D47" s="1306">
        <v>5.0000000000000001E-3</v>
      </c>
      <c r="E47" s="1187"/>
      <c r="F47" s="1007"/>
      <c r="G47" s="1306">
        <v>5.0000000000000001E-3</v>
      </c>
      <c r="H47" s="1187"/>
      <c r="I47" s="1007"/>
      <c r="J47" s="1306">
        <v>5.0000000000000001E-3</v>
      </c>
      <c r="K47" s="1187"/>
      <c r="L47" s="1007"/>
      <c r="M47" s="1306">
        <v>5.0000000000000001E-3</v>
      </c>
      <c r="N47" s="1187"/>
      <c r="O47" s="1007"/>
      <c r="P47" s="1306">
        <v>5.0000000000000001E-3</v>
      </c>
      <c r="Q47" s="1187"/>
      <c r="R47" s="1189"/>
    </row>
    <row r="48" spans="2:18" ht="33" customHeight="1" x14ac:dyDescent="0.2">
      <c r="B48" s="1310" t="s">
        <v>274</v>
      </c>
      <c r="C48" s="1007"/>
      <c r="D48" s="1298">
        <f>$F$40*D44</f>
        <v>57833768.120999999</v>
      </c>
      <c r="E48" s="1187"/>
      <c r="F48" s="1007"/>
      <c r="G48" s="1298">
        <f>$F$40*G44</f>
        <v>57833768.120999999</v>
      </c>
      <c r="H48" s="1187"/>
      <c r="I48" s="1007"/>
      <c r="J48" s="1298">
        <f>$F$40*J44</f>
        <v>57833768.120999999</v>
      </c>
      <c r="K48" s="1187"/>
      <c r="L48" s="1007"/>
      <c r="M48" s="1298">
        <f>$F$40*M44</f>
        <v>57833768.120999999</v>
      </c>
      <c r="N48" s="1187"/>
      <c r="O48" s="1007"/>
      <c r="P48" s="1298">
        <f>$F$40*P44</f>
        <v>48194806.767499998</v>
      </c>
      <c r="Q48" s="1187"/>
      <c r="R48" s="1189"/>
    </row>
    <row r="49" spans="2:18" ht="17.25" x14ac:dyDescent="0.2">
      <c r="B49" s="1310" t="s">
        <v>275</v>
      </c>
      <c r="C49" s="1007"/>
      <c r="D49" s="1307">
        <f>6*30</f>
        <v>180</v>
      </c>
      <c r="E49" s="1187"/>
      <c r="F49" s="1007"/>
      <c r="G49" s="1307">
        <f>6*30</f>
        <v>180</v>
      </c>
      <c r="H49" s="1187"/>
      <c r="I49" s="1007"/>
      <c r="J49" s="1307">
        <f>6*30</f>
        <v>180</v>
      </c>
      <c r="K49" s="1187"/>
      <c r="L49" s="1007"/>
      <c r="M49" s="1307">
        <f>5*12*30</f>
        <v>1800</v>
      </c>
      <c r="N49" s="1187"/>
      <c r="O49" s="1007"/>
      <c r="P49" s="1307">
        <f>3*12*30</f>
        <v>1080</v>
      </c>
      <c r="Q49" s="1187"/>
      <c r="R49" s="1189"/>
    </row>
    <row r="50" spans="2:18" ht="17.25" x14ac:dyDescent="0.2">
      <c r="B50" s="1310" t="s">
        <v>276</v>
      </c>
      <c r="C50" s="1007"/>
      <c r="D50" s="1307">
        <f>$R$9+D49</f>
        <v>360</v>
      </c>
      <c r="E50" s="1187"/>
      <c r="F50" s="1007"/>
      <c r="G50" s="1307">
        <f>$R$9+G49</f>
        <v>360</v>
      </c>
      <c r="H50" s="1187"/>
      <c r="I50" s="1007"/>
      <c r="J50" s="1307">
        <f>$R$9+J49</f>
        <v>360</v>
      </c>
      <c r="K50" s="1187"/>
      <c r="L50" s="1007"/>
      <c r="M50" s="1307">
        <f>$R$9+M49</f>
        <v>1980</v>
      </c>
      <c r="N50" s="1187"/>
      <c r="O50" s="1007"/>
      <c r="P50" s="1307">
        <f>$R$9+P49</f>
        <v>1260</v>
      </c>
      <c r="Q50" s="1187"/>
      <c r="R50" s="1189"/>
    </row>
    <row r="51" spans="2:18" ht="17.25" x14ac:dyDescent="0.2">
      <c r="B51" s="1310" t="s">
        <v>277</v>
      </c>
      <c r="C51" s="1007"/>
      <c r="D51" s="1298">
        <f>(D48*D47)/360*D50</f>
        <v>289168.84060499998</v>
      </c>
      <c r="E51" s="1187"/>
      <c r="F51" s="1007"/>
      <c r="G51" s="1298">
        <f>(G48*G47)/360*G50</f>
        <v>289168.84060499998</v>
      </c>
      <c r="H51" s="1187"/>
      <c r="I51" s="1007"/>
      <c r="J51" s="1298">
        <f>(J48*J47)/360*J50</f>
        <v>289168.84060499998</v>
      </c>
      <c r="K51" s="1187"/>
      <c r="L51" s="1007"/>
      <c r="M51" s="1298">
        <f>(M48*M47)/360*M50</f>
        <v>1590428.6233275</v>
      </c>
      <c r="N51" s="1187"/>
      <c r="O51" s="1007"/>
      <c r="P51" s="1298">
        <f>(P48*P47)/360*P50</f>
        <v>843409.11843124998</v>
      </c>
      <c r="Q51" s="1187"/>
      <c r="R51" s="1189"/>
    </row>
    <row r="52" spans="2:18" ht="13.5" x14ac:dyDescent="0.25">
      <c r="B52" s="442"/>
      <c r="C52" s="122"/>
      <c r="D52" s="122"/>
      <c r="E52" s="122"/>
      <c r="F52" s="122"/>
      <c r="G52" s="122"/>
      <c r="H52" s="122"/>
      <c r="I52" s="122"/>
      <c r="J52" s="122"/>
      <c r="K52" s="122"/>
      <c r="L52" s="122"/>
      <c r="M52" s="122"/>
      <c r="N52" s="122"/>
      <c r="O52" s="121"/>
      <c r="P52" s="121"/>
      <c r="Q52" s="121"/>
      <c r="R52" s="443"/>
    </row>
    <row r="53" spans="2:18" ht="23.45" customHeight="1" x14ac:dyDescent="0.25">
      <c r="B53" s="442"/>
      <c r="C53" s="121"/>
      <c r="D53" s="121"/>
      <c r="E53" s="121"/>
      <c r="F53" s="121"/>
      <c r="G53" s="121"/>
      <c r="H53" s="121"/>
      <c r="I53" s="121"/>
      <c r="J53" s="121"/>
      <c r="K53" s="121"/>
      <c r="L53" s="121"/>
      <c r="M53" s="121"/>
      <c r="N53" s="121"/>
      <c r="O53" s="1315" t="s">
        <v>278</v>
      </c>
      <c r="P53" s="1007"/>
      <c r="Q53" s="1316">
        <f>SUM(D51:R51)</f>
        <v>3301344.2635737499</v>
      </c>
      <c r="R53" s="1189"/>
    </row>
    <row r="54" spans="2:18" ht="34.15" customHeight="1" x14ac:dyDescent="0.25">
      <c r="B54" s="442"/>
      <c r="C54" s="121"/>
      <c r="D54" s="121"/>
      <c r="E54" s="121"/>
      <c r="F54" s="121"/>
      <c r="G54" s="121"/>
      <c r="H54" s="121"/>
      <c r="I54" s="121"/>
      <c r="J54" s="121"/>
      <c r="K54" s="121"/>
      <c r="L54" s="121"/>
      <c r="M54" s="121"/>
      <c r="N54" s="121"/>
      <c r="O54" s="1315" t="s">
        <v>279</v>
      </c>
      <c r="P54" s="1007"/>
      <c r="Q54" s="1316">
        <v>6000</v>
      </c>
      <c r="R54" s="1189"/>
    </row>
    <row r="55" spans="2:18" ht="24" customHeight="1" x14ac:dyDescent="0.25">
      <c r="B55" s="442"/>
      <c r="C55" s="121"/>
      <c r="D55" s="121"/>
      <c r="E55" s="121"/>
      <c r="F55" s="121"/>
      <c r="G55" s="121"/>
      <c r="H55" s="121"/>
      <c r="I55" s="121"/>
      <c r="J55" s="121"/>
      <c r="K55" s="121"/>
      <c r="L55" s="121"/>
      <c r="M55" s="121"/>
      <c r="N55" s="121"/>
      <c r="O55" s="451" t="s">
        <v>280</v>
      </c>
      <c r="P55" s="452">
        <v>0.19</v>
      </c>
      <c r="Q55" s="1316">
        <f>(Q53+Q54)*P55</f>
        <v>628395.41007901251</v>
      </c>
      <c r="R55" s="1189"/>
    </row>
    <row r="56" spans="2:18" ht="24.6" customHeight="1" x14ac:dyDescent="0.25">
      <c r="B56" s="442"/>
      <c r="C56" s="121"/>
      <c r="D56" s="121"/>
      <c r="E56" s="121"/>
      <c r="F56" s="121"/>
      <c r="G56" s="121"/>
      <c r="H56" s="121"/>
      <c r="I56" s="121"/>
      <c r="J56" s="121"/>
      <c r="K56" s="121"/>
      <c r="L56" s="121"/>
      <c r="M56" s="121"/>
      <c r="N56" s="121"/>
      <c r="O56" s="1315" t="s">
        <v>281</v>
      </c>
      <c r="P56" s="1007"/>
      <c r="Q56" s="1316">
        <f>ROUND((Q53+Q54+Q55),0)</f>
        <v>3935740</v>
      </c>
      <c r="R56" s="1189"/>
    </row>
    <row r="57" spans="2:18" x14ac:dyDescent="0.2">
      <c r="B57" s="389"/>
      <c r="C57" s="76"/>
      <c r="D57" s="76"/>
      <c r="E57" s="76"/>
      <c r="F57" s="76"/>
      <c r="G57" s="76"/>
      <c r="H57" s="76"/>
      <c r="I57" s="76"/>
      <c r="J57" s="76"/>
      <c r="K57" s="76"/>
      <c r="L57" s="76"/>
      <c r="M57" s="76"/>
      <c r="N57" s="76"/>
      <c r="O57" s="76"/>
      <c r="P57" s="76"/>
      <c r="Q57" s="76"/>
      <c r="R57" s="390"/>
    </row>
    <row r="58" spans="2:18" x14ac:dyDescent="0.2">
      <c r="B58" s="389"/>
      <c r="C58" s="76"/>
      <c r="D58" s="76"/>
      <c r="E58" s="76"/>
      <c r="F58" s="76"/>
      <c r="G58" s="76"/>
      <c r="H58" s="76"/>
      <c r="I58" s="76"/>
      <c r="J58" s="76"/>
      <c r="K58" s="76"/>
      <c r="L58" s="76"/>
      <c r="M58" s="76"/>
      <c r="N58" s="76"/>
      <c r="O58" s="76"/>
      <c r="P58" s="76"/>
      <c r="Q58" s="76"/>
      <c r="R58" s="390"/>
    </row>
    <row r="59" spans="2:18" x14ac:dyDescent="0.2">
      <c r="B59" s="389"/>
      <c r="C59" s="76"/>
      <c r="D59" s="76"/>
      <c r="E59" s="76"/>
      <c r="F59" s="76"/>
      <c r="G59" s="76"/>
      <c r="H59" s="76"/>
      <c r="I59" s="76"/>
      <c r="J59" s="76"/>
      <c r="K59" s="76"/>
      <c r="L59" s="76"/>
      <c r="M59" s="76"/>
      <c r="N59" s="76"/>
      <c r="O59" s="76"/>
      <c r="P59" s="76"/>
      <c r="Q59" s="76"/>
      <c r="R59" s="390"/>
    </row>
    <row r="60" spans="2:18" x14ac:dyDescent="0.2">
      <c r="B60" s="389"/>
      <c r="C60" s="76"/>
      <c r="D60" s="76"/>
      <c r="E60" s="76"/>
      <c r="F60" s="76"/>
      <c r="G60" s="76"/>
      <c r="H60" s="76"/>
      <c r="I60" s="76"/>
      <c r="J60" s="76"/>
      <c r="K60" s="76"/>
      <c r="L60" s="76"/>
      <c r="M60" s="76"/>
      <c r="N60" s="76"/>
      <c r="O60" s="76"/>
      <c r="P60" s="76"/>
      <c r="Q60" s="76"/>
      <c r="R60" s="390"/>
    </row>
    <row r="61" spans="2:18" ht="13.5" thickBot="1" x14ac:dyDescent="0.25">
      <c r="B61" s="389"/>
      <c r="C61" s="76"/>
      <c r="D61" s="76"/>
      <c r="E61" s="76"/>
      <c r="F61" s="76"/>
      <c r="G61" s="76"/>
      <c r="H61" s="76"/>
      <c r="I61" s="76"/>
      <c r="J61" s="76"/>
      <c r="K61" s="76"/>
      <c r="L61" s="76"/>
      <c r="M61" s="76"/>
      <c r="N61" s="76"/>
      <c r="O61" s="76"/>
      <c r="P61" s="76"/>
      <c r="Q61" s="76"/>
      <c r="R61" s="390"/>
    </row>
    <row r="62" spans="2:18" ht="14.25" thickTop="1" x14ac:dyDescent="0.2">
      <c r="B62" s="389"/>
      <c r="C62" s="76"/>
      <c r="D62" s="76"/>
      <c r="E62" s="912" t="s">
        <v>1961</v>
      </c>
      <c r="F62" s="912"/>
      <c r="G62" s="912"/>
      <c r="H62" s="912"/>
      <c r="I62" s="76"/>
      <c r="J62" s="76"/>
      <c r="K62" s="912" t="s">
        <v>1964</v>
      </c>
      <c r="L62" s="942"/>
      <c r="M62" s="942"/>
      <c r="N62" s="942"/>
      <c r="O62" s="76"/>
      <c r="P62" s="76"/>
      <c r="Q62" s="76"/>
      <c r="R62" s="390"/>
    </row>
    <row r="63" spans="2:18" ht="13.5" x14ac:dyDescent="0.25">
      <c r="B63" s="389"/>
      <c r="C63" s="76"/>
      <c r="D63" s="76"/>
      <c r="E63" s="926" t="s">
        <v>1962</v>
      </c>
      <c r="F63" s="927"/>
      <c r="G63" s="927"/>
      <c r="H63" s="927"/>
      <c r="I63" s="76"/>
      <c r="J63" s="76"/>
      <c r="K63" s="938" t="s">
        <v>1965</v>
      </c>
      <c r="L63" s="939"/>
      <c r="M63" s="939"/>
      <c r="N63" s="939"/>
      <c r="O63" s="76"/>
      <c r="P63" s="76"/>
      <c r="Q63" s="76"/>
      <c r="R63" s="390"/>
    </row>
    <row r="64" spans="2:18" x14ac:dyDescent="0.2">
      <c r="B64" s="389"/>
      <c r="C64" s="76"/>
      <c r="D64" s="76"/>
      <c r="E64" s="1046" t="s">
        <v>1963</v>
      </c>
      <c r="F64" s="1046"/>
      <c r="G64" s="1046"/>
      <c r="H64" s="1046"/>
      <c r="I64" s="76"/>
      <c r="J64" s="76"/>
      <c r="K64" s="1046" t="s">
        <v>1966</v>
      </c>
      <c r="L64" s="1046"/>
      <c r="M64" s="1046"/>
      <c r="N64" s="1046"/>
      <c r="O64" s="76"/>
      <c r="P64" s="76"/>
      <c r="Q64" s="76"/>
      <c r="R64" s="390"/>
    </row>
    <row r="65" spans="2:18" ht="14.25" thickBot="1" x14ac:dyDescent="0.3">
      <c r="B65" s="392"/>
      <c r="C65" s="393"/>
      <c r="D65" s="393"/>
      <c r="E65" s="444"/>
      <c r="F65" s="445"/>
      <c r="G65" s="445"/>
      <c r="H65" s="445"/>
      <c r="I65" s="393"/>
      <c r="J65" s="393"/>
      <c r="K65" s="1304"/>
      <c r="L65" s="1305"/>
      <c r="M65" s="1305"/>
      <c r="N65" s="1305"/>
      <c r="O65" s="393"/>
      <c r="P65" s="393"/>
      <c r="Q65" s="393"/>
      <c r="R65" s="394"/>
    </row>
  </sheetData>
  <mergeCells count="140">
    <mergeCell ref="E64:H64"/>
    <mergeCell ref="K64:N64"/>
    <mergeCell ref="K65:N65"/>
    <mergeCell ref="O56:P56"/>
    <mergeCell ref="Q56:R56"/>
    <mergeCell ref="E62:H62"/>
    <mergeCell ref="K62:N62"/>
    <mergeCell ref="E63:H63"/>
    <mergeCell ref="K63:N63"/>
    <mergeCell ref="O53:P53"/>
    <mergeCell ref="Q53:R53"/>
    <mergeCell ref="O54:P54"/>
    <mergeCell ref="Q54:R54"/>
    <mergeCell ref="Q55:R55"/>
    <mergeCell ref="P50:R50"/>
    <mergeCell ref="B51:C51"/>
    <mergeCell ref="D51:F51"/>
    <mergeCell ref="G51:I51"/>
    <mergeCell ref="J51:L51"/>
    <mergeCell ref="M51:O51"/>
    <mergeCell ref="P51:R51"/>
    <mergeCell ref="B50:C50"/>
    <mergeCell ref="D50:F50"/>
    <mergeCell ref="G50:I50"/>
    <mergeCell ref="J50:L50"/>
    <mergeCell ref="M50:O50"/>
    <mergeCell ref="P48:R48"/>
    <mergeCell ref="B49:C49"/>
    <mergeCell ref="D49:F49"/>
    <mergeCell ref="G49:I49"/>
    <mergeCell ref="J49:L49"/>
    <mergeCell ref="M49:O49"/>
    <mergeCell ref="P49:R49"/>
    <mergeCell ref="B48:C48"/>
    <mergeCell ref="D48:F48"/>
    <mergeCell ref="G48:I48"/>
    <mergeCell ref="J48:L48"/>
    <mergeCell ref="M48:O48"/>
    <mergeCell ref="P45:R46"/>
    <mergeCell ref="B47:C47"/>
    <mergeCell ref="D47:F47"/>
    <mergeCell ref="G47:I47"/>
    <mergeCell ref="J47:L47"/>
    <mergeCell ref="M47:O47"/>
    <mergeCell ref="P47:R47"/>
    <mergeCell ref="B45:C46"/>
    <mergeCell ref="D45:F46"/>
    <mergeCell ref="G45:I46"/>
    <mergeCell ref="J45:L46"/>
    <mergeCell ref="M45:O46"/>
    <mergeCell ref="P42:R43"/>
    <mergeCell ref="B44:C44"/>
    <mergeCell ref="D44:F44"/>
    <mergeCell ref="G44:I44"/>
    <mergeCell ref="J44:L44"/>
    <mergeCell ref="M44:O44"/>
    <mergeCell ref="P44:R44"/>
    <mergeCell ref="B42:C43"/>
    <mergeCell ref="D42:F43"/>
    <mergeCell ref="G42:I43"/>
    <mergeCell ref="J42:L43"/>
    <mergeCell ref="M42:O43"/>
    <mergeCell ref="B37:R38"/>
    <mergeCell ref="D40:E40"/>
    <mergeCell ref="F40:G40"/>
    <mergeCell ref="H40:I40"/>
    <mergeCell ref="J40:M40"/>
    <mergeCell ref="O40:Q40"/>
    <mergeCell ref="B17:C17"/>
    <mergeCell ref="O25:P25"/>
    <mergeCell ref="Q25:R25"/>
    <mergeCell ref="O22:P22"/>
    <mergeCell ref="O23:P23"/>
    <mergeCell ref="Q24:R24"/>
    <mergeCell ref="B19:C19"/>
    <mergeCell ref="D19:F19"/>
    <mergeCell ref="G19:I19"/>
    <mergeCell ref="J19:L19"/>
    <mergeCell ref="M19:O19"/>
    <mergeCell ref="J18:L18"/>
    <mergeCell ref="M18:O18"/>
    <mergeCell ref="Q22:R22"/>
    <mergeCell ref="Q23:R23"/>
    <mergeCell ref="B20:C20"/>
    <mergeCell ref="E32:H32"/>
    <mergeCell ref="E33:H33"/>
    <mergeCell ref="B2:M4"/>
    <mergeCell ref="N2:O2"/>
    <mergeCell ref="P2:R4"/>
    <mergeCell ref="N3:O4"/>
    <mergeCell ref="D9:E9"/>
    <mergeCell ref="F9:G9"/>
    <mergeCell ref="H9:I9"/>
    <mergeCell ref="B6:R7"/>
    <mergeCell ref="J9:M9"/>
    <mergeCell ref="O9:Q9"/>
    <mergeCell ref="B11:C12"/>
    <mergeCell ref="M20:O20"/>
    <mergeCell ref="M13:O13"/>
    <mergeCell ref="B14:C15"/>
    <mergeCell ref="D14:F15"/>
    <mergeCell ref="G14:I15"/>
    <mergeCell ref="J14:L15"/>
    <mergeCell ref="D11:F12"/>
    <mergeCell ref="G11:I12"/>
    <mergeCell ref="J11:L12"/>
    <mergeCell ref="M11:O12"/>
    <mergeCell ref="B16:C16"/>
    <mergeCell ref="B18:C18"/>
    <mergeCell ref="B13:C13"/>
    <mergeCell ref="D17:F17"/>
    <mergeCell ref="D16:F16"/>
    <mergeCell ref="G16:I16"/>
    <mergeCell ref="J16:L16"/>
    <mergeCell ref="M16:O16"/>
    <mergeCell ref="M17:O17"/>
    <mergeCell ref="G17:I17"/>
    <mergeCell ref="D13:F13"/>
    <mergeCell ref="G13:I13"/>
    <mergeCell ref="J13:L13"/>
    <mergeCell ref="K34:N34"/>
    <mergeCell ref="P11:R12"/>
    <mergeCell ref="K32:N32"/>
    <mergeCell ref="K33:N33"/>
    <mergeCell ref="P20:R20"/>
    <mergeCell ref="D20:F20"/>
    <mergeCell ref="G20:I20"/>
    <mergeCell ref="J20:L20"/>
    <mergeCell ref="P16:R16"/>
    <mergeCell ref="D18:F18"/>
    <mergeCell ref="G18:I18"/>
    <mergeCell ref="J17:L17"/>
    <mergeCell ref="P19:R19"/>
    <mergeCell ref="P18:R18"/>
    <mergeCell ref="P17:R17"/>
    <mergeCell ref="M14:O15"/>
    <mergeCell ref="P13:R13"/>
    <mergeCell ref="P14:R15"/>
    <mergeCell ref="E31:H31"/>
    <mergeCell ref="K31:N31"/>
  </mergeCells>
  <conditionalFormatting sqref="E31:E32">
    <cfRule type="duplicateValues" dxfId="1398" priority="2"/>
  </conditionalFormatting>
  <conditionalFormatting sqref="E62:E63">
    <cfRule type="duplicateValues" dxfId="1397" priority="1"/>
  </conditionalFormatting>
  <printOptions horizontalCentered="1" verticalCentered="1"/>
  <pageMargins left="0" right="0" top="0" bottom="0" header="0" footer="0"/>
  <pageSetup scale="67"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8"/>
  <dimension ref="A1:M899"/>
  <sheetViews>
    <sheetView view="pageBreakPreview" zoomScale="70" zoomScaleNormal="100" zoomScaleSheetLayoutView="70" workbookViewId="0">
      <selection activeCell="B17" sqref="B17:G17"/>
    </sheetView>
  </sheetViews>
  <sheetFormatPr baseColWidth="10" defaultColWidth="12.7109375" defaultRowHeight="15" customHeight="1" x14ac:dyDescent="0.2"/>
  <cols>
    <col min="1" max="5" width="10.42578125" customWidth="1"/>
    <col min="6" max="6" width="18.42578125" customWidth="1"/>
    <col min="7" max="7" width="19.42578125" customWidth="1"/>
    <col min="8" max="8" width="10.42578125" customWidth="1"/>
    <col min="9" max="9" width="14.5703125" customWidth="1"/>
    <col min="10" max="10" width="16.5703125" customWidth="1"/>
    <col min="11" max="11" width="13.28515625" customWidth="1"/>
    <col min="12" max="12" width="14.140625" customWidth="1"/>
    <col min="13" max="13" width="15.5703125" customWidth="1"/>
    <col min="14" max="14" width="3.42578125" customWidth="1"/>
    <col min="15" max="26" width="12.42578125" customWidth="1"/>
  </cols>
  <sheetData>
    <row r="1" spans="1:13" ht="12.75" customHeight="1" x14ac:dyDescent="0.2">
      <c r="A1" s="1228" t="str">
        <f>Indice!$B$2</f>
        <v>CONSTRUCCIÓN DE LA FASE 1 DEL PLAN MAESTRO DE ACUEDUCTO DEL MUNICIPIO DE ÍQUIRA, HUILA</v>
      </c>
      <c r="B1" s="1108"/>
      <c r="C1" s="1108"/>
      <c r="D1" s="1108"/>
      <c r="E1" s="1108"/>
      <c r="F1" s="1108"/>
      <c r="G1" s="1108"/>
      <c r="H1" s="1108"/>
      <c r="I1" s="1108"/>
      <c r="J1" s="1108"/>
      <c r="K1" s="1109"/>
      <c r="L1" s="1232" t="s">
        <v>0</v>
      </c>
      <c r="M1" s="1058"/>
    </row>
    <row r="2" spans="1:13" ht="12.75" customHeight="1" x14ac:dyDescent="0.2">
      <c r="A2" s="1229"/>
      <c r="B2" s="1230"/>
      <c r="C2" s="1230"/>
      <c r="D2" s="1230"/>
      <c r="E2" s="1230"/>
      <c r="F2" s="1230"/>
      <c r="G2" s="1230"/>
      <c r="H2" s="1230"/>
      <c r="I2" s="1230"/>
      <c r="J2" s="1230"/>
      <c r="K2" s="1231"/>
      <c r="L2" s="1233">
        <f>Indice!$Q$3</f>
        <v>46195</v>
      </c>
      <c r="M2" s="1109"/>
    </row>
    <row r="3" spans="1:13" ht="12.75" customHeight="1" x14ac:dyDescent="0.2">
      <c r="A3" s="1110"/>
      <c r="B3" s="1111"/>
      <c r="C3" s="1111"/>
      <c r="D3" s="1111"/>
      <c r="E3" s="1111"/>
      <c r="F3" s="1111"/>
      <c r="G3" s="1111"/>
      <c r="H3" s="1111"/>
      <c r="I3" s="1111"/>
      <c r="J3" s="1111"/>
      <c r="K3" s="1112"/>
      <c r="L3" s="1110"/>
      <c r="M3" s="1112"/>
    </row>
    <row r="4" spans="1:13" ht="12.75" customHeight="1" x14ac:dyDescent="0.25">
      <c r="A4" s="3"/>
      <c r="B4" s="3"/>
      <c r="C4" s="3"/>
      <c r="D4" s="3"/>
      <c r="E4" s="3"/>
      <c r="F4" s="3"/>
      <c r="G4" s="3"/>
      <c r="H4" s="3"/>
      <c r="I4" s="3"/>
      <c r="J4" s="3"/>
      <c r="K4" s="3"/>
      <c r="L4" s="3"/>
      <c r="M4" s="11"/>
    </row>
    <row r="5" spans="1:13" ht="12.75" customHeight="1" x14ac:dyDescent="0.2">
      <c r="A5" s="1321" t="s">
        <v>282</v>
      </c>
      <c r="B5" s="1108"/>
      <c r="C5" s="1108"/>
      <c r="D5" s="1108"/>
      <c r="E5" s="1108"/>
      <c r="F5" s="1108"/>
      <c r="G5" s="1108"/>
      <c r="H5" s="1108"/>
      <c r="I5" s="1108"/>
      <c r="J5" s="1108"/>
      <c r="K5" s="1108"/>
      <c r="L5" s="1108"/>
      <c r="M5" s="1108"/>
    </row>
    <row r="6" spans="1:13" ht="12.75" customHeight="1" x14ac:dyDescent="0.2">
      <c r="A6" s="1110"/>
      <c r="B6" s="1111"/>
      <c r="C6" s="1111"/>
      <c r="D6" s="1111"/>
      <c r="E6" s="1111"/>
      <c r="F6" s="1111"/>
      <c r="G6" s="1111"/>
      <c r="H6" s="1111"/>
      <c r="I6" s="1111"/>
      <c r="J6" s="1111"/>
      <c r="K6" s="1111"/>
      <c r="L6" s="1111"/>
      <c r="M6" s="1111"/>
    </row>
    <row r="7" spans="1:13" ht="12.75" customHeight="1" x14ac:dyDescent="0.2">
      <c r="B7" s="16">
        <v>1</v>
      </c>
      <c r="C7" s="16">
        <v>2</v>
      </c>
      <c r="D7" s="16">
        <v>3</v>
      </c>
      <c r="E7" s="16">
        <v>4</v>
      </c>
      <c r="F7" s="16">
        <v>5</v>
      </c>
      <c r="G7" s="16">
        <v>6</v>
      </c>
      <c r="H7" s="16">
        <v>7</v>
      </c>
      <c r="I7" s="16">
        <v>8</v>
      </c>
      <c r="J7" s="16">
        <v>9</v>
      </c>
      <c r="K7" s="16">
        <v>10</v>
      </c>
      <c r="L7" s="16">
        <v>11</v>
      </c>
      <c r="M7" s="16">
        <v>12</v>
      </c>
    </row>
    <row r="8" spans="1:13" ht="12.75" customHeight="1" x14ac:dyDescent="0.2">
      <c r="A8" s="17" t="s">
        <v>283</v>
      </c>
      <c r="B8" s="1322" t="s">
        <v>284</v>
      </c>
      <c r="C8" s="1057"/>
      <c r="D8" s="1057"/>
      <c r="E8" s="1057"/>
      <c r="F8" s="1057"/>
      <c r="G8" s="1058"/>
      <c r="H8" s="17" t="s">
        <v>39</v>
      </c>
      <c r="I8" s="17" t="s">
        <v>285</v>
      </c>
      <c r="J8" s="17" t="s">
        <v>286</v>
      </c>
      <c r="K8" s="17" t="s">
        <v>287</v>
      </c>
      <c r="L8" s="17" t="s">
        <v>288</v>
      </c>
      <c r="M8" s="17" t="s">
        <v>289</v>
      </c>
    </row>
    <row r="9" spans="1:13" s="73" customFormat="1" ht="13.5" x14ac:dyDescent="0.2">
      <c r="A9" s="70" t="s">
        <v>290</v>
      </c>
      <c r="B9" s="1317" t="str">
        <f t="shared" ref="B9:B37" si="0">VLOOKUP(A9,AA_APUS,2,FALSE)</f>
        <v>LOCALIZACIÓN Y REPLANTEO DE REDES</v>
      </c>
      <c r="C9" s="1101"/>
      <c r="D9" s="1101"/>
      <c r="E9" s="1101"/>
      <c r="F9" s="1101"/>
      <c r="G9" s="1102"/>
      <c r="H9" s="71" t="str">
        <f t="shared" ref="H9:H37" si="1">VLOOKUP(A9,AA_APUS,4,FALSE)</f>
        <v>ML</v>
      </c>
      <c r="I9" s="861">
        <f t="shared" ref="I9:I37" si="2">VLOOKUP(A9,AA_APUS,8,FALSE)</f>
        <v>90.675360153383281</v>
      </c>
      <c r="J9" s="861">
        <f t="shared" ref="J9:J37" si="3">VLOOKUP(A9,AA_APUS,10,FALSE)</f>
        <v>8250</v>
      </c>
      <c r="K9" s="861">
        <f t="shared" ref="K9:K37" si="4">VLOOKUP(A9,AA_APUS,12,FALSE)</f>
        <v>0</v>
      </c>
      <c r="L9" s="861">
        <f t="shared" ref="L9:L37" si="5">VLOOKUP(A9,AA_APUS,14,FALSE)</f>
        <v>255.83322767169926</v>
      </c>
      <c r="M9" s="861">
        <f t="shared" ref="M9:M37" si="6">VLOOKUP(A9,AA_APUS,6,FALSE)</f>
        <v>11175.461164172608</v>
      </c>
    </row>
    <row r="10" spans="1:13" s="73" customFormat="1" ht="40.5" customHeight="1" x14ac:dyDescent="0.2">
      <c r="A10" s="70" t="s">
        <v>291</v>
      </c>
      <c r="B10" s="1317" t="str">
        <f t="shared" si="0"/>
        <v>LOCALIZACIÓN Y REPLANTEO DE ESTRUCTURAS (NO INCLUYE COMISIÓN TOPOGRÁFICA)</v>
      </c>
      <c r="C10" s="1101"/>
      <c r="D10" s="1101"/>
      <c r="E10" s="1101"/>
      <c r="F10" s="1101"/>
      <c r="G10" s="1102"/>
      <c r="H10" s="71" t="str">
        <f t="shared" si="1"/>
        <v>M2</v>
      </c>
      <c r="I10" s="861">
        <f t="shared" si="2"/>
        <v>90.675360153383281</v>
      </c>
      <c r="J10" s="861">
        <f t="shared" si="3"/>
        <v>8250</v>
      </c>
      <c r="K10" s="861">
        <f t="shared" si="4"/>
        <v>0</v>
      </c>
      <c r="L10" s="861">
        <f t="shared" si="5"/>
        <v>255.83322767169926</v>
      </c>
      <c r="M10" s="861">
        <f t="shared" si="6"/>
        <v>11175.461164172608</v>
      </c>
    </row>
    <row r="11" spans="1:13" s="73" customFormat="1" ht="13.5" x14ac:dyDescent="0.2">
      <c r="A11" s="70" t="s">
        <v>292</v>
      </c>
      <c r="B11" s="1317" t="str">
        <f t="shared" si="0"/>
        <v>DESCAPOTE MANUAL Y RETIRO E= 0.20 M APILE A 15 M</v>
      </c>
      <c r="C11" s="1101"/>
      <c r="D11" s="1101"/>
      <c r="E11" s="1101"/>
      <c r="F11" s="1101"/>
      <c r="G11" s="1102"/>
      <c r="H11" s="71" t="str">
        <f t="shared" si="1"/>
        <v>M2</v>
      </c>
      <c r="I11" s="861">
        <f t="shared" si="2"/>
        <v>1791.4922929820882</v>
      </c>
      <c r="J11" s="861">
        <f t="shared" si="3"/>
        <v>0</v>
      </c>
      <c r="K11" s="861">
        <f t="shared" si="4"/>
        <v>0</v>
      </c>
      <c r="L11" s="861">
        <f t="shared" si="5"/>
        <v>10772.2024389</v>
      </c>
      <c r="M11" s="861">
        <f t="shared" si="6"/>
        <v>16332.803151446715</v>
      </c>
    </row>
    <row r="12" spans="1:13" s="73" customFormat="1" ht="13.5" x14ac:dyDescent="0.2">
      <c r="A12" s="70" t="s">
        <v>293</v>
      </c>
      <c r="B12" s="1317" t="str">
        <f t="shared" si="0"/>
        <v>CAMPAMENTO 18 M2</v>
      </c>
      <c r="C12" s="1101"/>
      <c r="D12" s="1101"/>
      <c r="E12" s="1101"/>
      <c r="F12" s="1101"/>
      <c r="G12" s="1102"/>
      <c r="H12" s="71" t="str">
        <f t="shared" si="1"/>
        <v>UND</v>
      </c>
      <c r="I12" s="861">
        <f t="shared" si="2"/>
        <v>58839.731569125019</v>
      </c>
      <c r="J12" s="861">
        <f t="shared" si="3"/>
        <v>3573430.1423333334</v>
      </c>
      <c r="K12" s="861">
        <f t="shared" si="4"/>
        <v>0</v>
      </c>
      <c r="L12" s="861">
        <f t="shared" si="5"/>
        <v>1176794.6313825003</v>
      </c>
      <c r="M12" s="861">
        <f t="shared" si="6"/>
        <v>6251783.8568704464</v>
      </c>
    </row>
    <row r="13" spans="1:13" s="73" customFormat="1" ht="40.5" customHeight="1" x14ac:dyDescent="0.2">
      <c r="A13" s="70" t="s">
        <v>294</v>
      </c>
      <c r="B13" s="1317" t="str">
        <f t="shared" si="0"/>
        <v>SEÑALIZACIÓN Y AISLAMIENTO DE ÁREAS DE TRABAJO, INCLUYE CINTA DE SEGURIDAD, POSTES TUBULARES, CONOS GUIA, SEÑALES PREVENTIVAS Y REGLAMENTARIAS</v>
      </c>
      <c r="C13" s="1101"/>
      <c r="D13" s="1101"/>
      <c r="E13" s="1101"/>
      <c r="F13" s="1101"/>
      <c r="G13" s="1102"/>
      <c r="H13" s="71" t="str">
        <f t="shared" si="1"/>
        <v>ML/MES</v>
      </c>
      <c r="I13" s="861">
        <f t="shared" si="2"/>
        <v>64579.387164730098</v>
      </c>
      <c r="J13" s="861">
        <f t="shared" si="3"/>
        <v>7380.8000000000011</v>
      </c>
      <c r="K13" s="861">
        <f t="shared" si="4"/>
        <v>0</v>
      </c>
      <c r="L13" s="861">
        <f t="shared" si="5"/>
        <v>3671.2008045000002</v>
      </c>
      <c r="M13" s="861">
        <f t="shared" si="6"/>
        <v>98320.804359999136</v>
      </c>
    </row>
    <row r="14" spans="1:13" s="73" customFormat="1" ht="13.5" x14ac:dyDescent="0.2">
      <c r="A14" s="70" t="s">
        <v>295</v>
      </c>
      <c r="B14" s="1317" t="str">
        <f t="shared" si="0"/>
        <v>DEMOLICIÓN DE PAVIMENTO RÍGIDO (INCLUYE CORTE A MÁQUINA 2 COSTADOS)</v>
      </c>
      <c r="C14" s="1101"/>
      <c r="D14" s="1101"/>
      <c r="E14" s="1101"/>
      <c r="F14" s="1101"/>
      <c r="G14" s="1102"/>
      <c r="H14" s="71" t="str">
        <f t="shared" si="1"/>
        <v>M3</v>
      </c>
      <c r="I14" s="861">
        <f t="shared" si="2"/>
        <v>100436.81997422637</v>
      </c>
      <c r="J14" s="861">
        <f t="shared" si="3"/>
        <v>5018.4049999999997</v>
      </c>
      <c r="K14" s="861">
        <f t="shared" si="4"/>
        <v>0</v>
      </c>
      <c r="L14" s="861">
        <f t="shared" si="5"/>
        <v>66815.854641900005</v>
      </c>
      <c r="M14" s="861">
        <f t="shared" si="6"/>
        <v>223952.40350096428</v>
      </c>
    </row>
    <row r="15" spans="1:13" s="73" customFormat="1" ht="40.5" customHeight="1" x14ac:dyDescent="0.2">
      <c r="A15" s="70" t="s">
        <v>296</v>
      </c>
      <c r="B15" s="1317" t="str">
        <f t="shared" si="0"/>
        <v>DEMOLICIÓN DE ANDENES Y SARDINELES (INCLUYE CORTE A MÁQUINA 2 COSTADOS)</v>
      </c>
      <c r="C15" s="1101"/>
      <c r="D15" s="1101"/>
      <c r="E15" s="1101"/>
      <c r="F15" s="1101"/>
      <c r="G15" s="1102"/>
      <c r="H15" s="71" t="str">
        <f t="shared" si="1"/>
        <v>M3</v>
      </c>
      <c r="I15" s="861">
        <f t="shared" si="2"/>
        <v>59450.284064609979</v>
      </c>
      <c r="J15" s="861">
        <f t="shared" si="3"/>
        <v>4878.58</v>
      </c>
      <c r="K15" s="861">
        <f t="shared" si="4"/>
        <v>0</v>
      </c>
      <c r="L15" s="861">
        <f t="shared" si="5"/>
        <v>67917.214883249995</v>
      </c>
      <c r="M15" s="861">
        <f t="shared" si="6"/>
        <v>171919.902632218</v>
      </c>
    </row>
    <row r="16" spans="1:13" s="73" customFormat="1" ht="13.5" x14ac:dyDescent="0.2">
      <c r="A16" s="70" t="s">
        <v>297</v>
      </c>
      <c r="B16" s="1317" t="str">
        <f t="shared" si="0"/>
        <v>DEMOLICIÓN DE ESTRUCTURAS EN CONCRETO</v>
      </c>
      <c r="C16" s="1101"/>
      <c r="D16" s="1101"/>
      <c r="E16" s="1101"/>
      <c r="F16" s="1101"/>
      <c r="G16" s="1102"/>
      <c r="H16" s="71" t="str">
        <f t="shared" si="1"/>
        <v>M3</v>
      </c>
      <c r="I16" s="861">
        <f t="shared" si="2"/>
        <v>60521.115054815666</v>
      </c>
      <c r="J16" s="861">
        <f t="shared" si="3"/>
        <v>0</v>
      </c>
      <c r="K16" s="861">
        <f t="shared" si="4"/>
        <v>0</v>
      </c>
      <c r="L16" s="861">
        <f t="shared" si="5"/>
        <v>128492.0281575</v>
      </c>
      <c r="M16" s="861">
        <f t="shared" si="6"/>
        <v>245717.08617601037</v>
      </c>
    </row>
    <row r="17" spans="1:13" s="73" customFormat="1" ht="13.5" x14ac:dyDescent="0.2">
      <c r="A17" s="70" t="s">
        <v>298</v>
      </c>
      <c r="B17" s="1317" t="str">
        <f t="shared" si="0"/>
        <v>EXCAVACION MANUAL A TODO FACTOR 0 A  5 M DE PROFUNDIDAD</v>
      </c>
      <c r="C17" s="1101"/>
      <c r="D17" s="1101"/>
      <c r="E17" s="1101"/>
      <c r="F17" s="1101"/>
      <c r="G17" s="1102"/>
      <c r="H17" s="71" t="str">
        <f t="shared" si="1"/>
        <v>M3</v>
      </c>
      <c r="I17" s="861">
        <f t="shared" si="2"/>
        <v>2313.3561060000006</v>
      </c>
      <c r="J17" s="861">
        <f t="shared" si="3"/>
        <v>0</v>
      </c>
      <c r="K17" s="861">
        <f t="shared" si="4"/>
        <v>0</v>
      </c>
      <c r="L17" s="861">
        <f t="shared" si="5"/>
        <v>46267.122120000007</v>
      </c>
      <c r="M17" s="861">
        <f t="shared" si="6"/>
        <v>63154.621693800007</v>
      </c>
    </row>
    <row r="18" spans="1:13" s="73" customFormat="1" ht="40.5" customHeight="1" x14ac:dyDescent="0.2">
      <c r="A18" s="70" t="s">
        <v>299</v>
      </c>
      <c r="B18" s="1317" t="str">
        <f t="shared" si="0"/>
        <v>ARENA DE PEÑA PARA SOPORTE DE TUBERÍA (INCLUYE TRANSPORTE Y MANO DE OBRA)</v>
      </c>
      <c r="C18" s="1101"/>
      <c r="D18" s="1101"/>
      <c r="E18" s="1101"/>
      <c r="F18" s="1101"/>
      <c r="G18" s="1102"/>
      <c r="H18" s="71" t="str">
        <f t="shared" si="1"/>
        <v>M3</v>
      </c>
      <c r="I18" s="861">
        <f t="shared" si="2"/>
        <v>965.57577149999997</v>
      </c>
      <c r="J18" s="861">
        <f t="shared" si="3"/>
        <v>71600</v>
      </c>
      <c r="K18" s="861">
        <f t="shared" si="4"/>
        <v>93870</v>
      </c>
      <c r="L18" s="861">
        <f t="shared" si="5"/>
        <v>19311.515429999999</v>
      </c>
      <c r="M18" s="861">
        <f t="shared" si="6"/>
        <v>241471.21856195002</v>
      </c>
    </row>
    <row r="19" spans="1:13" s="73" customFormat="1" ht="40.5" customHeight="1" x14ac:dyDescent="0.2">
      <c r="A19" s="70" t="s">
        <v>300</v>
      </c>
      <c r="B19" s="1317" t="str">
        <f t="shared" si="0"/>
        <v>RECEBO COMUN COMPACTADO MECANICAMENTE (RANA) (INCLUYE TRANSPORTE Y MANO DE OBRA)</v>
      </c>
      <c r="C19" s="1101"/>
      <c r="D19" s="1101"/>
      <c r="E19" s="1101"/>
      <c r="F19" s="1101"/>
      <c r="G19" s="1102"/>
      <c r="H19" s="71" t="str">
        <f t="shared" si="1"/>
        <v>M3</v>
      </c>
      <c r="I19" s="861">
        <f t="shared" si="2"/>
        <v>7080.8702902025198</v>
      </c>
      <c r="J19" s="861">
        <f t="shared" si="3"/>
        <v>62080</v>
      </c>
      <c r="K19" s="861">
        <f t="shared" si="4"/>
        <v>122031.00000000001</v>
      </c>
      <c r="L19" s="861">
        <f t="shared" si="5"/>
        <v>15559.8479673</v>
      </c>
      <c r="M19" s="861">
        <f t="shared" si="6"/>
        <v>268777.23373475333</v>
      </c>
    </row>
    <row r="20" spans="1:13" s="73" customFormat="1" ht="36" customHeight="1" x14ac:dyDescent="0.2">
      <c r="A20" s="70" t="s">
        <v>301</v>
      </c>
      <c r="B20" s="1317" t="str">
        <f t="shared" si="0"/>
        <v>RELLENO CON MATERIAL SELECCIONADO PROCEDENTE DE LA EXCAVACIÓN (ICLUYE MANO DE OBRA)</v>
      </c>
      <c r="C20" s="1101"/>
      <c r="D20" s="1101"/>
      <c r="E20" s="1101"/>
      <c r="F20" s="1101"/>
      <c r="G20" s="1102"/>
      <c r="H20" s="71" t="str">
        <f t="shared" si="1"/>
        <v>M3</v>
      </c>
      <c r="I20" s="861">
        <f t="shared" si="2"/>
        <v>7343.8881395375201</v>
      </c>
      <c r="J20" s="861">
        <f t="shared" si="3"/>
        <v>200</v>
      </c>
      <c r="K20" s="861">
        <f t="shared" si="4"/>
        <v>0</v>
      </c>
      <c r="L20" s="861">
        <f t="shared" si="5"/>
        <v>20820.204954000001</v>
      </c>
      <c r="M20" s="861">
        <f t="shared" si="6"/>
        <v>36873.321021598778</v>
      </c>
    </row>
    <row r="21" spans="1:13" s="73" customFormat="1" ht="40.5" customHeight="1" x14ac:dyDescent="0.2">
      <c r="A21" s="70" t="s">
        <v>302</v>
      </c>
      <c r="B21" s="1317" t="str">
        <f t="shared" si="0"/>
        <v>SUMINISTRO E INSTALACIÓN VÁLVULA VENTOSA Ø1". COMBINADA C30 (TRIPLE ACCIÓN) PRESIÓN DE TRABAJO: 15-230 PSI</v>
      </c>
      <c r="C21" s="1101"/>
      <c r="D21" s="1101"/>
      <c r="E21" s="1101"/>
      <c r="F21" s="1101"/>
      <c r="G21" s="1102"/>
      <c r="H21" s="71" t="str">
        <f t="shared" si="1"/>
        <v>UND</v>
      </c>
      <c r="I21" s="861">
        <f t="shared" si="2"/>
        <v>1388.0136636000002</v>
      </c>
      <c r="J21" s="861">
        <f t="shared" si="3"/>
        <v>654500</v>
      </c>
      <c r="K21" s="861">
        <f t="shared" si="4"/>
        <v>32725</v>
      </c>
      <c r="L21" s="861">
        <f t="shared" si="5"/>
        <v>27760.273272000002</v>
      </c>
      <c r="M21" s="861">
        <f t="shared" si="6"/>
        <v>931285.27301628003</v>
      </c>
    </row>
    <row r="22" spans="1:13" s="73" customFormat="1" ht="13.5" x14ac:dyDescent="0.2">
      <c r="A22" s="70" t="s">
        <v>303</v>
      </c>
      <c r="B22" s="1317" t="str">
        <f t="shared" si="0"/>
        <v>SUMINISTRO E INSTALACIÓN VÁLVULA DE PURGA Ø3"</v>
      </c>
      <c r="C22" s="1101"/>
      <c r="D22" s="1101"/>
      <c r="E22" s="1101"/>
      <c r="F22" s="1101"/>
      <c r="G22" s="1102"/>
      <c r="H22" s="71" t="str">
        <f t="shared" si="1"/>
        <v>UND</v>
      </c>
      <c r="I22" s="861">
        <f t="shared" si="2"/>
        <v>6940.0683180000015</v>
      </c>
      <c r="J22" s="861">
        <f t="shared" si="3"/>
        <v>1533672</v>
      </c>
      <c r="K22" s="861">
        <f t="shared" si="4"/>
        <v>0</v>
      </c>
      <c r="L22" s="861">
        <f t="shared" si="5"/>
        <v>138801.36636000001</v>
      </c>
      <c r="M22" s="861">
        <f t="shared" si="6"/>
        <v>2183237.4650814002</v>
      </c>
    </row>
    <row r="23" spans="1:13" s="73" customFormat="1" ht="13.5" x14ac:dyDescent="0.2">
      <c r="A23" s="70" t="s">
        <v>304</v>
      </c>
      <c r="B23" s="1317" t="str">
        <f t="shared" si="0"/>
        <v>SUMINISTRO E INSTALACIÓN VÁLVULA DE PURGA Ø12". INCLUYE TRANSPORTE</v>
      </c>
      <c r="C23" s="1101"/>
      <c r="D23" s="1101"/>
      <c r="E23" s="1101"/>
      <c r="F23" s="1101"/>
      <c r="G23" s="1102"/>
      <c r="H23" s="71" t="str">
        <f t="shared" si="1"/>
        <v>UND</v>
      </c>
      <c r="I23" s="861">
        <f t="shared" si="2"/>
        <v>17350.170795000002</v>
      </c>
      <c r="J23" s="861">
        <f t="shared" si="3"/>
        <v>4529551.74</v>
      </c>
      <c r="K23" s="861">
        <f t="shared" si="4"/>
        <v>0</v>
      </c>
      <c r="L23" s="861">
        <f t="shared" si="5"/>
        <v>347003.41590000002</v>
      </c>
      <c r="M23" s="861">
        <f t="shared" si="6"/>
        <v>6362076.9247035012</v>
      </c>
    </row>
    <row r="24" spans="1:13" s="73" customFormat="1" ht="38.25" customHeight="1" x14ac:dyDescent="0.2">
      <c r="A24" s="70" t="s">
        <v>305</v>
      </c>
      <c r="B24" s="1317" t="str">
        <f t="shared" si="0"/>
        <v>SUMINISTRO E INSTALACIÓN VÁLVULA REDUCTORA DE PRESION PROPORCIONAL Ø3". MODELO 720-PD-EN/ES. INCLUYE TRANSPORTE</v>
      </c>
      <c r="C24" s="1101"/>
      <c r="D24" s="1101"/>
      <c r="E24" s="1101"/>
      <c r="F24" s="1101"/>
      <c r="G24" s="1102"/>
      <c r="H24" s="71" t="str">
        <f t="shared" si="1"/>
        <v>UND</v>
      </c>
      <c r="I24" s="861">
        <f t="shared" si="2"/>
        <v>127234.58583</v>
      </c>
      <c r="J24" s="861">
        <f t="shared" si="3"/>
        <v>11566443</v>
      </c>
      <c r="K24" s="861">
        <f t="shared" si="4"/>
        <v>0</v>
      </c>
      <c r="L24" s="861">
        <f t="shared" si="5"/>
        <v>2544691.7165999999</v>
      </c>
      <c r="M24" s="861">
        <f t="shared" si="6"/>
        <v>18509880.093159001</v>
      </c>
    </row>
    <row r="25" spans="1:13" s="73" customFormat="1" ht="40.5" customHeight="1" x14ac:dyDescent="0.2">
      <c r="A25" s="70" t="s">
        <v>306</v>
      </c>
      <c r="B25" s="1317" t="str">
        <f t="shared" si="0"/>
        <v>SUMINISTRO E INSTALACIÓN VÁLVULA DE CORTE (INCLUYE ACCESORIOS) Ø3". INCLUYE TRANSPORTE</v>
      </c>
      <c r="C25" s="1101"/>
      <c r="D25" s="1101"/>
      <c r="E25" s="1101"/>
      <c r="F25" s="1101"/>
      <c r="G25" s="1102"/>
      <c r="H25" s="71" t="str">
        <f t="shared" si="1"/>
        <v>UND</v>
      </c>
      <c r="I25" s="861">
        <f t="shared" si="2"/>
        <v>3472420</v>
      </c>
      <c r="J25" s="861">
        <f t="shared" si="3"/>
        <v>13880.136636000003</v>
      </c>
      <c r="K25" s="861">
        <f t="shared" si="4"/>
        <v>0</v>
      </c>
      <c r="L25" s="861">
        <f t="shared" si="5"/>
        <v>277602.73272000003</v>
      </c>
      <c r="M25" s="861">
        <f t="shared" si="6"/>
        <v>4893073.7301628003</v>
      </c>
    </row>
    <row r="26" spans="1:13" s="73" customFormat="1" ht="39" customHeight="1" x14ac:dyDescent="0.2">
      <c r="A26" s="70" t="s">
        <v>307</v>
      </c>
      <c r="B26" s="1317" t="str">
        <f t="shared" si="0"/>
        <v>SUMINISTRO E INSTALACIÓN VÁLVULA DE CORTE (INCLUYE ACCESORIOS) Ø12". INCLUYE TRANSPORTE</v>
      </c>
      <c r="C26" s="1101"/>
      <c r="D26" s="1101"/>
      <c r="E26" s="1101"/>
      <c r="F26" s="1101"/>
      <c r="G26" s="1102"/>
      <c r="H26" s="71" t="str">
        <f t="shared" si="1"/>
        <v>UND</v>
      </c>
      <c r="I26" s="861">
        <f t="shared" si="2"/>
        <v>13880.136636000003</v>
      </c>
      <c r="J26" s="861">
        <f t="shared" si="3"/>
        <v>4529551.74</v>
      </c>
      <c r="K26" s="861">
        <f t="shared" si="4"/>
        <v>0</v>
      </c>
      <c r="L26" s="861">
        <f t="shared" si="5"/>
        <v>277602.73272000003</v>
      </c>
      <c r="M26" s="861">
        <f t="shared" si="6"/>
        <v>6267344.9921628004</v>
      </c>
    </row>
    <row r="27" spans="1:13" s="73" customFormat="1" ht="40.5" customHeight="1" x14ac:dyDescent="0.2">
      <c r="A27" s="70" t="s">
        <v>308</v>
      </c>
      <c r="B27" s="1317" t="str">
        <f t="shared" si="0"/>
        <v>SUMINISTRO E INSTALACIÓN ACOMETIDA DOMICILIARIA 1/2" (INCLUYE TODOSO LOS ACCESORIOS Y MACROMEDIDOR)</v>
      </c>
      <c r="C27" s="1101"/>
      <c r="D27" s="1101"/>
      <c r="E27" s="1101"/>
      <c r="F27" s="1101"/>
      <c r="G27" s="1102"/>
      <c r="H27" s="71" t="str">
        <f t="shared" si="1"/>
        <v>UND</v>
      </c>
      <c r="I27" s="861">
        <f t="shared" si="2"/>
        <v>11335.444919400001</v>
      </c>
      <c r="J27" s="861">
        <f t="shared" si="3"/>
        <v>470885.41000000003</v>
      </c>
      <c r="K27" s="861">
        <f t="shared" si="4"/>
        <v>0</v>
      </c>
      <c r="L27" s="861">
        <f t="shared" si="5"/>
        <v>226708.898388</v>
      </c>
      <c r="M27" s="861">
        <f t="shared" si="6"/>
        <v>921608.6792996201</v>
      </c>
    </row>
    <row r="28" spans="1:13" s="73" customFormat="1" ht="40.5" customHeight="1" x14ac:dyDescent="0.2">
      <c r="A28" s="70" t="s">
        <v>309</v>
      </c>
      <c r="B28" s="1317" t="str">
        <f t="shared" si="0"/>
        <v>CONSTRUCIÓN DE CAJA PARA PROTECCIÓN DE VÁLVULA DE 1,2*0,60*0,60M LIBRES: ESPESOR DE PAREDES DE 0,10M EN MAMPOSTERIA (PARA MONTAJE DE 3 VALVULAS EN SERIE)</v>
      </c>
      <c r="C28" s="1101"/>
      <c r="D28" s="1101"/>
      <c r="E28" s="1101"/>
      <c r="F28" s="1101"/>
      <c r="G28" s="1102"/>
      <c r="H28" s="71" t="str">
        <f t="shared" si="1"/>
        <v>UND</v>
      </c>
      <c r="I28" s="861">
        <f t="shared" si="2"/>
        <v>5984.5569105000004</v>
      </c>
      <c r="J28" s="861">
        <f t="shared" si="3"/>
        <v>657114</v>
      </c>
      <c r="K28" s="861">
        <f t="shared" si="4"/>
        <v>77912.100000000006</v>
      </c>
      <c r="L28" s="861">
        <f t="shared" si="5"/>
        <v>119691.13821</v>
      </c>
      <c r="M28" s="861">
        <f t="shared" si="6"/>
        <v>1118912.33365665</v>
      </c>
    </row>
    <row r="29" spans="1:13" s="73" customFormat="1" ht="40.5" customHeight="1" x14ac:dyDescent="0.2">
      <c r="A29" s="70" t="s">
        <v>310</v>
      </c>
      <c r="B29" s="1317" t="str">
        <f t="shared" si="0"/>
        <v xml:space="preserve">CONSTRUCIÓN DE CAJA PARA VENTOSA Y DE COMPUERTA HASTA DE 6" DE 0,60X0,60M BASE Y TAPA EN CONCRETO 21MPA (3000 PSI) MUROS EN MAMPOSTERÍA </v>
      </c>
      <c r="C29" s="1101"/>
      <c r="D29" s="1101"/>
      <c r="E29" s="1101"/>
      <c r="F29" s="1101"/>
      <c r="G29" s="1102"/>
      <c r="H29" s="71" t="str">
        <f t="shared" si="1"/>
        <v>UND</v>
      </c>
      <c r="I29" s="861">
        <f t="shared" si="2"/>
        <v>7480.6961381250003</v>
      </c>
      <c r="J29" s="861">
        <f t="shared" si="3"/>
        <v>571198</v>
      </c>
      <c r="K29" s="861">
        <f t="shared" si="4"/>
        <v>32854.5</v>
      </c>
      <c r="L29" s="861">
        <f t="shared" si="5"/>
        <v>149613.92276250001</v>
      </c>
      <c r="M29" s="861">
        <f t="shared" si="6"/>
        <v>989491.25457081257</v>
      </c>
    </row>
    <row r="30" spans="1:13" s="73" customFormat="1" ht="40.5" customHeight="1" x14ac:dyDescent="0.2">
      <c r="A30" s="70" t="s">
        <v>311</v>
      </c>
      <c r="B30" s="1317" t="str">
        <f t="shared" si="0"/>
        <v>CONSTRUCIÓN DE CAJA PARA PURGA DE 1,00M X 1,00M BASE Y TAPA EN CONCRETO 21 MPA (3000PSI) MUROS EN MAMPOSTERIA)</v>
      </c>
      <c r="C30" s="1101"/>
      <c r="D30" s="1101"/>
      <c r="E30" s="1101"/>
      <c r="F30" s="1101"/>
      <c r="G30" s="1102"/>
      <c r="H30" s="71" t="str">
        <f t="shared" si="1"/>
        <v>UND</v>
      </c>
      <c r="I30" s="861">
        <f t="shared" si="2"/>
        <v>6583.0126015500009</v>
      </c>
      <c r="J30" s="861">
        <f t="shared" si="3"/>
        <v>691134</v>
      </c>
      <c r="K30" s="861">
        <f t="shared" si="4"/>
        <v>93870</v>
      </c>
      <c r="L30" s="861">
        <f t="shared" si="5"/>
        <v>131660.25203100001</v>
      </c>
      <c r="M30" s="861">
        <f t="shared" si="6"/>
        <v>1200221.4440223151</v>
      </c>
    </row>
    <row r="31" spans="1:13" s="73" customFormat="1" ht="40.5" customHeight="1" x14ac:dyDescent="0.2">
      <c r="A31" s="70" t="s">
        <v>312</v>
      </c>
      <c r="B31" s="1317" t="str">
        <f t="shared" si="0"/>
        <v>SUMINISTRO E INSTALACIÓN REDUCCIÓN PE100 Ø12" x Ø8" PEAD PN10 RDE 17. INCLUYE TRANSPORTE.</v>
      </c>
      <c r="C31" s="1101"/>
      <c r="D31" s="1101"/>
      <c r="E31" s="1101"/>
      <c r="F31" s="1101"/>
      <c r="G31" s="1102"/>
      <c r="H31" s="71" t="str">
        <f t="shared" si="1"/>
        <v>UND</v>
      </c>
      <c r="I31" s="861">
        <f t="shared" si="2"/>
        <v>13880.136636000003</v>
      </c>
      <c r="J31" s="861">
        <f t="shared" si="3"/>
        <v>3032266</v>
      </c>
      <c r="K31" s="861">
        <f t="shared" si="4"/>
        <v>0</v>
      </c>
      <c r="L31" s="861">
        <f t="shared" si="5"/>
        <v>277602.73272000003</v>
      </c>
      <c r="M31" s="861">
        <f t="shared" si="6"/>
        <v>4320873.530162801</v>
      </c>
    </row>
    <row r="32" spans="1:13" s="73" customFormat="1" ht="40.5" customHeight="1" x14ac:dyDescent="0.2">
      <c r="A32" s="70" t="s">
        <v>313</v>
      </c>
      <c r="B32" s="1317" t="str">
        <f t="shared" si="0"/>
        <v>SUMINISTRO E INSTALACIÓN REDUCCIÓN PE100 Ø3" x Ø2" PEAD PN10 RDE 17. INCLUYE TRANSPORTE.</v>
      </c>
      <c r="C32" s="1101"/>
      <c r="D32" s="1101"/>
      <c r="E32" s="1101"/>
      <c r="F32" s="1101"/>
      <c r="G32" s="1102"/>
      <c r="H32" s="71" t="str">
        <f t="shared" si="1"/>
        <v>UND</v>
      </c>
      <c r="I32" s="861">
        <f t="shared" si="2"/>
        <v>9655.7577150000016</v>
      </c>
      <c r="J32" s="861">
        <f t="shared" si="3"/>
        <v>403249</v>
      </c>
      <c r="K32" s="861">
        <f t="shared" si="4"/>
        <v>0</v>
      </c>
      <c r="L32" s="861">
        <f t="shared" si="5"/>
        <v>193115.15430000002</v>
      </c>
      <c r="M32" s="861">
        <f t="shared" si="6"/>
        <v>787825.88561950007</v>
      </c>
    </row>
    <row r="33" spans="1:13" s="73" customFormat="1" ht="40.5" customHeight="1" x14ac:dyDescent="0.2">
      <c r="A33" s="70" t="s">
        <v>314</v>
      </c>
      <c r="B33" s="1317" t="str">
        <f t="shared" si="0"/>
        <v>SUMINISTRO E INSTALACIÓN REDUCCIÓN PE100 Ø6" x Ø3" PEAD PN10 RDE 17. INCLUYE TRANSPORTE.</v>
      </c>
      <c r="C33" s="1101"/>
      <c r="D33" s="1101"/>
      <c r="E33" s="1101"/>
      <c r="F33" s="1101"/>
      <c r="G33" s="1102"/>
      <c r="H33" s="71" t="str">
        <f t="shared" si="1"/>
        <v>UND</v>
      </c>
      <c r="I33" s="861">
        <f t="shared" si="2"/>
        <v>5310.6667432499999</v>
      </c>
      <c r="J33" s="861">
        <f t="shared" si="3"/>
        <v>333002</v>
      </c>
      <c r="K33" s="861">
        <f t="shared" si="4"/>
        <v>0</v>
      </c>
      <c r="L33" s="861">
        <f t="shared" si="5"/>
        <v>106213.334865</v>
      </c>
      <c r="M33" s="861">
        <f t="shared" si="6"/>
        <v>577883.80209072493</v>
      </c>
    </row>
    <row r="34" spans="1:13" s="73" customFormat="1" ht="40.5" customHeight="1" x14ac:dyDescent="0.2">
      <c r="A34" s="70" t="s">
        <v>315</v>
      </c>
      <c r="B34" s="1317" t="str">
        <f t="shared" si="0"/>
        <v>SUMINISTRO E INSTALACIÓN CODO PE100 45° Ø12" PEAD PN10 RDE 17.  INCLUYE TRANSPORTE.</v>
      </c>
      <c r="C34" s="1101"/>
      <c r="D34" s="1101"/>
      <c r="E34" s="1101"/>
      <c r="F34" s="1101"/>
      <c r="G34" s="1102"/>
      <c r="H34" s="71" t="str">
        <f t="shared" si="1"/>
        <v>M3</v>
      </c>
      <c r="I34" s="861">
        <f t="shared" si="2"/>
        <v>13880.136636000003</v>
      </c>
      <c r="J34" s="861">
        <f t="shared" si="3"/>
        <v>3422495</v>
      </c>
      <c r="K34" s="861">
        <f t="shared" si="4"/>
        <v>0</v>
      </c>
      <c r="L34" s="861">
        <f t="shared" si="5"/>
        <v>277602.73272000003</v>
      </c>
      <c r="M34" s="861">
        <f t="shared" si="6"/>
        <v>4828171.2301628003</v>
      </c>
    </row>
    <row r="35" spans="1:13" s="73" customFormat="1" ht="40.5" customHeight="1" x14ac:dyDescent="0.2">
      <c r="A35" s="70" t="s">
        <v>316</v>
      </c>
      <c r="B35" s="1317" t="str">
        <f t="shared" si="0"/>
        <v>SUMINISTRO E INSTALACIÓN CODO PE100 90° Ø12" PEAD PN10 RDE 17.  INCLUYE TRANSPORTE.</v>
      </c>
      <c r="C35" s="1101"/>
      <c r="D35" s="1101"/>
      <c r="E35" s="1101"/>
      <c r="F35" s="1101"/>
      <c r="G35" s="1102"/>
      <c r="H35" s="71" t="str">
        <f t="shared" si="1"/>
        <v>UND</v>
      </c>
      <c r="I35" s="861">
        <f t="shared" si="2"/>
        <v>9253.4244240000025</v>
      </c>
      <c r="J35" s="861">
        <f t="shared" si="3"/>
        <v>4139604</v>
      </c>
      <c r="K35" s="861">
        <f t="shared" si="4"/>
        <v>0</v>
      </c>
      <c r="L35" s="861">
        <f t="shared" si="5"/>
        <v>185068.48848000003</v>
      </c>
      <c r="M35" s="861">
        <f t="shared" si="6"/>
        <v>5634103.6867752001</v>
      </c>
    </row>
    <row r="36" spans="1:13" s="73" customFormat="1" ht="40.5" customHeight="1" x14ac:dyDescent="0.2">
      <c r="A36" s="70" t="s">
        <v>317</v>
      </c>
      <c r="B36" s="1317" t="str">
        <f t="shared" si="0"/>
        <v>SUMINISTRO E INSTALACIÓN CODO PE100 90° Ø3" PEAD PN10 RDE 17.  INCLUYE TRANSPORTE.</v>
      </c>
      <c r="C36" s="1101"/>
      <c r="D36" s="1101"/>
      <c r="E36" s="1101"/>
      <c r="F36" s="1101"/>
      <c r="G36" s="1102"/>
      <c r="H36" s="71" t="str">
        <f t="shared" si="1"/>
        <v>UND</v>
      </c>
      <c r="I36" s="861">
        <f t="shared" si="2"/>
        <v>1735.0170795000004</v>
      </c>
      <c r="J36" s="861">
        <f t="shared" si="3"/>
        <v>143940</v>
      </c>
      <c r="K36" s="861">
        <f t="shared" si="4"/>
        <v>0</v>
      </c>
      <c r="L36" s="861">
        <f t="shared" si="5"/>
        <v>34700.341590000004</v>
      </c>
      <c r="M36" s="861">
        <f t="shared" si="6"/>
        <v>234487.96627034998</v>
      </c>
    </row>
    <row r="37" spans="1:13" s="73" customFormat="1" ht="40.5" customHeight="1" x14ac:dyDescent="0.2">
      <c r="A37" s="70" t="s">
        <v>318</v>
      </c>
      <c r="B37" s="1317" t="str">
        <f t="shared" si="0"/>
        <v>SUMINISTRO E INSTALACIÓN CODO PE100 45° Ø3" PEAD PN10 RDE 17.  INCLUYE TRANSPORTE.</v>
      </c>
      <c r="C37" s="1101"/>
      <c r="D37" s="1101"/>
      <c r="E37" s="1101"/>
      <c r="F37" s="1101"/>
      <c r="G37" s="1102"/>
      <c r="H37" s="71" t="str">
        <f t="shared" si="1"/>
        <v>UND</v>
      </c>
      <c r="I37" s="861">
        <f t="shared" si="2"/>
        <v>5085.9417604247392</v>
      </c>
      <c r="J37" s="861">
        <f t="shared" si="3"/>
        <v>64863.329999999994</v>
      </c>
      <c r="K37" s="861">
        <f t="shared" si="4"/>
        <v>0</v>
      </c>
      <c r="L37" s="861">
        <f t="shared" si="5"/>
        <v>101718.83520849478</v>
      </c>
      <c r="M37" s="861">
        <f t="shared" si="6"/>
        <v>223168.53905959538</v>
      </c>
    </row>
    <row r="38" spans="1:13" s="73" customFormat="1" ht="40.5" customHeight="1" x14ac:dyDescent="0.2">
      <c r="A38" s="70" t="s">
        <v>319</v>
      </c>
      <c r="B38" s="1317" t="str">
        <f t="shared" ref="B38:B61" si="7">VLOOKUP(A38,AA_APUS,2,FALSE)</f>
        <v>SUMINISTRO E INSTALACIÓN CODO PE100 90° Ø6" PEAD PN10 RDE 17.  INCLUYE TRANSPORTE.</v>
      </c>
      <c r="C38" s="1101"/>
      <c r="D38" s="1101"/>
      <c r="E38" s="1101"/>
      <c r="F38" s="1101"/>
      <c r="G38" s="1102"/>
      <c r="H38" s="71" t="str">
        <f t="shared" ref="H38:H61" si="8">VLOOKUP(A38,AA_APUS,4,FALSE)</f>
        <v>UND</v>
      </c>
      <c r="I38" s="861">
        <f t="shared" ref="I38:I61" si="9">VLOOKUP(A38,AA_APUS,8,FALSE)</f>
        <v>1735.0170795000004</v>
      </c>
      <c r="J38" s="861">
        <f t="shared" ref="J38:J61" si="10">VLOOKUP(A38,AA_APUS,10,FALSE)</f>
        <v>496394</v>
      </c>
      <c r="K38" s="861">
        <f t="shared" ref="K38:K61" si="11">VLOOKUP(A38,AA_APUS,12,FALSE)</f>
        <v>0</v>
      </c>
      <c r="L38" s="861">
        <f t="shared" ref="L38:L61" si="12">VLOOKUP(A38,AA_APUS,14,FALSE)</f>
        <v>34700.341590000004</v>
      </c>
      <c r="M38" s="861">
        <f t="shared" ref="M38:M61" si="13">VLOOKUP(A38,AA_APUS,6,FALSE)</f>
        <v>692678.16627034999</v>
      </c>
    </row>
    <row r="39" spans="1:13" s="73" customFormat="1" ht="40.5" customHeight="1" x14ac:dyDescent="0.2">
      <c r="A39" s="70" t="s">
        <v>320</v>
      </c>
      <c r="B39" s="1317" t="str">
        <f t="shared" si="7"/>
        <v>SUMINISTRO E INSTALACIÓN CODO PE100 45° Ø6" PEAD PN10 RDE 17.  INCLUYE TRANSPORTE.</v>
      </c>
      <c r="C39" s="1101"/>
      <c r="D39" s="1101"/>
      <c r="E39" s="1101"/>
      <c r="F39" s="1101"/>
      <c r="G39" s="1102"/>
      <c r="H39" s="71" t="str">
        <f t="shared" si="8"/>
        <v>UND</v>
      </c>
      <c r="I39" s="861">
        <f t="shared" si="9"/>
        <v>1360.5181411397618</v>
      </c>
      <c r="J39" s="861">
        <f t="shared" si="10"/>
        <v>566879</v>
      </c>
      <c r="K39" s="861">
        <f t="shared" si="11"/>
        <v>0</v>
      </c>
      <c r="L39" s="861">
        <f t="shared" si="12"/>
        <v>27210.362822795236</v>
      </c>
      <c r="M39" s="861">
        <f t="shared" si="13"/>
        <v>774084.84525311564</v>
      </c>
    </row>
    <row r="40" spans="1:13" s="73" customFormat="1" ht="40.5" customHeight="1" x14ac:dyDescent="0.2">
      <c r="A40" s="70" t="s">
        <v>321</v>
      </c>
      <c r="B40" s="1317" t="str">
        <f t="shared" si="7"/>
        <v>SUMINISTRO E INSTALACIÓN TEE PE100 Ø3" PEAD PN10 RDE 17. INCLUYE TRANSPORTE</v>
      </c>
      <c r="C40" s="1101"/>
      <c r="D40" s="1101"/>
      <c r="E40" s="1101"/>
      <c r="F40" s="1101"/>
      <c r="G40" s="1102"/>
      <c r="H40" s="71" t="str">
        <f t="shared" si="8"/>
        <v>UND</v>
      </c>
      <c r="I40" s="861">
        <f t="shared" si="9"/>
        <v>2082.0204954000001</v>
      </c>
      <c r="J40" s="861">
        <f t="shared" si="10"/>
        <v>191170</v>
      </c>
      <c r="K40" s="861">
        <f t="shared" si="11"/>
        <v>0</v>
      </c>
      <c r="L40" s="861">
        <f t="shared" si="12"/>
        <v>41640.409908000001</v>
      </c>
      <c r="M40" s="861">
        <f t="shared" si="13"/>
        <v>305360.15952442004</v>
      </c>
    </row>
    <row r="41" spans="1:13" s="73" customFormat="1" ht="13.5" x14ac:dyDescent="0.2">
      <c r="A41" s="70" t="s">
        <v>322</v>
      </c>
      <c r="B41" s="1317" t="str">
        <f t="shared" si="7"/>
        <v>SUMINISTRO E INSTALACIÓN DE TAPÓN Ø3". INCLUYE TRANSPORTE</v>
      </c>
      <c r="C41" s="1101"/>
      <c r="D41" s="1101"/>
      <c r="E41" s="1101"/>
      <c r="F41" s="1101"/>
      <c r="G41" s="1102"/>
      <c r="H41" s="71" t="str">
        <f t="shared" si="8"/>
        <v>UND</v>
      </c>
      <c r="I41" s="861">
        <f t="shared" si="9"/>
        <v>1214.5119556500001</v>
      </c>
      <c r="J41" s="861">
        <f t="shared" si="10"/>
        <v>91073</v>
      </c>
      <c r="K41" s="861">
        <f t="shared" si="11"/>
        <v>0</v>
      </c>
      <c r="L41" s="861">
        <f t="shared" si="12"/>
        <v>24290.239113</v>
      </c>
      <c r="M41" s="861">
        <f t="shared" si="13"/>
        <v>151551.07638924502</v>
      </c>
    </row>
    <row r="42" spans="1:13" s="73" customFormat="1" ht="13.5" x14ac:dyDescent="0.2">
      <c r="A42" s="70" t="s">
        <v>323</v>
      </c>
      <c r="B42" s="1317" t="str">
        <f t="shared" si="7"/>
        <v>SUMINISTRO E INSTALACIÓN DE MACROMEDIDOR ULTRASONIDO D6"</v>
      </c>
      <c r="C42" s="1101"/>
      <c r="D42" s="1101"/>
      <c r="E42" s="1101"/>
      <c r="F42" s="1101"/>
      <c r="G42" s="1102"/>
      <c r="H42" s="71" t="str">
        <f t="shared" si="8"/>
        <v>UND</v>
      </c>
      <c r="I42" s="861">
        <f t="shared" si="9"/>
        <v>25446.917166000007</v>
      </c>
      <c r="J42" s="861">
        <f t="shared" si="10"/>
        <v>12613695</v>
      </c>
      <c r="K42" s="861">
        <f t="shared" si="11"/>
        <v>0</v>
      </c>
      <c r="L42" s="861">
        <f t="shared" si="12"/>
        <v>508938.3433200001</v>
      </c>
      <c r="M42" s="861">
        <f t="shared" si="13"/>
        <v>17092504.338631801</v>
      </c>
    </row>
    <row r="43" spans="1:13" s="73" customFormat="1" ht="13.5" x14ac:dyDescent="0.2">
      <c r="A43" s="70" t="s">
        <v>324</v>
      </c>
      <c r="B43" s="1317" t="str">
        <f t="shared" si="7"/>
        <v>SUMINISTRO E INSTALACIÓN DE MACROMEDIDOR ULTRASONIDO D12"</v>
      </c>
      <c r="C43" s="1101"/>
      <c r="D43" s="1101"/>
      <c r="E43" s="1101"/>
      <c r="F43" s="1101"/>
      <c r="G43" s="1102"/>
      <c r="H43" s="71" t="str">
        <f t="shared" si="8"/>
        <v>UND</v>
      </c>
      <c r="I43" s="861">
        <f t="shared" si="9"/>
        <v>28916.951325000002</v>
      </c>
      <c r="J43" s="861">
        <f t="shared" si="10"/>
        <v>16169933.01</v>
      </c>
      <c r="K43" s="861">
        <f t="shared" si="11"/>
        <v>0</v>
      </c>
      <c r="L43" s="861">
        <f t="shared" si="12"/>
        <v>578339.02650000004</v>
      </c>
      <c r="M43" s="861">
        <f t="shared" si="13"/>
        <v>21810345.6841725</v>
      </c>
    </row>
    <row r="44" spans="1:13" s="73" customFormat="1" ht="13.5" x14ac:dyDescent="0.2">
      <c r="A44" s="70" t="s">
        <v>325</v>
      </c>
      <c r="B44" s="1317" t="str">
        <f t="shared" si="7"/>
        <v>SUMINISTRO E INSTALACIÓN DE MACROMEDIDOR ULTRASONIDO D8"</v>
      </c>
      <c r="C44" s="1101"/>
      <c r="D44" s="1101"/>
      <c r="E44" s="1101"/>
      <c r="F44" s="1101"/>
      <c r="G44" s="1102"/>
      <c r="H44" s="71" t="str">
        <f t="shared" si="8"/>
        <v>UND</v>
      </c>
      <c r="I44" s="861">
        <f t="shared" si="9"/>
        <v>28916.951325000002</v>
      </c>
      <c r="J44" s="861">
        <f t="shared" si="10"/>
        <v>8213750</v>
      </c>
      <c r="K44" s="861">
        <f t="shared" si="11"/>
        <v>0</v>
      </c>
      <c r="L44" s="861">
        <f t="shared" si="12"/>
        <v>578339.02650000004</v>
      </c>
      <c r="M44" s="861">
        <f t="shared" si="13"/>
        <v>11467307.771172501</v>
      </c>
    </row>
    <row r="45" spans="1:13" s="73" customFormat="1" ht="40.5" customHeight="1" x14ac:dyDescent="0.2">
      <c r="A45" s="70" t="s">
        <v>326</v>
      </c>
      <c r="B45" s="1317" t="str">
        <f t="shared" si="7"/>
        <v>CONCRETO PARA PAVIMENTO RÍGIDO MR-38 HECHO EN OBRA, INCLUYE SELLADO DE JUNTAS Y ACERO DE TRANSFERENCIA Y UNIÓN</v>
      </c>
      <c r="C45" s="1101"/>
      <c r="D45" s="1101"/>
      <c r="E45" s="1101"/>
      <c r="F45" s="1101"/>
      <c r="G45" s="1102"/>
      <c r="H45" s="71" t="str">
        <f t="shared" si="8"/>
        <v>M3</v>
      </c>
      <c r="I45" s="861">
        <f t="shared" si="9"/>
        <v>59862.026921199096</v>
      </c>
      <c r="J45" s="861">
        <f t="shared" si="10"/>
        <v>1109197.464109852</v>
      </c>
      <c r="K45" s="861">
        <f t="shared" si="11"/>
        <v>0</v>
      </c>
      <c r="L45" s="861">
        <f t="shared" si="12"/>
        <v>141818.86604250001</v>
      </c>
      <c r="M45" s="861">
        <f t="shared" si="13"/>
        <v>1704141.8641956165</v>
      </c>
    </row>
    <row r="46" spans="1:13" s="73" customFormat="1" ht="13.5" x14ac:dyDescent="0.2">
      <c r="A46" s="70" t="s">
        <v>327</v>
      </c>
      <c r="B46" s="1317" t="str">
        <f t="shared" si="7"/>
        <v>ANDÉN CONCRETO 10CM 3000PSI</v>
      </c>
      <c r="C46" s="1101"/>
      <c r="D46" s="1101"/>
      <c r="E46" s="1101"/>
      <c r="F46" s="1101"/>
      <c r="G46" s="1102"/>
      <c r="H46" s="71" t="str">
        <f t="shared" si="8"/>
        <v>M3</v>
      </c>
      <c r="I46" s="861">
        <f t="shared" si="9"/>
        <v>2896.7273144999999</v>
      </c>
      <c r="J46" s="861">
        <f t="shared" si="10"/>
        <v>82411</v>
      </c>
      <c r="K46" s="861">
        <f t="shared" si="11"/>
        <v>0</v>
      </c>
      <c r="L46" s="861">
        <f t="shared" si="12"/>
        <v>57934.546289999998</v>
      </c>
      <c r="M46" s="861">
        <f t="shared" si="13"/>
        <v>186214.95568585</v>
      </c>
    </row>
    <row r="47" spans="1:13" s="73" customFormat="1" ht="13.5" x14ac:dyDescent="0.2">
      <c r="A47" s="70" t="s">
        <v>328</v>
      </c>
      <c r="B47" s="1317" t="str">
        <f t="shared" si="7"/>
        <v>RETIRO DE SOBRANTES (INCLUYE CARGUE Y BOTADERO AUTORIZADO)</v>
      </c>
      <c r="C47" s="1101"/>
      <c r="D47" s="1101"/>
      <c r="E47" s="1101"/>
      <c r="F47" s="1101"/>
      <c r="G47" s="1102"/>
      <c r="H47" s="71" t="str">
        <f t="shared" si="8"/>
        <v>M3</v>
      </c>
      <c r="I47" s="861">
        <f t="shared" si="9"/>
        <v>0</v>
      </c>
      <c r="J47" s="861">
        <f t="shared" si="10"/>
        <v>3250</v>
      </c>
      <c r="K47" s="861">
        <f t="shared" si="11"/>
        <v>14300</v>
      </c>
      <c r="L47" s="861">
        <f t="shared" si="12"/>
        <v>0</v>
      </c>
      <c r="M47" s="861">
        <f t="shared" si="13"/>
        <v>22815</v>
      </c>
    </row>
    <row r="48" spans="1:13" s="73" customFormat="1" ht="13.5" x14ac:dyDescent="0.2">
      <c r="A48" s="70" t="s">
        <v>329</v>
      </c>
      <c r="B48" s="1317" t="str">
        <f t="shared" si="7"/>
        <v>RETIRO Y DISPOSICIÓN DE TUBERÍA HASTA 12"</v>
      </c>
      <c r="C48" s="1101"/>
      <c r="D48" s="1101"/>
      <c r="E48" s="1101"/>
      <c r="F48" s="1101"/>
      <c r="G48" s="1102"/>
      <c r="H48" s="71" t="str">
        <f t="shared" si="8"/>
        <v>ML</v>
      </c>
      <c r="I48" s="861">
        <f t="shared" si="9"/>
        <v>146.84803217999999</v>
      </c>
      <c r="J48" s="861">
        <f t="shared" si="10"/>
        <v>2500</v>
      </c>
      <c r="K48" s="861">
        <f t="shared" si="11"/>
        <v>135.32</v>
      </c>
      <c r="L48" s="861">
        <f t="shared" si="12"/>
        <v>2936.9606435999999</v>
      </c>
      <c r="M48" s="861">
        <f t="shared" si="13"/>
        <v>7434.8672785139997</v>
      </c>
    </row>
    <row r="49" spans="1:13" s="73" customFormat="1" ht="13.5" x14ac:dyDescent="0.2">
      <c r="A49" s="70" t="s">
        <v>330</v>
      </c>
      <c r="B49" s="1317" t="str">
        <f t="shared" si="7"/>
        <v>ENROCADO DE PROTECCIÓN (PIEDRA Y CONCRETO DE 17.2 MPA (2500 PSI))</v>
      </c>
      <c r="C49" s="1101"/>
      <c r="D49" s="1101"/>
      <c r="E49" s="1101"/>
      <c r="F49" s="1101"/>
      <c r="G49" s="1102"/>
      <c r="H49" s="71" t="str">
        <f t="shared" si="8"/>
        <v>M3</v>
      </c>
      <c r="I49" s="861">
        <f t="shared" si="9"/>
        <v>13540.680770937062</v>
      </c>
      <c r="J49" s="861">
        <f t="shared" si="10"/>
        <v>387970</v>
      </c>
      <c r="K49" s="861">
        <f t="shared" si="11"/>
        <v>0</v>
      </c>
      <c r="L49" s="861">
        <f t="shared" si="12"/>
        <v>250132.32579663696</v>
      </c>
      <c r="M49" s="861">
        <f t="shared" si="13"/>
        <v>847135.90853784618</v>
      </c>
    </row>
    <row r="50" spans="1:13" s="73" customFormat="1" ht="13.5" x14ac:dyDescent="0.2">
      <c r="A50" s="70" t="s">
        <v>331</v>
      </c>
      <c r="B50" s="1317" t="str">
        <f t="shared" si="7"/>
        <v>CONCRETO PREPARADO EN OBRA, IMPERMEABILIZADO DE 31 MPA (4500 PSI)</v>
      </c>
      <c r="C50" s="1101"/>
      <c r="D50" s="1101"/>
      <c r="E50" s="1101"/>
      <c r="F50" s="1101"/>
      <c r="G50" s="1102"/>
      <c r="H50" s="71" t="str">
        <f t="shared" si="8"/>
        <v>M3</v>
      </c>
      <c r="I50" s="861">
        <f t="shared" si="9"/>
        <v>219184.37326180609</v>
      </c>
      <c r="J50" s="861">
        <f t="shared" si="10"/>
        <v>924678.74096579861</v>
      </c>
      <c r="K50" s="861">
        <f t="shared" si="11"/>
        <v>0</v>
      </c>
      <c r="L50" s="861">
        <f t="shared" si="12"/>
        <v>228647.46523612188</v>
      </c>
      <c r="M50" s="861">
        <f t="shared" si="13"/>
        <v>1784263.7533028442</v>
      </c>
    </row>
    <row r="51" spans="1:13" s="73" customFormat="1" ht="13.5" x14ac:dyDescent="0.2">
      <c r="A51" s="70" t="s">
        <v>332</v>
      </c>
      <c r="B51" s="1317" t="str">
        <f t="shared" si="7"/>
        <v>ACERO DE REFUERZO 60000PSI</v>
      </c>
      <c r="C51" s="1101"/>
      <c r="D51" s="1101"/>
      <c r="E51" s="1101"/>
      <c r="F51" s="1101"/>
      <c r="G51" s="1102"/>
      <c r="H51" s="71" t="str">
        <f t="shared" si="8"/>
        <v>KG</v>
      </c>
      <c r="I51" s="861">
        <f t="shared" si="9"/>
        <v>48.278788575000007</v>
      </c>
      <c r="J51" s="861">
        <f t="shared" si="10"/>
        <v>5888.0959999999995</v>
      </c>
      <c r="K51" s="861">
        <f t="shared" si="11"/>
        <v>0</v>
      </c>
      <c r="L51" s="861">
        <f t="shared" si="12"/>
        <v>965.57577150000009</v>
      </c>
      <c r="M51" s="861">
        <f t="shared" si="13"/>
        <v>8972.5357280975004</v>
      </c>
    </row>
    <row r="52" spans="1:13" s="73" customFormat="1" ht="40.5" customHeight="1" x14ac:dyDescent="0.2">
      <c r="A52" s="70" t="s">
        <v>333</v>
      </c>
      <c r="B52" s="1317" t="str">
        <f t="shared" si="7"/>
        <v>PASO PARA POZO DE INSPECCION, EN POLIPROPILENOS CON MOLĖCULA ORIGINAL DE ALTO IMPACTO CON ALMA DE ACERO INOXIDABLE MEDIDAS FINALEST 40 CM X 32 CM X 2 QM COLOR. AMARILLO</v>
      </c>
      <c r="C52" s="1101"/>
      <c r="D52" s="1101"/>
      <c r="E52" s="1101"/>
      <c r="F52" s="1101"/>
      <c r="G52" s="1102"/>
      <c r="H52" s="71" t="str">
        <f t="shared" si="8"/>
        <v>UND</v>
      </c>
      <c r="I52" s="861">
        <f t="shared" si="9"/>
        <v>694.0068318000001</v>
      </c>
      <c r="J52" s="861">
        <f t="shared" si="10"/>
        <v>111860</v>
      </c>
      <c r="K52" s="861">
        <f t="shared" si="11"/>
        <v>0</v>
      </c>
      <c r="L52" s="861">
        <f t="shared" si="12"/>
        <v>13880.136636000001</v>
      </c>
      <c r="M52" s="861">
        <f t="shared" si="13"/>
        <v>164364.38650813999</v>
      </c>
    </row>
    <row r="53" spans="1:13" s="73" customFormat="1" ht="13.5" x14ac:dyDescent="0.2">
      <c r="A53" s="70" t="s">
        <v>334</v>
      </c>
      <c r="B53" s="1317" t="str">
        <f t="shared" si="7"/>
        <v>MEDIDOR 6" ULTRASONICO VS-500 DN150 F300MM PN16 R400</v>
      </c>
      <c r="C53" s="1101"/>
      <c r="D53" s="1101"/>
      <c r="E53" s="1101"/>
      <c r="F53" s="1101"/>
      <c r="G53" s="1102"/>
      <c r="H53" s="71" t="str">
        <f t="shared" si="8"/>
        <v>UND</v>
      </c>
      <c r="I53" s="861">
        <f t="shared" si="9"/>
        <v>73926.855153000011</v>
      </c>
      <c r="J53" s="861">
        <f t="shared" si="10"/>
        <v>12613695</v>
      </c>
      <c r="K53" s="861">
        <f t="shared" si="11"/>
        <v>0</v>
      </c>
      <c r="L53" s="861">
        <f t="shared" si="12"/>
        <v>1478537.1030600001</v>
      </c>
      <c r="M53" s="861">
        <f t="shared" si="13"/>
        <v>18416006.6456769</v>
      </c>
    </row>
    <row r="54" spans="1:13" s="73" customFormat="1" ht="13.5" x14ac:dyDescent="0.2">
      <c r="A54" s="70" t="s">
        <v>335</v>
      </c>
      <c r="B54" s="1317" t="str">
        <f t="shared" si="7"/>
        <v>TAPA VÁLVULA 37,5cm X 34cm X 5cm DE ALTO</v>
      </c>
      <c r="C54" s="1101"/>
      <c r="D54" s="1101"/>
      <c r="E54" s="1101"/>
      <c r="F54" s="1101"/>
      <c r="G54" s="1102"/>
      <c r="H54" s="71" t="str">
        <f t="shared" si="8"/>
        <v>UND</v>
      </c>
      <c r="I54" s="861">
        <f t="shared" si="9"/>
        <v>3080.2856313750003</v>
      </c>
      <c r="J54" s="861">
        <f t="shared" si="10"/>
        <v>364140</v>
      </c>
      <c r="K54" s="861">
        <f t="shared" si="11"/>
        <v>0</v>
      </c>
      <c r="L54" s="861">
        <f t="shared" si="12"/>
        <v>61605.712627500005</v>
      </c>
      <c r="M54" s="861">
        <f t="shared" si="13"/>
        <v>557473.79773653753</v>
      </c>
    </row>
    <row r="55" spans="1:13" s="73" customFormat="1" ht="13.5" x14ac:dyDescent="0.2">
      <c r="A55" s="70" t="s">
        <v>336</v>
      </c>
      <c r="B55" s="1317" t="str">
        <f t="shared" si="7"/>
        <v xml:space="preserve">VÁLVULA AQT COMPUERTA ELÁSTICA JUNTA RÁPIDA DE 6" </v>
      </c>
      <c r="C55" s="1101"/>
      <c r="D55" s="1101"/>
      <c r="E55" s="1101"/>
      <c r="F55" s="1101"/>
      <c r="G55" s="1102"/>
      <c r="H55" s="71" t="str">
        <f t="shared" si="8"/>
        <v>UND</v>
      </c>
      <c r="I55" s="861">
        <f t="shared" si="9"/>
        <v>9364.2271850692141</v>
      </c>
      <c r="J55" s="861">
        <f t="shared" si="10"/>
        <v>3124232.7560000001</v>
      </c>
      <c r="K55" s="861">
        <f t="shared" si="11"/>
        <v>0</v>
      </c>
      <c r="L55" s="861">
        <f t="shared" si="12"/>
        <v>187284.54370138427</v>
      </c>
      <c r="M55" s="861">
        <f t="shared" si="13"/>
        <v>4317145.9849523893</v>
      </c>
    </row>
    <row r="56" spans="1:13" s="73" customFormat="1" ht="40.5" customHeight="1" x14ac:dyDescent="0.2">
      <c r="A56" s="70" t="s">
        <v>337</v>
      </c>
      <c r="B56" s="1317" t="str">
        <f t="shared" si="7"/>
        <v>VÁLVULA AQT COMPUERTA ELÁSTICA BRIDADA DE 10" (INCLUYE INSTALACIÓN Y SUMINISTRO)</v>
      </c>
      <c r="C56" s="1101"/>
      <c r="D56" s="1101"/>
      <c r="E56" s="1101"/>
      <c r="F56" s="1101"/>
      <c r="G56" s="1102"/>
      <c r="H56" s="71" t="str">
        <f t="shared" si="8"/>
        <v>UND</v>
      </c>
      <c r="I56" s="861">
        <f t="shared" si="9"/>
        <v>0</v>
      </c>
      <c r="J56" s="861">
        <f t="shared" si="10"/>
        <v>6522390</v>
      </c>
      <c r="K56" s="861">
        <f t="shared" si="11"/>
        <v>0</v>
      </c>
      <c r="L56" s="861">
        <f t="shared" si="12"/>
        <v>558223.2236250001</v>
      </c>
      <c r="M56" s="861">
        <f t="shared" si="13"/>
        <v>9204797.1907125004</v>
      </c>
    </row>
    <row r="57" spans="1:13" s="73" customFormat="1" ht="13.5" x14ac:dyDescent="0.2">
      <c r="A57" s="70" t="s">
        <v>338</v>
      </c>
      <c r="B57" s="1317" t="str">
        <f t="shared" si="7"/>
        <v>TEE PVC 10" (INCLUYE INSTALACIÓN Y SUMINISTRO)</v>
      </c>
      <c r="C57" s="1101"/>
      <c r="D57" s="1101"/>
      <c r="E57" s="1101"/>
      <c r="F57" s="1101"/>
      <c r="G57" s="1102"/>
      <c r="H57" s="71" t="str">
        <f t="shared" si="8"/>
        <v>UND</v>
      </c>
      <c r="I57" s="861">
        <f t="shared" si="9"/>
        <v>2046831.8179599999</v>
      </c>
      <c r="J57" s="861">
        <f t="shared" si="10"/>
        <v>12069.697143750001</v>
      </c>
      <c r="K57" s="861">
        <f t="shared" si="11"/>
        <v>0</v>
      </c>
      <c r="L57" s="861">
        <f t="shared" si="12"/>
        <v>241393.94287500001</v>
      </c>
      <c r="M57" s="861">
        <f t="shared" si="13"/>
        <v>2990384.0953723751</v>
      </c>
    </row>
    <row r="58" spans="1:13" s="73" customFormat="1" ht="13.5" x14ac:dyDescent="0.2">
      <c r="A58" s="70" t="s">
        <v>339</v>
      </c>
      <c r="B58" s="1317" t="str">
        <f t="shared" si="7"/>
        <v>CODO 90° PVC 10" (INCLUYE INSTALACIÓN Y SUMINISTRO)</v>
      </c>
      <c r="C58" s="1101"/>
      <c r="D58" s="1101"/>
      <c r="E58" s="1101"/>
      <c r="F58" s="1101"/>
      <c r="G58" s="1102"/>
      <c r="H58" s="71" t="str">
        <f t="shared" si="8"/>
        <v>UND</v>
      </c>
      <c r="I58" s="861">
        <f t="shared" si="9"/>
        <v>0</v>
      </c>
      <c r="J58" s="861">
        <f t="shared" si="10"/>
        <v>1707015.2513600001</v>
      </c>
      <c r="K58" s="861">
        <f t="shared" si="11"/>
        <v>0</v>
      </c>
      <c r="L58" s="861">
        <f t="shared" si="12"/>
        <v>24139.394287500003</v>
      </c>
      <c r="M58" s="861">
        <f t="shared" si="13"/>
        <v>2250501.0393417501</v>
      </c>
    </row>
    <row r="59" spans="1:13" s="73" customFormat="1" ht="13.5" x14ac:dyDescent="0.2">
      <c r="A59" s="70" t="s">
        <v>340</v>
      </c>
      <c r="B59" s="1317" t="str">
        <f t="shared" si="7"/>
        <v>TUBERÍA PVC 10" RDE 21 (INCLUYE INSTALACIÓN Y SUMINISTRO)</v>
      </c>
      <c r="C59" s="1101"/>
      <c r="D59" s="1101"/>
      <c r="E59" s="1101"/>
      <c r="F59" s="1101"/>
      <c r="G59" s="1102"/>
      <c r="H59" s="71" t="str">
        <f t="shared" si="8"/>
        <v>ML</v>
      </c>
      <c r="I59" s="861">
        <f t="shared" si="9"/>
        <v>1206.9697143750002</v>
      </c>
      <c r="J59" s="861">
        <f t="shared" si="10"/>
        <v>304496.16666666669</v>
      </c>
      <c r="K59" s="861">
        <f t="shared" si="11"/>
        <v>0</v>
      </c>
      <c r="L59" s="861">
        <f t="shared" si="12"/>
        <v>24139.394287500003</v>
      </c>
      <c r="M59" s="861">
        <f t="shared" si="13"/>
        <v>428795.28986910416</v>
      </c>
    </row>
    <row r="60" spans="1:13" s="73" customFormat="1" ht="13.5" x14ac:dyDescent="0.2">
      <c r="A60" s="70" t="s">
        <v>341</v>
      </c>
      <c r="B60" s="1317" t="str">
        <f t="shared" si="7"/>
        <v>PASAMUROS PVC 10" E.L L=0.30m (INCLUYE INSTALACIÓN Y SUMINISTRO)</v>
      </c>
      <c r="C60" s="1101"/>
      <c r="D60" s="1101"/>
      <c r="E60" s="1101"/>
      <c r="F60" s="1101"/>
      <c r="G60" s="1102"/>
      <c r="H60" s="71" t="str">
        <f t="shared" si="8"/>
        <v>UND</v>
      </c>
      <c r="I60" s="861">
        <f t="shared" si="9"/>
        <v>1000869.29684</v>
      </c>
      <c r="J60" s="861">
        <f t="shared" si="10"/>
        <v>1206.9697143750002</v>
      </c>
      <c r="K60" s="861">
        <f t="shared" si="11"/>
        <v>0</v>
      </c>
      <c r="L60" s="861">
        <f t="shared" si="12"/>
        <v>24139.394287500003</v>
      </c>
      <c r="M60" s="861">
        <f t="shared" si="13"/>
        <v>1334080.3590944374</v>
      </c>
    </row>
    <row r="61" spans="1:13" s="73" customFormat="1" ht="13.5" x14ac:dyDescent="0.2">
      <c r="A61" s="70" t="s">
        <v>342</v>
      </c>
      <c r="B61" s="1317" t="str">
        <f t="shared" si="7"/>
        <v>UNIÓN PVC 10" (INCLUYE INSTALACIÓN Y SUMINISTRO)</v>
      </c>
      <c r="C61" s="1101"/>
      <c r="D61" s="1101"/>
      <c r="E61" s="1101"/>
      <c r="F61" s="1101"/>
      <c r="G61" s="1102"/>
      <c r="H61" s="71" t="str">
        <f t="shared" si="8"/>
        <v>UND</v>
      </c>
      <c r="I61" s="861">
        <f t="shared" si="9"/>
        <v>1448.36365725</v>
      </c>
      <c r="J61" s="861">
        <f t="shared" si="10"/>
        <v>1001231.59684</v>
      </c>
      <c r="K61" s="861">
        <f t="shared" si="11"/>
        <v>0</v>
      </c>
      <c r="L61" s="861">
        <f t="shared" si="12"/>
        <v>28967.273144999999</v>
      </c>
      <c r="M61" s="861">
        <f t="shared" si="13"/>
        <v>1341141.403734925</v>
      </c>
    </row>
    <row r="62" spans="1:13" s="73" customFormat="1" ht="40.5" customHeight="1" x14ac:dyDescent="0.2">
      <c r="A62" s="70" t="s">
        <v>343</v>
      </c>
      <c r="B62" s="1317" t="str">
        <f t="shared" ref="B62:B85" si="14">VLOOKUP(A62,AA_APUS,2,FALSE)</f>
        <v>VÁLVULA AQT COMPUERTA ELÁSTICA BRIDADA DE 8" (INCLUYE INSTALACIÓN Y SUMINISTRO)</v>
      </c>
      <c r="C62" s="1101"/>
      <c r="D62" s="1101"/>
      <c r="E62" s="1101"/>
      <c r="F62" s="1101"/>
      <c r="G62" s="1102"/>
      <c r="H62" s="71" t="str">
        <f t="shared" ref="H62:H85" si="15">VLOOKUP(A62,AA_APUS,4,FALSE)</f>
        <v>UND</v>
      </c>
      <c r="I62" s="861">
        <f t="shared" ref="I62:I85" si="16">VLOOKUP(A62,AA_APUS,8,FALSE)</f>
        <v>1931.1515429999999</v>
      </c>
      <c r="J62" s="861">
        <f t="shared" ref="J62:J85" si="17">VLOOKUP(A62,AA_APUS,10,FALSE)</f>
        <v>1784572</v>
      </c>
      <c r="K62" s="861">
        <f t="shared" ref="K62:K85" si="18">VLOOKUP(A62,AA_APUS,12,FALSE)</f>
        <v>0</v>
      </c>
      <c r="L62" s="861">
        <f t="shared" ref="L62:L85" si="19">VLOOKUP(A62,AA_APUS,14,FALSE)</f>
        <v>38623.030859999999</v>
      </c>
      <c r="M62" s="861">
        <f t="shared" ref="M62:M85" si="20">VLOOKUP(A62,AA_APUS,6,FALSE)</f>
        <v>2372664.0371239004</v>
      </c>
    </row>
    <row r="63" spans="1:13" s="73" customFormat="1" ht="13.5" x14ac:dyDescent="0.2">
      <c r="A63" s="70" t="s">
        <v>344</v>
      </c>
      <c r="B63" s="1317" t="str">
        <f t="shared" si="14"/>
        <v>TEE PVC 8" (INCLUYE INSTALACIÓN Y SUMINISTRO)</v>
      </c>
      <c r="C63" s="1101"/>
      <c r="D63" s="1101"/>
      <c r="E63" s="1101"/>
      <c r="F63" s="1101"/>
      <c r="G63" s="1102"/>
      <c r="H63" s="71" t="str">
        <f t="shared" si="15"/>
        <v>UND</v>
      </c>
      <c r="I63" s="861">
        <f t="shared" si="16"/>
        <v>1120.6417692013897</v>
      </c>
      <c r="J63" s="861">
        <f t="shared" si="17"/>
        <v>1058707.9114000001</v>
      </c>
      <c r="K63" s="861">
        <f t="shared" si="18"/>
        <v>0</v>
      </c>
      <c r="L63" s="861">
        <f t="shared" si="19"/>
        <v>22412.835384027792</v>
      </c>
      <c r="M63" s="861">
        <f t="shared" si="20"/>
        <v>1406913.8051191983</v>
      </c>
    </row>
    <row r="64" spans="1:13" s="73" customFormat="1" ht="13.5" x14ac:dyDescent="0.2">
      <c r="A64" s="70" t="s">
        <v>345</v>
      </c>
      <c r="B64" s="1317" t="str">
        <f t="shared" si="14"/>
        <v>CODO 90° PVC 8" (INCLUYE INSTALACIÓN Y SUMINISTRO)</v>
      </c>
      <c r="C64" s="1101"/>
      <c r="D64" s="1101"/>
      <c r="E64" s="1101"/>
      <c r="F64" s="1101"/>
      <c r="G64" s="1102"/>
      <c r="H64" s="71" t="str">
        <f t="shared" si="15"/>
        <v>UND</v>
      </c>
      <c r="I64" s="861">
        <f t="shared" si="16"/>
        <v>1448.36365725</v>
      </c>
      <c r="J64" s="861">
        <f t="shared" si="17"/>
        <v>912408.20707999996</v>
      </c>
      <c r="K64" s="861">
        <f t="shared" si="18"/>
        <v>0</v>
      </c>
      <c r="L64" s="861">
        <f t="shared" si="19"/>
        <v>28967.273144999999</v>
      </c>
      <c r="M64" s="861">
        <f t="shared" si="20"/>
        <v>1225670.9970469249</v>
      </c>
    </row>
    <row r="65" spans="1:13" s="73" customFormat="1" ht="13.5" x14ac:dyDescent="0.2">
      <c r="A65" s="70" t="s">
        <v>346</v>
      </c>
      <c r="B65" s="1317" t="str">
        <f t="shared" si="14"/>
        <v>PASAMUROS PVC 8" E.L L=0.30m (INCLUYE INSTALACIÓN Y SUMINISTRO)</v>
      </c>
      <c r="C65" s="1101"/>
      <c r="D65" s="1101"/>
      <c r="E65" s="1101"/>
      <c r="F65" s="1101"/>
      <c r="G65" s="1102"/>
      <c r="H65" s="71" t="str">
        <f t="shared" si="15"/>
        <v>UND</v>
      </c>
      <c r="I65" s="861">
        <f t="shared" si="16"/>
        <v>1448.36365725</v>
      </c>
      <c r="J65" s="861">
        <f t="shared" si="17"/>
        <v>508123.06943999999</v>
      </c>
      <c r="K65" s="861">
        <f t="shared" si="18"/>
        <v>0</v>
      </c>
      <c r="L65" s="861">
        <f t="shared" si="19"/>
        <v>28967.273144999999</v>
      </c>
      <c r="M65" s="861">
        <f t="shared" si="20"/>
        <v>700100.31811492506</v>
      </c>
    </row>
    <row r="66" spans="1:13" s="73" customFormat="1" ht="13.5" x14ac:dyDescent="0.2">
      <c r="A66" s="70" t="s">
        <v>347</v>
      </c>
      <c r="B66" s="1317" t="str">
        <f t="shared" si="14"/>
        <v>UNIÓN PVC 8" (INCLUYE INSTALACIÓN Y SUMINISTRO)</v>
      </c>
      <c r="C66" s="1101"/>
      <c r="D66" s="1101"/>
      <c r="E66" s="1101"/>
      <c r="F66" s="1101"/>
      <c r="G66" s="1102"/>
      <c r="H66" s="71" t="str">
        <f t="shared" si="15"/>
        <v>UND</v>
      </c>
      <c r="I66" s="861">
        <f t="shared" si="16"/>
        <v>1448.36365725</v>
      </c>
      <c r="J66" s="861">
        <f t="shared" si="17"/>
        <v>508485.36944000004</v>
      </c>
      <c r="K66" s="861">
        <f t="shared" si="18"/>
        <v>0</v>
      </c>
      <c r="L66" s="861">
        <f t="shared" si="19"/>
        <v>28967.273144999999</v>
      </c>
      <c r="M66" s="861">
        <f t="shared" si="20"/>
        <v>700571.30811492517</v>
      </c>
    </row>
    <row r="67" spans="1:13" s="73" customFormat="1" ht="13.5" x14ac:dyDescent="0.2">
      <c r="A67" s="70" t="s">
        <v>348</v>
      </c>
      <c r="B67" s="1317" t="str">
        <f t="shared" si="14"/>
        <v>TUBERÍA PVC 8" RDE 21 (INCLUYE INSTALACIÓN Y SUMINISTRO)</v>
      </c>
      <c r="C67" s="1101"/>
      <c r="D67" s="1101"/>
      <c r="E67" s="1101"/>
      <c r="F67" s="1101"/>
      <c r="G67" s="1102"/>
      <c r="H67" s="71" t="str">
        <f t="shared" si="15"/>
        <v>ML</v>
      </c>
      <c r="I67" s="861">
        <f t="shared" si="16"/>
        <v>1448.36365725</v>
      </c>
      <c r="J67" s="861">
        <f t="shared" si="17"/>
        <v>266479.43333333335</v>
      </c>
      <c r="K67" s="861">
        <f t="shared" si="18"/>
        <v>0</v>
      </c>
      <c r="L67" s="861">
        <f t="shared" si="19"/>
        <v>28967.273144999999</v>
      </c>
      <c r="M67" s="861">
        <f t="shared" si="20"/>
        <v>385963.59117625834</v>
      </c>
    </row>
    <row r="68" spans="1:13" s="73" customFormat="1" ht="40.5" customHeight="1" x14ac:dyDescent="0.2">
      <c r="A68" s="70" t="s">
        <v>349</v>
      </c>
      <c r="B68" s="1317" t="str">
        <f t="shared" si="14"/>
        <v>PELDAÑOS EN POLIPROPILENO DE ALTO IMPACTO ALMA DE ACERO (INCLUYE INSTALACIÓN Y SUMINISTRO)</v>
      </c>
      <c r="C68" s="1101"/>
      <c r="D68" s="1101"/>
      <c r="E68" s="1101"/>
      <c r="F68" s="1101"/>
      <c r="G68" s="1102"/>
      <c r="H68" s="71" t="str">
        <f t="shared" si="15"/>
        <v>UND</v>
      </c>
      <c r="I68" s="861">
        <f t="shared" si="16"/>
        <v>1689.7576001250004</v>
      </c>
      <c r="J68" s="861">
        <f t="shared" si="17"/>
        <v>111860</v>
      </c>
      <c r="K68" s="861">
        <f t="shared" si="18"/>
        <v>0</v>
      </c>
      <c r="L68" s="861">
        <f t="shared" si="19"/>
        <v>33795.152002500006</v>
      </c>
      <c r="M68" s="861">
        <f t="shared" si="20"/>
        <v>191548.38248341251</v>
      </c>
    </row>
    <row r="69" spans="1:13" s="73" customFormat="1" ht="13.5" x14ac:dyDescent="0.2">
      <c r="A69" s="70" t="s">
        <v>350</v>
      </c>
      <c r="B69" s="1317" t="str">
        <f t="shared" si="14"/>
        <v>TAPA DE INSPECCIÓN EN ALFAJOR 80X80 (INCLUYE INSTALACIÓN Y SUMINISTRO)</v>
      </c>
      <c r="C69" s="1101"/>
      <c r="D69" s="1101"/>
      <c r="E69" s="1101"/>
      <c r="F69" s="1101"/>
      <c r="G69" s="1102"/>
      <c r="H69" s="71" t="str">
        <f t="shared" si="15"/>
        <v>UND</v>
      </c>
      <c r="I69" s="861">
        <f t="shared" si="16"/>
        <v>1689.7576001250004</v>
      </c>
      <c r="J69" s="861">
        <f t="shared" si="17"/>
        <v>110075</v>
      </c>
      <c r="K69" s="861">
        <f t="shared" si="18"/>
        <v>0</v>
      </c>
      <c r="L69" s="861">
        <f t="shared" si="19"/>
        <v>33795.152002500006</v>
      </c>
      <c r="M69" s="861">
        <f t="shared" si="20"/>
        <v>189227.88248341251</v>
      </c>
    </row>
    <row r="70" spans="1:13" s="73" customFormat="1" ht="13.5" x14ac:dyDescent="0.2">
      <c r="A70" s="70" t="s">
        <v>351</v>
      </c>
      <c r="B70" s="1317" t="str">
        <f t="shared" si="14"/>
        <v>VÁLVULA DE BOLA HD DE 6" (INCLUYE INSTALACIÓN Y SUMINISTRO)</v>
      </c>
      <c r="C70" s="1101"/>
      <c r="D70" s="1101"/>
      <c r="E70" s="1101"/>
      <c r="F70" s="1101"/>
      <c r="G70" s="1102"/>
      <c r="H70" s="71" t="str">
        <f t="shared" si="15"/>
        <v>UND</v>
      </c>
      <c r="I70" s="861">
        <f t="shared" si="16"/>
        <v>7241.8182862500007</v>
      </c>
      <c r="J70" s="861">
        <f t="shared" si="17"/>
        <v>3124232.7560000001</v>
      </c>
      <c r="K70" s="861">
        <f t="shared" si="18"/>
        <v>0</v>
      </c>
      <c r="L70" s="861">
        <f t="shared" si="19"/>
        <v>144836.36572500001</v>
      </c>
      <c r="M70" s="861">
        <f t="shared" si="20"/>
        <v>4259204.2220146246</v>
      </c>
    </row>
    <row r="71" spans="1:13" s="73" customFormat="1" ht="13.5" x14ac:dyDescent="0.2">
      <c r="A71" s="70" t="s">
        <v>352</v>
      </c>
      <c r="B71" s="1317" t="str">
        <f t="shared" si="14"/>
        <v>CODO 90° PVC 4" (INCLUYE INSTALACIÓN Y SUMINISTRO)</v>
      </c>
      <c r="C71" s="1101"/>
      <c r="D71" s="1101"/>
      <c r="E71" s="1101"/>
      <c r="F71" s="1101"/>
      <c r="G71" s="1102"/>
      <c r="H71" s="71" t="str">
        <f t="shared" si="15"/>
        <v>UND</v>
      </c>
      <c r="I71" s="861">
        <f t="shared" si="16"/>
        <v>2413.9394287500004</v>
      </c>
      <c r="J71" s="861">
        <f t="shared" si="17"/>
        <v>98444.3</v>
      </c>
      <c r="K71" s="861">
        <f t="shared" si="18"/>
        <v>0</v>
      </c>
      <c r="L71" s="861">
        <f t="shared" si="19"/>
        <v>48278.788575000006</v>
      </c>
      <c r="M71" s="861">
        <f t="shared" si="20"/>
        <v>193878.13640487503</v>
      </c>
    </row>
    <row r="72" spans="1:13" s="73" customFormat="1" ht="13.5" x14ac:dyDescent="0.2">
      <c r="A72" s="70" t="s">
        <v>353</v>
      </c>
      <c r="B72" s="1317" t="str">
        <f t="shared" si="14"/>
        <v>CODO 90° PVC 6" (INCLUYE INSTALACIÓN Y SUMINISTRO)</v>
      </c>
      <c r="C72" s="1101"/>
      <c r="D72" s="1101"/>
      <c r="E72" s="1101"/>
      <c r="F72" s="1101"/>
      <c r="G72" s="1102"/>
      <c r="H72" s="71" t="str">
        <f t="shared" si="15"/>
        <v>UND</v>
      </c>
      <c r="I72" s="861">
        <f t="shared" si="16"/>
        <v>4113.8979317082849</v>
      </c>
      <c r="J72" s="861">
        <f t="shared" si="17"/>
        <v>200330.3</v>
      </c>
      <c r="K72" s="861">
        <f t="shared" si="18"/>
        <v>0</v>
      </c>
      <c r="L72" s="861">
        <f t="shared" si="19"/>
        <v>82277.958634165698</v>
      </c>
      <c r="M72" s="861">
        <f t="shared" si="20"/>
        <v>372738.80353563622</v>
      </c>
    </row>
    <row r="73" spans="1:13" s="73" customFormat="1" ht="13.5" x14ac:dyDescent="0.2">
      <c r="A73" s="70" t="s">
        <v>354</v>
      </c>
      <c r="B73" s="1317" t="str">
        <f t="shared" si="14"/>
        <v>VALVULA FLOTADOR TIPO DIAFRAGMA 2" (INCLUYE INSTALACIÓN Y SUMINISTRO)</v>
      </c>
      <c r="C73" s="1101"/>
      <c r="D73" s="1101"/>
      <c r="E73" s="1101"/>
      <c r="F73" s="1101"/>
      <c r="G73" s="1102"/>
      <c r="H73" s="71" t="str">
        <f t="shared" si="15"/>
        <v>UND</v>
      </c>
      <c r="I73" s="861">
        <f t="shared" si="16"/>
        <v>24994.322372250001</v>
      </c>
      <c r="J73" s="861">
        <f t="shared" si="17"/>
        <v>2598960</v>
      </c>
      <c r="K73" s="861">
        <f t="shared" si="18"/>
        <v>0</v>
      </c>
      <c r="L73" s="861">
        <f t="shared" si="19"/>
        <v>499886.447445</v>
      </c>
      <c r="M73" s="861">
        <f t="shared" si="20"/>
        <v>4060993.0007624249</v>
      </c>
    </row>
    <row r="74" spans="1:13" s="73" customFormat="1" ht="40.5" customHeight="1" x14ac:dyDescent="0.2">
      <c r="A74" s="70" t="s">
        <v>355</v>
      </c>
      <c r="B74" s="1317" t="str">
        <f t="shared" si="14"/>
        <v>VÁLVULA DE CONTROL HIDRÁULICO CIERRE Y APERTURA (INCLUYE INSTALACIÓN Y SUMINISTRO)</v>
      </c>
      <c r="C74" s="1101"/>
      <c r="D74" s="1101"/>
      <c r="E74" s="1101"/>
      <c r="F74" s="1101"/>
      <c r="G74" s="1102"/>
      <c r="H74" s="71" t="str">
        <f t="shared" si="15"/>
        <v>UND</v>
      </c>
      <c r="I74" s="861">
        <f t="shared" si="16"/>
        <v>42847.409781000002</v>
      </c>
      <c r="J74" s="861">
        <f t="shared" si="17"/>
        <v>10643360</v>
      </c>
      <c r="K74" s="861">
        <f t="shared" si="18"/>
        <v>0</v>
      </c>
      <c r="L74" s="861">
        <f t="shared" si="19"/>
        <v>856948.19562000001</v>
      </c>
      <c r="M74" s="861">
        <f t="shared" si="20"/>
        <v>15006102.2870213</v>
      </c>
    </row>
    <row r="75" spans="1:13" s="73" customFormat="1" ht="40.5" customHeight="1" x14ac:dyDescent="0.2">
      <c r="A75" s="70" t="s">
        <v>356</v>
      </c>
      <c r="B75" s="1317" t="str">
        <f t="shared" si="14"/>
        <v>VÁLVULA AQT COMPUERTA ELÁSTICA BRIDADA DE 6" (INCLUYE INSTALACIÓN Y SUMINISTRO)</v>
      </c>
      <c r="C75" s="1101"/>
      <c r="D75" s="1101"/>
      <c r="E75" s="1101"/>
      <c r="F75" s="1101"/>
      <c r="G75" s="1102"/>
      <c r="H75" s="71" t="str">
        <f t="shared" si="15"/>
        <v>UND</v>
      </c>
      <c r="I75" s="861">
        <f t="shared" si="16"/>
        <v>1785.3087408750002</v>
      </c>
      <c r="J75" s="861">
        <f t="shared" si="17"/>
        <v>1362874.8699999999</v>
      </c>
      <c r="K75" s="861">
        <f t="shared" si="18"/>
        <v>0</v>
      </c>
      <c r="L75" s="861">
        <f t="shared" si="19"/>
        <v>35706.174817500003</v>
      </c>
      <c r="M75" s="861">
        <f t="shared" si="20"/>
        <v>1820476.2596258873</v>
      </c>
    </row>
    <row r="76" spans="1:13" s="73" customFormat="1" ht="13.5" x14ac:dyDescent="0.2">
      <c r="A76" s="70" t="s">
        <v>357</v>
      </c>
      <c r="B76" s="1318" t="str">
        <f t="shared" si="14"/>
        <v>PASAMURO EN HD 6" E.L*E.L L=0.35m (INCLUYE INSTALACIÓN Y SUMINISTRO)</v>
      </c>
      <c r="C76" s="1319"/>
      <c r="D76" s="1319"/>
      <c r="E76" s="1319"/>
      <c r="F76" s="1319"/>
      <c r="G76" s="1320"/>
      <c r="H76" s="71" t="str">
        <f t="shared" si="15"/>
        <v>UND</v>
      </c>
      <c r="I76" s="861">
        <f t="shared" si="16"/>
        <v>1142.5975941600002</v>
      </c>
      <c r="J76" s="861">
        <f t="shared" si="17"/>
        <v>460000</v>
      </c>
      <c r="K76" s="861">
        <f t="shared" si="18"/>
        <v>0</v>
      </c>
      <c r="L76" s="861">
        <f t="shared" si="19"/>
        <v>22851.951883200003</v>
      </c>
      <c r="M76" s="861">
        <f t="shared" si="20"/>
        <v>629192.91432056797</v>
      </c>
    </row>
    <row r="77" spans="1:13" s="73" customFormat="1" ht="13.5" x14ac:dyDescent="0.2">
      <c r="A77" s="70" t="s">
        <v>358</v>
      </c>
      <c r="B77" s="1317" t="str">
        <f t="shared" si="14"/>
        <v>TEE PVC 6" (INCLUYE INSTALACIÓN Y SUMINISTRO)</v>
      </c>
      <c r="C77" s="1101"/>
      <c r="D77" s="1101"/>
      <c r="E77" s="1101"/>
      <c r="F77" s="1101"/>
      <c r="G77" s="1102"/>
      <c r="H77" s="71" t="str">
        <f t="shared" si="15"/>
        <v>UND</v>
      </c>
      <c r="I77" s="861">
        <f t="shared" si="16"/>
        <v>410912.30000000005</v>
      </c>
      <c r="J77" s="861">
        <f t="shared" si="17"/>
        <v>1178.3037689775001</v>
      </c>
      <c r="K77" s="861">
        <f t="shared" si="18"/>
        <v>0</v>
      </c>
      <c r="L77" s="861">
        <f t="shared" si="19"/>
        <v>23566.075379550002</v>
      </c>
      <c r="M77" s="861">
        <f t="shared" si="20"/>
        <v>566353.68289308588</v>
      </c>
    </row>
    <row r="78" spans="1:13" s="73" customFormat="1" ht="13.5" x14ac:dyDescent="0.2">
      <c r="A78" s="70" t="s">
        <v>359</v>
      </c>
      <c r="B78" s="1317" t="str">
        <f t="shared" si="14"/>
        <v>TUBERÍA PVC 4" RDE 21 (INCLUYE INSTALACIÓN Y SUMINISTRO)</v>
      </c>
      <c r="C78" s="1101"/>
      <c r="D78" s="1101"/>
      <c r="E78" s="1101"/>
      <c r="F78" s="1101"/>
      <c r="G78" s="1102"/>
      <c r="H78" s="71" t="str">
        <f t="shared" si="15"/>
        <v>ML</v>
      </c>
      <c r="I78" s="861">
        <f t="shared" si="16"/>
        <v>1110.4121372249999</v>
      </c>
      <c r="J78" s="861">
        <f t="shared" si="17"/>
        <v>94164.23066666667</v>
      </c>
      <c r="K78" s="861">
        <f t="shared" si="18"/>
        <v>0</v>
      </c>
      <c r="L78" s="861">
        <f t="shared" si="19"/>
        <v>22208.242744499999</v>
      </c>
      <c r="M78" s="861">
        <f t="shared" si="20"/>
        <v>152727.75121290918</v>
      </c>
    </row>
    <row r="79" spans="1:13" s="73" customFormat="1" ht="13.5" x14ac:dyDescent="0.2">
      <c r="A79" s="70" t="s">
        <v>360</v>
      </c>
      <c r="B79" s="1317" t="str">
        <f t="shared" si="14"/>
        <v>TUBERÍA PVC 6" RDE 21 (INCLUYE INSTALACIÓN Y SUMINISTRO)</v>
      </c>
      <c r="C79" s="1101"/>
      <c r="D79" s="1101"/>
      <c r="E79" s="1101"/>
      <c r="F79" s="1101"/>
      <c r="G79" s="1102"/>
      <c r="H79" s="71" t="str">
        <f t="shared" si="15"/>
        <v>ML</v>
      </c>
      <c r="I79" s="861">
        <f t="shared" si="16"/>
        <v>200330.31733333334</v>
      </c>
      <c r="J79" s="861">
        <f t="shared" si="17"/>
        <v>1110.4121372249999</v>
      </c>
      <c r="K79" s="861">
        <f t="shared" si="18"/>
        <v>0</v>
      </c>
      <c r="L79" s="861">
        <f t="shared" si="19"/>
        <v>22208.242744499999</v>
      </c>
      <c r="M79" s="861">
        <f t="shared" si="20"/>
        <v>290743.66387957585</v>
      </c>
    </row>
    <row r="80" spans="1:13" s="73" customFormat="1" ht="13.5" x14ac:dyDescent="0.2">
      <c r="A80" s="70" t="s">
        <v>361</v>
      </c>
      <c r="B80" s="1317" t="str">
        <f t="shared" si="14"/>
        <v>MANGUERA 1" (INCLUYE INSTALACION Y SUMINISTRO)</v>
      </c>
      <c r="C80" s="1101"/>
      <c r="D80" s="1101"/>
      <c r="E80" s="1101"/>
      <c r="F80" s="1101"/>
      <c r="G80" s="1102"/>
      <c r="H80" s="71" t="str">
        <f t="shared" si="15"/>
        <v>UND</v>
      </c>
      <c r="I80" s="861">
        <f t="shared" si="16"/>
        <v>224.49636687375002</v>
      </c>
      <c r="J80" s="861">
        <f t="shared" si="17"/>
        <v>2752.2710000000002</v>
      </c>
      <c r="K80" s="861">
        <f t="shared" si="18"/>
        <v>0</v>
      </c>
      <c r="L80" s="861">
        <f t="shared" si="19"/>
        <v>4489.9273374750001</v>
      </c>
      <c r="M80" s="861">
        <f t="shared" si="20"/>
        <v>9706.7031156533758</v>
      </c>
    </row>
    <row r="81" spans="1:13" s="73" customFormat="1" ht="13.5" x14ac:dyDescent="0.2">
      <c r="A81" s="70" t="s">
        <v>362</v>
      </c>
      <c r="B81" s="1317" t="str">
        <f t="shared" si="14"/>
        <v>CERRAMIENTO EN MALLA ESLABONADA C.10.5 INC. ÁNGULO (PARAL EN TUBO ESTRUCTURAL GALVANIZADO 2") INCLUYE CIMENTACIÓN</v>
      </c>
      <c r="C81" s="1101"/>
      <c r="D81" s="1101"/>
      <c r="E81" s="1101"/>
      <c r="F81" s="1101"/>
      <c r="G81" s="1102"/>
      <c r="H81" s="71" t="str">
        <f t="shared" si="15"/>
        <v>M2</v>
      </c>
      <c r="I81" s="861">
        <f t="shared" si="16"/>
        <v>6468.5998258875006</v>
      </c>
      <c r="J81" s="861">
        <f t="shared" si="17"/>
        <v>169781.432</v>
      </c>
      <c r="K81" s="861">
        <f t="shared" si="18"/>
        <v>0</v>
      </c>
      <c r="L81" s="861">
        <f t="shared" si="19"/>
        <v>129371.99651775</v>
      </c>
      <c r="M81" s="861">
        <f t="shared" si="20"/>
        <v>397308.63684672874</v>
      </c>
    </row>
    <row r="82" spans="1:13" s="73" customFormat="1" ht="13.5" x14ac:dyDescent="0.2">
      <c r="A82" s="70" t="s">
        <v>363</v>
      </c>
      <c r="B82" s="1317" t="str">
        <f t="shared" si="14"/>
        <v>TUBERÍA PVC Ø6"-DI 160mm RDE 21</v>
      </c>
      <c r="C82" s="1101"/>
      <c r="D82" s="1101"/>
      <c r="E82" s="1101"/>
      <c r="F82" s="1101"/>
      <c r="G82" s="1102"/>
      <c r="H82" s="71" t="str">
        <f t="shared" si="15"/>
        <v>ML</v>
      </c>
      <c r="I82" s="861">
        <f t="shared" si="16"/>
        <v>1655.5759538098571</v>
      </c>
      <c r="J82" s="861">
        <f t="shared" si="17"/>
        <v>199968.01733333335</v>
      </c>
      <c r="K82" s="861">
        <f t="shared" si="18"/>
        <v>0</v>
      </c>
      <c r="L82" s="861">
        <f t="shared" si="19"/>
        <v>33111.519076197139</v>
      </c>
      <c r="M82" s="861">
        <f t="shared" si="20"/>
        <v>305155.64607234247</v>
      </c>
    </row>
    <row r="83" spans="1:13" s="73" customFormat="1" ht="13.5" x14ac:dyDescent="0.2">
      <c r="A83" s="70" t="s">
        <v>364</v>
      </c>
      <c r="B83" s="1317" t="str">
        <f t="shared" si="14"/>
        <v>VÁLVULA DE CHEQUE DE BOLA EN HD Ø4"</v>
      </c>
      <c r="C83" s="1101"/>
      <c r="D83" s="1101"/>
      <c r="E83" s="1101"/>
      <c r="F83" s="1101"/>
      <c r="G83" s="1102"/>
      <c r="H83" s="71" t="str">
        <f t="shared" si="15"/>
        <v>UND</v>
      </c>
      <c r="I83" s="861">
        <f t="shared" si="16"/>
        <v>35907.341463000004</v>
      </c>
      <c r="J83" s="861">
        <f t="shared" si="17"/>
        <v>5131280</v>
      </c>
      <c r="K83" s="861">
        <f t="shared" si="18"/>
        <v>0</v>
      </c>
      <c r="L83" s="861">
        <f t="shared" si="19"/>
        <v>718146.82926000003</v>
      </c>
      <c r="M83" s="861">
        <f t="shared" si="20"/>
        <v>7650934.4219399001</v>
      </c>
    </row>
    <row r="84" spans="1:13" s="73" customFormat="1" ht="13.5" x14ac:dyDescent="0.2">
      <c r="A84" s="70" t="s">
        <v>365</v>
      </c>
      <c r="B84" s="1317" t="str">
        <f t="shared" si="14"/>
        <v>TUBERÍA PVC Ø4"-DI 110mm RDE 21</v>
      </c>
      <c r="C84" s="1101"/>
      <c r="D84" s="1101"/>
      <c r="E84" s="1101"/>
      <c r="F84" s="1101"/>
      <c r="G84" s="1102"/>
      <c r="H84" s="71" t="str">
        <f t="shared" si="15"/>
        <v>ML</v>
      </c>
      <c r="I84" s="861">
        <f t="shared" si="16"/>
        <v>827.79254546799211</v>
      </c>
      <c r="J84" s="861">
        <f t="shared" si="17"/>
        <v>93801.930666666667</v>
      </c>
      <c r="K84" s="861">
        <f t="shared" si="18"/>
        <v>0</v>
      </c>
      <c r="L84" s="861">
        <f t="shared" si="19"/>
        <v>16555.85090935984</v>
      </c>
      <c r="M84" s="861">
        <f t="shared" si="20"/>
        <v>144541.24635794284</v>
      </c>
    </row>
    <row r="85" spans="1:13" s="73" customFormat="1" ht="13.5" x14ac:dyDescent="0.2">
      <c r="A85" s="70" t="s">
        <v>366</v>
      </c>
      <c r="B85" s="1317" t="str">
        <f t="shared" si="14"/>
        <v>CODO 90° Ø4" PVC</v>
      </c>
      <c r="C85" s="1101"/>
      <c r="D85" s="1101"/>
      <c r="E85" s="1101"/>
      <c r="F85" s="1101"/>
      <c r="G85" s="1102"/>
      <c r="H85" s="71" t="str">
        <f t="shared" si="15"/>
        <v>UND</v>
      </c>
      <c r="I85" s="861">
        <f t="shared" si="16"/>
        <v>917.80020112500006</v>
      </c>
      <c r="J85" s="861">
        <f t="shared" si="17"/>
        <v>98082</v>
      </c>
      <c r="K85" s="861">
        <f t="shared" si="18"/>
        <v>0</v>
      </c>
      <c r="L85" s="861">
        <f t="shared" si="19"/>
        <v>18356.004022500001</v>
      </c>
      <c r="M85" s="861">
        <f t="shared" si="20"/>
        <v>152562.54549071251</v>
      </c>
    </row>
    <row r="86" spans="1:13" s="73" customFormat="1" ht="13.5" x14ac:dyDescent="0.2">
      <c r="A86" s="70" t="s">
        <v>367</v>
      </c>
      <c r="B86" s="1317" t="str">
        <f t="shared" ref="B86:B100" si="21">VLOOKUP(A86,AA_APUS,2,FALSE)</f>
        <v>TEE Ø4" PVC</v>
      </c>
      <c r="C86" s="1101"/>
      <c r="D86" s="1101"/>
      <c r="E86" s="1101"/>
      <c r="F86" s="1101"/>
      <c r="G86" s="1102"/>
      <c r="H86" s="71" t="str">
        <f t="shared" ref="H86:H100" si="22">VLOOKUP(A86,AA_APUS,4,FALSE)</f>
        <v>UND</v>
      </c>
      <c r="I86" s="861">
        <f t="shared" ref="I86:I100" si="23">VLOOKUP(A86,AA_APUS,8,FALSE)</f>
        <v>917.80020112500006</v>
      </c>
      <c r="J86" s="861">
        <f t="shared" ref="J86:J100" si="24">VLOOKUP(A86,AA_APUS,10,FALSE)</f>
        <v>183560</v>
      </c>
      <c r="K86" s="861">
        <f t="shared" ref="K86:K100" si="25">VLOOKUP(A86,AA_APUS,12,FALSE)</f>
        <v>0</v>
      </c>
      <c r="L86" s="861">
        <f t="shared" ref="L86:L100" si="26">VLOOKUP(A86,AA_APUS,14,FALSE)</f>
        <v>18356.004022500001</v>
      </c>
      <c r="M86" s="861">
        <f t="shared" ref="M86:M100" si="27">VLOOKUP(A86,AA_APUS,6,FALSE)</f>
        <v>263683.94549071253</v>
      </c>
    </row>
    <row r="87" spans="1:13" s="73" customFormat="1" ht="13.5" x14ac:dyDescent="0.2">
      <c r="A87" s="70" t="s">
        <v>368</v>
      </c>
      <c r="B87" s="1317" t="str">
        <f t="shared" si="21"/>
        <v>GRAVA PARA FILTRO 2-4mm (1/8″ a malla 10).</v>
      </c>
      <c r="C87" s="1101"/>
      <c r="D87" s="1101"/>
      <c r="E87" s="1101"/>
      <c r="F87" s="1101"/>
      <c r="G87" s="1102"/>
      <c r="H87" s="71" t="str">
        <f t="shared" si="22"/>
        <v>M3</v>
      </c>
      <c r="I87" s="861">
        <f t="shared" si="23"/>
        <v>587280.28822473809</v>
      </c>
      <c r="J87" s="861">
        <f t="shared" si="24"/>
        <v>18890</v>
      </c>
      <c r="K87" s="861">
        <f t="shared" si="25"/>
        <v>0</v>
      </c>
      <c r="L87" s="861">
        <f t="shared" si="26"/>
        <v>11745605.764494762</v>
      </c>
      <c r="M87" s="861">
        <f t="shared" si="27"/>
        <v>16057308.868535351</v>
      </c>
    </row>
    <row r="88" spans="1:13" s="73" customFormat="1" ht="13.5" x14ac:dyDescent="0.2">
      <c r="A88" s="70" t="s">
        <v>369</v>
      </c>
      <c r="B88" s="1317" t="str">
        <f t="shared" si="21"/>
        <v>CAJA DE INSPECCIÓN 40X40 (INCLUYE TAPA)</v>
      </c>
      <c r="C88" s="1101"/>
      <c r="D88" s="1101"/>
      <c r="E88" s="1101"/>
      <c r="F88" s="1101"/>
      <c r="G88" s="1102"/>
      <c r="H88" s="71" t="str">
        <f t="shared" si="22"/>
        <v>UND</v>
      </c>
      <c r="I88" s="861">
        <f t="shared" si="23"/>
        <v>10410.102477</v>
      </c>
      <c r="J88" s="861">
        <f t="shared" si="24"/>
        <v>531112.4</v>
      </c>
      <c r="K88" s="861">
        <f t="shared" si="25"/>
        <v>0</v>
      </c>
      <c r="L88" s="861">
        <f t="shared" si="26"/>
        <v>208202.04954000001</v>
      </c>
      <c r="M88" s="861">
        <f t="shared" si="27"/>
        <v>974641.9176221001</v>
      </c>
    </row>
    <row r="89" spans="1:13" s="73" customFormat="1" ht="13.5" x14ac:dyDescent="0.2">
      <c r="A89" s="70" t="s">
        <v>370</v>
      </c>
      <c r="B89" s="1317" t="str">
        <f t="shared" si="21"/>
        <v>TEJA PLÁSTICA INCLUYE CERCHA METÁLICA</v>
      </c>
      <c r="C89" s="1101"/>
      <c r="D89" s="1101"/>
      <c r="E89" s="1101"/>
      <c r="F89" s="1101"/>
      <c r="G89" s="1102"/>
      <c r="H89" s="71" t="str">
        <f t="shared" si="22"/>
        <v>UND</v>
      </c>
      <c r="I89" s="861">
        <f t="shared" si="23"/>
        <v>6361.7292915000016</v>
      </c>
      <c r="J89" s="861">
        <f t="shared" si="24"/>
        <v>2255168.6</v>
      </c>
      <c r="K89" s="861">
        <f t="shared" si="25"/>
        <v>0</v>
      </c>
      <c r="L89" s="861">
        <f t="shared" si="26"/>
        <v>127234.58583000003</v>
      </c>
      <c r="M89" s="861">
        <f t="shared" si="27"/>
        <v>3105394.3896579505</v>
      </c>
    </row>
    <row r="90" spans="1:13" s="73" customFormat="1" ht="13.5" x14ac:dyDescent="0.2">
      <c r="A90" s="70" t="s">
        <v>371</v>
      </c>
      <c r="B90" s="1317" t="str">
        <f t="shared" si="21"/>
        <v>GRAVA PARA OPTIMIZACIÓN DE FILTROS 1/8"</v>
      </c>
      <c r="C90" s="1101"/>
      <c r="D90" s="1101"/>
      <c r="E90" s="1101"/>
      <c r="F90" s="1101"/>
      <c r="G90" s="1102"/>
      <c r="H90" s="71" t="str">
        <f t="shared" si="22"/>
        <v>M3</v>
      </c>
      <c r="I90" s="861">
        <f t="shared" si="23"/>
        <v>107.36040484218877</v>
      </c>
      <c r="J90" s="861">
        <f t="shared" si="24"/>
        <v>18890</v>
      </c>
      <c r="K90" s="861">
        <f t="shared" si="25"/>
        <v>0</v>
      </c>
      <c r="L90" s="861">
        <f t="shared" si="26"/>
        <v>2147.2080968437754</v>
      </c>
      <c r="M90" s="861">
        <f t="shared" si="27"/>
        <v>27487.939052191756</v>
      </c>
    </row>
    <row r="91" spans="1:13" s="73" customFormat="1" ht="13.5" x14ac:dyDescent="0.2">
      <c r="A91" s="70" t="s">
        <v>372</v>
      </c>
      <c r="B91" s="1317" t="str">
        <f t="shared" si="21"/>
        <v>GRAVA PARA OPTIMIZACIÓN DE FILTROS 1/2"</v>
      </c>
      <c r="C91" s="1101"/>
      <c r="D91" s="1101"/>
      <c r="E91" s="1101"/>
      <c r="F91" s="1101"/>
      <c r="G91" s="1102"/>
      <c r="H91" s="71" t="str">
        <f t="shared" si="22"/>
        <v>M3</v>
      </c>
      <c r="I91" s="861">
        <f t="shared" si="23"/>
        <v>107.36040484218877</v>
      </c>
      <c r="J91" s="861">
        <f t="shared" si="24"/>
        <v>18890</v>
      </c>
      <c r="K91" s="861">
        <f t="shared" si="25"/>
        <v>0</v>
      </c>
      <c r="L91" s="861">
        <f t="shared" si="26"/>
        <v>2147.2080968437754</v>
      </c>
      <c r="M91" s="861">
        <f t="shared" si="27"/>
        <v>27487.939052191756</v>
      </c>
    </row>
    <row r="92" spans="1:13" s="73" customFormat="1" ht="13.5" x14ac:dyDescent="0.2">
      <c r="A92" s="70" t="s">
        <v>373</v>
      </c>
      <c r="B92" s="1317" t="str">
        <f t="shared" si="21"/>
        <v>GRAVA PARA OPTIMIZACIÓN DE FILTROS 1"</v>
      </c>
      <c r="C92" s="1101"/>
      <c r="D92" s="1101"/>
      <c r="E92" s="1101"/>
      <c r="F92" s="1101"/>
      <c r="G92" s="1102"/>
      <c r="H92" s="71" t="str">
        <f t="shared" si="22"/>
        <v>M3</v>
      </c>
      <c r="I92" s="861">
        <f t="shared" si="23"/>
        <v>107.36040484218877</v>
      </c>
      <c r="J92" s="861">
        <f t="shared" si="24"/>
        <v>18890</v>
      </c>
      <c r="K92" s="861">
        <f t="shared" si="25"/>
        <v>0</v>
      </c>
      <c r="L92" s="861">
        <f t="shared" si="26"/>
        <v>2147.2080968437754</v>
      </c>
      <c r="M92" s="861">
        <f t="shared" si="27"/>
        <v>27487.939052191756</v>
      </c>
    </row>
    <row r="93" spans="1:13" s="73" customFormat="1" ht="13.5" x14ac:dyDescent="0.2">
      <c r="A93" s="70" t="s">
        <v>374</v>
      </c>
      <c r="B93" s="1317" t="str">
        <f t="shared" si="21"/>
        <v>ANTRACITA PARA OPTIMIZACIÓN DE FILTROS</v>
      </c>
      <c r="C93" s="1101"/>
      <c r="D93" s="1101"/>
      <c r="E93" s="1101"/>
      <c r="F93" s="1101"/>
      <c r="G93" s="1102"/>
      <c r="H93" s="71" t="str">
        <f t="shared" si="22"/>
        <v>M3</v>
      </c>
      <c r="I93" s="861">
        <f t="shared" si="23"/>
        <v>107.36040484218907</v>
      </c>
      <c r="J93" s="861">
        <f t="shared" si="24"/>
        <v>50405</v>
      </c>
      <c r="K93" s="861">
        <f t="shared" si="25"/>
        <v>0</v>
      </c>
      <c r="L93" s="861">
        <f t="shared" si="26"/>
        <v>2147.2080968437813</v>
      </c>
      <c r="M93" s="861">
        <f t="shared" si="27"/>
        <v>68457.439052191767</v>
      </c>
    </row>
    <row r="94" spans="1:13" s="73" customFormat="1" ht="13.5" x14ac:dyDescent="0.2">
      <c r="A94" s="70" t="s">
        <v>375</v>
      </c>
      <c r="B94" s="1317" t="str">
        <f t="shared" si="21"/>
        <v>ARENA PARA OPTIMIZACIÓN DE FILTROS</v>
      </c>
      <c r="C94" s="1101"/>
      <c r="D94" s="1101"/>
      <c r="E94" s="1101"/>
      <c r="F94" s="1101"/>
      <c r="G94" s="1102"/>
      <c r="H94" s="71" t="str">
        <f t="shared" si="22"/>
        <v>M3</v>
      </c>
      <c r="I94" s="861">
        <f t="shared" si="23"/>
        <v>107.36040484218923</v>
      </c>
      <c r="J94" s="861">
        <f t="shared" si="24"/>
        <v>18890</v>
      </c>
      <c r="K94" s="861">
        <f t="shared" si="25"/>
        <v>0</v>
      </c>
      <c r="L94" s="861">
        <f t="shared" si="26"/>
        <v>2147.2080968437845</v>
      </c>
      <c r="M94" s="861">
        <f t="shared" si="27"/>
        <v>27487.939052191763</v>
      </c>
    </row>
    <row r="95" spans="1:13" s="73" customFormat="1" ht="13.5" x14ac:dyDescent="0.2">
      <c r="A95" s="70" t="s">
        <v>376</v>
      </c>
      <c r="B95" s="1317" t="str">
        <f t="shared" si="21"/>
        <v>INSTALACIÓN TUBERÍA PEAD RDE 17 Ø3"-DI 90mm.</v>
      </c>
      <c r="C95" s="1101"/>
      <c r="D95" s="1101"/>
      <c r="E95" s="1101"/>
      <c r="F95" s="1101"/>
      <c r="G95" s="1102"/>
      <c r="H95" s="71" t="str">
        <f t="shared" si="22"/>
        <v>ML</v>
      </c>
      <c r="I95" s="861">
        <f t="shared" si="23"/>
        <v>126.43160727550082</v>
      </c>
      <c r="J95" s="861">
        <f t="shared" si="24"/>
        <v>6792.3910000000005</v>
      </c>
      <c r="K95" s="861">
        <f t="shared" si="25"/>
        <v>0</v>
      </c>
      <c r="L95" s="861">
        <f t="shared" si="26"/>
        <v>2528.6321455100165</v>
      </c>
      <c r="M95" s="861">
        <f t="shared" si="27"/>
        <v>12281.691178621173</v>
      </c>
    </row>
    <row r="96" spans="1:13" s="73" customFormat="1" ht="13.5" x14ac:dyDescent="0.2">
      <c r="A96" s="70" t="s">
        <v>377</v>
      </c>
      <c r="B96" s="1317" t="str">
        <f t="shared" si="21"/>
        <v>INSTALACIÓN TUBERÍA PEAD RDE 17 Ø6"-DI 160mm.</v>
      </c>
      <c r="C96" s="1101"/>
      <c r="D96" s="1101"/>
      <c r="E96" s="1101"/>
      <c r="F96" s="1101"/>
      <c r="G96" s="1102"/>
      <c r="H96" s="71" t="str">
        <f t="shared" si="22"/>
        <v>ML</v>
      </c>
      <c r="I96" s="861">
        <f t="shared" si="23"/>
        <v>10020</v>
      </c>
      <c r="J96" s="861">
        <f t="shared" si="24"/>
        <v>135.47442247680493</v>
      </c>
      <c r="K96" s="861">
        <f t="shared" si="25"/>
        <v>0</v>
      </c>
      <c r="L96" s="861">
        <f t="shared" si="26"/>
        <v>2709.4884495360984</v>
      </c>
      <c r="M96" s="861">
        <f t="shared" si="27"/>
        <v>16724.451733616777</v>
      </c>
    </row>
    <row r="97" spans="1:13" s="73" customFormat="1" ht="13.5" x14ac:dyDescent="0.2">
      <c r="A97" s="70" t="s">
        <v>378</v>
      </c>
      <c r="B97" s="1317" t="str">
        <f t="shared" si="21"/>
        <v>INSTALACIÓN TUBERÍA PEAD RDE 17 Ø12"-DI 315mm.</v>
      </c>
      <c r="C97" s="1101"/>
      <c r="D97" s="1101"/>
      <c r="E97" s="1101"/>
      <c r="F97" s="1101"/>
      <c r="G97" s="1102"/>
      <c r="H97" s="71" t="str">
        <f t="shared" si="22"/>
        <v>ML</v>
      </c>
      <c r="I97" s="861">
        <f t="shared" si="23"/>
        <v>149.53143129411265</v>
      </c>
      <c r="J97" s="861">
        <f t="shared" si="24"/>
        <v>15030</v>
      </c>
      <c r="K97" s="861">
        <f t="shared" si="25"/>
        <v>0</v>
      </c>
      <c r="L97" s="861">
        <f t="shared" si="26"/>
        <v>2990.6286258822529</v>
      </c>
      <c r="M97" s="861">
        <f t="shared" si="27"/>
        <v>23621.208074329272</v>
      </c>
    </row>
    <row r="98" spans="1:13" s="73" customFormat="1" ht="13.5" x14ac:dyDescent="0.2">
      <c r="A98" s="70" t="s">
        <v>379</v>
      </c>
      <c r="B98" s="1317" t="str">
        <f t="shared" si="21"/>
        <v>SUMINISTRO TUBERÍA PEAD RDE 17 Ø3"-DI 90mm.</v>
      </c>
      <c r="C98" s="1101"/>
      <c r="D98" s="1101"/>
      <c r="E98" s="1101"/>
      <c r="F98" s="1101"/>
      <c r="G98" s="1102"/>
      <c r="H98" s="71" t="str">
        <f t="shared" si="22"/>
        <v>ML</v>
      </c>
      <c r="I98" s="861">
        <f t="shared" si="23"/>
        <v>0</v>
      </c>
      <c r="J98" s="861">
        <f t="shared" si="24"/>
        <v>20483.039999999997</v>
      </c>
      <c r="K98" s="861">
        <f t="shared" si="25"/>
        <v>0</v>
      </c>
      <c r="L98" s="861">
        <f t="shared" si="26"/>
        <v>0</v>
      </c>
      <c r="M98" s="861">
        <f t="shared" si="27"/>
        <v>20483.039999999997</v>
      </c>
    </row>
    <row r="99" spans="1:13" s="73" customFormat="1" ht="13.5" x14ac:dyDescent="0.2">
      <c r="A99" s="70" t="s">
        <v>380</v>
      </c>
      <c r="B99" s="1317" t="str">
        <f t="shared" si="21"/>
        <v>SUMINISTRO TUBERÍA PEAD RDE 17 Ø6"-DI 160mm.</v>
      </c>
      <c r="C99" s="1101"/>
      <c r="D99" s="1101"/>
      <c r="E99" s="1101"/>
      <c r="F99" s="1101"/>
      <c r="G99" s="1102"/>
      <c r="H99" s="71" t="str">
        <f t="shared" si="22"/>
        <v>ML</v>
      </c>
      <c r="I99" s="861">
        <f t="shared" si="23"/>
        <v>0</v>
      </c>
      <c r="J99" s="861">
        <f t="shared" si="24"/>
        <v>80999</v>
      </c>
      <c r="K99" s="861">
        <f t="shared" si="25"/>
        <v>4049.9500000000003</v>
      </c>
      <c r="L99" s="861">
        <f t="shared" si="26"/>
        <v>0</v>
      </c>
      <c r="M99" s="861">
        <f t="shared" si="27"/>
        <v>85048.95</v>
      </c>
    </row>
    <row r="100" spans="1:13" s="73" customFormat="1" ht="13.5" x14ac:dyDescent="0.2">
      <c r="A100" s="70" t="s">
        <v>381</v>
      </c>
      <c r="B100" s="1317" t="str">
        <f t="shared" si="21"/>
        <v>SUMINISTRO TUBERÍA PEAD RDE 17 Ø12"-DI 315mm.</v>
      </c>
      <c r="C100" s="1101"/>
      <c r="D100" s="1101"/>
      <c r="E100" s="1101"/>
      <c r="F100" s="1101"/>
      <c r="G100" s="1102"/>
      <c r="H100" s="71" t="str">
        <f t="shared" si="22"/>
        <v>ML</v>
      </c>
      <c r="I100" s="861">
        <f t="shared" si="23"/>
        <v>0</v>
      </c>
      <c r="J100" s="861">
        <f t="shared" si="24"/>
        <v>316866</v>
      </c>
      <c r="K100" s="861">
        <f t="shared" si="25"/>
        <v>0</v>
      </c>
      <c r="L100" s="861">
        <f t="shared" si="26"/>
        <v>0</v>
      </c>
      <c r="M100" s="861">
        <f t="shared" si="27"/>
        <v>316866</v>
      </c>
    </row>
    <row r="101" spans="1:13" ht="15.75" customHeight="1" x14ac:dyDescent="0.2">
      <c r="A101" s="126"/>
      <c r="B101" s="1317"/>
      <c r="C101" s="1101"/>
      <c r="D101" s="1101"/>
      <c r="E101" s="1101"/>
      <c r="F101" s="1101"/>
      <c r="G101" s="1102"/>
      <c r="H101" s="71"/>
      <c r="I101" s="72"/>
      <c r="J101" s="72"/>
      <c r="K101" s="72"/>
      <c r="L101" s="72"/>
      <c r="M101" s="72"/>
    </row>
    <row r="102" spans="1:13" ht="15.75" customHeight="1" x14ac:dyDescent="0.2">
      <c r="A102" s="429"/>
      <c r="B102" s="430"/>
      <c r="C102" s="430"/>
      <c r="D102" s="430"/>
      <c r="E102" s="430"/>
      <c r="F102" s="430"/>
      <c r="G102" s="430"/>
      <c r="H102" s="430"/>
      <c r="I102" s="430"/>
      <c r="J102" s="430"/>
      <c r="K102" s="430"/>
      <c r="L102" s="430"/>
      <c r="M102" s="431"/>
    </row>
    <row r="103" spans="1:13" ht="15.75" customHeight="1" x14ac:dyDescent="0.2">
      <c r="A103" s="432"/>
      <c r="B103" s="76"/>
      <c r="C103" s="76"/>
      <c r="D103" s="76"/>
      <c r="E103" s="76"/>
      <c r="F103" s="76"/>
      <c r="G103" s="76"/>
      <c r="H103" s="76"/>
      <c r="I103" s="76"/>
      <c r="J103" s="76"/>
      <c r="K103" s="76"/>
      <c r="L103" s="76"/>
      <c r="M103" s="77"/>
    </row>
    <row r="104" spans="1:13" ht="15.75" customHeight="1" x14ac:dyDescent="0.2">
      <c r="A104" s="432"/>
      <c r="B104" s="76"/>
      <c r="C104" s="76"/>
      <c r="D104" s="76"/>
      <c r="E104" s="76"/>
      <c r="F104" s="76"/>
      <c r="G104" s="76"/>
      <c r="H104" s="76"/>
      <c r="I104" s="76"/>
      <c r="J104" s="76"/>
      <c r="K104" s="76"/>
      <c r="L104" s="76"/>
      <c r="M104" s="77"/>
    </row>
    <row r="105" spans="1:13" ht="15.75" customHeight="1" x14ac:dyDescent="0.2">
      <c r="A105" s="432"/>
      <c r="B105" s="76"/>
      <c r="C105" s="76"/>
      <c r="D105" s="76"/>
      <c r="E105" s="76"/>
      <c r="F105" s="76"/>
      <c r="G105" s="76"/>
      <c r="H105" s="76"/>
      <c r="I105" s="76"/>
      <c r="J105" s="76"/>
      <c r="K105" s="76"/>
      <c r="L105" s="76"/>
      <c r="M105" s="77"/>
    </row>
    <row r="106" spans="1:13" ht="15.75" customHeight="1" x14ac:dyDescent="0.2">
      <c r="A106" s="432"/>
      <c r="B106" s="76"/>
      <c r="C106" s="76"/>
      <c r="D106" s="76"/>
      <c r="E106" s="76"/>
      <c r="F106" s="76"/>
      <c r="G106" s="76"/>
      <c r="H106" s="76"/>
      <c r="I106" s="76"/>
      <c r="J106" s="76"/>
      <c r="K106" s="76"/>
      <c r="L106" s="76"/>
      <c r="M106" s="77"/>
    </row>
    <row r="107" spans="1:13" ht="15.75" customHeight="1" x14ac:dyDescent="0.2">
      <c r="A107" s="432"/>
      <c r="B107" s="76"/>
      <c r="C107" s="76"/>
      <c r="D107" s="76"/>
      <c r="E107" s="76"/>
      <c r="F107" s="76"/>
      <c r="G107" s="76"/>
      <c r="H107" s="76"/>
      <c r="I107" s="76"/>
      <c r="J107" s="76"/>
      <c r="K107" s="76"/>
      <c r="L107" s="76"/>
      <c r="M107" s="77"/>
    </row>
    <row r="108" spans="1:13" ht="15.75" customHeight="1" thickBot="1" x14ac:dyDescent="0.3">
      <c r="A108" s="432"/>
      <c r="B108" s="76"/>
      <c r="C108" s="330"/>
      <c r="D108" s="330"/>
      <c r="E108" s="330"/>
      <c r="F108" s="330"/>
      <c r="G108" s="76"/>
      <c r="H108" s="76"/>
      <c r="I108" s="78"/>
      <c r="J108" s="78"/>
      <c r="K108" s="78"/>
      <c r="L108" s="78"/>
      <c r="M108" s="77"/>
    </row>
    <row r="109" spans="1:13" ht="15.75" customHeight="1" thickTop="1" x14ac:dyDescent="0.2">
      <c r="A109" s="432"/>
      <c r="B109" s="76"/>
      <c r="C109" s="912" t="s">
        <v>1961</v>
      </c>
      <c r="D109" s="912"/>
      <c r="E109" s="912"/>
      <c r="F109" s="912"/>
      <c r="G109" s="76"/>
      <c r="H109" s="76"/>
      <c r="I109" s="912" t="s">
        <v>1964</v>
      </c>
      <c r="J109" s="942"/>
      <c r="K109" s="942"/>
      <c r="L109" s="942"/>
      <c r="M109" s="77"/>
    </row>
    <row r="110" spans="1:13" ht="15.75" customHeight="1" x14ac:dyDescent="0.25">
      <c r="A110" s="432"/>
      <c r="B110" s="76"/>
      <c r="C110" s="926" t="s">
        <v>1962</v>
      </c>
      <c r="D110" s="927"/>
      <c r="E110" s="927"/>
      <c r="F110" s="927"/>
      <c r="G110" s="76"/>
      <c r="H110" s="76"/>
      <c r="I110" s="938" t="s">
        <v>1965</v>
      </c>
      <c r="J110" s="939"/>
      <c r="K110" s="939"/>
      <c r="L110" s="939"/>
      <c r="M110" s="77"/>
    </row>
    <row r="111" spans="1:13" ht="15.75" customHeight="1" x14ac:dyDescent="0.2">
      <c r="A111" s="432"/>
      <c r="B111" s="76"/>
      <c r="C111" s="1046" t="s">
        <v>1963</v>
      </c>
      <c r="D111" s="1046"/>
      <c r="E111" s="1046"/>
      <c r="F111" s="1046"/>
      <c r="G111" s="76"/>
      <c r="H111" s="76"/>
      <c r="I111" s="1046" t="s">
        <v>1966</v>
      </c>
      <c r="J111" s="1046"/>
      <c r="K111" s="1046"/>
      <c r="L111" s="1046"/>
      <c r="M111" s="77"/>
    </row>
    <row r="112" spans="1:13" ht="15.75" customHeight="1" x14ac:dyDescent="0.2">
      <c r="A112" s="433"/>
      <c r="B112" s="434"/>
      <c r="C112" s="434"/>
      <c r="D112" s="434"/>
      <c r="E112" s="434"/>
      <c r="F112" s="434"/>
      <c r="G112" s="434"/>
      <c r="H112" s="434"/>
      <c r="I112" s="434"/>
      <c r="J112" s="434"/>
      <c r="K112" s="434"/>
      <c r="L112" s="434"/>
      <c r="M112" s="435"/>
    </row>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sheetData>
  <mergeCells count="104">
    <mergeCell ref="B22:G22"/>
    <mergeCell ref="B23:G23"/>
    <mergeCell ref="B24:G24"/>
    <mergeCell ref="B25:G25"/>
    <mergeCell ref="B26:G26"/>
    <mergeCell ref="B13:G13"/>
    <mergeCell ref="B14:G14"/>
    <mergeCell ref="B15:G15"/>
    <mergeCell ref="B16:G16"/>
    <mergeCell ref="B17:G17"/>
    <mergeCell ref="B18:G18"/>
    <mergeCell ref="B19:G19"/>
    <mergeCell ref="B20:G20"/>
    <mergeCell ref="B21:G21"/>
    <mergeCell ref="A1:K3"/>
    <mergeCell ref="L1:M1"/>
    <mergeCell ref="L2:M3"/>
    <mergeCell ref="A5:M6"/>
    <mergeCell ref="B8:G8"/>
    <mergeCell ref="B9:G9"/>
    <mergeCell ref="B10:G10"/>
    <mergeCell ref="B11:G11"/>
    <mergeCell ref="B12:G12"/>
    <mergeCell ref="B47:G47"/>
    <mergeCell ref="B48:G48"/>
    <mergeCell ref="B49:G49"/>
    <mergeCell ref="B50:G50"/>
    <mergeCell ref="B27:G27"/>
    <mergeCell ref="B28:G28"/>
    <mergeCell ref="B29:G29"/>
    <mergeCell ref="B30:G30"/>
    <mergeCell ref="B31:G31"/>
    <mergeCell ref="B32:G32"/>
    <mergeCell ref="B33:G33"/>
    <mergeCell ref="B34:G34"/>
    <mergeCell ref="B35:G35"/>
    <mergeCell ref="B69:G69"/>
    <mergeCell ref="B73:G73"/>
    <mergeCell ref="B74:G74"/>
    <mergeCell ref="B75:G75"/>
    <mergeCell ref="B36:G36"/>
    <mergeCell ref="B70:G70"/>
    <mergeCell ref="B71:G71"/>
    <mergeCell ref="B72:G72"/>
    <mergeCell ref="B37:G37"/>
    <mergeCell ref="B38:G38"/>
    <mergeCell ref="B39:G39"/>
    <mergeCell ref="B40:G40"/>
    <mergeCell ref="B54:G54"/>
    <mergeCell ref="B55:G55"/>
    <mergeCell ref="B56:G56"/>
    <mergeCell ref="B57:G57"/>
    <mergeCell ref="B58:G58"/>
    <mergeCell ref="B59:G59"/>
    <mergeCell ref="B41:G41"/>
    <mergeCell ref="B42:G42"/>
    <mergeCell ref="B43:G43"/>
    <mergeCell ref="B44:G44"/>
    <mergeCell ref="B45:G45"/>
    <mergeCell ref="B46:G46"/>
    <mergeCell ref="B76:G76"/>
    <mergeCell ref="C109:F109"/>
    <mergeCell ref="B51:G51"/>
    <mergeCell ref="B52:G52"/>
    <mergeCell ref="B53:G53"/>
    <mergeCell ref="B88:G88"/>
    <mergeCell ref="B89:G89"/>
    <mergeCell ref="B90:G90"/>
    <mergeCell ref="B91:G91"/>
    <mergeCell ref="B92:G92"/>
    <mergeCell ref="B93:G93"/>
    <mergeCell ref="B84:G84"/>
    <mergeCell ref="B85:G85"/>
    <mergeCell ref="B86:G86"/>
    <mergeCell ref="B87:G87"/>
    <mergeCell ref="B60:G60"/>
    <mergeCell ref="B61:G61"/>
    <mergeCell ref="B62:G62"/>
    <mergeCell ref="B63:G63"/>
    <mergeCell ref="B64:G64"/>
    <mergeCell ref="B65:G65"/>
    <mergeCell ref="B66:G66"/>
    <mergeCell ref="B67:G67"/>
    <mergeCell ref="B68:G68"/>
    <mergeCell ref="I109:L109"/>
    <mergeCell ref="C110:F110"/>
    <mergeCell ref="I110:L110"/>
    <mergeCell ref="I111:L111"/>
    <mergeCell ref="B101:G101"/>
    <mergeCell ref="B77:G77"/>
    <mergeCell ref="B78:G78"/>
    <mergeCell ref="B79:G79"/>
    <mergeCell ref="B80:G80"/>
    <mergeCell ref="B81:G81"/>
    <mergeCell ref="B82:G82"/>
    <mergeCell ref="B83:G83"/>
    <mergeCell ref="B97:G97"/>
    <mergeCell ref="B98:G98"/>
    <mergeCell ref="B99:G99"/>
    <mergeCell ref="B100:G100"/>
    <mergeCell ref="B94:G94"/>
    <mergeCell ref="B95:G95"/>
    <mergeCell ref="B96:G96"/>
    <mergeCell ref="C111:F111"/>
  </mergeCells>
  <phoneticPr fontId="36" type="noConversion"/>
  <conditionalFormatting sqref="C109:C110">
    <cfRule type="duplicateValues" dxfId="1396" priority="1"/>
  </conditionalFormatting>
  <printOptions horizontalCentered="1" verticalCentered="1"/>
  <pageMargins left="0.1" right="0.1" top="0.5" bottom="0.5" header="0" footer="0"/>
  <pageSetup scale="75"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P51"/>
  <sheetViews>
    <sheetView view="pageBreakPreview" zoomScale="70" zoomScaleNormal="90" zoomScaleSheetLayoutView="70" workbookViewId="0">
      <selection activeCell="F46" sqref="F46:O50"/>
    </sheetView>
  </sheetViews>
  <sheetFormatPr baseColWidth="10" defaultRowHeight="12.75" x14ac:dyDescent="0.2"/>
  <cols>
    <col min="1" max="1" width="3.42578125" customWidth="1"/>
    <col min="17" max="17" width="3.85546875" customWidth="1"/>
  </cols>
  <sheetData>
    <row r="1" spans="2:16" ht="13.5" thickBot="1" x14ac:dyDescent="0.25"/>
    <row r="2" spans="2:16" x14ac:dyDescent="0.2">
      <c r="B2" s="1164" t="str">
        <f>Indice!$B$2</f>
        <v>CONSTRUCCIÓN DE LA FASE 1 DEL PLAN MAESTRO DE ACUEDUCTO DEL MUNICIPIO DE ÍQUIRA, HUILA</v>
      </c>
      <c r="C2" s="1165"/>
      <c r="D2" s="1165"/>
      <c r="E2" s="1165"/>
      <c r="F2" s="1165"/>
      <c r="G2" s="1165"/>
      <c r="H2" s="1165"/>
      <c r="I2" s="1165"/>
      <c r="J2" s="1165"/>
      <c r="K2" s="1166"/>
      <c r="L2" s="1146" t="s">
        <v>0</v>
      </c>
      <c r="M2" s="1147"/>
      <c r="N2" s="1148">
        <f>O41</f>
        <v>120914385.42404902</v>
      </c>
      <c r="O2" s="1142"/>
      <c r="P2" s="1149"/>
    </row>
    <row r="3" spans="2:16" x14ac:dyDescent="0.2">
      <c r="B3" s="1167"/>
      <c r="C3" s="1168"/>
      <c r="D3" s="1168"/>
      <c r="E3" s="1168"/>
      <c r="F3" s="1168"/>
      <c r="G3" s="1168"/>
      <c r="H3" s="1168"/>
      <c r="I3" s="1168"/>
      <c r="J3" s="1168"/>
      <c r="K3" s="1169"/>
      <c r="L3" s="1151">
        <f>Indice!$Q$3</f>
        <v>46195</v>
      </c>
      <c r="M3" s="1053"/>
      <c r="N3" s="1029"/>
      <c r="O3" s="939"/>
      <c r="P3" s="1140"/>
    </row>
    <row r="4" spans="2:16" x14ac:dyDescent="0.2">
      <c r="B4" s="1170"/>
      <c r="C4" s="1171"/>
      <c r="D4" s="1171"/>
      <c r="E4" s="1171"/>
      <c r="F4" s="1171"/>
      <c r="G4" s="1171"/>
      <c r="H4" s="1171"/>
      <c r="I4" s="1171"/>
      <c r="J4" s="1171"/>
      <c r="K4" s="1172"/>
      <c r="L4" s="1031"/>
      <c r="M4" s="1055"/>
      <c r="N4" s="1031"/>
      <c r="O4" s="1032"/>
      <c r="P4" s="1150"/>
    </row>
    <row r="5" spans="2:16" ht="13.5" x14ac:dyDescent="0.25">
      <c r="B5" s="373"/>
      <c r="C5" s="374"/>
      <c r="D5" s="374"/>
      <c r="E5" s="374"/>
      <c r="F5" s="374"/>
      <c r="G5" s="374"/>
      <c r="H5" s="374"/>
      <c r="I5" s="374"/>
      <c r="J5" s="374"/>
      <c r="K5" s="374"/>
      <c r="L5" s="374"/>
      <c r="M5" s="374"/>
      <c r="N5" s="375"/>
      <c r="O5" s="376"/>
      <c r="P5" s="377"/>
    </row>
    <row r="6" spans="2:16" ht="12.75" customHeight="1" x14ac:dyDescent="0.2">
      <c r="B6" s="1127" t="s">
        <v>886</v>
      </c>
      <c r="C6" s="1128"/>
      <c r="D6" s="1128"/>
      <c r="E6" s="1128"/>
      <c r="F6" s="1128"/>
      <c r="G6" s="1128"/>
      <c r="H6" s="1128"/>
      <c r="I6" s="1128"/>
      <c r="J6" s="1128"/>
      <c r="K6" s="1128"/>
      <c r="L6" s="1128"/>
      <c r="M6" s="1128"/>
      <c r="N6" s="1128"/>
      <c r="O6" s="1128"/>
      <c r="P6" s="1129"/>
    </row>
    <row r="7" spans="2:16" x14ac:dyDescent="0.2">
      <c r="B7" s="1130"/>
      <c r="C7" s="1131"/>
      <c r="D7" s="1131"/>
      <c r="E7" s="1131"/>
      <c r="F7" s="1131"/>
      <c r="G7" s="1131"/>
      <c r="H7" s="1131"/>
      <c r="I7" s="1131"/>
      <c r="J7" s="1131"/>
      <c r="K7" s="1131"/>
      <c r="L7" s="1131"/>
      <c r="M7" s="1131"/>
      <c r="N7" s="1131"/>
      <c r="O7" s="1131"/>
      <c r="P7" s="1132"/>
    </row>
    <row r="8" spans="2:16" ht="17.25" x14ac:dyDescent="0.3">
      <c r="B8" s="453"/>
      <c r="C8" s="427"/>
      <c r="D8" s="427"/>
      <c r="E8" s="427"/>
      <c r="F8" s="427"/>
      <c r="G8" s="427"/>
      <c r="H8" s="427"/>
      <c r="I8" s="427"/>
      <c r="J8" s="427"/>
      <c r="K8" s="427"/>
      <c r="L8" s="427"/>
      <c r="M8" s="427"/>
      <c r="N8" s="454"/>
      <c r="O8" s="455"/>
      <c r="P8" s="456"/>
    </row>
    <row r="9" spans="2:16" ht="15" x14ac:dyDescent="0.2">
      <c r="B9" s="406" t="s">
        <v>127</v>
      </c>
      <c r="C9" s="1173" t="s">
        <v>128</v>
      </c>
      <c r="D9" s="1174"/>
      <c r="E9" s="1174"/>
      <c r="F9" s="1174"/>
      <c r="G9" s="1174"/>
      <c r="H9" s="1174"/>
      <c r="I9" s="1174"/>
      <c r="J9" s="1174"/>
      <c r="K9" s="1174"/>
      <c r="L9" s="1174"/>
      <c r="M9" s="1174"/>
      <c r="N9" s="1174"/>
      <c r="O9" s="1174"/>
      <c r="P9" s="1175"/>
    </row>
    <row r="10" spans="2:16" x14ac:dyDescent="0.2">
      <c r="B10" s="1176" t="s">
        <v>129</v>
      </c>
      <c r="C10" s="1178" t="s">
        <v>130</v>
      </c>
      <c r="D10" s="1179"/>
      <c r="E10" s="1179"/>
      <c r="F10" s="1179"/>
      <c r="G10" s="1180"/>
      <c r="H10" s="1182" t="s">
        <v>131</v>
      </c>
      <c r="I10" s="1328" t="s">
        <v>132</v>
      </c>
      <c r="J10" s="1182" t="s">
        <v>133</v>
      </c>
      <c r="K10" s="1178" t="s">
        <v>134</v>
      </c>
      <c r="L10" s="1180"/>
      <c r="M10" s="1182" t="s">
        <v>135</v>
      </c>
      <c r="N10" s="1182" t="s">
        <v>136</v>
      </c>
      <c r="O10" s="1178" t="s">
        <v>137</v>
      </c>
      <c r="P10" s="1184"/>
    </row>
    <row r="11" spans="2:16" x14ac:dyDescent="0.2">
      <c r="B11" s="1177"/>
      <c r="C11" s="1181"/>
      <c r="D11" s="1171"/>
      <c r="E11" s="1171"/>
      <c r="F11" s="1171"/>
      <c r="G11" s="1172"/>
      <c r="H11" s="1183"/>
      <c r="I11" s="1183"/>
      <c r="J11" s="1183"/>
      <c r="K11" s="1181"/>
      <c r="L11" s="1172"/>
      <c r="M11" s="1183"/>
      <c r="N11" s="1183"/>
      <c r="O11" s="1181"/>
      <c r="P11" s="1185"/>
    </row>
    <row r="12" spans="2:16" ht="17.25" x14ac:dyDescent="0.2">
      <c r="B12" s="407" t="s">
        <v>892</v>
      </c>
      <c r="C12" s="1190" t="s">
        <v>891</v>
      </c>
      <c r="D12" s="1187"/>
      <c r="E12" s="1187"/>
      <c r="F12" s="1187"/>
      <c r="G12" s="1007"/>
      <c r="H12" s="408">
        <v>4</v>
      </c>
      <c r="I12" s="409">
        <v>1</v>
      </c>
      <c r="J12" s="410">
        <v>1</v>
      </c>
      <c r="K12" s="1191">
        <f>H12*'06'!$B$10</f>
        <v>7003620</v>
      </c>
      <c r="L12" s="1007"/>
      <c r="M12" s="457">
        <v>2</v>
      </c>
      <c r="N12" s="411">
        <f t="shared" ref="N12:N20" si="0">O12/$O$37</f>
        <v>0.13785469397659222</v>
      </c>
      <c r="O12" s="1191">
        <f t="shared" ref="O12:O20" si="1">M12*J12*K12*I12</f>
        <v>14007240</v>
      </c>
      <c r="P12" s="1189"/>
    </row>
    <row r="13" spans="2:16" ht="17.25" x14ac:dyDescent="0.2">
      <c r="B13" s="407" t="s">
        <v>893</v>
      </c>
      <c r="C13" s="1190" t="s">
        <v>889</v>
      </c>
      <c r="D13" s="1187"/>
      <c r="E13" s="1187"/>
      <c r="F13" s="1187"/>
      <c r="G13" s="1007"/>
      <c r="H13" s="408">
        <v>4</v>
      </c>
      <c r="I13" s="409">
        <v>1</v>
      </c>
      <c r="J13" s="410">
        <v>0.5</v>
      </c>
      <c r="K13" s="1191">
        <f>H13*'06'!$B$10</f>
        <v>7003620</v>
      </c>
      <c r="L13" s="1007"/>
      <c r="M13" s="457">
        <v>2</v>
      </c>
      <c r="N13" s="411">
        <f t="shared" si="0"/>
        <v>6.8927346988296112E-2</v>
      </c>
      <c r="O13" s="1191">
        <f t="shared" si="1"/>
        <v>7003620</v>
      </c>
      <c r="P13" s="1189"/>
    </row>
    <row r="14" spans="2:16" ht="17.25" x14ac:dyDescent="0.2">
      <c r="B14" s="407" t="s">
        <v>894</v>
      </c>
      <c r="C14" s="1190" t="s">
        <v>888</v>
      </c>
      <c r="D14" s="1187"/>
      <c r="E14" s="1187"/>
      <c r="F14" s="1187"/>
      <c r="G14" s="1007"/>
      <c r="H14" s="408">
        <v>4</v>
      </c>
      <c r="I14" s="409">
        <v>1</v>
      </c>
      <c r="J14" s="410">
        <v>0.5</v>
      </c>
      <c r="K14" s="1191">
        <f>H14*'06'!$B$10</f>
        <v>7003620</v>
      </c>
      <c r="L14" s="1007"/>
      <c r="M14" s="457">
        <f>$M$19</f>
        <v>2</v>
      </c>
      <c r="N14" s="411">
        <f t="shared" si="0"/>
        <v>6.8927346988296112E-2</v>
      </c>
      <c r="O14" s="1191">
        <f t="shared" si="1"/>
        <v>7003620</v>
      </c>
      <c r="P14" s="1189"/>
    </row>
    <row r="15" spans="2:16" ht="17.25" x14ac:dyDescent="0.2">
      <c r="B15" s="407" t="s">
        <v>895</v>
      </c>
      <c r="C15" s="1190" t="s">
        <v>150</v>
      </c>
      <c r="D15" s="1187"/>
      <c r="E15" s="1187"/>
      <c r="F15" s="1187"/>
      <c r="G15" s="1007"/>
      <c r="H15" s="408">
        <v>4</v>
      </c>
      <c r="I15" s="409">
        <v>1</v>
      </c>
      <c r="J15" s="410">
        <v>1</v>
      </c>
      <c r="K15" s="1191">
        <f>H15*'06'!$B$10</f>
        <v>7003620</v>
      </c>
      <c r="L15" s="1007"/>
      <c r="M15" s="457">
        <v>2</v>
      </c>
      <c r="N15" s="411">
        <f t="shared" si="0"/>
        <v>0.13785469397659222</v>
      </c>
      <c r="O15" s="1191">
        <f t="shared" si="1"/>
        <v>14007240</v>
      </c>
      <c r="P15" s="1189"/>
    </row>
    <row r="16" spans="2:16" ht="17.25" x14ac:dyDescent="0.2">
      <c r="B16" s="407" t="s">
        <v>897</v>
      </c>
      <c r="C16" s="1190" t="s">
        <v>890</v>
      </c>
      <c r="D16" s="1187"/>
      <c r="E16" s="1187"/>
      <c r="F16" s="1187"/>
      <c r="G16" s="1007"/>
      <c r="H16" s="408">
        <v>4</v>
      </c>
      <c r="I16" s="409">
        <v>1</v>
      </c>
      <c r="J16" s="410">
        <v>0.25</v>
      </c>
      <c r="K16" s="1191">
        <f>H16*'06'!$B$10</f>
        <v>7003620</v>
      </c>
      <c r="L16" s="1007"/>
      <c r="M16" s="457">
        <f>$M$19</f>
        <v>2</v>
      </c>
      <c r="N16" s="411">
        <f t="shared" si="0"/>
        <v>3.4463673494148056E-2</v>
      </c>
      <c r="O16" s="1191">
        <f t="shared" si="1"/>
        <v>3501810</v>
      </c>
      <c r="P16" s="1189"/>
    </row>
    <row r="17" spans="2:16" ht="17.25" x14ac:dyDescent="0.2">
      <c r="B17" s="407" t="s">
        <v>898</v>
      </c>
      <c r="C17" s="1190" t="s">
        <v>149</v>
      </c>
      <c r="D17" s="1187"/>
      <c r="E17" s="1187"/>
      <c r="F17" s="1187"/>
      <c r="G17" s="1007"/>
      <c r="H17" s="408">
        <v>4</v>
      </c>
      <c r="I17" s="409">
        <v>1</v>
      </c>
      <c r="J17" s="410">
        <v>0.1</v>
      </c>
      <c r="K17" s="1191">
        <f>H17*'06'!$B$10</f>
        <v>7003620</v>
      </c>
      <c r="L17" s="1007"/>
      <c r="M17" s="457">
        <f>$M$19</f>
        <v>2</v>
      </c>
      <c r="N17" s="411">
        <f t="shared" si="0"/>
        <v>1.3785469397659223E-2</v>
      </c>
      <c r="O17" s="1191">
        <f t="shared" si="1"/>
        <v>1400724</v>
      </c>
      <c r="P17" s="1189"/>
    </row>
    <row r="18" spans="2:16" ht="17.25" x14ac:dyDescent="0.2">
      <c r="B18" s="407" t="s">
        <v>896</v>
      </c>
      <c r="C18" s="1190" t="s">
        <v>153</v>
      </c>
      <c r="D18" s="1187"/>
      <c r="E18" s="1187"/>
      <c r="F18" s="1187"/>
      <c r="G18" s="1007"/>
      <c r="H18" s="408">
        <v>4</v>
      </c>
      <c r="I18" s="409">
        <v>1</v>
      </c>
      <c r="J18" s="410">
        <v>0.1</v>
      </c>
      <c r="K18" s="1191">
        <f>H18*'06'!$B$10</f>
        <v>7003620</v>
      </c>
      <c r="L18" s="1007"/>
      <c r="M18" s="457">
        <f>$M$19</f>
        <v>2</v>
      </c>
      <c r="N18" s="411">
        <f t="shared" si="0"/>
        <v>1.3785469397659223E-2</v>
      </c>
      <c r="O18" s="1191">
        <f t="shared" si="1"/>
        <v>1400724</v>
      </c>
      <c r="P18" s="1189"/>
    </row>
    <row r="19" spans="2:16" ht="17.25" x14ac:dyDescent="0.2">
      <c r="B19" s="407" t="s">
        <v>899</v>
      </c>
      <c r="C19" s="1190" t="s">
        <v>143</v>
      </c>
      <c r="D19" s="1187"/>
      <c r="E19" s="1187"/>
      <c r="F19" s="1187"/>
      <c r="G19" s="1007"/>
      <c r="H19" s="408">
        <v>4</v>
      </c>
      <c r="I19" s="409">
        <v>1</v>
      </c>
      <c r="J19" s="410">
        <v>0.1</v>
      </c>
      <c r="K19" s="1191">
        <f>H19*'06'!$B$10</f>
        <v>7003620</v>
      </c>
      <c r="L19" s="1007"/>
      <c r="M19" s="457">
        <v>2</v>
      </c>
      <c r="N19" s="411">
        <f t="shared" si="0"/>
        <v>1.3785469397659223E-2</v>
      </c>
      <c r="O19" s="1191">
        <f t="shared" si="1"/>
        <v>1400724</v>
      </c>
      <c r="P19" s="1189"/>
    </row>
    <row r="20" spans="2:16" ht="17.25" x14ac:dyDescent="0.2">
      <c r="B20" s="407" t="s">
        <v>900</v>
      </c>
      <c r="C20" s="1190" t="s">
        <v>147</v>
      </c>
      <c r="D20" s="1187"/>
      <c r="E20" s="1187"/>
      <c r="F20" s="1187"/>
      <c r="G20" s="1007"/>
      <c r="H20" s="408">
        <v>4</v>
      </c>
      <c r="I20" s="409">
        <v>1</v>
      </c>
      <c r="J20" s="410">
        <v>0.1</v>
      </c>
      <c r="K20" s="1191">
        <f>H20*'06'!$B$10</f>
        <v>7003620</v>
      </c>
      <c r="L20" s="1007"/>
      <c r="M20" s="457">
        <f>$M$19</f>
        <v>2</v>
      </c>
      <c r="N20" s="411">
        <f t="shared" si="0"/>
        <v>1.3785469397659223E-2</v>
      </c>
      <c r="O20" s="1191">
        <f t="shared" si="1"/>
        <v>1400724</v>
      </c>
      <c r="P20" s="1189"/>
    </row>
    <row r="21" spans="2:16" ht="17.25" x14ac:dyDescent="0.2">
      <c r="B21" s="412"/>
      <c r="C21" s="413"/>
      <c r="D21" s="413"/>
      <c r="E21" s="413"/>
      <c r="F21" s="413"/>
      <c r="G21" s="413"/>
      <c r="H21" s="413"/>
      <c r="I21" s="1186" t="s">
        <v>154</v>
      </c>
      <c r="J21" s="1187"/>
      <c r="K21" s="1187"/>
      <c r="L21" s="1187"/>
      <c r="M21" s="1187"/>
      <c r="N21" s="1007"/>
      <c r="O21" s="1191">
        <f>SUM(O12:O20)</f>
        <v>51126426</v>
      </c>
      <c r="P21" s="1189"/>
    </row>
    <row r="22" spans="2:16" ht="17.25" x14ac:dyDescent="0.2">
      <c r="B22" s="412"/>
      <c r="C22" s="413"/>
      <c r="D22" s="413"/>
      <c r="E22" s="413"/>
      <c r="F22" s="413"/>
      <c r="G22" s="413"/>
      <c r="H22" s="413"/>
      <c r="I22" s="1186" t="s">
        <v>155</v>
      </c>
      <c r="J22" s="1187"/>
      <c r="K22" s="1187"/>
      <c r="L22" s="1187"/>
      <c r="M22" s="1187"/>
      <c r="N22" s="1007"/>
      <c r="O22" s="1188">
        <f>'06'!J3</f>
        <v>1.7233500000000002</v>
      </c>
      <c r="P22" s="1189"/>
    </row>
    <row r="23" spans="2:16" ht="17.25" x14ac:dyDescent="0.2">
      <c r="B23" s="412"/>
      <c r="C23" s="413"/>
      <c r="D23" s="413"/>
      <c r="E23" s="413"/>
      <c r="F23" s="413"/>
      <c r="G23" s="413"/>
      <c r="H23" s="413"/>
      <c r="I23" s="1186" t="s">
        <v>156</v>
      </c>
      <c r="J23" s="1187"/>
      <c r="K23" s="1187"/>
      <c r="L23" s="1187"/>
      <c r="M23" s="1187"/>
      <c r="N23" s="1007"/>
      <c r="O23" s="1191">
        <f>+O21*O22</f>
        <v>88108726.247100011</v>
      </c>
      <c r="P23" s="1189"/>
    </row>
    <row r="24" spans="2:16" ht="17.25" x14ac:dyDescent="0.2">
      <c r="B24" s="414"/>
      <c r="C24" s="415"/>
      <c r="D24" s="415"/>
      <c r="E24" s="415"/>
      <c r="F24" s="415"/>
      <c r="G24" s="415"/>
      <c r="H24" s="416"/>
      <c r="I24" s="416"/>
      <c r="J24" s="416"/>
      <c r="K24" s="416"/>
      <c r="L24" s="416"/>
      <c r="M24" s="416"/>
      <c r="N24" s="416"/>
      <c r="O24" s="416"/>
      <c r="P24" s="417"/>
    </row>
    <row r="25" spans="2:16" ht="15" x14ac:dyDescent="0.2">
      <c r="B25" s="418" t="s">
        <v>157</v>
      </c>
      <c r="C25" s="1192" t="s">
        <v>158</v>
      </c>
      <c r="D25" s="1187"/>
      <c r="E25" s="1187"/>
      <c r="F25" s="1187"/>
      <c r="G25" s="1187"/>
      <c r="H25" s="1187"/>
      <c r="I25" s="1187"/>
      <c r="J25" s="1187"/>
      <c r="K25" s="1187"/>
      <c r="L25" s="1187"/>
      <c r="M25" s="1187"/>
      <c r="N25" s="1187"/>
      <c r="O25" s="1187"/>
      <c r="P25" s="1189"/>
    </row>
    <row r="26" spans="2:16" x14ac:dyDescent="0.2">
      <c r="B26" s="1176" t="s">
        <v>129</v>
      </c>
      <c r="C26" s="1178" t="s">
        <v>38</v>
      </c>
      <c r="D26" s="1179"/>
      <c r="E26" s="1179"/>
      <c r="F26" s="1179"/>
      <c r="G26" s="1179"/>
      <c r="H26" s="1180"/>
      <c r="I26" s="1182" t="s">
        <v>39</v>
      </c>
      <c r="J26" s="1182" t="s">
        <v>132</v>
      </c>
      <c r="K26" s="1178" t="s">
        <v>134</v>
      </c>
      <c r="L26" s="1180"/>
      <c r="M26" s="1182" t="s">
        <v>159</v>
      </c>
      <c r="N26" s="1182" t="s">
        <v>136</v>
      </c>
      <c r="O26" s="1178" t="s">
        <v>137</v>
      </c>
      <c r="P26" s="1184"/>
    </row>
    <row r="27" spans="2:16" x14ac:dyDescent="0.2">
      <c r="B27" s="1177"/>
      <c r="C27" s="1181"/>
      <c r="D27" s="1171"/>
      <c r="E27" s="1171"/>
      <c r="F27" s="1171"/>
      <c r="G27" s="1171"/>
      <c r="H27" s="1172"/>
      <c r="I27" s="1183"/>
      <c r="J27" s="1183"/>
      <c r="K27" s="1181"/>
      <c r="L27" s="1172"/>
      <c r="M27" s="1183"/>
      <c r="N27" s="1183"/>
      <c r="O27" s="1181"/>
      <c r="P27" s="1185"/>
    </row>
    <row r="28" spans="2:16" ht="17.25" x14ac:dyDescent="0.2">
      <c r="B28" s="407" t="s">
        <v>901</v>
      </c>
      <c r="C28" s="1327" t="s">
        <v>163</v>
      </c>
      <c r="D28" s="1187"/>
      <c r="E28" s="1187"/>
      <c r="F28" s="1187"/>
      <c r="G28" s="1187"/>
      <c r="H28" s="1007"/>
      <c r="I28" s="420" t="s">
        <v>161</v>
      </c>
      <c r="J28" s="400">
        <v>1</v>
      </c>
      <c r="K28" s="1191">
        <f>AIU!K28</f>
        <v>950000</v>
      </c>
      <c r="L28" s="1007"/>
      <c r="M28" s="457">
        <f>M13</f>
        <v>2</v>
      </c>
      <c r="N28" s="411">
        <f t="shared" ref="N28:N34" si="2">O28/$O$37</f>
        <v>1.8699181177414339E-2</v>
      </c>
      <c r="O28" s="1191">
        <f>K28*J28*M28</f>
        <v>1900000</v>
      </c>
      <c r="P28" s="1189"/>
    </row>
    <row r="29" spans="2:16" ht="17.25" x14ac:dyDescent="0.2">
      <c r="B29" s="407" t="s">
        <v>902</v>
      </c>
      <c r="C29" s="1327" t="s">
        <v>165</v>
      </c>
      <c r="D29" s="1187"/>
      <c r="E29" s="1187"/>
      <c r="F29" s="1187"/>
      <c r="G29" s="1187"/>
      <c r="H29" s="1007"/>
      <c r="I29" s="420" t="s">
        <v>161</v>
      </c>
      <c r="J29" s="400">
        <v>1</v>
      </c>
      <c r="K29" s="1191">
        <f>AIU!K29</f>
        <v>950000</v>
      </c>
      <c r="L29" s="1007"/>
      <c r="M29" s="457">
        <f>M14</f>
        <v>2</v>
      </c>
      <c r="N29" s="411">
        <f t="shared" si="2"/>
        <v>1.8699181177414339E-2</v>
      </c>
      <c r="O29" s="1191">
        <f>K29*J29*M29</f>
        <v>1900000</v>
      </c>
      <c r="P29" s="1189"/>
    </row>
    <row r="30" spans="2:16" ht="17.25" x14ac:dyDescent="0.2">
      <c r="B30" s="407" t="s">
        <v>903</v>
      </c>
      <c r="C30" s="1327" t="s">
        <v>167</v>
      </c>
      <c r="D30" s="1187"/>
      <c r="E30" s="1187"/>
      <c r="F30" s="1187"/>
      <c r="G30" s="1187"/>
      <c r="H30" s="1007"/>
      <c r="I30" s="420" t="s">
        <v>161</v>
      </c>
      <c r="J30" s="400">
        <v>1</v>
      </c>
      <c r="K30" s="1191">
        <f>AIU!K30</f>
        <v>3500000</v>
      </c>
      <c r="L30" s="1007"/>
      <c r="M30" s="457">
        <v>1</v>
      </c>
      <c r="N30" s="411">
        <f t="shared" si="2"/>
        <v>3.444586006365799E-2</v>
      </c>
      <c r="O30" s="1191">
        <f>K30*J30*M30</f>
        <v>3500000</v>
      </c>
      <c r="P30" s="1189"/>
    </row>
    <row r="31" spans="2:16" ht="17.25" x14ac:dyDescent="0.2">
      <c r="B31" s="407" t="s">
        <v>904</v>
      </c>
      <c r="C31" s="1327" t="s">
        <v>990</v>
      </c>
      <c r="D31" s="1187"/>
      <c r="E31" s="1187"/>
      <c r="F31" s="1187"/>
      <c r="G31" s="1187"/>
      <c r="H31" s="1007"/>
      <c r="I31" s="420" t="s">
        <v>161</v>
      </c>
      <c r="J31" s="400">
        <v>6</v>
      </c>
      <c r="K31" s="1191">
        <v>500000</v>
      </c>
      <c r="L31" s="1007"/>
      <c r="M31" s="457">
        <v>1</v>
      </c>
      <c r="N31" s="411">
        <f t="shared" si="2"/>
        <v>2.952502291170685E-2</v>
      </c>
      <c r="O31" s="1191">
        <f>K31*J31*M31</f>
        <v>3000000</v>
      </c>
      <c r="P31" s="1189"/>
    </row>
    <row r="32" spans="2:16" ht="17.25" x14ac:dyDescent="0.2">
      <c r="B32" s="407" t="s">
        <v>905</v>
      </c>
      <c r="C32" s="1327" t="s">
        <v>847</v>
      </c>
      <c r="D32" s="1187"/>
      <c r="E32" s="1187"/>
      <c r="F32" s="1187"/>
      <c r="G32" s="1187"/>
      <c r="H32" s="1007"/>
      <c r="I32" s="420" t="s">
        <v>161</v>
      </c>
      <c r="J32" s="400">
        <v>1</v>
      </c>
      <c r="K32" s="1191">
        <v>500001</v>
      </c>
      <c r="L32" s="1007"/>
      <c r="M32" s="457">
        <v>1</v>
      </c>
      <c r="N32" s="411">
        <f t="shared" si="2"/>
        <v>4.9208469936254454E-3</v>
      </c>
      <c r="O32" s="1191">
        <f>K32*M32*J32</f>
        <v>500001</v>
      </c>
      <c r="P32" s="1189"/>
    </row>
    <row r="33" spans="2:16" ht="17.25" x14ac:dyDescent="0.2">
      <c r="B33" s="407" t="s">
        <v>906</v>
      </c>
      <c r="C33" s="1327" t="s">
        <v>170</v>
      </c>
      <c r="D33" s="1187"/>
      <c r="E33" s="1187"/>
      <c r="F33" s="1187"/>
      <c r="G33" s="1187"/>
      <c r="H33" s="1007"/>
      <c r="I33" s="420" t="s">
        <v>161</v>
      </c>
      <c r="J33" s="400">
        <v>0</v>
      </c>
      <c r="K33" s="1191">
        <v>500002</v>
      </c>
      <c r="L33" s="1007"/>
      <c r="M33" s="457">
        <f>M17</f>
        <v>2</v>
      </c>
      <c r="N33" s="411">
        <f t="shared" si="2"/>
        <v>0</v>
      </c>
      <c r="O33" s="1191">
        <f>K33*M33*J33</f>
        <v>0</v>
      </c>
      <c r="P33" s="1189"/>
    </row>
    <row r="34" spans="2:16" ht="17.25" x14ac:dyDescent="0.2">
      <c r="B34" s="407" t="s">
        <v>907</v>
      </c>
      <c r="C34" s="1327" t="s">
        <v>877</v>
      </c>
      <c r="D34" s="1187"/>
      <c r="E34" s="1187"/>
      <c r="F34" s="1187"/>
      <c r="G34" s="1187"/>
      <c r="H34" s="1007"/>
      <c r="I34" s="420" t="s">
        <v>161</v>
      </c>
      <c r="J34" s="400">
        <v>180</v>
      </c>
      <c r="K34" s="1191">
        <v>15000</v>
      </c>
      <c r="L34" s="1007"/>
      <c r="M34" s="457">
        <v>1</v>
      </c>
      <c r="N34" s="411">
        <f t="shared" si="2"/>
        <v>2.6572520620536166E-2</v>
      </c>
      <c r="O34" s="1191">
        <f>K34*M34*J34</f>
        <v>2700000</v>
      </c>
      <c r="P34" s="1189"/>
    </row>
    <row r="35" spans="2:16" ht="17.25" x14ac:dyDescent="0.2">
      <c r="B35" s="412"/>
      <c r="C35" s="413"/>
      <c r="D35" s="413"/>
      <c r="E35" s="413"/>
      <c r="F35" s="413"/>
      <c r="G35" s="421"/>
      <c r="H35" s="413"/>
      <c r="I35" s="1186" t="s">
        <v>172</v>
      </c>
      <c r="J35" s="1187"/>
      <c r="K35" s="1187"/>
      <c r="L35" s="1187"/>
      <c r="M35" s="1187"/>
      <c r="N35" s="1007"/>
      <c r="O35" s="1191">
        <f>SUM(O28:O34)</f>
        <v>13500001</v>
      </c>
      <c r="P35" s="1189"/>
    </row>
    <row r="36" spans="2:16" ht="17.25" x14ac:dyDescent="0.3">
      <c r="B36" s="414"/>
      <c r="C36" s="415"/>
      <c r="D36" s="427"/>
      <c r="E36" s="427"/>
      <c r="F36" s="427"/>
      <c r="G36" s="427"/>
      <c r="H36" s="416"/>
      <c r="I36" s="141"/>
      <c r="J36" s="141"/>
      <c r="K36" s="141"/>
      <c r="L36" s="141"/>
      <c r="M36" s="416"/>
      <c r="N36" s="416"/>
      <c r="O36" s="416"/>
      <c r="P36" s="417"/>
    </row>
    <row r="37" spans="2:16" ht="17.25" x14ac:dyDescent="0.3">
      <c r="B37" s="412"/>
      <c r="C37" s="413"/>
      <c r="D37" s="427"/>
      <c r="E37" s="427"/>
      <c r="F37" s="427"/>
      <c r="G37" s="427"/>
      <c r="H37" s="413"/>
      <c r="I37" s="141"/>
      <c r="J37" s="141"/>
      <c r="K37" s="141"/>
      <c r="L37" s="141"/>
      <c r="M37" s="1323" t="s">
        <v>887</v>
      </c>
      <c r="N37" s="1324"/>
      <c r="O37" s="1191">
        <f>O23+O35</f>
        <v>101608727.24710001</v>
      </c>
      <c r="P37" s="1189"/>
    </row>
    <row r="38" spans="2:16" ht="17.25" x14ac:dyDescent="0.3">
      <c r="B38" s="412"/>
      <c r="C38" s="413"/>
      <c r="D38" s="427"/>
      <c r="E38" s="427"/>
      <c r="F38" s="427"/>
      <c r="G38" s="427"/>
      <c r="H38" s="413"/>
      <c r="I38" s="141"/>
      <c r="J38" s="141"/>
      <c r="K38" s="141"/>
      <c r="L38" s="141"/>
      <c r="M38" s="458" t="s">
        <v>280</v>
      </c>
      <c r="N38" s="458">
        <v>0.19</v>
      </c>
      <c r="O38" s="1191">
        <f>O37*N38</f>
        <v>19305658.176949002</v>
      </c>
      <c r="P38" s="1189"/>
    </row>
    <row r="39" spans="2:16" ht="17.25" x14ac:dyDescent="0.3">
      <c r="B39" s="412"/>
      <c r="C39" s="413"/>
      <c r="D39" s="427"/>
      <c r="E39" s="427"/>
      <c r="F39" s="427"/>
      <c r="G39" s="427"/>
      <c r="H39" s="413"/>
      <c r="I39" s="141"/>
      <c r="J39" s="141"/>
      <c r="K39" s="141"/>
      <c r="L39" s="141"/>
      <c r="M39" s="1323" t="s">
        <v>201</v>
      </c>
      <c r="N39" s="1324"/>
      <c r="O39" s="1191">
        <f>O37+O38</f>
        <v>120914385.42404902</v>
      </c>
      <c r="P39" s="1189"/>
    </row>
    <row r="40" spans="2:16" ht="17.25" x14ac:dyDescent="0.3">
      <c r="B40" s="412"/>
      <c r="C40" s="413"/>
      <c r="D40" s="427"/>
      <c r="E40" s="427"/>
      <c r="F40" s="427"/>
      <c r="G40" s="427"/>
      <c r="H40" s="413"/>
      <c r="I40" s="141"/>
      <c r="J40" s="141"/>
      <c r="K40" s="141"/>
      <c r="L40" s="141"/>
      <c r="M40" s="1323" t="s">
        <v>191</v>
      </c>
      <c r="N40" s="1324"/>
      <c r="O40" s="1325">
        <v>1</v>
      </c>
      <c r="P40" s="1326"/>
    </row>
    <row r="41" spans="2:16" ht="17.25" x14ac:dyDescent="0.3">
      <c r="B41" s="412"/>
      <c r="C41" s="413"/>
      <c r="D41" s="427"/>
      <c r="E41" s="427"/>
      <c r="F41" s="427"/>
      <c r="G41" s="427"/>
      <c r="H41" s="413"/>
      <c r="I41" s="141"/>
      <c r="J41" s="141"/>
      <c r="K41" s="141"/>
      <c r="L41" s="459"/>
      <c r="M41" s="1323" t="s">
        <v>192</v>
      </c>
      <c r="N41" s="1324"/>
      <c r="O41" s="1191">
        <f>O39*O40</f>
        <v>120914385.42404902</v>
      </c>
      <c r="P41" s="1189"/>
    </row>
    <row r="42" spans="2:16" x14ac:dyDescent="0.2">
      <c r="B42" s="389"/>
      <c r="C42" s="76"/>
      <c r="D42" s="76"/>
      <c r="E42" s="76"/>
      <c r="F42" s="76"/>
      <c r="G42" s="76"/>
      <c r="H42" s="76"/>
      <c r="I42" s="76"/>
      <c r="J42" s="76"/>
      <c r="K42" s="76"/>
      <c r="L42" s="76"/>
      <c r="M42" s="76"/>
      <c r="N42" s="76"/>
      <c r="O42" s="76"/>
      <c r="P42" s="390"/>
    </row>
    <row r="43" spans="2:16" x14ac:dyDescent="0.2">
      <c r="B43" s="389"/>
      <c r="C43" s="76"/>
      <c r="D43" s="76"/>
      <c r="E43" s="76"/>
      <c r="F43" s="76"/>
      <c r="G43" s="76"/>
      <c r="H43" s="76"/>
      <c r="I43" s="76"/>
      <c r="J43" s="76"/>
      <c r="K43" s="76"/>
      <c r="L43" s="76"/>
      <c r="M43" s="76"/>
      <c r="N43" s="76"/>
      <c r="O43" s="76"/>
      <c r="P43" s="390"/>
    </row>
    <row r="44" spans="2:16" x14ac:dyDescent="0.2">
      <c r="B44" s="389"/>
      <c r="C44" s="76"/>
      <c r="D44" s="76"/>
      <c r="E44" s="76"/>
      <c r="F44" s="76"/>
      <c r="G44" s="76"/>
      <c r="H44" s="76"/>
      <c r="I44" s="76"/>
      <c r="J44" s="76"/>
      <c r="K44" s="76"/>
      <c r="L44" s="76"/>
      <c r="M44" s="76"/>
      <c r="N44" s="76"/>
      <c r="O44" s="76"/>
      <c r="P44" s="390"/>
    </row>
    <row r="45" spans="2:16" x14ac:dyDescent="0.2">
      <c r="B45" s="389"/>
      <c r="C45" s="76"/>
      <c r="D45" s="76"/>
      <c r="E45" s="76"/>
      <c r="F45" s="76"/>
      <c r="G45" s="76"/>
      <c r="H45" s="76"/>
      <c r="I45" s="76"/>
      <c r="J45" s="76"/>
      <c r="K45" s="76"/>
      <c r="L45" s="76"/>
      <c r="M45" s="76"/>
      <c r="N45" s="76"/>
      <c r="O45" s="76"/>
      <c r="P45" s="390"/>
    </row>
    <row r="46" spans="2:16" x14ac:dyDescent="0.2">
      <c r="B46" s="389"/>
      <c r="C46" s="76"/>
      <c r="D46" s="76"/>
      <c r="E46" s="76"/>
      <c r="F46" s="76"/>
      <c r="G46" s="76"/>
      <c r="H46" s="76"/>
      <c r="I46" s="76"/>
      <c r="J46" s="76"/>
      <c r="K46" s="76"/>
      <c r="L46" s="76"/>
      <c r="M46" s="76"/>
      <c r="N46" s="76"/>
      <c r="O46" s="76"/>
      <c r="P46" s="390"/>
    </row>
    <row r="47" spans="2:16" ht="14.25" thickBot="1" x14ac:dyDescent="0.3">
      <c r="B47" s="389"/>
      <c r="C47" s="76"/>
      <c r="D47" s="76"/>
      <c r="E47" s="76"/>
      <c r="J47" s="76"/>
      <c r="K47" s="76"/>
      <c r="L47" s="78"/>
      <c r="M47" s="78"/>
      <c r="N47" s="78"/>
      <c r="O47" s="78"/>
      <c r="P47" s="390"/>
    </row>
    <row r="48" spans="2:16" ht="14.25" thickTop="1" x14ac:dyDescent="0.2">
      <c r="B48" s="389"/>
      <c r="C48" s="76"/>
      <c r="D48" s="76"/>
      <c r="E48" s="76"/>
      <c r="F48" s="912"/>
      <c r="G48" s="912"/>
      <c r="H48" s="912"/>
      <c r="I48" s="912"/>
      <c r="J48" s="76"/>
      <c r="K48" s="76"/>
      <c r="L48" s="912"/>
      <c r="M48" s="942"/>
      <c r="N48" s="942"/>
      <c r="O48" s="942"/>
      <c r="P48" s="390"/>
    </row>
    <row r="49" spans="2:16" ht="13.5" x14ac:dyDescent="0.25">
      <c r="B49" s="389"/>
      <c r="C49" s="76"/>
      <c r="D49" s="76"/>
      <c r="E49" s="76"/>
      <c r="F49" s="926"/>
      <c r="G49" s="927"/>
      <c r="H49" s="927"/>
      <c r="I49" s="927"/>
      <c r="J49" s="76"/>
      <c r="K49" s="76"/>
      <c r="L49" s="938"/>
      <c r="M49" s="939"/>
      <c r="N49" s="939"/>
      <c r="O49" s="939"/>
      <c r="P49" s="390"/>
    </row>
    <row r="50" spans="2:16" x14ac:dyDescent="0.2">
      <c r="B50" s="389"/>
      <c r="C50" s="76"/>
      <c r="D50" s="76"/>
      <c r="E50" s="76"/>
      <c r="F50" s="1046"/>
      <c r="G50" s="1046"/>
      <c r="H50" s="1046"/>
      <c r="I50" s="1046"/>
      <c r="J50" s="76"/>
      <c r="K50" s="76"/>
      <c r="L50" s="1046"/>
      <c r="M50" s="1046"/>
      <c r="N50" s="1046"/>
      <c r="O50" s="1046"/>
      <c r="P50" s="390"/>
    </row>
    <row r="51" spans="2:16" ht="13.5" thickBot="1" x14ac:dyDescent="0.25">
      <c r="B51" s="392"/>
      <c r="C51" s="393"/>
      <c r="D51" s="393"/>
      <c r="E51" s="393"/>
      <c r="F51" s="393"/>
      <c r="G51" s="393"/>
      <c r="H51" s="393"/>
      <c r="I51" s="393"/>
      <c r="J51" s="393"/>
      <c r="K51" s="393"/>
      <c r="L51" s="393"/>
      <c r="M51" s="393"/>
      <c r="N51" s="393"/>
      <c r="O51" s="393"/>
      <c r="P51" s="394"/>
    </row>
  </sheetData>
  <mergeCells count="95">
    <mergeCell ref="B2:K4"/>
    <mergeCell ref="L2:M2"/>
    <mergeCell ref="N2:P4"/>
    <mergeCell ref="L3:M4"/>
    <mergeCell ref="B6:P7"/>
    <mergeCell ref="C9:P9"/>
    <mergeCell ref="B10:B11"/>
    <mergeCell ref="C10:G11"/>
    <mergeCell ref="H10:H11"/>
    <mergeCell ref="I10:I11"/>
    <mergeCell ref="J10:J11"/>
    <mergeCell ref="K10:L11"/>
    <mergeCell ref="M10:M11"/>
    <mergeCell ref="N10:N11"/>
    <mergeCell ref="O10:P11"/>
    <mergeCell ref="C20:G20"/>
    <mergeCell ref="K20:L20"/>
    <mergeCell ref="O20:P20"/>
    <mergeCell ref="C19:G19"/>
    <mergeCell ref="K19:L19"/>
    <mergeCell ref="O19:P19"/>
    <mergeCell ref="K15:L15"/>
    <mergeCell ref="O15:P15"/>
    <mergeCell ref="C16:G16"/>
    <mergeCell ref="K16:L16"/>
    <mergeCell ref="O16:P16"/>
    <mergeCell ref="C18:G18"/>
    <mergeCell ref="K18:L18"/>
    <mergeCell ref="O18:P18"/>
    <mergeCell ref="C12:G12"/>
    <mergeCell ref="K12:L12"/>
    <mergeCell ref="O12:P12"/>
    <mergeCell ref="C14:G14"/>
    <mergeCell ref="K14:L14"/>
    <mergeCell ref="O14:P14"/>
    <mergeCell ref="C13:G13"/>
    <mergeCell ref="K13:L13"/>
    <mergeCell ref="O13:P13"/>
    <mergeCell ref="C17:G17"/>
    <mergeCell ref="K17:L17"/>
    <mergeCell ref="O17:P17"/>
    <mergeCell ref="C15:G15"/>
    <mergeCell ref="I21:N21"/>
    <mergeCell ref="O21:P21"/>
    <mergeCell ref="I22:N22"/>
    <mergeCell ref="O22:P22"/>
    <mergeCell ref="I23:N23"/>
    <mergeCell ref="O23:P23"/>
    <mergeCell ref="C28:H28"/>
    <mergeCell ref="K28:L28"/>
    <mergeCell ref="O28:P28"/>
    <mergeCell ref="C25:P25"/>
    <mergeCell ref="B26:B27"/>
    <mergeCell ref="C26:H27"/>
    <mergeCell ref="I26:I27"/>
    <mergeCell ref="J26:J27"/>
    <mergeCell ref="K26:L27"/>
    <mergeCell ref="M26:M27"/>
    <mergeCell ref="N26:N27"/>
    <mergeCell ref="O26:P27"/>
    <mergeCell ref="C29:H29"/>
    <mergeCell ref="K29:L29"/>
    <mergeCell ref="O29:P29"/>
    <mergeCell ref="C30:H30"/>
    <mergeCell ref="K30:L30"/>
    <mergeCell ref="O30:P30"/>
    <mergeCell ref="C31:H31"/>
    <mergeCell ref="K31:L31"/>
    <mergeCell ref="O31:P31"/>
    <mergeCell ref="C32:H32"/>
    <mergeCell ref="K32:L32"/>
    <mergeCell ref="O32:P32"/>
    <mergeCell ref="C33:H33"/>
    <mergeCell ref="K33:L33"/>
    <mergeCell ref="O33:P33"/>
    <mergeCell ref="C34:H34"/>
    <mergeCell ref="K34:L34"/>
    <mergeCell ref="O34:P34"/>
    <mergeCell ref="O37:P37"/>
    <mergeCell ref="M37:N37"/>
    <mergeCell ref="O41:P41"/>
    <mergeCell ref="I35:N35"/>
    <mergeCell ref="O35:P35"/>
    <mergeCell ref="F49:I49"/>
    <mergeCell ref="L49:O49"/>
    <mergeCell ref="F50:I50"/>
    <mergeCell ref="L50:O50"/>
    <mergeCell ref="O38:P38"/>
    <mergeCell ref="M40:N40"/>
    <mergeCell ref="M41:N41"/>
    <mergeCell ref="M39:N39"/>
    <mergeCell ref="O40:P40"/>
    <mergeCell ref="L48:O48"/>
    <mergeCell ref="O39:P39"/>
    <mergeCell ref="F48:I48"/>
  </mergeCells>
  <phoneticPr fontId="39" type="noConversion"/>
  <conditionalFormatting sqref="N14">
    <cfRule type="colorScale" priority="4">
      <colorScale>
        <cfvo type="min"/>
        <cfvo type="percentile" val="50"/>
        <cfvo type="max"/>
        <color rgb="FF63BE7B"/>
        <color rgb="FFFFEB84"/>
        <color rgb="FFF8696B"/>
      </colorScale>
    </cfRule>
  </conditionalFormatting>
  <conditionalFormatting sqref="N13">
    <cfRule type="colorScale" priority="3">
      <colorScale>
        <cfvo type="min"/>
        <cfvo type="percentile" val="50"/>
        <cfvo type="max"/>
        <color rgb="FF63BE7B"/>
        <color rgb="FFFFEB84"/>
        <color rgb="FFF8696B"/>
      </colorScale>
    </cfRule>
  </conditionalFormatting>
  <conditionalFormatting sqref="N16">
    <cfRule type="colorScale" priority="2">
      <colorScale>
        <cfvo type="min"/>
        <cfvo type="percentile" val="50"/>
        <cfvo type="max"/>
        <color rgb="FF63BE7B"/>
        <color rgb="FFFFEB84"/>
        <color rgb="FFF8696B"/>
      </colorScale>
    </cfRule>
  </conditionalFormatting>
  <conditionalFormatting sqref="N28:N34 N12 N15 N17:N20">
    <cfRule type="colorScale" priority="1977">
      <colorScale>
        <cfvo type="min"/>
        <cfvo type="percentile" val="50"/>
        <cfvo type="max"/>
        <color rgb="FF63BE7B"/>
        <color rgb="FFFFEB84"/>
        <color rgb="FFF8696B"/>
      </colorScale>
    </cfRule>
  </conditionalFormatting>
  <conditionalFormatting sqref="F48:F49">
    <cfRule type="duplicateValues" dxfId="1395" priority="1"/>
  </conditionalFormatting>
  <printOptions horizontalCentered="1" verticalCentered="1"/>
  <pageMargins left="0.7" right="0.7" top="0.75" bottom="0.75" header="0.3" footer="0.3"/>
  <pageSetup scale="63" orientation="landscape" r:id="rId1"/>
  <rowBreaks count="1" manualBreakCount="1">
    <brk id="51" max="16"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dimension ref="B1:AE1483"/>
  <sheetViews>
    <sheetView view="pageBreakPreview" topLeftCell="A50" zoomScale="70" zoomScaleNormal="70" zoomScaleSheetLayoutView="70" workbookViewId="0">
      <selection activeCell="U507" sqref="U505:Y507"/>
    </sheetView>
  </sheetViews>
  <sheetFormatPr baseColWidth="10" defaultColWidth="12.7109375" defaultRowHeight="15" customHeight="1" x14ac:dyDescent="0.25"/>
  <cols>
    <col min="1" max="2" width="5.28515625" style="5" customWidth="1"/>
    <col min="3" max="3" width="8.7109375" style="5" customWidth="1"/>
    <col min="4" max="4" width="11.42578125" style="5" customWidth="1"/>
    <col min="5" max="5" width="5.7109375" style="5" customWidth="1"/>
    <col min="6" max="6" width="9.28515625" style="5" customWidth="1"/>
    <col min="7" max="7" width="8" style="5" customWidth="1"/>
    <col min="8" max="8" width="9.7109375" style="5" customWidth="1"/>
    <col min="9" max="9" width="11.42578125" style="5" customWidth="1"/>
    <col min="10" max="10" width="8.28515625" style="5" customWidth="1"/>
    <col min="11" max="23" width="11.42578125" style="5" customWidth="1"/>
    <col min="24" max="27" width="12.7109375" style="5"/>
    <col min="28" max="28" width="15" style="5" customWidth="1"/>
    <col min="29" max="31" width="12.7109375" style="5"/>
    <col min="32" max="32" width="5.140625" style="5" customWidth="1"/>
    <col min="33" max="16384" width="12.7109375" style="5"/>
  </cols>
  <sheetData>
    <row r="1" spans="2:31" ht="12.75" customHeight="1" x14ac:dyDescent="0.25">
      <c r="B1" s="1344" t="s">
        <v>671</v>
      </c>
      <c r="C1" s="1345"/>
      <c r="D1" s="1345"/>
      <c r="E1" s="1345"/>
      <c r="F1" s="1345"/>
      <c r="G1" s="1345"/>
      <c r="H1" s="1345"/>
      <c r="I1" s="1345"/>
      <c r="J1" s="1345"/>
      <c r="K1" s="1345"/>
      <c r="L1" s="1345"/>
      <c r="M1" s="1345"/>
      <c r="N1" s="1345"/>
      <c r="O1" s="1345"/>
      <c r="P1" s="1345"/>
      <c r="Q1" s="1345"/>
      <c r="R1" s="1345"/>
      <c r="S1" s="1345"/>
      <c r="T1" s="1345"/>
      <c r="U1" s="1345"/>
      <c r="V1" s="1345"/>
      <c r="W1" s="1345"/>
      <c r="X1" s="1345"/>
      <c r="Y1" s="1345"/>
      <c r="Z1" s="1345"/>
      <c r="AA1" s="1345"/>
      <c r="AB1" s="1345"/>
      <c r="AC1" s="1345"/>
      <c r="AD1" s="1345"/>
      <c r="AE1" s="1346"/>
    </row>
    <row r="2" spans="2:31" ht="12.75" customHeight="1" x14ac:dyDescent="0.25">
      <c r="B2" s="1347"/>
      <c r="C2" s="1348"/>
      <c r="D2" s="1348"/>
      <c r="E2" s="1348"/>
      <c r="F2" s="1348"/>
      <c r="G2" s="1348"/>
      <c r="H2" s="1348"/>
      <c r="I2" s="1348"/>
      <c r="J2" s="1348"/>
      <c r="K2" s="1348"/>
      <c r="L2" s="1348"/>
      <c r="M2" s="1348"/>
      <c r="N2" s="1348"/>
      <c r="O2" s="1348"/>
      <c r="P2" s="1348"/>
      <c r="Q2" s="1348"/>
      <c r="R2" s="1348"/>
      <c r="S2" s="1348"/>
      <c r="T2" s="1348"/>
      <c r="U2" s="1348"/>
      <c r="V2" s="1348"/>
      <c r="W2" s="1348"/>
      <c r="X2" s="1348"/>
      <c r="Y2" s="1348"/>
      <c r="Z2" s="1348"/>
      <c r="AA2" s="1348"/>
      <c r="AB2" s="1348"/>
      <c r="AC2" s="1348"/>
      <c r="AD2" s="1348"/>
      <c r="AE2" s="1349"/>
    </row>
    <row r="3" spans="2:31" ht="12.75" customHeight="1" x14ac:dyDescent="0.25">
      <c r="B3" s="460"/>
      <c r="C3" s="461"/>
      <c r="D3" s="461"/>
      <c r="E3" s="112"/>
      <c r="F3" s="461"/>
      <c r="G3" s="461"/>
      <c r="H3" s="461"/>
      <c r="I3" s="461"/>
      <c r="J3" s="461"/>
      <c r="K3" s="461"/>
      <c r="L3" s="461"/>
      <c r="M3" s="461"/>
      <c r="N3" s="461"/>
      <c r="O3" s="461"/>
      <c r="P3" s="461"/>
      <c r="Q3" s="461"/>
      <c r="R3" s="461"/>
      <c r="S3" s="461"/>
      <c r="T3" s="461"/>
      <c r="U3" s="461"/>
      <c r="V3" s="461"/>
      <c r="W3" s="461"/>
      <c r="X3" s="78"/>
      <c r="Y3" s="78"/>
      <c r="Z3" s="78"/>
      <c r="AA3" s="78"/>
      <c r="AB3" s="78"/>
      <c r="AC3" s="78"/>
      <c r="AD3" s="78"/>
      <c r="AE3" s="340"/>
    </row>
    <row r="4" spans="2:31" ht="12.75" customHeight="1" x14ac:dyDescent="0.25">
      <c r="B4" s="1416" t="s">
        <v>38</v>
      </c>
      <c r="C4" s="1392"/>
      <c r="D4" s="325" t="s">
        <v>39</v>
      </c>
      <c r="E4" s="109" t="s">
        <v>397</v>
      </c>
      <c r="F4" s="1392" t="s">
        <v>673</v>
      </c>
      <c r="G4" s="1392"/>
      <c r="H4" s="1392" t="s">
        <v>672</v>
      </c>
      <c r="I4" s="1392"/>
      <c r="J4" s="1337" t="s">
        <v>45</v>
      </c>
      <c r="K4" s="1337"/>
      <c r="L4" s="1392" t="s">
        <v>23</v>
      </c>
      <c r="M4" s="1392"/>
      <c r="N4" s="1337" t="s">
        <v>80</v>
      </c>
      <c r="O4" s="1337"/>
      <c r="P4" s="1392" t="s">
        <v>908</v>
      </c>
      <c r="Q4" s="1392"/>
      <c r="R4" s="1337" t="s">
        <v>103</v>
      </c>
      <c r="S4" s="1337"/>
      <c r="T4" s="1392" t="s">
        <v>884</v>
      </c>
      <c r="U4" s="1392"/>
      <c r="V4" s="1337" t="s">
        <v>1175</v>
      </c>
      <c r="W4" s="1337"/>
      <c r="X4" s="1365" t="s">
        <v>1414</v>
      </c>
      <c r="Y4" s="1366"/>
      <c r="Z4" s="1367"/>
      <c r="AA4" s="1366"/>
      <c r="AB4" s="1048" t="s">
        <v>1421</v>
      </c>
      <c r="AC4" s="1050"/>
      <c r="AD4" s="1329"/>
      <c r="AE4" s="1330"/>
    </row>
    <row r="5" spans="2:31" ht="12.75" customHeight="1" x14ac:dyDescent="0.25">
      <c r="B5" s="1379" t="s">
        <v>46</v>
      </c>
      <c r="C5" s="1380"/>
      <c r="D5" s="1380"/>
      <c r="E5" s="1380"/>
      <c r="F5" s="1417" t="s">
        <v>201</v>
      </c>
      <c r="G5" s="1417"/>
      <c r="H5" s="113">
        <f>H6*H7*H8</f>
        <v>228.875</v>
      </c>
      <c r="I5" s="1413"/>
      <c r="J5" s="1413"/>
      <c r="K5" s="1413"/>
      <c r="L5" s="113">
        <f>L6*L7*L8</f>
        <v>279.31799999999998</v>
      </c>
      <c r="M5" s="1413"/>
      <c r="N5" s="1414"/>
      <c r="O5" s="1414"/>
      <c r="P5" s="113">
        <f>+P6*P12</f>
        <v>542.92200000000003</v>
      </c>
      <c r="Q5" s="1337"/>
      <c r="R5" s="1337"/>
      <c r="S5" s="1337"/>
      <c r="T5" s="113">
        <f>+T6*T12</f>
        <v>568.17200000000003</v>
      </c>
      <c r="U5" s="1337"/>
      <c r="V5" s="1337"/>
      <c r="W5" s="1337"/>
      <c r="X5" s="137">
        <f>+X6*X12</f>
        <v>0</v>
      </c>
      <c r="Y5" s="1331" t="s">
        <v>885</v>
      </c>
      <c r="Z5" s="1052"/>
      <c r="AA5" s="1332"/>
      <c r="AB5" s="139"/>
      <c r="AC5" s="1331" t="s">
        <v>885</v>
      </c>
      <c r="AD5" s="1052"/>
      <c r="AE5" s="1332"/>
    </row>
    <row r="6" spans="2:31" ht="12.75" customHeight="1" x14ac:dyDescent="0.25">
      <c r="B6" s="1379"/>
      <c r="C6" s="1380"/>
      <c r="D6" s="1380"/>
      <c r="E6" s="1380"/>
      <c r="F6" s="1417" t="s">
        <v>132</v>
      </c>
      <c r="G6" s="1417"/>
      <c r="H6" s="114">
        <v>1</v>
      </c>
      <c r="I6" s="1413"/>
      <c r="J6" s="1413"/>
      <c r="K6" s="1413"/>
      <c r="L6" s="114">
        <v>1</v>
      </c>
      <c r="M6" s="1414"/>
      <c r="N6" s="1415"/>
      <c r="O6" s="1414"/>
      <c r="P6" s="114">
        <v>1</v>
      </c>
      <c r="Q6" s="1337"/>
      <c r="R6" s="1337"/>
      <c r="S6" s="1337"/>
      <c r="T6" s="114">
        <v>1</v>
      </c>
      <c r="U6" s="1337"/>
      <c r="V6" s="1337"/>
      <c r="W6" s="1337"/>
      <c r="X6" s="138">
        <v>1</v>
      </c>
      <c r="Y6" s="1029"/>
      <c r="Z6" s="939"/>
      <c r="AA6" s="1030"/>
      <c r="AB6" s="115"/>
      <c r="AC6" s="1029"/>
      <c r="AD6" s="939"/>
      <c r="AE6" s="1030"/>
    </row>
    <row r="7" spans="2:31" ht="12.75" customHeight="1" x14ac:dyDescent="0.25">
      <c r="B7" s="1379"/>
      <c r="C7" s="1380"/>
      <c r="D7" s="1380"/>
      <c r="E7" s="1380"/>
      <c r="F7" s="1417" t="s">
        <v>674</v>
      </c>
      <c r="G7" s="1417"/>
      <c r="H7" s="114">
        <v>19.89</v>
      </c>
      <c r="I7" s="1413"/>
      <c r="J7" s="1413"/>
      <c r="K7" s="1413"/>
      <c r="L7" s="114">
        <v>22.85</v>
      </c>
      <c r="M7" s="1414"/>
      <c r="N7" s="1415"/>
      <c r="O7" s="1414"/>
      <c r="P7" s="114">
        <v>23.5</v>
      </c>
      <c r="Q7" s="1337"/>
      <c r="R7" s="1337"/>
      <c r="S7" s="1337"/>
      <c r="T7" s="114">
        <v>24.596190476190475</v>
      </c>
      <c r="U7" s="1337"/>
      <c r="V7" s="1337"/>
      <c r="W7" s="1337"/>
      <c r="X7" s="138"/>
      <c r="Y7" s="1029"/>
      <c r="Z7" s="939"/>
      <c r="AA7" s="1030"/>
      <c r="AB7" s="115"/>
      <c r="AC7" s="1029"/>
      <c r="AD7" s="939"/>
      <c r="AE7" s="1030"/>
    </row>
    <row r="8" spans="2:31" ht="12.75" customHeight="1" x14ac:dyDescent="0.25">
      <c r="B8" s="1379"/>
      <c r="C8" s="1380"/>
      <c r="D8" s="1380"/>
      <c r="E8" s="1380"/>
      <c r="F8" s="1417" t="s">
        <v>675</v>
      </c>
      <c r="G8" s="1417"/>
      <c r="H8" s="114">
        <v>11.507038712921066</v>
      </c>
      <c r="I8" s="1413"/>
      <c r="J8" s="1413"/>
      <c r="K8" s="1413"/>
      <c r="L8" s="114">
        <v>12.223982494529539</v>
      </c>
      <c r="M8" s="1414"/>
      <c r="N8" s="1415"/>
      <c r="O8" s="1414"/>
      <c r="P8" s="114">
        <v>23.103063829787235</v>
      </c>
      <c r="Q8" s="1337"/>
      <c r="R8" s="1337"/>
      <c r="S8" s="1337"/>
      <c r="T8" s="114">
        <v>23.1</v>
      </c>
      <c r="U8" s="1337"/>
      <c r="V8" s="1337"/>
      <c r="W8" s="1337"/>
      <c r="X8" s="138"/>
      <c r="Y8" s="1029"/>
      <c r="Z8" s="939"/>
      <c r="AA8" s="1030"/>
      <c r="AB8" s="115"/>
      <c r="AC8" s="1029"/>
      <c r="AD8" s="939"/>
      <c r="AE8" s="1030"/>
    </row>
    <row r="9" spans="2:31" ht="12.75" customHeight="1" x14ac:dyDescent="0.25">
      <c r="B9" s="1379"/>
      <c r="C9" s="1380"/>
      <c r="D9" s="1380"/>
      <c r="E9" s="1380"/>
      <c r="F9" s="1417" t="s">
        <v>676</v>
      </c>
      <c r="G9" s="1417"/>
      <c r="H9" s="114"/>
      <c r="I9" s="1413"/>
      <c r="J9" s="1413"/>
      <c r="K9" s="1413"/>
      <c r="L9" s="114"/>
      <c r="M9" s="1414"/>
      <c r="N9" s="1415"/>
      <c r="O9" s="1414"/>
      <c r="P9" s="114"/>
      <c r="Q9" s="1337"/>
      <c r="R9" s="1337"/>
      <c r="S9" s="1337"/>
      <c r="T9" s="114"/>
      <c r="U9" s="1337"/>
      <c r="V9" s="1337"/>
      <c r="W9" s="1337"/>
      <c r="X9" s="138"/>
      <c r="Y9" s="1029"/>
      <c r="Z9" s="939"/>
      <c r="AA9" s="1030"/>
      <c r="AB9" s="115"/>
      <c r="AC9" s="1029"/>
      <c r="AD9" s="939"/>
      <c r="AE9" s="1030"/>
    </row>
    <row r="10" spans="2:31" ht="12.75" customHeight="1" x14ac:dyDescent="0.25">
      <c r="B10" s="1379"/>
      <c r="C10" s="1380"/>
      <c r="D10" s="1380"/>
      <c r="E10" s="1380"/>
      <c r="F10" s="1417" t="s">
        <v>677</v>
      </c>
      <c r="G10" s="1417"/>
      <c r="H10" s="114"/>
      <c r="I10" s="1413"/>
      <c r="J10" s="1413"/>
      <c r="K10" s="1413"/>
      <c r="L10" s="114"/>
      <c r="M10" s="1414"/>
      <c r="N10" s="1415"/>
      <c r="O10" s="1414"/>
      <c r="P10" s="114"/>
      <c r="Q10" s="1337"/>
      <c r="R10" s="1337"/>
      <c r="S10" s="1337"/>
      <c r="T10" s="114"/>
      <c r="U10" s="1337"/>
      <c r="V10" s="1337"/>
      <c r="W10" s="1337"/>
      <c r="X10" s="138"/>
      <c r="Y10" s="1029"/>
      <c r="Z10" s="939"/>
      <c r="AA10" s="1030"/>
      <c r="AB10" s="115"/>
      <c r="AC10" s="1029"/>
      <c r="AD10" s="939"/>
      <c r="AE10" s="1030"/>
    </row>
    <row r="11" spans="2:31" ht="12.75" customHeight="1" x14ac:dyDescent="0.25">
      <c r="B11" s="1379"/>
      <c r="C11" s="1380"/>
      <c r="D11" s="1380"/>
      <c r="E11" s="1380"/>
      <c r="F11" s="1417" t="s">
        <v>678</v>
      </c>
      <c r="G11" s="1417"/>
      <c r="H11" s="114"/>
      <c r="I11" s="1413"/>
      <c r="J11" s="1413"/>
      <c r="K11" s="1413"/>
      <c r="L11" s="114"/>
      <c r="M11" s="1414"/>
      <c r="N11" s="1415"/>
      <c r="O11" s="1414"/>
      <c r="P11" s="114"/>
      <c r="Q11" s="1337"/>
      <c r="R11" s="1337"/>
      <c r="S11" s="1337"/>
      <c r="T11" s="114"/>
      <c r="U11" s="1337"/>
      <c r="V11" s="1337"/>
      <c r="W11" s="1337"/>
      <c r="X11" s="138"/>
      <c r="Y11" s="1029"/>
      <c r="Z11" s="939"/>
      <c r="AA11" s="1030"/>
      <c r="AB11" s="115"/>
      <c r="AC11" s="1029"/>
      <c r="AD11" s="939"/>
      <c r="AE11" s="1030"/>
    </row>
    <row r="12" spans="2:31" ht="12.75" customHeight="1" x14ac:dyDescent="0.25">
      <c r="B12" s="1379"/>
      <c r="C12" s="1380"/>
      <c r="D12" s="1380"/>
      <c r="E12" s="1380"/>
      <c r="F12" s="1417" t="s">
        <v>1146</v>
      </c>
      <c r="G12" s="1417"/>
      <c r="H12" s="114"/>
      <c r="I12" s="1413"/>
      <c r="J12" s="1413"/>
      <c r="K12" s="1413"/>
      <c r="L12" s="114"/>
      <c r="M12" s="1414"/>
      <c r="N12" s="1415"/>
      <c r="O12" s="1414"/>
      <c r="P12" s="114">
        <f>+P7*P8</f>
        <v>542.92200000000003</v>
      </c>
      <c r="Q12" s="1337"/>
      <c r="R12" s="1337"/>
      <c r="S12" s="1337"/>
      <c r="T12" s="114">
        <f>+T7*T8</f>
        <v>568.17200000000003</v>
      </c>
      <c r="U12" s="1337"/>
      <c r="V12" s="1337"/>
      <c r="W12" s="1337"/>
      <c r="X12" s="138">
        <f>+X7*X8</f>
        <v>0</v>
      </c>
      <c r="Y12" s="1029"/>
      <c r="Z12" s="939"/>
      <c r="AA12" s="1030"/>
      <c r="AB12" s="115"/>
      <c r="AC12" s="1029"/>
      <c r="AD12" s="939"/>
      <c r="AE12" s="1030"/>
    </row>
    <row r="13" spans="2:31" ht="12.75" customHeight="1" x14ac:dyDescent="0.25">
      <c r="B13" s="1379"/>
      <c r="C13" s="1380"/>
      <c r="D13" s="1380"/>
      <c r="E13" s="1380"/>
      <c r="F13" s="1417" t="s">
        <v>1148</v>
      </c>
      <c r="G13" s="1417"/>
      <c r="H13" s="114"/>
      <c r="I13" s="1413"/>
      <c r="J13" s="1413"/>
      <c r="K13" s="1413"/>
      <c r="L13" s="114"/>
      <c r="M13" s="1414"/>
      <c r="N13" s="1414"/>
      <c r="O13" s="1414"/>
      <c r="P13" s="114"/>
      <c r="Q13" s="1337"/>
      <c r="R13" s="1337"/>
      <c r="S13" s="1337"/>
      <c r="T13" s="114"/>
      <c r="U13" s="1337"/>
      <c r="V13" s="1337"/>
      <c r="W13" s="1337"/>
      <c r="X13" s="138"/>
      <c r="Y13" s="1031"/>
      <c r="Z13" s="1032"/>
      <c r="AA13" s="1033"/>
      <c r="AB13" s="115"/>
      <c r="AC13" s="1031"/>
      <c r="AD13" s="1032"/>
      <c r="AE13" s="1033"/>
    </row>
    <row r="14" spans="2:31" ht="12.75" customHeight="1" x14ac:dyDescent="0.3">
      <c r="B14" s="462"/>
      <c r="C14" s="422"/>
      <c r="D14" s="422"/>
      <c r="E14" s="112"/>
      <c r="F14" s="422"/>
      <c r="G14" s="422"/>
      <c r="H14" s="422"/>
      <c r="I14" s="422"/>
      <c r="J14" s="422"/>
      <c r="K14" s="422"/>
      <c r="L14" s="422"/>
      <c r="M14" s="422"/>
      <c r="N14" s="422"/>
      <c r="O14" s="422"/>
      <c r="P14" s="422"/>
      <c r="Q14" s="422"/>
      <c r="R14" s="422"/>
      <c r="S14" s="422"/>
      <c r="T14" s="422"/>
      <c r="U14" s="422"/>
      <c r="V14" s="422"/>
      <c r="W14" s="422"/>
      <c r="X14" s="78"/>
      <c r="Y14" s="78"/>
      <c r="Z14" s="78"/>
      <c r="AA14" s="78"/>
      <c r="AB14" s="78"/>
      <c r="AC14" s="78"/>
      <c r="AD14" s="78"/>
      <c r="AE14" s="340"/>
    </row>
    <row r="15" spans="2:31" ht="12.75" customHeight="1" x14ac:dyDescent="0.25">
      <c r="B15" s="1353" t="s">
        <v>38</v>
      </c>
      <c r="C15" s="1336"/>
      <c r="D15" s="4" t="s">
        <v>39</v>
      </c>
      <c r="E15" s="109" t="s">
        <v>399</v>
      </c>
      <c r="F15" s="1354" t="s">
        <v>673</v>
      </c>
      <c r="G15" s="1378"/>
      <c r="H15" s="1048" t="str">
        <f>$H$4</f>
        <v>BOCATOMA</v>
      </c>
      <c r="I15" s="1336"/>
      <c r="J15" s="1337" t="s">
        <v>47</v>
      </c>
      <c r="K15" s="1337"/>
      <c r="L15" s="1048" t="str">
        <f>$L$4</f>
        <v>DESARENADOR</v>
      </c>
      <c r="M15" s="1336"/>
      <c r="N15" s="1337" t="s">
        <v>1147</v>
      </c>
      <c r="O15" s="1337"/>
      <c r="P15" s="1048" t="str">
        <f>$P$4</f>
        <v>PLANTA</v>
      </c>
      <c r="Q15" s="1336"/>
      <c r="R15" s="1337"/>
      <c r="S15" s="1337"/>
      <c r="T15" s="1048" t="str">
        <f>$T$4</f>
        <v>TANQUE</v>
      </c>
      <c r="U15" s="1336"/>
      <c r="V15" s="1337" t="s">
        <v>1865</v>
      </c>
      <c r="W15" s="1337"/>
      <c r="X15" s="1368" t="str">
        <f>$X$4</f>
        <v>CASETA</v>
      </c>
      <c r="Y15" s="1369"/>
      <c r="Z15" s="1367"/>
      <c r="AA15" s="1366"/>
      <c r="AB15" s="1048" t="s">
        <v>1421</v>
      </c>
      <c r="AC15" s="1050"/>
      <c r="AD15" s="1329"/>
      <c r="AE15" s="1330"/>
    </row>
    <row r="16" spans="2:31" ht="12.75" customHeight="1" x14ac:dyDescent="0.25">
      <c r="B16" s="1379" t="str">
        <f>+'PTO OC PLIEGO'!B20:H20</f>
        <v>DEMOLICIÓN DE ESTRUCTURAS EN CONCRETO</v>
      </c>
      <c r="C16" s="1380"/>
      <c r="D16" s="1380"/>
      <c r="E16" s="1380"/>
      <c r="F16" s="1135" t="s">
        <v>201</v>
      </c>
      <c r="G16" s="1364"/>
      <c r="H16" s="113">
        <f>+H23</f>
        <v>14.483999999999998</v>
      </c>
      <c r="I16" s="1413"/>
      <c r="J16" s="1414"/>
      <c r="K16" s="1414"/>
      <c r="L16" s="113">
        <f>+L23</f>
        <v>14.353999999999999</v>
      </c>
      <c r="M16" s="1396"/>
      <c r="N16" s="1397"/>
      <c r="O16" s="1398"/>
      <c r="P16" s="115"/>
      <c r="Q16" s="1331" t="s">
        <v>885</v>
      </c>
      <c r="R16" s="1338"/>
      <c r="S16" s="1339"/>
      <c r="T16" s="113">
        <f>+T23</f>
        <v>64.564999999999984</v>
      </c>
      <c r="U16" s="1331"/>
      <c r="V16" s="1338"/>
      <c r="W16" s="1339"/>
      <c r="X16" s="136"/>
      <c r="Y16" s="1370" t="s">
        <v>885</v>
      </c>
      <c r="Z16" s="1371"/>
      <c r="AA16" s="1372"/>
      <c r="AB16" s="139"/>
      <c r="AC16" s="1331" t="s">
        <v>885</v>
      </c>
      <c r="AD16" s="1052"/>
      <c r="AE16" s="1332"/>
    </row>
    <row r="17" spans="2:31" ht="12.75" customHeight="1" x14ac:dyDescent="0.25">
      <c r="B17" s="1379"/>
      <c r="C17" s="1380"/>
      <c r="D17" s="1380"/>
      <c r="E17" s="1380"/>
      <c r="F17" s="1135" t="s">
        <v>132</v>
      </c>
      <c r="G17" s="1364"/>
      <c r="H17" s="115">
        <v>1</v>
      </c>
      <c r="I17" s="1414"/>
      <c r="J17" s="1415"/>
      <c r="K17" s="1414"/>
      <c r="L17" s="115">
        <v>1</v>
      </c>
      <c r="M17" s="1399"/>
      <c r="N17" s="1400"/>
      <c r="O17" s="1401"/>
      <c r="P17" s="115"/>
      <c r="Q17" s="1340"/>
      <c r="R17" s="1341"/>
      <c r="S17" s="948"/>
      <c r="T17" s="115">
        <v>1</v>
      </c>
      <c r="U17" s="1340"/>
      <c r="V17" s="1341"/>
      <c r="W17" s="948"/>
      <c r="X17" s="135"/>
      <c r="Y17" s="1373"/>
      <c r="Z17" s="939"/>
      <c r="AA17" s="1374"/>
      <c r="AB17" s="115"/>
      <c r="AC17" s="1029"/>
      <c r="AD17" s="939"/>
      <c r="AE17" s="1030"/>
    </row>
    <row r="18" spans="2:31" ht="12.75" customHeight="1" x14ac:dyDescent="0.25">
      <c r="B18" s="1379"/>
      <c r="C18" s="1380"/>
      <c r="D18" s="1380"/>
      <c r="E18" s="1380"/>
      <c r="F18" s="1135" t="s">
        <v>681</v>
      </c>
      <c r="G18" s="1364"/>
      <c r="H18" s="115">
        <v>0</v>
      </c>
      <c r="I18" s="1414"/>
      <c r="J18" s="1415"/>
      <c r="K18" s="1414"/>
      <c r="L18" s="115"/>
      <c r="M18" s="1399"/>
      <c r="N18" s="1400"/>
      <c r="O18" s="1401"/>
      <c r="P18" s="115"/>
      <c r="Q18" s="1340"/>
      <c r="R18" s="1341"/>
      <c r="S18" s="948"/>
      <c r="T18" s="115"/>
      <c r="U18" s="1340"/>
      <c r="V18" s="1341"/>
      <c r="W18" s="948"/>
      <c r="X18" s="135"/>
      <c r="Y18" s="1373"/>
      <c r="Z18" s="939"/>
      <c r="AA18" s="1374"/>
      <c r="AB18" s="115"/>
      <c r="AC18" s="1029"/>
      <c r="AD18" s="939"/>
      <c r="AE18" s="1030"/>
    </row>
    <row r="19" spans="2:31" ht="12.75" customHeight="1" x14ac:dyDescent="0.25">
      <c r="B19" s="1379"/>
      <c r="C19" s="1380"/>
      <c r="D19" s="1380"/>
      <c r="E19" s="1380"/>
      <c r="F19" s="1135" t="s">
        <v>682</v>
      </c>
      <c r="G19" s="1364"/>
      <c r="H19" s="115">
        <v>0</v>
      </c>
      <c r="I19" s="1414"/>
      <c r="J19" s="1415"/>
      <c r="K19" s="1414"/>
      <c r="L19" s="115"/>
      <c r="M19" s="1399"/>
      <c r="N19" s="1400"/>
      <c r="O19" s="1401"/>
      <c r="P19" s="115"/>
      <c r="Q19" s="1340"/>
      <c r="R19" s="1341"/>
      <c r="S19" s="948"/>
      <c r="T19" s="115"/>
      <c r="U19" s="1340"/>
      <c r="V19" s="1341"/>
      <c r="W19" s="948"/>
      <c r="X19" s="135"/>
      <c r="Y19" s="1373"/>
      <c r="Z19" s="939"/>
      <c r="AA19" s="1374"/>
      <c r="AB19" s="115"/>
      <c r="AC19" s="1029"/>
      <c r="AD19" s="939"/>
      <c r="AE19" s="1030"/>
    </row>
    <row r="20" spans="2:31" ht="12.75" customHeight="1" x14ac:dyDescent="0.25">
      <c r="B20" s="1379"/>
      <c r="C20" s="1380"/>
      <c r="D20" s="1380"/>
      <c r="E20" s="1380"/>
      <c r="F20" s="1135" t="s">
        <v>676</v>
      </c>
      <c r="G20" s="1364"/>
      <c r="H20" s="115"/>
      <c r="I20" s="1414"/>
      <c r="J20" s="1415"/>
      <c r="K20" s="1414"/>
      <c r="L20" s="115"/>
      <c r="M20" s="1399"/>
      <c r="N20" s="1400"/>
      <c r="O20" s="1401"/>
      <c r="P20" s="115"/>
      <c r="Q20" s="1340"/>
      <c r="R20" s="1341"/>
      <c r="S20" s="948"/>
      <c r="T20" s="115"/>
      <c r="U20" s="1340"/>
      <c r="V20" s="1341"/>
      <c r="W20" s="948"/>
      <c r="X20" s="135"/>
      <c r="Y20" s="1373"/>
      <c r="Z20" s="939"/>
      <c r="AA20" s="1374"/>
      <c r="AB20" s="115"/>
      <c r="AC20" s="1029"/>
      <c r="AD20" s="939"/>
      <c r="AE20" s="1030"/>
    </row>
    <row r="21" spans="2:31" ht="12.75" customHeight="1" x14ac:dyDescent="0.25">
      <c r="B21" s="1379"/>
      <c r="C21" s="1380"/>
      <c r="D21" s="1380"/>
      <c r="E21" s="1380"/>
      <c r="F21" s="1135" t="s">
        <v>677</v>
      </c>
      <c r="G21" s="1364"/>
      <c r="H21" s="115"/>
      <c r="I21" s="1414"/>
      <c r="J21" s="1415"/>
      <c r="K21" s="1414"/>
      <c r="L21" s="115"/>
      <c r="M21" s="1399"/>
      <c r="N21" s="1400"/>
      <c r="O21" s="1401"/>
      <c r="P21" s="115"/>
      <c r="Q21" s="1340"/>
      <c r="R21" s="1341"/>
      <c r="S21" s="948"/>
      <c r="T21" s="115"/>
      <c r="U21" s="1340"/>
      <c r="V21" s="1341"/>
      <c r="W21" s="948"/>
      <c r="X21" s="135"/>
      <c r="Y21" s="1373"/>
      <c r="Z21" s="939"/>
      <c r="AA21" s="1374"/>
      <c r="AB21" s="115"/>
      <c r="AC21" s="1029"/>
      <c r="AD21" s="939"/>
      <c r="AE21" s="1030"/>
    </row>
    <row r="22" spans="2:31" ht="12.75" customHeight="1" x14ac:dyDescent="0.25">
      <c r="B22" s="1379"/>
      <c r="C22" s="1380"/>
      <c r="D22" s="1380"/>
      <c r="E22" s="1380"/>
      <c r="F22" s="1135" t="s">
        <v>678</v>
      </c>
      <c r="G22" s="1364"/>
      <c r="H22" s="115">
        <f>+H18+(H19*2)</f>
        <v>0</v>
      </c>
      <c r="I22" s="1414"/>
      <c r="J22" s="1415"/>
      <c r="K22" s="1414"/>
      <c r="L22" s="115"/>
      <c r="M22" s="1399"/>
      <c r="N22" s="1400"/>
      <c r="O22" s="1401"/>
      <c r="P22" s="115"/>
      <c r="Q22" s="1340"/>
      <c r="R22" s="1341"/>
      <c r="S22" s="948"/>
      <c r="T22" s="115"/>
      <c r="U22" s="1340"/>
      <c r="V22" s="1341"/>
      <c r="W22" s="948"/>
      <c r="X22" s="135"/>
      <c r="Y22" s="1373"/>
      <c r="Z22" s="939"/>
      <c r="AA22" s="1374"/>
      <c r="AB22" s="115"/>
      <c r="AC22" s="1029"/>
      <c r="AD22" s="939"/>
      <c r="AE22" s="1030"/>
    </row>
    <row r="23" spans="2:31" ht="12.75" customHeight="1" x14ac:dyDescent="0.25">
      <c r="B23" s="1379"/>
      <c r="C23" s="1380"/>
      <c r="D23" s="1380"/>
      <c r="E23" s="1380"/>
      <c r="F23" s="1135" t="s">
        <v>1146</v>
      </c>
      <c r="G23" s="1364"/>
      <c r="H23" s="115">
        <v>14.483999999999998</v>
      </c>
      <c r="I23" s="1414"/>
      <c r="J23" s="1415"/>
      <c r="K23" s="1414"/>
      <c r="L23" s="115">
        <v>14.353999999999999</v>
      </c>
      <c r="M23" s="1399"/>
      <c r="N23" s="1400"/>
      <c r="O23" s="1401"/>
      <c r="P23" s="115"/>
      <c r="Q23" s="1340"/>
      <c r="R23" s="1341"/>
      <c r="S23" s="948"/>
      <c r="T23" s="115">
        <v>64.564999999999984</v>
      </c>
      <c r="U23" s="1340"/>
      <c r="V23" s="1341"/>
      <c r="W23" s="948"/>
      <c r="X23" s="135"/>
      <c r="Y23" s="1373"/>
      <c r="Z23" s="939"/>
      <c r="AA23" s="1374"/>
      <c r="AB23" s="115"/>
      <c r="AC23" s="1029"/>
      <c r="AD23" s="939"/>
      <c r="AE23" s="1030"/>
    </row>
    <row r="24" spans="2:31" ht="12.75" customHeight="1" x14ac:dyDescent="0.25">
      <c r="B24" s="1379"/>
      <c r="C24" s="1380"/>
      <c r="D24" s="1380"/>
      <c r="E24" s="1380"/>
      <c r="F24" s="1135" t="s">
        <v>1148</v>
      </c>
      <c r="G24" s="1364"/>
      <c r="H24" s="115"/>
      <c r="I24" s="1414"/>
      <c r="J24" s="1414"/>
      <c r="K24" s="1414"/>
      <c r="L24" s="115"/>
      <c r="M24" s="1402"/>
      <c r="N24" s="1403"/>
      <c r="O24" s="1404"/>
      <c r="P24" s="115"/>
      <c r="Q24" s="953"/>
      <c r="R24" s="1342"/>
      <c r="S24" s="1343"/>
      <c r="T24" s="115"/>
      <c r="U24" s="953"/>
      <c r="V24" s="1342"/>
      <c r="W24" s="1343"/>
      <c r="X24" s="135"/>
      <c r="Y24" s="1375"/>
      <c r="Z24" s="1376"/>
      <c r="AA24" s="1377"/>
      <c r="AB24" s="115"/>
      <c r="AC24" s="1031"/>
      <c r="AD24" s="1032"/>
      <c r="AE24" s="1033"/>
    </row>
    <row r="25" spans="2:31" ht="12.75" customHeight="1" x14ac:dyDescent="0.3">
      <c r="B25" s="462"/>
      <c r="C25" s="422"/>
      <c r="D25" s="422"/>
      <c r="E25" s="422"/>
      <c r="F25" s="422"/>
      <c r="G25" s="422"/>
      <c r="H25" s="422"/>
      <c r="I25" s="422"/>
      <c r="J25" s="422"/>
      <c r="K25" s="422"/>
      <c r="L25" s="422"/>
      <c r="M25" s="422"/>
      <c r="N25" s="422"/>
      <c r="O25" s="422"/>
      <c r="P25" s="422"/>
      <c r="Q25" s="422"/>
      <c r="R25" s="422"/>
      <c r="S25" s="422"/>
      <c r="T25" s="422"/>
      <c r="U25" s="422"/>
      <c r="V25" s="422"/>
      <c r="W25" s="422"/>
      <c r="X25" s="78"/>
      <c r="Y25" s="78"/>
      <c r="Z25" s="78"/>
      <c r="AA25" s="78"/>
      <c r="AB25" s="78"/>
      <c r="AC25" s="78"/>
      <c r="AD25" s="78"/>
      <c r="AE25" s="340"/>
    </row>
    <row r="26" spans="2:31" ht="12.75" customHeight="1" x14ac:dyDescent="0.25">
      <c r="B26" s="1353" t="s">
        <v>38</v>
      </c>
      <c r="C26" s="1336"/>
      <c r="D26" s="4" t="s">
        <v>39</v>
      </c>
      <c r="E26" s="109" t="s">
        <v>399</v>
      </c>
      <c r="F26" s="1354" t="s">
        <v>673</v>
      </c>
      <c r="G26" s="1378"/>
      <c r="H26" s="1048" t="str">
        <f>$H$4</f>
        <v>BOCATOMA</v>
      </c>
      <c r="I26" s="1336"/>
      <c r="J26" s="1337" t="s">
        <v>49</v>
      </c>
      <c r="K26" s="1337"/>
      <c r="L26" s="1048" t="str">
        <f>$L$4</f>
        <v>DESARENADOR</v>
      </c>
      <c r="M26" s="1336"/>
      <c r="N26" s="1337" t="s">
        <v>1151</v>
      </c>
      <c r="O26" s="1337"/>
      <c r="P26" s="1048" t="str">
        <f>$P$4</f>
        <v>PLANTA</v>
      </c>
      <c r="Q26" s="1336"/>
      <c r="R26" s="1337" t="s">
        <v>105</v>
      </c>
      <c r="S26" s="1337"/>
      <c r="T26" s="1048" t="str">
        <f>$T$4</f>
        <v>TANQUE</v>
      </c>
      <c r="U26" s="1336"/>
      <c r="V26" s="1337" t="s">
        <v>1177</v>
      </c>
      <c r="W26" s="1337"/>
      <c r="X26" s="1048" t="str">
        <f>$X$4</f>
        <v>CASETA</v>
      </c>
      <c r="Y26" s="1049"/>
      <c r="Z26" s="1329"/>
      <c r="AA26" s="1050"/>
      <c r="AB26" s="1048" t="s">
        <v>1421</v>
      </c>
      <c r="AC26" s="1050"/>
      <c r="AD26" s="1329"/>
      <c r="AE26" s="1330"/>
    </row>
    <row r="27" spans="2:31" ht="12.75" customHeight="1" x14ac:dyDescent="0.25">
      <c r="B27" s="1379" t="str">
        <f>+'PTO OC PLIEGO'!B22</f>
        <v>ENROCADO DE PROTECCIÓN (PIEDRA Y CONCRETO DE 17.2 MPA (2500 PSI))</v>
      </c>
      <c r="C27" s="1380"/>
      <c r="D27" s="1380"/>
      <c r="E27" s="1380"/>
      <c r="F27" s="1135" t="s">
        <v>201</v>
      </c>
      <c r="G27" s="1364"/>
      <c r="H27" s="113">
        <f>+H35</f>
        <v>1.286</v>
      </c>
      <c r="I27" s="1382"/>
      <c r="J27" s="1383"/>
      <c r="K27" s="1384"/>
      <c r="L27" s="113">
        <f>+L28*L35*L32</f>
        <v>45.262499999999996</v>
      </c>
      <c r="M27" s="1331" t="s">
        <v>885</v>
      </c>
      <c r="N27" s="1338"/>
      <c r="O27" s="1339"/>
      <c r="P27" s="113">
        <f>+P28*P35</f>
        <v>47</v>
      </c>
      <c r="Q27" s="1331" t="s">
        <v>885</v>
      </c>
      <c r="R27" s="1338"/>
      <c r="S27" s="1339"/>
      <c r="T27" s="113">
        <f>+T28*T35*T32</f>
        <v>220.04374999999999</v>
      </c>
      <c r="U27" s="1331" t="s">
        <v>885</v>
      </c>
      <c r="V27" s="1338"/>
      <c r="W27" s="1339"/>
      <c r="X27" s="139"/>
      <c r="Y27" s="1331" t="s">
        <v>885</v>
      </c>
      <c r="Z27" s="1052"/>
      <c r="AA27" s="1053"/>
      <c r="AB27" s="139"/>
      <c r="AC27" s="1331" t="s">
        <v>885</v>
      </c>
      <c r="AD27" s="1052"/>
      <c r="AE27" s="1332"/>
    </row>
    <row r="28" spans="2:31" ht="12.75" customHeight="1" x14ac:dyDescent="0.25">
      <c r="B28" s="1379"/>
      <c r="C28" s="1380"/>
      <c r="D28" s="1380"/>
      <c r="E28" s="1380"/>
      <c r="F28" s="1135" t="s">
        <v>132</v>
      </c>
      <c r="G28" s="1364"/>
      <c r="H28" s="115">
        <v>1</v>
      </c>
      <c r="I28" s="1385"/>
      <c r="J28" s="1386"/>
      <c r="K28" s="1387"/>
      <c r="L28" s="115">
        <v>1</v>
      </c>
      <c r="M28" s="1340"/>
      <c r="N28" s="1341"/>
      <c r="O28" s="948"/>
      <c r="P28" s="115">
        <v>1</v>
      </c>
      <c r="Q28" s="1340"/>
      <c r="R28" s="1341"/>
      <c r="S28" s="948"/>
      <c r="T28" s="115">
        <v>1</v>
      </c>
      <c r="U28" s="1340"/>
      <c r="V28" s="1341"/>
      <c r="W28" s="948"/>
      <c r="X28" s="115"/>
      <c r="Y28" s="1029"/>
      <c r="Z28" s="939"/>
      <c r="AA28" s="1054"/>
      <c r="AB28" s="115"/>
      <c r="AC28" s="1029"/>
      <c r="AD28" s="939"/>
      <c r="AE28" s="1030"/>
    </row>
    <row r="29" spans="2:31" ht="12.75" customHeight="1" x14ac:dyDescent="0.25">
      <c r="B29" s="1379"/>
      <c r="C29" s="1380"/>
      <c r="D29" s="1380"/>
      <c r="E29" s="1380"/>
      <c r="F29" s="1135" t="s">
        <v>674</v>
      </c>
      <c r="G29" s="1364"/>
      <c r="H29" s="115"/>
      <c r="I29" s="1385"/>
      <c r="J29" s="1386"/>
      <c r="K29" s="1387"/>
      <c r="L29" s="115"/>
      <c r="M29" s="1340"/>
      <c r="N29" s="1341"/>
      <c r="O29" s="948"/>
      <c r="P29" s="115"/>
      <c r="Q29" s="1340"/>
      <c r="R29" s="1341"/>
      <c r="S29" s="948"/>
      <c r="T29" s="115"/>
      <c r="U29" s="1340"/>
      <c r="V29" s="1341"/>
      <c r="W29" s="948"/>
      <c r="X29" s="115"/>
      <c r="Y29" s="1029"/>
      <c r="Z29" s="939"/>
      <c r="AA29" s="1054"/>
      <c r="AB29" s="115"/>
      <c r="AC29" s="1029"/>
      <c r="AD29" s="939"/>
      <c r="AE29" s="1030"/>
    </row>
    <row r="30" spans="2:31" ht="12.75" customHeight="1" x14ac:dyDescent="0.25">
      <c r="B30" s="1379"/>
      <c r="C30" s="1380"/>
      <c r="D30" s="1380"/>
      <c r="E30" s="1380"/>
      <c r="F30" s="1135" t="s">
        <v>675</v>
      </c>
      <c r="G30" s="1364"/>
      <c r="H30" s="115"/>
      <c r="I30" s="1385"/>
      <c r="J30" s="1386"/>
      <c r="K30" s="1387"/>
      <c r="L30" s="115">
        <v>2.5</v>
      </c>
      <c r="M30" s="1340"/>
      <c r="N30" s="1341"/>
      <c r="O30" s="948"/>
      <c r="P30" s="115">
        <v>4</v>
      </c>
      <c r="Q30" s="1340"/>
      <c r="R30" s="1341"/>
      <c r="S30" s="948"/>
      <c r="T30" s="115">
        <v>9.5</v>
      </c>
      <c r="U30" s="1340"/>
      <c r="V30" s="1341"/>
      <c r="W30" s="948"/>
      <c r="X30" s="115"/>
      <c r="Y30" s="1029"/>
      <c r="Z30" s="939"/>
      <c r="AA30" s="1054"/>
      <c r="AB30" s="115"/>
      <c r="AC30" s="1029"/>
      <c r="AD30" s="939"/>
      <c r="AE30" s="1030"/>
    </row>
    <row r="31" spans="2:31" ht="12.75" customHeight="1" x14ac:dyDescent="0.25">
      <c r="B31" s="1379"/>
      <c r="C31" s="1380"/>
      <c r="D31" s="1380"/>
      <c r="E31" s="1380"/>
      <c r="F31" s="1135" t="s">
        <v>676</v>
      </c>
      <c r="G31" s="1364"/>
      <c r="H31" s="115"/>
      <c r="I31" s="1385"/>
      <c r="J31" s="1386"/>
      <c r="K31" s="1387"/>
      <c r="L31" s="115"/>
      <c r="M31" s="1340"/>
      <c r="N31" s="1341"/>
      <c r="O31" s="948"/>
      <c r="P31" s="115"/>
      <c r="Q31" s="1340"/>
      <c r="R31" s="1341"/>
      <c r="S31" s="948"/>
      <c r="T31" s="115"/>
      <c r="U31" s="1340"/>
      <c r="V31" s="1341"/>
      <c r="W31" s="948"/>
      <c r="X31" s="115"/>
      <c r="Y31" s="1029"/>
      <c r="Z31" s="939"/>
      <c r="AA31" s="1054"/>
      <c r="AB31" s="115"/>
      <c r="AC31" s="1029"/>
      <c r="AD31" s="939"/>
      <c r="AE31" s="1030"/>
    </row>
    <row r="32" spans="2:31" ht="12.75" customHeight="1" x14ac:dyDescent="0.25">
      <c r="B32" s="1379"/>
      <c r="C32" s="1380"/>
      <c r="D32" s="1380"/>
      <c r="E32" s="1380"/>
      <c r="F32" s="1135" t="s">
        <v>11</v>
      </c>
      <c r="G32" s="1364"/>
      <c r="H32" s="117"/>
      <c r="I32" s="1385"/>
      <c r="J32" s="1386"/>
      <c r="K32" s="1387"/>
      <c r="L32" s="117">
        <v>0.85</v>
      </c>
      <c r="M32" s="1340"/>
      <c r="N32" s="1341"/>
      <c r="O32" s="948"/>
      <c r="P32" s="115"/>
      <c r="Q32" s="1340"/>
      <c r="R32" s="1341"/>
      <c r="S32" s="948"/>
      <c r="T32" s="117">
        <v>0.85</v>
      </c>
      <c r="U32" s="1340"/>
      <c r="V32" s="1341"/>
      <c r="W32" s="948"/>
      <c r="X32" s="115"/>
      <c r="Y32" s="1029"/>
      <c r="Z32" s="939"/>
      <c r="AA32" s="1054"/>
      <c r="AB32" s="115"/>
      <c r="AC32" s="1029"/>
      <c r="AD32" s="939"/>
      <c r="AE32" s="1030"/>
    </row>
    <row r="33" spans="2:31" ht="12.75" customHeight="1" x14ac:dyDescent="0.25">
      <c r="B33" s="1379"/>
      <c r="C33" s="1380"/>
      <c r="D33" s="1380"/>
      <c r="E33" s="1380"/>
      <c r="F33" s="1135" t="s">
        <v>678</v>
      </c>
      <c r="G33" s="1364"/>
      <c r="H33" s="115"/>
      <c r="I33" s="1385"/>
      <c r="J33" s="1386"/>
      <c r="K33" s="1387"/>
      <c r="L33" s="115"/>
      <c r="M33" s="1340"/>
      <c r="N33" s="1341"/>
      <c r="O33" s="948"/>
      <c r="P33" s="115"/>
      <c r="Q33" s="1340"/>
      <c r="R33" s="1341"/>
      <c r="S33" s="948"/>
      <c r="T33" s="115"/>
      <c r="U33" s="1340"/>
      <c r="V33" s="1341"/>
      <c r="W33" s="948"/>
      <c r="X33" s="115"/>
      <c r="Y33" s="1029"/>
      <c r="Z33" s="939"/>
      <c r="AA33" s="1054"/>
      <c r="AB33" s="115"/>
      <c r="AC33" s="1029"/>
      <c r="AD33" s="939"/>
      <c r="AE33" s="1030"/>
    </row>
    <row r="34" spans="2:31" ht="12.75" customHeight="1" x14ac:dyDescent="0.25">
      <c r="B34" s="1379"/>
      <c r="C34" s="1380"/>
      <c r="D34" s="1380"/>
      <c r="E34" s="1380"/>
      <c r="F34" s="1135" t="s">
        <v>1146</v>
      </c>
      <c r="G34" s="1364"/>
      <c r="H34" s="115"/>
      <c r="I34" s="1385"/>
      <c r="J34" s="1386"/>
      <c r="K34" s="1387"/>
      <c r="L34" s="115">
        <v>21.3</v>
      </c>
      <c r="M34" s="1340"/>
      <c r="N34" s="1341"/>
      <c r="O34" s="948"/>
      <c r="P34" s="115">
        <v>11.75</v>
      </c>
      <c r="Q34" s="1340"/>
      <c r="R34" s="1341"/>
      <c r="S34" s="948"/>
      <c r="T34" s="115">
        <v>27.25</v>
      </c>
      <c r="U34" s="1340"/>
      <c r="V34" s="1341"/>
      <c r="W34" s="948"/>
      <c r="X34" s="115"/>
      <c r="Y34" s="1029"/>
      <c r="Z34" s="939"/>
      <c r="AA34" s="1054"/>
      <c r="AB34" s="115"/>
      <c r="AC34" s="1029"/>
      <c r="AD34" s="939"/>
      <c r="AE34" s="1030"/>
    </row>
    <row r="35" spans="2:31" ht="12.75" customHeight="1" x14ac:dyDescent="0.25">
      <c r="B35" s="1379"/>
      <c r="C35" s="1380"/>
      <c r="D35" s="1380"/>
      <c r="E35" s="1380"/>
      <c r="F35" s="1135" t="s">
        <v>1148</v>
      </c>
      <c r="G35" s="1364"/>
      <c r="H35" s="115">
        <f>0.414+0.872</f>
        <v>1.286</v>
      </c>
      <c r="I35" s="1388"/>
      <c r="J35" s="1389"/>
      <c r="K35" s="1390"/>
      <c r="L35" s="115">
        <f>+L34*L30</f>
        <v>53.25</v>
      </c>
      <c r="M35" s="953"/>
      <c r="N35" s="1342"/>
      <c r="O35" s="1343"/>
      <c r="P35" s="115">
        <f>+P34*P30</f>
        <v>47</v>
      </c>
      <c r="Q35" s="953"/>
      <c r="R35" s="1342"/>
      <c r="S35" s="1343"/>
      <c r="T35" s="115">
        <f>+T34*T30</f>
        <v>258.875</v>
      </c>
      <c r="U35" s="953"/>
      <c r="V35" s="1342"/>
      <c r="W35" s="1343"/>
      <c r="X35" s="115"/>
      <c r="Y35" s="1031"/>
      <c r="Z35" s="1032"/>
      <c r="AA35" s="1055"/>
      <c r="AB35" s="115"/>
      <c r="AC35" s="1031"/>
      <c r="AD35" s="1032"/>
      <c r="AE35" s="1033"/>
    </row>
    <row r="36" spans="2:31" ht="12.75" customHeight="1" x14ac:dyDescent="0.3">
      <c r="B36" s="463"/>
      <c r="C36" s="78"/>
      <c r="D36" s="78"/>
      <c r="E36" s="78"/>
      <c r="F36" s="78"/>
      <c r="G36" s="78"/>
      <c r="H36" s="78"/>
      <c r="I36" s="78"/>
      <c r="J36" s="78"/>
      <c r="K36" s="78"/>
      <c r="L36" s="422"/>
      <c r="M36" s="422"/>
      <c r="N36" s="422"/>
      <c r="O36" s="422"/>
      <c r="P36" s="422"/>
      <c r="Q36" s="422"/>
      <c r="R36" s="422"/>
      <c r="S36" s="422"/>
      <c r="T36" s="422"/>
      <c r="U36" s="422"/>
      <c r="V36" s="422"/>
      <c r="W36" s="422"/>
      <c r="X36" s="78"/>
      <c r="Y36" s="78"/>
      <c r="Z36" s="78"/>
      <c r="AA36" s="78"/>
      <c r="AB36" s="78"/>
      <c r="AC36" s="78"/>
      <c r="AD36" s="78"/>
      <c r="AE36" s="340"/>
    </row>
    <row r="37" spans="2:31" ht="12.75" customHeight="1" x14ac:dyDescent="0.25">
      <c r="B37" s="1353" t="s">
        <v>38</v>
      </c>
      <c r="C37" s="1391"/>
      <c r="D37" s="4" t="s">
        <v>39</v>
      </c>
      <c r="E37" s="109" t="s">
        <v>399</v>
      </c>
      <c r="F37" s="1354" t="s">
        <v>673</v>
      </c>
      <c r="G37" s="1378"/>
      <c r="H37" s="1418" t="str">
        <f>$H$4</f>
        <v>BOCATOMA</v>
      </c>
      <c r="I37" s="1419"/>
      <c r="J37" s="1394"/>
      <c r="K37" s="1395"/>
      <c r="L37" s="1420" t="str">
        <f>$L$4</f>
        <v>DESARENADOR</v>
      </c>
      <c r="M37" s="1419"/>
      <c r="N37" s="1394" t="s">
        <v>1152</v>
      </c>
      <c r="O37" s="1395"/>
      <c r="P37" s="1393" t="str">
        <f>$P$4</f>
        <v>PLANTA</v>
      </c>
      <c r="Q37" s="1336"/>
      <c r="R37" s="1337"/>
      <c r="S37" s="1337"/>
      <c r="T37" s="1048" t="str">
        <f>$T$4</f>
        <v>TANQUE</v>
      </c>
      <c r="U37" s="1336"/>
      <c r="V37" s="1337" t="s">
        <v>1178</v>
      </c>
      <c r="W37" s="1337"/>
      <c r="X37" s="1048" t="str">
        <f>$X$4</f>
        <v>CASETA</v>
      </c>
      <c r="Y37" s="1049"/>
      <c r="Z37" s="1329"/>
      <c r="AA37" s="1050"/>
      <c r="AB37" s="1048" t="s">
        <v>1421</v>
      </c>
      <c r="AC37" s="1050"/>
      <c r="AD37" s="1329"/>
      <c r="AE37" s="1330"/>
    </row>
    <row r="38" spans="2:31" ht="12.75" customHeight="1" x14ac:dyDescent="0.25">
      <c r="B38" s="1379" t="str">
        <f>+'PTO OC PLIEGO'!B23:H23</f>
        <v>CONCRETO PREPARADO EN OBRA, IMPERMEABILIZADO DE 31 MPA (4500 PSI)</v>
      </c>
      <c r="C38" s="1380"/>
      <c r="D38" s="1380"/>
      <c r="E38" s="1380"/>
      <c r="F38" s="1135" t="s">
        <v>201</v>
      </c>
      <c r="G38" s="1381"/>
      <c r="H38" s="113">
        <f>+H46</f>
        <v>15.34</v>
      </c>
      <c r="I38" s="1331"/>
      <c r="J38" s="1338"/>
      <c r="K38" s="1339"/>
      <c r="L38" s="113">
        <f>+L46</f>
        <v>84.04</v>
      </c>
      <c r="M38" s="1331"/>
      <c r="N38" s="1356"/>
      <c r="O38" s="1357"/>
      <c r="P38" s="113">
        <f>+P46</f>
        <v>17.27</v>
      </c>
      <c r="Q38" s="1331"/>
      <c r="R38" s="1356"/>
      <c r="S38" s="1357"/>
      <c r="T38" s="113">
        <f>+T46</f>
        <v>279.33</v>
      </c>
      <c r="U38" s="1331"/>
      <c r="V38" s="1356"/>
      <c r="W38" s="1357"/>
      <c r="X38" s="139"/>
      <c r="Y38" s="1331" t="s">
        <v>885</v>
      </c>
      <c r="Z38" s="1052"/>
      <c r="AA38" s="1053"/>
      <c r="AB38" s="139"/>
      <c r="AC38" s="1331" t="s">
        <v>885</v>
      </c>
      <c r="AD38" s="1052"/>
      <c r="AE38" s="1332"/>
    </row>
    <row r="39" spans="2:31" ht="12.75" customHeight="1" x14ac:dyDescent="0.25">
      <c r="B39" s="1379"/>
      <c r="C39" s="1380"/>
      <c r="D39" s="1380"/>
      <c r="E39" s="1380"/>
      <c r="F39" s="1135" t="s">
        <v>132</v>
      </c>
      <c r="G39" s="1364"/>
      <c r="H39" s="115"/>
      <c r="I39" s="1340"/>
      <c r="J39" s="1341"/>
      <c r="K39" s="948"/>
      <c r="L39" s="115">
        <v>1</v>
      </c>
      <c r="M39" s="1358"/>
      <c r="N39" s="1359"/>
      <c r="O39" s="1360"/>
      <c r="P39" s="115"/>
      <c r="Q39" s="1358"/>
      <c r="R39" s="1359"/>
      <c r="S39" s="1360"/>
      <c r="T39" s="115">
        <v>1</v>
      </c>
      <c r="U39" s="1358"/>
      <c r="V39" s="1359"/>
      <c r="W39" s="1360"/>
      <c r="X39" s="115"/>
      <c r="Y39" s="1029"/>
      <c r="Z39" s="939"/>
      <c r="AA39" s="1054"/>
      <c r="AB39" s="115"/>
      <c r="AC39" s="1029"/>
      <c r="AD39" s="939"/>
      <c r="AE39" s="1030"/>
    </row>
    <row r="40" spans="2:31" ht="12.75" customHeight="1" x14ac:dyDescent="0.25">
      <c r="B40" s="1379"/>
      <c r="C40" s="1380"/>
      <c r="D40" s="1380"/>
      <c r="E40" s="1380"/>
      <c r="F40" s="1135" t="s">
        <v>674</v>
      </c>
      <c r="G40" s="1364"/>
      <c r="H40" s="115"/>
      <c r="I40" s="1340"/>
      <c r="J40" s="1341"/>
      <c r="K40" s="948"/>
      <c r="L40" s="115"/>
      <c r="M40" s="1358"/>
      <c r="N40" s="1359"/>
      <c r="O40" s="1360"/>
      <c r="P40" s="115"/>
      <c r="Q40" s="1358"/>
      <c r="R40" s="1359"/>
      <c r="S40" s="1360"/>
      <c r="T40" s="115"/>
      <c r="U40" s="1358"/>
      <c r="V40" s="1359"/>
      <c r="W40" s="1360"/>
      <c r="X40" s="115"/>
      <c r="Y40" s="1029"/>
      <c r="Z40" s="939"/>
      <c r="AA40" s="1054"/>
      <c r="AB40" s="115"/>
      <c r="AC40" s="1029"/>
      <c r="AD40" s="939"/>
      <c r="AE40" s="1030"/>
    </row>
    <row r="41" spans="2:31" ht="12.75" customHeight="1" x14ac:dyDescent="0.25">
      <c r="B41" s="1379"/>
      <c r="C41" s="1380"/>
      <c r="D41" s="1380"/>
      <c r="E41" s="1380"/>
      <c r="F41" s="1135" t="s">
        <v>675</v>
      </c>
      <c r="G41" s="1364"/>
      <c r="H41" s="115"/>
      <c r="I41" s="1340"/>
      <c r="J41" s="1341"/>
      <c r="K41" s="948"/>
      <c r="L41" s="115"/>
      <c r="M41" s="1358"/>
      <c r="N41" s="1359"/>
      <c r="O41" s="1360"/>
      <c r="P41" s="115"/>
      <c r="Q41" s="1358"/>
      <c r="R41" s="1359"/>
      <c r="S41" s="1360"/>
      <c r="T41" s="115"/>
      <c r="U41" s="1358"/>
      <c r="V41" s="1359"/>
      <c r="W41" s="1360"/>
      <c r="X41" s="115"/>
      <c r="Y41" s="1029"/>
      <c r="Z41" s="939"/>
      <c r="AA41" s="1054"/>
      <c r="AB41" s="115"/>
      <c r="AC41" s="1029"/>
      <c r="AD41" s="939"/>
      <c r="AE41" s="1030"/>
    </row>
    <row r="42" spans="2:31" ht="12.75" customHeight="1" x14ac:dyDescent="0.25">
      <c r="B42" s="1379"/>
      <c r="C42" s="1380"/>
      <c r="D42" s="1380"/>
      <c r="E42" s="1380"/>
      <c r="F42" s="1135" t="s">
        <v>676</v>
      </c>
      <c r="G42" s="1364"/>
      <c r="H42" s="115"/>
      <c r="I42" s="1340"/>
      <c r="J42" s="1341"/>
      <c r="K42" s="948"/>
      <c r="L42" s="115"/>
      <c r="M42" s="1358"/>
      <c r="N42" s="1359"/>
      <c r="O42" s="1360"/>
      <c r="P42" s="115"/>
      <c r="Q42" s="1358"/>
      <c r="R42" s="1359"/>
      <c r="S42" s="1360"/>
      <c r="T42" s="115"/>
      <c r="U42" s="1358"/>
      <c r="V42" s="1359"/>
      <c r="W42" s="1360"/>
      <c r="X42" s="115"/>
      <c r="Y42" s="1029"/>
      <c r="Z42" s="939"/>
      <c r="AA42" s="1054"/>
      <c r="AB42" s="115"/>
      <c r="AC42" s="1029"/>
      <c r="AD42" s="939"/>
      <c r="AE42" s="1030"/>
    </row>
    <row r="43" spans="2:31" ht="12.75" customHeight="1" x14ac:dyDescent="0.25">
      <c r="B43" s="1379"/>
      <c r="C43" s="1380"/>
      <c r="D43" s="1380"/>
      <c r="E43" s="1380"/>
      <c r="F43" s="1135" t="s">
        <v>11</v>
      </c>
      <c r="G43" s="1364"/>
      <c r="H43" s="115"/>
      <c r="I43" s="1340"/>
      <c r="J43" s="1341"/>
      <c r="K43" s="948"/>
      <c r="L43" s="117"/>
      <c r="M43" s="1358"/>
      <c r="N43" s="1359"/>
      <c r="O43" s="1360"/>
      <c r="P43" s="115"/>
      <c r="Q43" s="1358"/>
      <c r="R43" s="1359"/>
      <c r="S43" s="1360"/>
      <c r="T43" s="117"/>
      <c r="U43" s="1358"/>
      <c r="V43" s="1359"/>
      <c r="W43" s="1360"/>
      <c r="X43" s="115"/>
      <c r="Y43" s="1029"/>
      <c r="Z43" s="939"/>
      <c r="AA43" s="1054"/>
      <c r="AB43" s="115"/>
      <c r="AC43" s="1029"/>
      <c r="AD43" s="939"/>
      <c r="AE43" s="1030"/>
    </row>
    <row r="44" spans="2:31" ht="12.75" customHeight="1" x14ac:dyDescent="0.25">
      <c r="B44" s="1379"/>
      <c r="C44" s="1380"/>
      <c r="D44" s="1380"/>
      <c r="E44" s="1380"/>
      <c r="F44" s="1135" t="s">
        <v>678</v>
      </c>
      <c r="G44" s="1364"/>
      <c r="H44" s="115"/>
      <c r="I44" s="1340"/>
      <c r="J44" s="1341"/>
      <c r="K44" s="948"/>
      <c r="L44" s="115"/>
      <c r="M44" s="1358"/>
      <c r="N44" s="1359"/>
      <c r="O44" s="1360"/>
      <c r="P44" s="115"/>
      <c r="Q44" s="1358"/>
      <c r="R44" s="1359"/>
      <c r="S44" s="1360"/>
      <c r="T44" s="115"/>
      <c r="U44" s="1358"/>
      <c r="V44" s="1359"/>
      <c r="W44" s="1360"/>
      <c r="X44" s="115"/>
      <c r="Y44" s="1029"/>
      <c r="Z44" s="939"/>
      <c r="AA44" s="1054"/>
      <c r="AB44" s="115"/>
      <c r="AC44" s="1029"/>
      <c r="AD44" s="939"/>
      <c r="AE44" s="1030"/>
    </row>
    <row r="45" spans="2:31" ht="12.75" customHeight="1" x14ac:dyDescent="0.25">
      <c r="B45" s="1379"/>
      <c r="C45" s="1380"/>
      <c r="D45" s="1380"/>
      <c r="E45" s="1380"/>
      <c r="F45" s="1135" t="s">
        <v>1146</v>
      </c>
      <c r="G45" s="1364"/>
      <c r="H45" s="115"/>
      <c r="I45" s="1340"/>
      <c r="J45" s="1341"/>
      <c r="K45" s="948"/>
      <c r="L45" s="115"/>
      <c r="M45" s="1358"/>
      <c r="N45" s="1359"/>
      <c r="O45" s="1360"/>
      <c r="P45" s="115"/>
      <c r="Q45" s="1358"/>
      <c r="R45" s="1359"/>
      <c r="S45" s="1360"/>
      <c r="T45" s="115"/>
      <c r="U45" s="1358"/>
      <c r="V45" s="1359"/>
      <c r="W45" s="1360"/>
      <c r="X45" s="115"/>
      <c r="Y45" s="1029"/>
      <c r="Z45" s="939"/>
      <c r="AA45" s="1054"/>
      <c r="AB45" s="115"/>
      <c r="AC45" s="1029"/>
      <c r="AD45" s="939"/>
      <c r="AE45" s="1030"/>
    </row>
    <row r="46" spans="2:31" ht="12.75" customHeight="1" x14ac:dyDescent="0.25">
      <c r="B46" s="1379"/>
      <c r="C46" s="1380"/>
      <c r="D46" s="1380"/>
      <c r="E46" s="1380"/>
      <c r="F46" s="1135" t="s">
        <v>1148</v>
      </c>
      <c r="G46" s="1364"/>
      <c r="H46" s="115">
        <v>15.34</v>
      </c>
      <c r="I46" s="953"/>
      <c r="J46" s="1342"/>
      <c r="K46" s="1343"/>
      <c r="L46" s="115">
        <v>84.04</v>
      </c>
      <c r="M46" s="1361"/>
      <c r="N46" s="1362"/>
      <c r="O46" s="1363"/>
      <c r="P46" s="115">
        <v>17.27</v>
      </c>
      <c r="Q46" s="1361"/>
      <c r="R46" s="1362"/>
      <c r="S46" s="1363"/>
      <c r="T46" s="115">
        <v>279.33</v>
      </c>
      <c r="U46" s="1361"/>
      <c r="V46" s="1362"/>
      <c r="W46" s="1363"/>
      <c r="X46" s="115"/>
      <c r="Y46" s="1031"/>
      <c r="Z46" s="1032"/>
      <c r="AA46" s="1055"/>
      <c r="AB46" s="115"/>
      <c r="AC46" s="1031"/>
      <c r="AD46" s="1032"/>
      <c r="AE46" s="1033"/>
    </row>
    <row r="47" spans="2:31" ht="12.75" customHeight="1" x14ac:dyDescent="0.3">
      <c r="B47" s="463"/>
      <c r="C47" s="78"/>
      <c r="D47" s="78"/>
      <c r="E47" s="78"/>
      <c r="F47" s="78"/>
      <c r="G47" s="78"/>
      <c r="H47" s="78"/>
      <c r="I47" s="78"/>
      <c r="J47" s="78"/>
      <c r="K47" s="78"/>
      <c r="L47" s="422"/>
      <c r="M47" s="422"/>
      <c r="N47" s="422"/>
      <c r="O47" s="422"/>
      <c r="P47" s="422"/>
      <c r="Q47" s="422"/>
      <c r="R47" s="422"/>
      <c r="S47" s="422"/>
      <c r="T47" s="422"/>
      <c r="U47" s="422"/>
      <c r="V47" s="422"/>
      <c r="W47" s="422"/>
      <c r="X47" s="78"/>
      <c r="Y47" s="78"/>
      <c r="Z47" s="78"/>
      <c r="AA47" s="78"/>
      <c r="AB47" s="78"/>
      <c r="AC47" s="78"/>
      <c r="AD47" s="78"/>
      <c r="AE47" s="340"/>
    </row>
    <row r="48" spans="2:31" ht="12.75" customHeight="1" x14ac:dyDescent="0.25">
      <c r="B48" s="1353" t="s">
        <v>38</v>
      </c>
      <c r="C48" s="1336"/>
      <c r="D48" s="4" t="s">
        <v>39</v>
      </c>
      <c r="E48" s="109" t="s">
        <v>399</v>
      </c>
      <c r="F48" s="1354" t="s">
        <v>673</v>
      </c>
      <c r="G48" s="1378"/>
      <c r="H48" s="1048" t="str">
        <f>$H$4</f>
        <v>BOCATOMA</v>
      </c>
      <c r="I48" s="1336"/>
      <c r="J48" s="1337" t="s">
        <v>50</v>
      </c>
      <c r="K48" s="1337"/>
      <c r="L48" s="1048" t="str">
        <f>$L$4</f>
        <v>DESARENADOR</v>
      </c>
      <c r="M48" s="1336"/>
      <c r="N48" s="1394" t="s">
        <v>1153</v>
      </c>
      <c r="O48" s="1395"/>
      <c r="P48" s="1393" t="str">
        <f>$P$4</f>
        <v>PLANTA</v>
      </c>
      <c r="Q48" s="1336"/>
      <c r="R48" s="1337"/>
      <c r="S48" s="1337"/>
      <c r="T48" s="1048" t="str">
        <f>$T$4</f>
        <v>TANQUE</v>
      </c>
      <c r="U48" s="1336"/>
      <c r="V48" s="1337" t="s">
        <v>1179</v>
      </c>
      <c r="W48" s="1337"/>
      <c r="X48" s="1048" t="str">
        <f>$X$4</f>
        <v>CASETA</v>
      </c>
      <c r="Y48" s="1049"/>
      <c r="Z48" s="1329" t="s">
        <v>1415</v>
      </c>
      <c r="AA48" s="1050"/>
      <c r="AB48" s="1048" t="s">
        <v>1421</v>
      </c>
      <c r="AC48" s="1050"/>
      <c r="AD48" s="1329"/>
      <c r="AE48" s="1330"/>
    </row>
    <row r="49" spans="2:31" ht="12.75" customHeight="1" x14ac:dyDescent="0.25">
      <c r="B49" s="1350" t="str">
        <f>+'PTO OC PLIEGO'!B25:H25</f>
        <v>ACERO DE REFUERZO 60000PSI</v>
      </c>
      <c r="C49" s="1405"/>
      <c r="D49" s="1405"/>
      <c r="E49" s="1406"/>
      <c r="F49" s="1135" t="s">
        <v>201</v>
      </c>
      <c r="G49" s="1364"/>
      <c r="H49" s="113">
        <f>+H54</f>
        <v>8535</v>
      </c>
      <c r="I49" s="1331"/>
      <c r="J49" s="1356"/>
      <c r="K49" s="1357"/>
      <c r="L49" s="113">
        <f>+L54</f>
        <v>13782.45</v>
      </c>
      <c r="M49" s="1331"/>
      <c r="N49" s="1338"/>
      <c r="O49" s="1339"/>
      <c r="P49" s="113">
        <f>+P54</f>
        <v>3515</v>
      </c>
      <c r="Q49" s="1331"/>
      <c r="R49" s="1356"/>
      <c r="S49" s="1357"/>
      <c r="T49" s="113">
        <v>37427.61</v>
      </c>
      <c r="U49" s="1331"/>
      <c r="V49" s="1338"/>
      <c r="W49" s="1339"/>
      <c r="X49" s="139">
        <f>+X50*X57</f>
        <v>0</v>
      </c>
      <c r="Y49" s="1331" t="s">
        <v>885</v>
      </c>
      <c r="Z49" s="1052"/>
      <c r="AA49" s="1053"/>
      <c r="AB49" s="139"/>
      <c r="AC49" s="1331" t="s">
        <v>885</v>
      </c>
      <c r="AD49" s="1052"/>
      <c r="AE49" s="1332"/>
    </row>
    <row r="50" spans="2:31" ht="12.75" customHeight="1" x14ac:dyDescent="0.25">
      <c r="B50" s="1407"/>
      <c r="C50" s="1408"/>
      <c r="D50" s="1408"/>
      <c r="E50" s="1409"/>
      <c r="F50" s="1135" t="s">
        <v>132</v>
      </c>
      <c r="G50" s="1364"/>
      <c r="H50" s="115">
        <v>1</v>
      </c>
      <c r="I50" s="1358"/>
      <c r="J50" s="1359"/>
      <c r="K50" s="1360"/>
      <c r="L50" s="115"/>
      <c r="M50" s="1340"/>
      <c r="N50" s="1341"/>
      <c r="O50" s="948"/>
      <c r="P50" s="115"/>
      <c r="Q50" s="1358"/>
      <c r="R50" s="1359"/>
      <c r="S50" s="1360"/>
      <c r="T50" s="115"/>
      <c r="U50" s="1340"/>
      <c r="V50" s="1341"/>
      <c r="W50" s="948"/>
      <c r="X50" s="115"/>
      <c r="Y50" s="1029"/>
      <c r="Z50" s="939"/>
      <c r="AA50" s="1054"/>
      <c r="AB50" s="115"/>
      <c r="AC50" s="1029"/>
      <c r="AD50" s="939"/>
      <c r="AE50" s="1030"/>
    </row>
    <row r="51" spans="2:31" ht="12.75" customHeight="1" x14ac:dyDescent="0.25">
      <c r="B51" s="1407"/>
      <c r="C51" s="1408"/>
      <c r="D51" s="1408"/>
      <c r="E51" s="1409"/>
      <c r="F51" s="1135" t="s">
        <v>681</v>
      </c>
      <c r="G51" s="1364"/>
      <c r="H51" s="115"/>
      <c r="I51" s="1358"/>
      <c r="J51" s="1359"/>
      <c r="K51" s="1360"/>
      <c r="L51" s="115"/>
      <c r="M51" s="1340"/>
      <c r="N51" s="1341"/>
      <c r="O51" s="948"/>
      <c r="P51" s="115"/>
      <c r="Q51" s="1358"/>
      <c r="R51" s="1359"/>
      <c r="S51" s="1360"/>
      <c r="T51" s="115"/>
      <c r="U51" s="1340"/>
      <c r="V51" s="1341"/>
      <c r="W51" s="948"/>
      <c r="X51" s="115"/>
      <c r="Y51" s="1029"/>
      <c r="Z51" s="939"/>
      <c r="AA51" s="1054"/>
      <c r="AB51" s="115"/>
      <c r="AC51" s="1029"/>
      <c r="AD51" s="939"/>
      <c r="AE51" s="1030"/>
    </row>
    <row r="52" spans="2:31" ht="12.75" customHeight="1" x14ac:dyDescent="0.25">
      <c r="B52" s="1407"/>
      <c r="C52" s="1408"/>
      <c r="D52" s="1408"/>
      <c r="E52" s="1409"/>
      <c r="F52" s="1135" t="s">
        <v>682</v>
      </c>
      <c r="G52" s="1364"/>
      <c r="H52" s="115"/>
      <c r="I52" s="1358"/>
      <c r="J52" s="1359"/>
      <c r="K52" s="1360"/>
      <c r="L52" s="115"/>
      <c r="M52" s="1340"/>
      <c r="N52" s="1341"/>
      <c r="O52" s="948"/>
      <c r="P52" s="115"/>
      <c r="Q52" s="1358"/>
      <c r="R52" s="1359"/>
      <c r="S52" s="1360"/>
      <c r="T52" s="115"/>
      <c r="U52" s="1340"/>
      <c r="V52" s="1341"/>
      <c r="W52" s="948"/>
      <c r="X52" s="115"/>
      <c r="Y52" s="1029"/>
      <c r="Z52" s="939"/>
      <c r="AA52" s="1054"/>
      <c r="AB52" s="115"/>
      <c r="AC52" s="1029"/>
      <c r="AD52" s="939"/>
      <c r="AE52" s="1030"/>
    </row>
    <row r="53" spans="2:31" ht="12.75" customHeight="1" x14ac:dyDescent="0.25">
      <c r="B53" s="1407"/>
      <c r="C53" s="1408"/>
      <c r="D53" s="1408"/>
      <c r="E53" s="1409"/>
      <c r="F53" s="1135" t="s">
        <v>676</v>
      </c>
      <c r="G53" s="1364"/>
      <c r="H53" s="115"/>
      <c r="I53" s="1358"/>
      <c r="J53" s="1359"/>
      <c r="K53" s="1360"/>
      <c r="L53" s="115"/>
      <c r="M53" s="1340"/>
      <c r="N53" s="1341"/>
      <c r="O53" s="948"/>
      <c r="P53" s="115"/>
      <c r="Q53" s="1358"/>
      <c r="R53" s="1359"/>
      <c r="S53" s="1360"/>
      <c r="T53" s="115"/>
      <c r="U53" s="1340"/>
      <c r="V53" s="1341"/>
      <c r="W53" s="948"/>
      <c r="X53" s="115"/>
      <c r="Y53" s="1029"/>
      <c r="Z53" s="939"/>
      <c r="AA53" s="1054"/>
      <c r="AB53" s="115"/>
      <c r="AC53" s="1029"/>
      <c r="AD53" s="939"/>
      <c r="AE53" s="1030"/>
    </row>
    <row r="54" spans="2:31" ht="12.75" customHeight="1" x14ac:dyDescent="0.25">
      <c r="B54" s="1407"/>
      <c r="C54" s="1408"/>
      <c r="D54" s="1408"/>
      <c r="E54" s="1409"/>
      <c r="F54" s="1135" t="s">
        <v>677</v>
      </c>
      <c r="G54" s="1364"/>
      <c r="H54" s="824">
        <v>8535</v>
      </c>
      <c r="I54" s="1358"/>
      <c r="J54" s="1359"/>
      <c r="K54" s="1360"/>
      <c r="L54" s="824">
        <v>13782.45</v>
      </c>
      <c r="M54" s="1340"/>
      <c r="N54" s="1341"/>
      <c r="O54" s="948"/>
      <c r="P54" s="115">
        <v>3515</v>
      </c>
      <c r="Q54" s="1358"/>
      <c r="R54" s="1359"/>
      <c r="S54" s="1360"/>
      <c r="T54" s="824">
        <v>13782.45</v>
      </c>
      <c r="U54" s="1340"/>
      <c r="V54" s="1341"/>
      <c r="W54" s="948"/>
      <c r="X54" s="115"/>
      <c r="Y54" s="1029"/>
      <c r="Z54" s="939"/>
      <c r="AA54" s="1054"/>
      <c r="AB54" s="115"/>
      <c r="AC54" s="1029"/>
      <c r="AD54" s="939"/>
      <c r="AE54" s="1030"/>
    </row>
    <row r="55" spans="2:31" ht="12.75" customHeight="1" x14ac:dyDescent="0.25">
      <c r="B55" s="1407"/>
      <c r="C55" s="1408"/>
      <c r="D55" s="1408"/>
      <c r="E55" s="1409"/>
      <c r="F55" s="1135" t="s">
        <v>678</v>
      </c>
      <c r="G55" s="1364"/>
      <c r="H55" s="115"/>
      <c r="I55" s="1358"/>
      <c r="J55" s="1359"/>
      <c r="K55" s="1360"/>
      <c r="L55" s="115"/>
      <c r="M55" s="1340"/>
      <c r="N55" s="1341"/>
      <c r="O55" s="948"/>
      <c r="P55" s="115"/>
      <c r="Q55" s="1358"/>
      <c r="R55" s="1359"/>
      <c r="S55" s="1360"/>
      <c r="T55" s="115"/>
      <c r="U55" s="1340"/>
      <c r="V55" s="1341"/>
      <c r="W55" s="948"/>
      <c r="X55" s="115"/>
      <c r="Y55" s="1029"/>
      <c r="Z55" s="939"/>
      <c r="AA55" s="1054"/>
      <c r="AB55" s="115"/>
      <c r="AC55" s="1029"/>
      <c r="AD55" s="939"/>
      <c r="AE55" s="1030"/>
    </row>
    <row r="56" spans="2:31" ht="12.75" customHeight="1" x14ac:dyDescent="0.25">
      <c r="B56" s="1407"/>
      <c r="C56" s="1408"/>
      <c r="D56" s="1408"/>
      <c r="E56" s="1409"/>
      <c r="F56" s="1135" t="s">
        <v>1146</v>
      </c>
      <c r="G56" s="1364"/>
      <c r="H56" s="115"/>
      <c r="I56" s="1358"/>
      <c r="J56" s="1359"/>
      <c r="K56" s="1360"/>
      <c r="L56" s="115"/>
      <c r="M56" s="1340"/>
      <c r="N56" s="1341"/>
      <c r="O56" s="948"/>
      <c r="P56" s="115"/>
      <c r="Q56" s="1358"/>
      <c r="R56" s="1359"/>
      <c r="S56" s="1360"/>
      <c r="T56" s="115"/>
      <c r="U56" s="1340"/>
      <c r="V56" s="1341"/>
      <c r="W56" s="948"/>
      <c r="X56" s="115"/>
      <c r="Y56" s="1029"/>
      <c r="Z56" s="939"/>
      <c r="AA56" s="1054"/>
      <c r="AB56" s="115"/>
      <c r="AC56" s="1029"/>
      <c r="AD56" s="939"/>
      <c r="AE56" s="1030"/>
    </row>
    <row r="57" spans="2:31" ht="12.75" customHeight="1" x14ac:dyDescent="0.25">
      <c r="B57" s="1410"/>
      <c r="C57" s="1411"/>
      <c r="D57" s="1411"/>
      <c r="E57" s="1412"/>
      <c r="F57" s="1135" t="s">
        <v>1148</v>
      </c>
      <c r="G57" s="1364"/>
      <c r="H57" s="115">
        <f>+H56*H53</f>
        <v>0</v>
      </c>
      <c r="I57" s="1361"/>
      <c r="J57" s="1362"/>
      <c r="K57" s="1363"/>
      <c r="L57" s="115">
        <f>+L56*L52</f>
        <v>0</v>
      </c>
      <c r="M57" s="953"/>
      <c r="N57" s="1342"/>
      <c r="O57" s="1343"/>
      <c r="P57" s="115"/>
      <c r="Q57" s="1361"/>
      <c r="R57" s="1362"/>
      <c r="S57" s="1363"/>
      <c r="T57" s="115"/>
      <c r="U57" s="953"/>
      <c r="V57" s="1342"/>
      <c r="W57" s="1343"/>
      <c r="X57" s="115">
        <f>+X51*X52*X53</f>
        <v>0</v>
      </c>
      <c r="Y57" s="1031"/>
      <c r="Z57" s="1032"/>
      <c r="AA57" s="1055"/>
      <c r="AB57" s="115"/>
      <c r="AC57" s="1031"/>
      <c r="AD57" s="1032"/>
      <c r="AE57" s="1033"/>
    </row>
    <row r="58" spans="2:31" ht="12.75" customHeight="1" x14ac:dyDescent="0.25">
      <c r="B58" s="463"/>
      <c r="C58" s="78"/>
      <c r="D58" s="78"/>
      <c r="E58" s="78"/>
      <c r="F58" s="78"/>
      <c r="G58" s="78"/>
      <c r="H58" s="78"/>
      <c r="I58" s="78"/>
      <c r="J58" s="78"/>
      <c r="K58" s="78"/>
      <c r="L58" s="78"/>
      <c r="M58" s="78"/>
      <c r="N58" s="78"/>
      <c r="O58" s="78"/>
      <c r="P58" s="78"/>
      <c r="Q58" s="78"/>
      <c r="R58" s="78"/>
      <c r="S58" s="78"/>
      <c r="T58" s="78"/>
      <c r="U58" s="78"/>
      <c r="V58" s="78"/>
      <c r="W58" s="78"/>
      <c r="X58" s="78"/>
      <c r="Y58" s="78"/>
      <c r="Z58" s="78"/>
      <c r="AA58" s="78"/>
      <c r="AB58" s="78"/>
      <c r="AC58" s="78"/>
      <c r="AD58" s="78"/>
      <c r="AE58" s="340"/>
    </row>
    <row r="59" spans="2:31" ht="12.75" customHeight="1" x14ac:dyDescent="0.25">
      <c r="B59" s="1353" t="s">
        <v>38</v>
      </c>
      <c r="C59" s="1391"/>
      <c r="D59" s="4" t="s">
        <v>39</v>
      </c>
      <c r="E59" s="109" t="s">
        <v>399</v>
      </c>
      <c r="F59" s="1354" t="s">
        <v>673</v>
      </c>
      <c r="G59" s="1378"/>
      <c r="H59" s="1418" t="str">
        <f>$H$4</f>
        <v>BOCATOMA</v>
      </c>
      <c r="I59" s="1419"/>
      <c r="J59" s="1394"/>
      <c r="K59" s="1395"/>
      <c r="L59" s="1420" t="str">
        <f>$L$4</f>
        <v>DESARENADOR</v>
      </c>
      <c r="M59" s="1419"/>
      <c r="N59" s="1394" t="s">
        <v>1154</v>
      </c>
      <c r="O59" s="1395"/>
      <c r="P59" s="1393" t="str">
        <f>$P$4</f>
        <v>PLANTA</v>
      </c>
      <c r="Q59" s="1336"/>
      <c r="R59" s="1337"/>
      <c r="S59" s="1337"/>
      <c r="T59" s="1048" t="str">
        <f>$T$4</f>
        <v>TANQUE</v>
      </c>
      <c r="U59" s="1336"/>
      <c r="V59" s="1337" t="s">
        <v>1180</v>
      </c>
      <c r="W59" s="1337"/>
      <c r="X59" s="1048" t="str">
        <f>$X$4</f>
        <v>CASETA</v>
      </c>
      <c r="Y59" s="1049"/>
      <c r="Z59" s="1329" t="s">
        <v>1416</v>
      </c>
      <c r="AA59" s="1050"/>
      <c r="AB59" s="1048" t="s">
        <v>1421</v>
      </c>
      <c r="AC59" s="1050"/>
      <c r="AD59" s="1329"/>
      <c r="AE59" s="1330"/>
    </row>
    <row r="60" spans="2:31" ht="12.75" customHeight="1" x14ac:dyDescent="0.25">
      <c r="B60" s="1379" t="str">
        <f>+'PTO OC PLIEGO'!B27</f>
        <v>PASO PARA POZO DE INSPECCION, EN POLIPROPILENOS CON MOLĖCULA ORIGINAL DE ALTO IMPACTO CON ALMA DE ACERO INOXIDABLE MEDIDAS FINALEST 40 CM X 32 CM X 2 QM COLOR. AMARILLO</v>
      </c>
      <c r="C60" s="1380"/>
      <c r="D60" s="1380"/>
      <c r="E60" s="1380"/>
      <c r="F60" s="1135" t="s">
        <v>201</v>
      </c>
      <c r="G60" s="1381"/>
      <c r="H60" s="113">
        <f>+H61</f>
        <v>7</v>
      </c>
      <c r="I60" s="1331"/>
      <c r="J60" s="1338"/>
      <c r="K60" s="1339"/>
      <c r="L60" s="113">
        <f>+L61*L68*L65</f>
        <v>0</v>
      </c>
      <c r="M60" s="1331" t="s">
        <v>885</v>
      </c>
      <c r="N60" s="1356"/>
      <c r="O60" s="1357"/>
      <c r="P60" s="115"/>
      <c r="Q60" s="1331" t="s">
        <v>885</v>
      </c>
      <c r="R60" s="1356"/>
      <c r="S60" s="1357"/>
      <c r="T60" s="113">
        <f>+T61*T68*T65</f>
        <v>0</v>
      </c>
      <c r="U60" s="1331" t="s">
        <v>885</v>
      </c>
      <c r="V60" s="1356"/>
      <c r="W60" s="1357"/>
      <c r="X60" s="139">
        <f>+X61*X68</f>
        <v>0</v>
      </c>
      <c r="Y60" s="1331" t="s">
        <v>885</v>
      </c>
      <c r="Z60" s="1052"/>
      <c r="AA60" s="1053"/>
      <c r="AB60" s="139"/>
      <c r="AC60" s="1331" t="s">
        <v>885</v>
      </c>
      <c r="AD60" s="1052"/>
      <c r="AE60" s="1332"/>
    </row>
    <row r="61" spans="2:31" ht="12.75" customHeight="1" x14ac:dyDescent="0.25">
      <c r="B61" s="1379"/>
      <c r="C61" s="1380"/>
      <c r="D61" s="1380"/>
      <c r="E61" s="1380"/>
      <c r="F61" s="1135" t="s">
        <v>132</v>
      </c>
      <c r="G61" s="1364"/>
      <c r="H61" s="115">
        <v>7</v>
      </c>
      <c r="I61" s="1340"/>
      <c r="J61" s="1341"/>
      <c r="K61" s="948"/>
      <c r="L61" s="115"/>
      <c r="M61" s="1358"/>
      <c r="N61" s="1359"/>
      <c r="O61" s="1360"/>
      <c r="P61" s="115"/>
      <c r="Q61" s="1358"/>
      <c r="R61" s="1359"/>
      <c r="S61" s="1360"/>
      <c r="T61" s="115"/>
      <c r="U61" s="1358"/>
      <c r="V61" s="1359"/>
      <c r="W61" s="1360"/>
      <c r="X61" s="115"/>
      <c r="Y61" s="1029"/>
      <c r="Z61" s="939"/>
      <c r="AA61" s="1054"/>
      <c r="AB61" s="115"/>
      <c r="AC61" s="1029"/>
      <c r="AD61" s="939"/>
      <c r="AE61" s="1030"/>
    </row>
    <row r="62" spans="2:31" ht="12.75" customHeight="1" x14ac:dyDescent="0.25">
      <c r="B62" s="1379"/>
      <c r="C62" s="1380"/>
      <c r="D62" s="1380"/>
      <c r="E62" s="1380"/>
      <c r="F62" s="1135" t="s">
        <v>674</v>
      </c>
      <c r="G62" s="1364"/>
      <c r="H62" s="115"/>
      <c r="I62" s="1340"/>
      <c r="J62" s="1341"/>
      <c r="K62" s="948"/>
      <c r="L62" s="115"/>
      <c r="M62" s="1358"/>
      <c r="N62" s="1359"/>
      <c r="O62" s="1360"/>
      <c r="P62" s="115"/>
      <c r="Q62" s="1358"/>
      <c r="R62" s="1359"/>
      <c r="S62" s="1360"/>
      <c r="T62" s="115"/>
      <c r="U62" s="1358"/>
      <c r="V62" s="1359"/>
      <c r="W62" s="1360"/>
      <c r="X62" s="115"/>
      <c r="Y62" s="1029"/>
      <c r="Z62" s="939"/>
      <c r="AA62" s="1054"/>
      <c r="AB62" s="115"/>
      <c r="AC62" s="1029"/>
      <c r="AD62" s="939"/>
      <c r="AE62" s="1030"/>
    </row>
    <row r="63" spans="2:31" ht="12.75" customHeight="1" x14ac:dyDescent="0.25">
      <c r="B63" s="1379"/>
      <c r="C63" s="1380"/>
      <c r="D63" s="1380"/>
      <c r="E63" s="1380"/>
      <c r="F63" s="1135" t="s">
        <v>675</v>
      </c>
      <c r="G63" s="1364"/>
      <c r="H63" s="115"/>
      <c r="I63" s="1340"/>
      <c r="J63" s="1341"/>
      <c r="K63" s="948"/>
      <c r="L63" s="115"/>
      <c r="M63" s="1358"/>
      <c r="N63" s="1359"/>
      <c r="O63" s="1360"/>
      <c r="P63" s="115"/>
      <c r="Q63" s="1358"/>
      <c r="R63" s="1359"/>
      <c r="S63" s="1360"/>
      <c r="T63" s="115"/>
      <c r="U63" s="1358"/>
      <c r="V63" s="1359"/>
      <c r="W63" s="1360"/>
      <c r="X63" s="115"/>
      <c r="Y63" s="1029"/>
      <c r="Z63" s="939"/>
      <c r="AA63" s="1054"/>
      <c r="AB63" s="115"/>
      <c r="AC63" s="1029"/>
      <c r="AD63" s="939"/>
      <c r="AE63" s="1030"/>
    </row>
    <row r="64" spans="2:31" ht="12.75" customHeight="1" x14ac:dyDescent="0.25">
      <c r="B64" s="1379"/>
      <c r="C64" s="1380"/>
      <c r="D64" s="1380"/>
      <c r="E64" s="1380"/>
      <c r="F64" s="1135" t="s">
        <v>676</v>
      </c>
      <c r="G64" s="1364"/>
      <c r="H64" s="115"/>
      <c r="I64" s="1340"/>
      <c r="J64" s="1341"/>
      <c r="K64" s="948"/>
      <c r="L64" s="115"/>
      <c r="M64" s="1358"/>
      <c r="N64" s="1359"/>
      <c r="O64" s="1360"/>
      <c r="P64" s="115"/>
      <c r="Q64" s="1358"/>
      <c r="R64" s="1359"/>
      <c r="S64" s="1360"/>
      <c r="T64" s="115"/>
      <c r="U64" s="1358"/>
      <c r="V64" s="1359"/>
      <c r="W64" s="1360"/>
      <c r="X64" s="115"/>
      <c r="Y64" s="1029"/>
      <c r="Z64" s="939"/>
      <c r="AA64" s="1054"/>
      <c r="AB64" s="115"/>
      <c r="AC64" s="1029"/>
      <c r="AD64" s="939"/>
      <c r="AE64" s="1030"/>
    </row>
    <row r="65" spans="2:31" ht="12.75" customHeight="1" x14ac:dyDescent="0.25">
      <c r="B65" s="1379"/>
      <c r="C65" s="1380"/>
      <c r="D65" s="1380"/>
      <c r="E65" s="1380"/>
      <c r="F65" s="1135" t="s">
        <v>11</v>
      </c>
      <c r="G65" s="1364"/>
      <c r="H65" s="115"/>
      <c r="I65" s="1340"/>
      <c r="J65" s="1341"/>
      <c r="K65" s="948"/>
      <c r="L65" s="117"/>
      <c r="M65" s="1358"/>
      <c r="N65" s="1359"/>
      <c r="O65" s="1360"/>
      <c r="P65" s="115"/>
      <c r="Q65" s="1358"/>
      <c r="R65" s="1359"/>
      <c r="S65" s="1360"/>
      <c r="T65" s="117"/>
      <c r="U65" s="1358"/>
      <c r="V65" s="1359"/>
      <c r="W65" s="1360"/>
      <c r="X65" s="115"/>
      <c r="Y65" s="1029"/>
      <c r="Z65" s="939"/>
      <c r="AA65" s="1054"/>
      <c r="AB65" s="115"/>
      <c r="AC65" s="1029"/>
      <c r="AD65" s="939"/>
      <c r="AE65" s="1030"/>
    </row>
    <row r="66" spans="2:31" ht="12.75" customHeight="1" x14ac:dyDescent="0.25">
      <c r="B66" s="1379"/>
      <c r="C66" s="1380"/>
      <c r="D66" s="1380"/>
      <c r="E66" s="1380"/>
      <c r="F66" s="1135" t="s">
        <v>678</v>
      </c>
      <c r="G66" s="1364"/>
      <c r="H66" s="115"/>
      <c r="I66" s="1340"/>
      <c r="J66" s="1341"/>
      <c r="K66" s="948"/>
      <c r="L66" s="115"/>
      <c r="M66" s="1358"/>
      <c r="N66" s="1359"/>
      <c r="O66" s="1360"/>
      <c r="P66" s="115"/>
      <c r="Q66" s="1358"/>
      <c r="R66" s="1359"/>
      <c r="S66" s="1360"/>
      <c r="T66" s="115"/>
      <c r="U66" s="1358"/>
      <c r="V66" s="1359"/>
      <c r="W66" s="1360"/>
      <c r="X66" s="115"/>
      <c r="Y66" s="1029"/>
      <c r="Z66" s="939"/>
      <c r="AA66" s="1054"/>
      <c r="AB66" s="115"/>
      <c r="AC66" s="1029"/>
      <c r="AD66" s="939"/>
      <c r="AE66" s="1030"/>
    </row>
    <row r="67" spans="2:31" ht="12.75" customHeight="1" x14ac:dyDescent="0.25">
      <c r="B67" s="1379"/>
      <c r="C67" s="1380"/>
      <c r="D67" s="1380"/>
      <c r="E67" s="1380"/>
      <c r="F67" s="1135" t="s">
        <v>1146</v>
      </c>
      <c r="G67" s="1364"/>
      <c r="H67" s="115"/>
      <c r="I67" s="1340"/>
      <c r="J67" s="1341"/>
      <c r="K67" s="948"/>
      <c r="L67" s="115"/>
      <c r="M67" s="1358"/>
      <c r="N67" s="1359"/>
      <c r="O67" s="1360"/>
      <c r="P67" s="115"/>
      <c r="Q67" s="1358"/>
      <c r="R67" s="1359"/>
      <c r="S67" s="1360"/>
      <c r="T67" s="115"/>
      <c r="U67" s="1358"/>
      <c r="V67" s="1359"/>
      <c r="W67" s="1360"/>
      <c r="X67" s="115"/>
      <c r="Y67" s="1029"/>
      <c r="Z67" s="939"/>
      <c r="AA67" s="1054"/>
      <c r="AB67" s="115"/>
      <c r="AC67" s="1029"/>
      <c r="AD67" s="939"/>
      <c r="AE67" s="1030"/>
    </row>
    <row r="68" spans="2:31" ht="12.75" customHeight="1" x14ac:dyDescent="0.25">
      <c r="B68" s="1379"/>
      <c r="C68" s="1380"/>
      <c r="D68" s="1380"/>
      <c r="E68" s="1380"/>
      <c r="F68" s="1135" t="s">
        <v>1148</v>
      </c>
      <c r="G68" s="1364"/>
      <c r="H68" s="115"/>
      <c r="I68" s="953"/>
      <c r="J68" s="1342"/>
      <c r="K68" s="1343"/>
      <c r="L68" s="115"/>
      <c r="M68" s="1361"/>
      <c r="N68" s="1362"/>
      <c r="O68" s="1363"/>
      <c r="P68" s="115"/>
      <c r="Q68" s="1361"/>
      <c r="R68" s="1362"/>
      <c r="S68" s="1363"/>
      <c r="T68" s="115"/>
      <c r="U68" s="1361"/>
      <c r="V68" s="1362"/>
      <c r="W68" s="1363"/>
      <c r="X68" s="115"/>
      <c r="Y68" s="1031"/>
      <c r="Z68" s="1032"/>
      <c r="AA68" s="1055"/>
      <c r="AB68" s="115"/>
      <c r="AC68" s="1031"/>
      <c r="AD68" s="1032"/>
      <c r="AE68" s="1033"/>
    </row>
    <row r="69" spans="2:31" ht="12.75" customHeight="1" x14ac:dyDescent="0.25">
      <c r="B69" s="463"/>
      <c r="C69" s="78"/>
      <c r="D69" s="78"/>
      <c r="E69" s="78"/>
      <c r="F69" s="78"/>
      <c r="G69" s="78"/>
      <c r="H69" s="78"/>
      <c r="I69" s="78"/>
      <c r="J69" s="78"/>
      <c r="K69" s="78"/>
      <c r="L69" s="78"/>
      <c r="M69" s="78"/>
      <c r="N69" s="78"/>
      <c r="O69" s="78"/>
      <c r="P69" s="78"/>
      <c r="Q69" s="78"/>
      <c r="R69" s="78"/>
      <c r="S69" s="78"/>
      <c r="T69" s="78"/>
      <c r="U69" s="78"/>
      <c r="V69" s="78"/>
      <c r="W69" s="78"/>
      <c r="X69" s="78"/>
      <c r="Y69" s="78"/>
      <c r="Z69" s="78"/>
      <c r="AA69" s="78"/>
      <c r="AB69" s="78"/>
      <c r="AC69" s="78"/>
      <c r="AD69" s="78"/>
      <c r="AE69" s="340"/>
    </row>
    <row r="70" spans="2:31" ht="12.75" customHeight="1" x14ac:dyDescent="0.25">
      <c r="B70" s="1353" t="s">
        <v>38</v>
      </c>
      <c r="C70" s="1336"/>
      <c r="D70" s="4" t="s">
        <v>39</v>
      </c>
      <c r="E70" s="109" t="s">
        <v>399</v>
      </c>
      <c r="F70" s="1354" t="s">
        <v>673</v>
      </c>
      <c r="G70" s="1378"/>
      <c r="H70" s="1048" t="str">
        <f>$H$4</f>
        <v>BOCATOMA</v>
      </c>
      <c r="I70" s="1336"/>
      <c r="J70" s="1337" t="s">
        <v>869</v>
      </c>
      <c r="K70" s="1337"/>
      <c r="L70" s="1048" t="str">
        <f>$L$4</f>
        <v>DESARENADOR</v>
      </c>
      <c r="M70" s="1336"/>
      <c r="N70" s="1394" t="s">
        <v>1156</v>
      </c>
      <c r="O70" s="1395"/>
      <c r="P70" s="1393" t="str">
        <f>$P$4</f>
        <v>PLANTA</v>
      </c>
      <c r="Q70" s="1336"/>
      <c r="R70" s="1337"/>
      <c r="S70" s="1337"/>
      <c r="T70" s="1048" t="str">
        <f>$T$4</f>
        <v>TANQUE</v>
      </c>
      <c r="U70" s="1336"/>
      <c r="V70" s="1337" t="s">
        <v>1181</v>
      </c>
      <c r="W70" s="1337"/>
      <c r="X70" s="1048" t="str">
        <f>$X$4</f>
        <v>CASETA</v>
      </c>
      <c r="Y70" s="1049"/>
      <c r="Z70" s="1329"/>
      <c r="AA70" s="1050"/>
      <c r="AB70" s="1048" t="s">
        <v>1421</v>
      </c>
      <c r="AC70" s="1050"/>
      <c r="AD70" s="1329"/>
      <c r="AE70" s="1330"/>
    </row>
    <row r="71" spans="2:31" ht="12.75" customHeight="1" x14ac:dyDescent="0.25">
      <c r="B71" s="1350" t="str">
        <f>+'PTO OC PLIEGO'!B28:H28</f>
        <v>MEDIDOR 6" ULTRASONICO VS-500 DN150 F300MM PN16 R400</v>
      </c>
      <c r="C71" s="1405"/>
      <c r="D71" s="1405"/>
      <c r="E71" s="1406"/>
      <c r="F71" s="1135" t="s">
        <v>201</v>
      </c>
      <c r="G71" s="1364"/>
      <c r="H71" s="113">
        <f>+H72</f>
        <v>1</v>
      </c>
      <c r="I71" s="1331"/>
      <c r="J71" s="1356"/>
      <c r="K71" s="1357"/>
      <c r="L71" s="113">
        <f>+L72*L79*L76</f>
        <v>0</v>
      </c>
      <c r="M71" s="1331" t="s">
        <v>885</v>
      </c>
      <c r="N71" s="1356"/>
      <c r="O71" s="1357"/>
      <c r="P71" s="115"/>
      <c r="Q71" s="1331" t="s">
        <v>885</v>
      </c>
      <c r="R71" s="1356"/>
      <c r="S71" s="1357"/>
      <c r="T71" s="113">
        <f>+T72*T79*T76</f>
        <v>0</v>
      </c>
      <c r="U71" s="1331" t="s">
        <v>885</v>
      </c>
      <c r="V71" s="1338"/>
      <c r="W71" s="1339"/>
      <c r="X71" s="139"/>
      <c r="Y71" s="1331" t="s">
        <v>885</v>
      </c>
      <c r="Z71" s="1052"/>
      <c r="AA71" s="1053"/>
      <c r="AB71" s="139"/>
      <c r="AC71" s="1331" t="s">
        <v>885</v>
      </c>
      <c r="AD71" s="1052"/>
      <c r="AE71" s="1332"/>
    </row>
    <row r="72" spans="2:31" ht="12.75" customHeight="1" x14ac:dyDescent="0.25">
      <c r="B72" s="1407"/>
      <c r="C72" s="1408"/>
      <c r="D72" s="1408"/>
      <c r="E72" s="1409"/>
      <c r="F72" s="1135" t="s">
        <v>132</v>
      </c>
      <c r="G72" s="1364"/>
      <c r="H72" s="115">
        <v>1</v>
      </c>
      <c r="I72" s="1358"/>
      <c r="J72" s="1359"/>
      <c r="K72" s="1360"/>
      <c r="L72" s="115"/>
      <c r="M72" s="1358"/>
      <c r="N72" s="1359"/>
      <c r="O72" s="1360"/>
      <c r="P72" s="115"/>
      <c r="Q72" s="1358"/>
      <c r="R72" s="1359"/>
      <c r="S72" s="1360"/>
      <c r="T72" s="115"/>
      <c r="U72" s="1340"/>
      <c r="V72" s="1341"/>
      <c r="W72" s="948"/>
      <c r="X72" s="115"/>
      <c r="Y72" s="1029"/>
      <c r="Z72" s="939"/>
      <c r="AA72" s="1054"/>
      <c r="AB72" s="115"/>
      <c r="AC72" s="1029"/>
      <c r="AD72" s="939"/>
      <c r="AE72" s="1030"/>
    </row>
    <row r="73" spans="2:31" ht="12.75" customHeight="1" x14ac:dyDescent="0.25">
      <c r="B73" s="1407"/>
      <c r="C73" s="1408"/>
      <c r="D73" s="1408"/>
      <c r="E73" s="1409"/>
      <c r="F73" s="1135" t="s">
        <v>681</v>
      </c>
      <c r="G73" s="1364"/>
      <c r="H73" s="115"/>
      <c r="I73" s="1358"/>
      <c r="J73" s="1359"/>
      <c r="K73" s="1360"/>
      <c r="L73" s="115"/>
      <c r="M73" s="1358"/>
      <c r="N73" s="1359"/>
      <c r="O73" s="1360"/>
      <c r="P73" s="115"/>
      <c r="Q73" s="1358"/>
      <c r="R73" s="1359"/>
      <c r="S73" s="1360"/>
      <c r="T73" s="115"/>
      <c r="U73" s="1340"/>
      <c r="V73" s="1341"/>
      <c r="W73" s="948"/>
      <c r="X73" s="115"/>
      <c r="Y73" s="1029"/>
      <c r="Z73" s="939"/>
      <c r="AA73" s="1054"/>
      <c r="AB73" s="115"/>
      <c r="AC73" s="1029"/>
      <c r="AD73" s="939"/>
      <c r="AE73" s="1030"/>
    </row>
    <row r="74" spans="2:31" ht="12.75" customHeight="1" x14ac:dyDescent="0.25">
      <c r="B74" s="1407"/>
      <c r="C74" s="1408"/>
      <c r="D74" s="1408"/>
      <c r="E74" s="1409"/>
      <c r="F74" s="1135" t="s">
        <v>682</v>
      </c>
      <c r="G74" s="1364"/>
      <c r="H74" s="115"/>
      <c r="I74" s="1358"/>
      <c r="J74" s="1359"/>
      <c r="K74" s="1360"/>
      <c r="L74" s="115"/>
      <c r="M74" s="1358"/>
      <c r="N74" s="1359"/>
      <c r="O74" s="1360"/>
      <c r="P74" s="115"/>
      <c r="Q74" s="1358"/>
      <c r="R74" s="1359"/>
      <c r="S74" s="1360"/>
      <c r="T74" s="115"/>
      <c r="U74" s="1340"/>
      <c r="V74" s="1341"/>
      <c r="W74" s="948"/>
      <c r="X74" s="115"/>
      <c r="Y74" s="1029"/>
      <c r="Z74" s="939"/>
      <c r="AA74" s="1054"/>
      <c r="AB74" s="115"/>
      <c r="AC74" s="1029"/>
      <c r="AD74" s="939"/>
      <c r="AE74" s="1030"/>
    </row>
    <row r="75" spans="2:31" ht="12.75" customHeight="1" x14ac:dyDescent="0.25">
      <c r="B75" s="1407"/>
      <c r="C75" s="1408"/>
      <c r="D75" s="1408"/>
      <c r="E75" s="1409"/>
      <c r="F75" s="1135" t="s">
        <v>676</v>
      </c>
      <c r="G75" s="1364"/>
      <c r="H75" s="115"/>
      <c r="I75" s="1358"/>
      <c r="J75" s="1359"/>
      <c r="K75" s="1360"/>
      <c r="L75" s="115"/>
      <c r="M75" s="1358"/>
      <c r="N75" s="1359"/>
      <c r="O75" s="1360"/>
      <c r="P75" s="115"/>
      <c r="Q75" s="1358"/>
      <c r="R75" s="1359"/>
      <c r="S75" s="1360"/>
      <c r="T75" s="115"/>
      <c r="U75" s="1340"/>
      <c r="V75" s="1341"/>
      <c r="W75" s="948"/>
      <c r="X75" s="115"/>
      <c r="Y75" s="1029"/>
      <c r="Z75" s="939"/>
      <c r="AA75" s="1054"/>
      <c r="AB75" s="115"/>
      <c r="AC75" s="1029"/>
      <c r="AD75" s="939"/>
      <c r="AE75" s="1030"/>
    </row>
    <row r="76" spans="2:31" ht="12.75" customHeight="1" x14ac:dyDescent="0.25">
      <c r="B76" s="1407"/>
      <c r="C76" s="1408"/>
      <c r="D76" s="1408"/>
      <c r="E76" s="1409"/>
      <c r="F76" s="1135" t="s">
        <v>11</v>
      </c>
      <c r="G76" s="1364"/>
      <c r="H76" s="117"/>
      <c r="I76" s="1358"/>
      <c r="J76" s="1359"/>
      <c r="K76" s="1360"/>
      <c r="L76" s="117"/>
      <c r="M76" s="1358"/>
      <c r="N76" s="1359"/>
      <c r="O76" s="1360"/>
      <c r="P76" s="115"/>
      <c r="Q76" s="1358"/>
      <c r="R76" s="1359"/>
      <c r="S76" s="1360"/>
      <c r="T76" s="117"/>
      <c r="U76" s="1340"/>
      <c r="V76" s="1341"/>
      <c r="W76" s="948"/>
      <c r="X76" s="115"/>
      <c r="Y76" s="1029"/>
      <c r="Z76" s="939"/>
      <c r="AA76" s="1054"/>
      <c r="AB76" s="115"/>
      <c r="AC76" s="1029"/>
      <c r="AD76" s="939"/>
      <c r="AE76" s="1030"/>
    </row>
    <row r="77" spans="2:31" ht="12.75" customHeight="1" x14ac:dyDescent="0.25">
      <c r="B77" s="1407"/>
      <c r="C77" s="1408"/>
      <c r="D77" s="1408"/>
      <c r="E77" s="1409"/>
      <c r="F77" s="1135" t="s">
        <v>678</v>
      </c>
      <c r="G77" s="1364"/>
      <c r="H77" s="115"/>
      <c r="I77" s="1358"/>
      <c r="J77" s="1359"/>
      <c r="K77" s="1360"/>
      <c r="L77" s="115"/>
      <c r="M77" s="1358"/>
      <c r="N77" s="1359"/>
      <c r="O77" s="1360"/>
      <c r="P77" s="115"/>
      <c r="Q77" s="1358"/>
      <c r="R77" s="1359"/>
      <c r="S77" s="1360"/>
      <c r="T77" s="115"/>
      <c r="U77" s="1340"/>
      <c r="V77" s="1341"/>
      <c r="W77" s="948"/>
      <c r="X77" s="115"/>
      <c r="Y77" s="1029"/>
      <c r="Z77" s="939"/>
      <c r="AA77" s="1054"/>
      <c r="AB77" s="115"/>
      <c r="AC77" s="1029"/>
      <c r="AD77" s="939"/>
      <c r="AE77" s="1030"/>
    </row>
    <row r="78" spans="2:31" ht="12.75" customHeight="1" x14ac:dyDescent="0.25">
      <c r="B78" s="1407"/>
      <c r="C78" s="1408"/>
      <c r="D78" s="1408"/>
      <c r="E78" s="1409"/>
      <c r="F78" s="1135" t="s">
        <v>1146</v>
      </c>
      <c r="G78" s="1364"/>
      <c r="H78" s="115"/>
      <c r="I78" s="1358"/>
      <c r="J78" s="1359"/>
      <c r="K78" s="1360"/>
      <c r="L78" s="115"/>
      <c r="M78" s="1358"/>
      <c r="N78" s="1359"/>
      <c r="O78" s="1360"/>
      <c r="P78" s="115"/>
      <c r="Q78" s="1358"/>
      <c r="R78" s="1359"/>
      <c r="S78" s="1360"/>
      <c r="T78" s="115"/>
      <c r="U78" s="1340"/>
      <c r="V78" s="1341"/>
      <c r="W78" s="948"/>
      <c r="X78" s="115"/>
      <c r="Y78" s="1029"/>
      <c r="Z78" s="939"/>
      <c r="AA78" s="1054"/>
      <c r="AB78" s="115"/>
      <c r="AC78" s="1029"/>
      <c r="AD78" s="939"/>
      <c r="AE78" s="1030"/>
    </row>
    <row r="79" spans="2:31" ht="12.75" customHeight="1" x14ac:dyDescent="0.25">
      <c r="B79" s="1410"/>
      <c r="C79" s="1411"/>
      <c r="D79" s="1411"/>
      <c r="E79" s="1412"/>
      <c r="F79" s="1135" t="s">
        <v>1148</v>
      </c>
      <c r="G79" s="1364"/>
      <c r="H79" s="115"/>
      <c r="I79" s="1361"/>
      <c r="J79" s="1362"/>
      <c r="K79" s="1363"/>
      <c r="L79" s="115"/>
      <c r="M79" s="1361"/>
      <c r="N79" s="1362"/>
      <c r="O79" s="1363"/>
      <c r="P79" s="115"/>
      <c r="Q79" s="1361"/>
      <c r="R79" s="1362"/>
      <c r="S79" s="1363"/>
      <c r="T79" s="115"/>
      <c r="U79" s="953"/>
      <c r="V79" s="1342"/>
      <c r="W79" s="1343"/>
      <c r="X79" s="115"/>
      <c r="Y79" s="1031"/>
      <c r="Z79" s="1032"/>
      <c r="AA79" s="1055"/>
      <c r="AB79" s="115"/>
      <c r="AC79" s="1031"/>
      <c r="AD79" s="1032"/>
      <c r="AE79" s="1033"/>
    </row>
    <row r="80" spans="2:31" ht="12.75" customHeight="1" x14ac:dyDescent="0.25">
      <c r="B80" s="464"/>
      <c r="C80" s="112"/>
      <c r="D80" s="112"/>
      <c r="E80" s="112"/>
      <c r="F80" s="112"/>
      <c r="G80" s="112"/>
      <c r="H80" s="112"/>
      <c r="I80" s="112"/>
      <c r="J80" s="112"/>
      <c r="K80" s="112"/>
      <c r="L80" s="78"/>
      <c r="M80" s="78"/>
      <c r="N80" s="78"/>
      <c r="O80" s="78"/>
      <c r="P80" s="78"/>
      <c r="Q80" s="78"/>
      <c r="R80" s="78"/>
      <c r="S80" s="78"/>
      <c r="T80" s="78"/>
      <c r="U80" s="78"/>
      <c r="V80" s="78"/>
      <c r="W80" s="78"/>
      <c r="X80" s="78"/>
      <c r="Y80" s="78"/>
      <c r="Z80" s="78"/>
      <c r="AA80" s="78"/>
      <c r="AB80" s="78"/>
      <c r="AC80" s="78"/>
      <c r="AD80" s="78"/>
      <c r="AE80" s="340"/>
    </row>
    <row r="81" spans="2:31" ht="12.75" customHeight="1" x14ac:dyDescent="0.25">
      <c r="B81" s="1353" t="s">
        <v>38</v>
      </c>
      <c r="C81" s="1391"/>
      <c r="D81" s="4" t="s">
        <v>39</v>
      </c>
      <c r="E81" s="109" t="s">
        <v>399</v>
      </c>
      <c r="F81" s="1354" t="s">
        <v>673</v>
      </c>
      <c r="G81" s="1378"/>
      <c r="H81" s="1418" t="str">
        <f>$H$4</f>
        <v>BOCATOMA</v>
      </c>
      <c r="I81" s="1419"/>
      <c r="J81" s="1394"/>
      <c r="K81" s="1395"/>
      <c r="L81" s="1420" t="str">
        <f>$L$4</f>
        <v>DESARENADOR</v>
      </c>
      <c r="M81" s="1419"/>
      <c r="N81" s="1394" t="s">
        <v>1155</v>
      </c>
      <c r="O81" s="1395"/>
      <c r="P81" s="1393" t="str">
        <f>$P$4</f>
        <v>PLANTA</v>
      </c>
      <c r="Q81" s="1336"/>
      <c r="R81" s="1337"/>
      <c r="S81" s="1337"/>
      <c r="T81" s="1048" t="str">
        <f>$T$4</f>
        <v>TANQUE</v>
      </c>
      <c r="U81" s="1336"/>
      <c r="V81" s="1337" t="s">
        <v>1182</v>
      </c>
      <c r="W81" s="1337"/>
      <c r="X81" s="1048" t="str">
        <f>$X$4</f>
        <v>CASETA</v>
      </c>
      <c r="Y81" s="1049"/>
      <c r="Z81" s="1329"/>
      <c r="AA81" s="1050"/>
      <c r="AB81" s="1048" t="s">
        <v>1421</v>
      </c>
      <c r="AC81" s="1050"/>
      <c r="AD81" s="1329"/>
      <c r="AE81" s="1330"/>
    </row>
    <row r="82" spans="2:31" ht="12.75" customHeight="1" x14ac:dyDescent="0.25">
      <c r="B82" s="1379" t="str">
        <f>+'PTO OC PLIEGO'!B29:H29</f>
        <v>TAPA VÁLVULA 37,5cm X 34cm X 5cm DE ALTO</v>
      </c>
      <c r="C82" s="1380"/>
      <c r="D82" s="1380"/>
      <c r="E82" s="1380"/>
      <c r="F82" s="1135" t="s">
        <v>201</v>
      </c>
      <c r="G82" s="1381"/>
      <c r="H82" s="113">
        <f>+H83</f>
        <v>1</v>
      </c>
      <c r="I82" s="1331"/>
      <c r="J82" s="1338"/>
      <c r="K82" s="1339"/>
      <c r="L82" s="113">
        <f>+L83*L90*L87</f>
        <v>0.755</v>
      </c>
      <c r="M82" s="1359"/>
      <c r="N82" s="1359"/>
      <c r="O82" s="1360"/>
      <c r="P82" s="115"/>
      <c r="Q82" s="1331" t="s">
        <v>885</v>
      </c>
      <c r="R82" s="1356"/>
      <c r="S82" s="1357"/>
      <c r="T82" s="113">
        <f>+T83*T90*T87</f>
        <v>0.91250000000000009</v>
      </c>
      <c r="U82" s="1331" t="s">
        <v>885</v>
      </c>
      <c r="V82" s="1356"/>
      <c r="W82" s="1357"/>
      <c r="X82" s="139"/>
      <c r="Y82" s="1331" t="s">
        <v>885</v>
      </c>
      <c r="Z82" s="1052"/>
      <c r="AA82" s="1053"/>
      <c r="AB82" s="139"/>
      <c r="AC82" s="1331" t="s">
        <v>885</v>
      </c>
      <c r="AD82" s="1052"/>
      <c r="AE82" s="1332"/>
    </row>
    <row r="83" spans="2:31" ht="12.75" customHeight="1" x14ac:dyDescent="0.25">
      <c r="B83" s="1379"/>
      <c r="C83" s="1380"/>
      <c r="D83" s="1380"/>
      <c r="E83" s="1380"/>
      <c r="F83" s="1135" t="s">
        <v>132</v>
      </c>
      <c r="G83" s="1364"/>
      <c r="H83" s="115">
        <v>1</v>
      </c>
      <c r="I83" s="1340"/>
      <c r="J83" s="1341"/>
      <c r="K83" s="948"/>
      <c r="L83" s="115">
        <v>1</v>
      </c>
      <c r="M83" s="1359"/>
      <c r="N83" s="1359"/>
      <c r="O83" s="1360"/>
      <c r="P83" s="115"/>
      <c r="Q83" s="1358"/>
      <c r="R83" s="1359"/>
      <c r="S83" s="1360"/>
      <c r="T83" s="115">
        <v>1</v>
      </c>
      <c r="U83" s="1358"/>
      <c r="V83" s="1359"/>
      <c r="W83" s="1360"/>
      <c r="X83" s="115"/>
      <c r="Y83" s="1029"/>
      <c r="Z83" s="939"/>
      <c r="AA83" s="1054"/>
      <c r="AB83" s="115"/>
      <c r="AC83" s="1029"/>
      <c r="AD83" s="939"/>
      <c r="AE83" s="1030"/>
    </row>
    <row r="84" spans="2:31" ht="12.75" customHeight="1" x14ac:dyDescent="0.25">
      <c r="B84" s="1379"/>
      <c r="C84" s="1380"/>
      <c r="D84" s="1380"/>
      <c r="E84" s="1380"/>
      <c r="F84" s="1135" t="s">
        <v>674</v>
      </c>
      <c r="G84" s="1364"/>
      <c r="H84" s="115"/>
      <c r="I84" s="1340"/>
      <c r="J84" s="1341"/>
      <c r="K84" s="948"/>
      <c r="L84" s="115"/>
      <c r="M84" s="1359"/>
      <c r="N84" s="1359"/>
      <c r="O84" s="1360"/>
      <c r="P84" s="115"/>
      <c r="Q84" s="1358"/>
      <c r="R84" s="1359"/>
      <c r="S84" s="1360"/>
      <c r="T84" s="115"/>
      <c r="U84" s="1358"/>
      <c r="V84" s="1359"/>
      <c r="W84" s="1360"/>
      <c r="X84" s="115"/>
      <c r="Y84" s="1029"/>
      <c r="Z84" s="939"/>
      <c r="AA84" s="1054"/>
      <c r="AB84" s="115"/>
      <c r="AC84" s="1029"/>
      <c r="AD84" s="939"/>
      <c r="AE84" s="1030"/>
    </row>
    <row r="85" spans="2:31" ht="12.75" customHeight="1" x14ac:dyDescent="0.25">
      <c r="B85" s="1379"/>
      <c r="C85" s="1380"/>
      <c r="D85" s="1380"/>
      <c r="E85" s="1380"/>
      <c r="F85" s="1135" t="s">
        <v>675</v>
      </c>
      <c r="G85" s="1364"/>
      <c r="H85" s="115"/>
      <c r="I85" s="1340"/>
      <c r="J85" s="1341"/>
      <c r="K85" s="948"/>
      <c r="L85" s="115">
        <v>1</v>
      </c>
      <c r="M85" s="1359"/>
      <c r="N85" s="1359"/>
      <c r="O85" s="1360"/>
      <c r="P85" s="115"/>
      <c r="Q85" s="1358"/>
      <c r="R85" s="1359"/>
      <c r="S85" s="1360"/>
      <c r="T85" s="115">
        <v>1</v>
      </c>
      <c r="U85" s="1358"/>
      <c r="V85" s="1359"/>
      <c r="W85" s="1360"/>
      <c r="X85" s="115"/>
      <c r="Y85" s="1029"/>
      <c r="Z85" s="939"/>
      <c r="AA85" s="1054"/>
      <c r="AB85" s="115"/>
      <c r="AC85" s="1029"/>
      <c r="AD85" s="939"/>
      <c r="AE85" s="1030"/>
    </row>
    <row r="86" spans="2:31" ht="12.75" customHeight="1" x14ac:dyDescent="0.25">
      <c r="B86" s="1379"/>
      <c r="C86" s="1380"/>
      <c r="D86" s="1380"/>
      <c r="E86" s="1380"/>
      <c r="F86" s="1135" t="s">
        <v>676</v>
      </c>
      <c r="G86" s="1364"/>
      <c r="H86" s="115"/>
      <c r="I86" s="1340"/>
      <c r="J86" s="1341"/>
      <c r="K86" s="948"/>
      <c r="L86" s="115">
        <v>0.5</v>
      </c>
      <c r="M86" s="1359"/>
      <c r="N86" s="1359"/>
      <c r="O86" s="1360"/>
      <c r="P86" s="115"/>
      <c r="Q86" s="1358"/>
      <c r="R86" s="1359"/>
      <c r="S86" s="1360"/>
      <c r="T86" s="115">
        <v>0.5</v>
      </c>
      <c r="U86" s="1358"/>
      <c r="V86" s="1359"/>
      <c r="W86" s="1360"/>
      <c r="X86" s="115"/>
      <c r="Y86" s="1029"/>
      <c r="Z86" s="939"/>
      <c r="AA86" s="1054"/>
      <c r="AB86" s="115"/>
      <c r="AC86" s="1029"/>
      <c r="AD86" s="939"/>
      <c r="AE86" s="1030"/>
    </row>
    <row r="87" spans="2:31" ht="12.75" customHeight="1" x14ac:dyDescent="0.25">
      <c r="B87" s="1379"/>
      <c r="C87" s="1380"/>
      <c r="D87" s="1380"/>
      <c r="E87" s="1380"/>
      <c r="F87" s="1135" t="s">
        <v>11</v>
      </c>
      <c r="G87" s="1364"/>
      <c r="H87" s="115"/>
      <c r="I87" s="1340"/>
      <c r="J87" s="1341"/>
      <c r="K87" s="948"/>
      <c r="L87" s="117">
        <v>0.05</v>
      </c>
      <c r="M87" s="1359"/>
      <c r="N87" s="1359"/>
      <c r="O87" s="1360"/>
      <c r="P87" s="115"/>
      <c r="Q87" s="1358"/>
      <c r="R87" s="1359"/>
      <c r="S87" s="1360"/>
      <c r="T87" s="117">
        <v>0.05</v>
      </c>
      <c r="U87" s="1358"/>
      <c r="V87" s="1359"/>
      <c r="W87" s="1360"/>
      <c r="X87" s="115"/>
      <c r="Y87" s="1029"/>
      <c r="Z87" s="939"/>
      <c r="AA87" s="1054"/>
      <c r="AB87" s="115"/>
      <c r="AC87" s="1029"/>
      <c r="AD87" s="939"/>
      <c r="AE87" s="1030"/>
    </row>
    <row r="88" spans="2:31" ht="12.75" customHeight="1" x14ac:dyDescent="0.25">
      <c r="B88" s="1379"/>
      <c r="C88" s="1380"/>
      <c r="D88" s="1380"/>
      <c r="E88" s="1380"/>
      <c r="F88" s="1135" t="s">
        <v>678</v>
      </c>
      <c r="G88" s="1364"/>
      <c r="H88" s="115"/>
      <c r="I88" s="1340"/>
      <c r="J88" s="1341"/>
      <c r="K88" s="948"/>
      <c r="L88" s="115">
        <v>30.2</v>
      </c>
      <c r="M88" s="1359"/>
      <c r="N88" s="1359"/>
      <c r="O88" s="1360"/>
      <c r="P88" s="115"/>
      <c r="Q88" s="1358"/>
      <c r="R88" s="1359"/>
      <c r="S88" s="1360"/>
      <c r="T88" s="115">
        <v>36.5</v>
      </c>
      <c r="U88" s="1358"/>
      <c r="V88" s="1359"/>
      <c r="W88" s="1360"/>
      <c r="X88" s="115"/>
      <c r="Y88" s="1029"/>
      <c r="Z88" s="939"/>
      <c r="AA88" s="1054"/>
      <c r="AB88" s="115"/>
      <c r="AC88" s="1029"/>
      <c r="AD88" s="939"/>
      <c r="AE88" s="1030"/>
    </row>
    <row r="89" spans="2:31" ht="12.75" customHeight="1" x14ac:dyDescent="0.25">
      <c r="B89" s="1379"/>
      <c r="C89" s="1380"/>
      <c r="D89" s="1380"/>
      <c r="E89" s="1380"/>
      <c r="F89" s="1135" t="s">
        <v>1146</v>
      </c>
      <c r="G89" s="1364"/>
      <c r="H89" s="115"/>
      <c r="I89" s="1340"/>
      <c r="J89" s="1341"/>
      <c r="K89" s="948"/>
      <c r="L89" s="115"/>
      <c r="M89" s="1359"/>
      <c r="N89" s="1359"/>
      <c r="O89" s="1360"/>
      <c r="P89" s="115"/>
      <c r="Q89" s="1358"/>
      <c r="R89" s="1359"/>
      <c r="S89" s="1360"/>
      <c r="T89" s="115"/>
      <c r="U89" s="1358"/>
      <c r="V89" s="1359"/>
      <c r="W89" s="1360"/>
      <c r="X89" s="115"/>
      <c r="Y89" s="1029"/>
      <c r="Z89" s="939"/>
      <c r="AA89" s="1054"/>
      <c r="AB89" s="115"/>
      <c r="AC89" s="1029"/>
      <c r="AD89" s="939"/>
      <c r="AE89" s="1030"/>
    </row>
    <row r="90" spans="2:31" ht="12.75" customHeight="1" x14ac:dyDescent="0.25">
      <c r="B90" s="1379"/>
      <c r="C90" s="1380"/>
      <c r="D90" s="1380"/>
      <c r="E90" s="1380"/>
      <c r="F90" s="1135" t="s">
        <v>1148</v>
      </c>
      <c r="G90" s="1364"/>
      <c r="H90" s="115"/>
      <c r="I90" s="953"/>
      <c r="J90" s="1342"/>
      <c r="K90" s="1343"/>
      <c r="L90" s="115">
        <f>+L88*L85*L86</f>
        <v>15.1</v>
      </c>
      <c r="M90" s="1362"/>
      <c r="N90" s="1362"/>
      <c r="O90" s="1363"/>
      <c r="P90" s="115"/>
      <c r="Q90" s="1361"/>
      <c r="R90" s="1362"/>
      <c r="S90" s="1363"/>
      <c r="T90" s="115">
        <f>+T88*T85*T86</f>
        <v>18.25</v>
      </c>
      <c r="U90" s="1361"/>
      <c r="V90" s="1362"/>
      <c r="W90" s="1363"/>
      <c r="X90" s="115"/>
      <c r="Y90" s="1031"/>
      <c r="Z90" s="1032"/>
      <c r="AA90" s="1055"/>
      <c r="AB90" s="115"/>
      <c r="AC90" s="1031"/>
      <c r="AD90" s="1032"/>
      <c r="AE90" s="1033"/>
    </row>
    <row r="91" spans="2:31" ht="12.75" customHeight="1" x14ac:dyDescent="0.25">
      <c r="B91" s="464"/>
      <c r="C91" s="112"/>
      <c r="D91" s="112"/>
      <c r="E91" s="112"/>
      <c r="F91" s="112"/>
      <c r="G91" s="112"/>
      <c r="H91" s="112"/>
      <c r="I91" s="112"/>
      <c r="J91" s="112"/>
      <c r="K91" s="112"/>
      <c r="L91" s="78"/>
      <c r="M91" s="78"/>
      <c r="N91" s="78"/>
      <c r="O91" s="78"/>
      <c r="P91" s="78"/>
      <c r="Q91" s="78"/>
      <c r="R91" s="78"/>
      <c r="S91" s="78"/>
      <c r="T91" s="78"/>
      <c r="U91" s="78"/>
      <c r="V91" s="78"/>
      <c r="W91" s="78"/>
      <c r="X91" s="78"/>
      <c r="Y91" s="78"/>
      <c r="Z91" s="78"/>
      <c r="AA91" s="78"/>
      <c r="AB91" s="78"/>
      <c r="AC91" s="78"/>
      <c r="AD91" s="78"/>
      <c r="AE91" s="340"/>
    </row>
    <row r="92" spans="2:31" ht="12.75" customHeight="1" x14ac:dyDescent="0.25">
      <c r="B92" s="1353" t="s">
        <v>38</v>
      </c>
      <c r="C92" s="1336"/>
      <c r="D92" s="4" t="s">
        <v>39</v>
      </c>
      <c r="E92" s="109" t="s">
        <v>399</v>
      </c>
      <c r="F92" s="1354" t="s">
        <v>673</v>
      </c>
      <c r="G92" s="1378"/>
      <c r="H92" s="1048" t="str">
        <f>$H$4</f>
        <v>BOCATOMA</v>
      </c>
      <c r="I92" s="1336"/>
      <c r="J92" s="1337" t="s">
        <v>53</v>
      </c>
      <c r="K92" s="1337"/>
      <c r="L92" s="1048" t="str">
        <f>$L$4</f>
        <v>DESARENADOR</v>
      </c>
      <c r="M92" s="1336"/>
      <c r="N92" s="1394" t="s">
        <v>692</v>
      </c>
      <c r="O92" s="1395"/>
      <c r="P92" s="1393" t="str">
        <f>$P$4</f>
        <v>PLANTA</v>
      </c>
      <c r="Q92" s="1336"/>
      <c r="R92" s="1337" t="s">
        <v>107</v>
      </c>
      <c r="S92" s="1337"/>
      <c r="T92" s="1048" t="str">
        <f>$T$4</f>
        <v>TANQUE</v>
      </c>
      <c r="U92" s="1336"/>
      <c r="V92" s="1337" t="s">
        <v>1183</v>
      </c>
      <c r="W92" s="1337"/>
      <c r="X92" s="1048" t="str">
        <f>$X$4</f>
        <v>CASETA</v>
      </c>
      <c r="Y92" s="1049"/>
      <c r="Z92" s="1329" t="s">
        <v>1417</v>
      </c>
      <c r="AA92" s="1050"/>
      <c r="AB92" s="1048" t="s">
        <v>1421</v>
      </c>
      <c r="AC92" s="1050"/>
      <c r="AD92" s="1329"/>
      <c r="AE92" s="1330"/>
    </row>
    <row r="93" spans="2:31" ht="12.75" customHeight="1" x14ac:dyDescent="0.25">
      <c r="B93" s="1350" t="str">
        <f>+'PTO OC PLIEGO'!B30</f>
        <v xml:space="preserve">VÁLVULA AQT COMPUERTA ELÁSTICA JUNTA RÁPIDA DE 6" </v>
      </c>
      <c r="C93" s="1405"/>
      <c r="D93" s="1405"/>
      <c r="E93" s="1406"/>
      <c r="F93" s="1135" t="s">
        <v>201</v>
      </c>
      <c r="G93" s="1364"/>
      <c r="H93" s="113">
        <f>+H94</f>
        <v>1</v>
      </c>
      <c r="I93" s="1382"/>
      <c r="J93" s="1383"/>
      <c r="K93" s="1384"/>
      <c r="L93" s="113">
        <f>+L94*L101</f>
        <v>0</v>
      </c>
      <c r="M93" s="1331" t="s">
        <v>885</v>
      </c>
      <c r="N93" s="1338"/>
      <c r="O93" s="1339"/>
      <c r="P93" s="113">
        <f>+P94*P101</f>
        <v>0</v>
      </c>
      <c r="Q93" s="1331" t="s">
        <v>885</v>
      </c>
      <c r="R93" s="1338"/>
      <c r="S93" s="1339"/>
      <c r="T93" s="113">
        <f>+T94*T101</f>
        <v>0</v>
      </c>
      <c r="U93" s="1331" t="s">
        <v>885</v>
      </c>
      <c r="V93" s="1052"/>
      <c r="W93" s="1053"/>
      <c r="X93" s="139">
        <f>+X94*X101</f>
        <v>0</v>
      </c>
      <c r="Y93" s="1331" t="s">
        <v>885</v>
      </c>
      <c r="Z93" s="1052"/>
      <c r="AA93" s="1053"/>
      <c r="AB93" s="139"/>
      <c r="AC93" s="1331" t="s">
        <v>885</v>
      </c>
      <c r="AD93" s="1052"/>
      <c r="AE93" s="1332"/>
    </row>
    <row r="94" spans="2:31" ht="12.75" customHeight="1" x14ac:dyDescent="0.25">
      <c r="B94" s="1407"/>
      <c r="C94" s="1408"/>
      <c r="D94" s="1408"/>
      <c r="E94" s="1409"/>
      <c r="F94" s="1135" t="s">
        <v>132</v>
      </c>
      <c r="G94" s="1364"/>
      <c r="H94" s="115">
        <v>1</v>
      </c>
      <c r="I94" s="1385"/>
      <c r="J94" s="1386"/>
      <c r="K94" s="1387"/>
      <c r="L94" s="115"/>
      <c r="M94" s="1340"/>
      <c r="N94" s="1341"/>
      <c r="O94" s="948"/>
      <c r="P94" s="115"/>
      <c r="Q94" s="1340"/>
      <c r="R94" s="1341"/>
      <c r="S94" s="948"/>
      <c r="T94" s="115"/>
      <c r="U94" s="1029"/>
      <c r="V94" s="939"/>
      <c r="W94" s="1054"/>
      <c r="X94" s="115"/>
      <c r="Y94" s="1029"/>
      <c r="Z94" s="939"/>
      <c r="AA94" s="1054"/>
      <c r="AB94" s="115"/>
      <c r="AC94" s="1029"/>
      <c r="AD94" s="939"/>
      <c r="AE94" s="1030"/>
    </row>
    <row r="95" spans="2:31" ht="12.75" customHeight="1" x14ac:dyDescent="0.25">
      <c r="B95" s="1407"/>
      <c r="C95" s="1408"/>
      <c r="D95" s="1408"/>
      <c r="E95" s="1409"/>
      <c r="F95" s="1135" t="s">
        <v>674</v>
      </c>
      <c r="G95" s="1364"/>
      <c r="H95" s="115"/>
      <c r="I95" s="1385"/>
      <c r="J95" s="1386"/>
      <c r="K95" s="1387"/>
      <c r="L95" s="115"/>
      <c r="M95" s="1340"/>
      <c r="N95" s="1341"/>
      <c r="O95" s="948"/>
      <c r="P95" s="115"/>
      <c r="Q95" s="1340"/>
      <c r="R95" s="1341"/>
      <c r="S95" s="948"/>
      <c r="T95" s="115"/>
      <c r="U95" s="1029"/>
      <c r="V95" s="939"/>
      <c r="W95" s="1054"/>
      <c r="X95" s="115"/>
      <c r="Y95" s="1029"/>
      <c r="Z95" s="939"/>
      <c r="AA95" s="1054"/>
      <c r="AB95" s="115"/>
      <c r="AC95" s="1029"/>
      <c r="AD95" s="939"/>
      <c r="AE95" s="1030"/>
    </row>
    <row r="96" spans="2:31" ht="12.75" customHeight="1" x14ac:dyDescent="0.25">
      <c r="B96" s="1407"/>
      <c r="C96" s="1408"/>
      <c r="D96" s="1408"/>
      <c r="E96" s="1409"/>
      <c r="F96" s="1135" t="s">
        <v>675</v>
      </c>
      <c r="G96" s="1364"/>
      <c r="H96" s="115"/>
      <c r="I96" s="1385"/>
      <c r="J96" s="1386"/>
      <c r="K96" s="1387"/>
      <c r="L96" s="115"/>
      <c r="M96" s="1340"/>
      <c r="N96" s="1341"/>
      <c r="O96" s="948"/>
      <c r="P96" s="115"/>
      <c r="Q96" s="1340"/>
      <c r="R96" s="1341"/>
      <c r="S96" s="948"/>
      <c r="T96" s="115"/>
      <c r="U96" s="1029"/>
      <c r="V96" s="939"/>
      <c r="W96" s="1054"/>
      <c r="X96" s="115"/>
      <c r="Y96" s="1029"/>
      <c r="Z96" s="939"/>
      <c r="AA96" s="1054"/>
      <c r="AB96" s="115"/>
      <c r="AC96" s="1029"/>
      <c r="AD96" s="939"/>
      <c r="AE96" s="1030"/>
    </row>
    <row r="97" spans="2:31" ht="12.75" customHeight="1" x14ac:dyDescent="0.25">
      <c r="B97" s="1407"/>
      <c r="C97" s="1408"/>
      <c r="D97" s="1408"/>
      <c r="E97" s="1409"/>
      <c r="F97" s="1135" t="s">
        <v>684</v>
      </c>
      <c r="G97" s="1364"/>
      <c r="H97" s="115"/>
      <c r="I97" s="1385"/>
      <c r="J97" s="1386"/>
      <c r="K97" s="1387"/>
      <c r="L97" s="115"/>
      <c r="M97" s="1340"/>
      <c r="N97" s="1341"/>
      <c r="O97" s="948"/>
      <c r="P97" s="115"/>
      <c r="Q97" s="1340"/>
      <c r="R97" s="1341"/>
      <c r="S97" s="948"/>
      <c r="T97" s="115"/>
      <c r="U97" s="1029"/>
      <c r="V97" s="939"/>
      <c r="W97" s="1054"/>
      <c r="X97" s="115"/>
      <c r="Y97" s="1029"/>
      <c r="Z97" s="939"/>
      <c r="AA97" s="1054"/>
      <c r="AB97" s="115"/>
      <c r="AC97" s="1029"/>
      <c r="AD97" s="939"/>
      <c r="AE97" s="1030"/>
    </row>
    <row r="98" spans="2:31" ht="12.75" customHeight="1" x14ac:dyDescent="0.25">
      <c r="B98" s="1407"/>
      <c r="C98" s="1408"/>
      <c r="D98" s="1408"/>
      <c r="E98" s="1409"/>
      <c r="F98" s="1135" t="s">
        <v>677</v>
      </c>
      <c r="G98" s="1364"/>
      <c r="H98" s="115"/>
      <c r="I98" s="1385"/>
      <c r="J98" s="1386"/>
      <c r="K98" s="1387"/>
      <c r="L98" s="117"/>
      <c r="M98" s="1340"/>
      <c r="N98" s="1341"/>
      <c r="O98" s="948"/>
      <c r="P98" s="115"/>
      <c r="Q98" s="1340"/>
      <c r="R98" s="1341"/>
      <c r="S98" s="948"/>
      <c r="T98" s="117"/>
      <c r="U98" s="1029"/>
      <c r="V98" s="939"/>
      <c r="W98" s="1054"/>
      <c r="X98" s="115"/>
      <c r="Y98" s="1029"/>
      <c r="Z98" s="939"/>
      <c r="AA98" s="1054"/>
      <c r="AB98" s="115"/>
      <c r="AC98" s="1029"/>
      <c r="AD98" s="939"/>
      <c r="AE98" s="1030"/>
    </row>
    <row r="99" spans="2:31" ht="12.75" customHeight="1" x14ac:dyDescent="0.25">
      <c r="B99" s="1407"/>
      <c r="C99" s="1408"/>
      <c r="D99" s="1408"/>
      <c r="E99" s="1409"/>
      <c r="F99" s="1135" t="s">
        <v>678</v>
      </c>
      <c r="G99" s="1364"/>
      <c r="H99" s="115"/>
      <c r="I99" s="1385"/>
      <c r="J99" s="1386"/>
      <c r="K99" s="1387"/>
      <c r="L99" s="115"/>
      <c r="M99" s="1340"/>
      <c r="N99" s="1341"/>
      <c r="O99" s="948"/>
      <c r="P99" s="115"/>
      <c r="Q99" s="1340"/>
      <c r="R99" s="1341"/>
      <c r="S99" s="948"/>
      <c r="T99" s="115"/>
      <c r="U99" s="1029"/>
      <c r="V99" s="939"/>
      <c r="W99" s="1054"/>
      <c r="X99" s="115"/>
      <c r="Y99" s="1029"/>
      <c r="Z99" s="939"/>
      <c r="AA99" s="1054"/>
      <c r="AB99" s="115"/>
      <c r="AC99" s="1029"/>
      <c r="AD99" s="939"/>
      <c r="AE99" s="1030"/>
    </row>
    <row r="100" spans="2:31" ht="12.75" customHeight="1" x14ac:dyDescent="0.25">
      <c r="B100" s="1407"/>
      <c r="C100" s="1408"/>
      <c r="D100" s="1408"/>
      <c r="E100" s="1409"/>
      <c r="F100" s="1135" t="s">
        <v>1146</v>
      </c>
      <c r="G100" s="1364"/>
      <c r="H100" s="115"/>
      <c r="I100" s="1385"/>
      <c r="J100" s="1386"/>
      <c r="K100" s="1387"/>
      <c r="L100" s="115"/>
      <c r="M100" s="1340"/>
      <c r="N100" s="1341"/>
      <c r="O100" s="948"/>
      <c r="P100" s="115"/>
      <c r="Q100" s="1340"/>
      <c r="R100" s="1341"/>
      <c r="S100" s="948"/>
      <c r="T100" s="115"/>
      <c r="U100" s="1029"/>
      <c r="V100" s="939"/>
      <c r="W100" s="1054"/>
      <c r="X100" s="115"/>
      <c r="Y100" s="1029"/>
      <c r="Z100" s="939"/>
      <c r="AA100" s="1054"/>
      <c r="AB100" s="115"/>
      <c r="AC100" s="1029"/>
      <c r="AD100" s="939"/>
      <c r="AE100" s="1030"/>
    </row>
    <row r="101" spans="2:31" ht="12.75" customHeight="1" x14ac:dyDescent="0.25">
      <c r="B101" s="1410"/>
      <c r="C101" s="1411"/>
      <c r="D101" s="1411"/>
      <c r="E101" s="1412"/>
      <c r="F101" s="1135" t="s">
        <v>1148</v>
      </c>
      <c r="G101" s="1364"/>
      <c r="H101" s="115"/>
      <c r="I101" s="1388"/>
      <c r="J101" s="1389"/>
      <c r="K101" s="1390"/>
      <c r="L101" s="115"/>
      <c r="M101" s="953"/>
      <c r="N101" s="1342"/>
      <c r="O101" s="1343"/>
      <c r="P101" s="115"/>
      <c r="Q101" s="953"/>
      <c r="R101" s="1342"/>
      <c r="S101" s="1343"/>
      <c r="T101" s="115"/>
      <c r="U101" s="1031"/>
      <c r="V101" s="1032"/>
      <c r="W101" s="1055"/>
      <c r="X101" s="115"/>
      <c r="Y101" s="1031"/>
      <c r="Z101" s="1032"/>
      <c r="AA101" s="1055"/>
      <c r="AB101" s="115"/>
      <c r="AC101" s="1031"/>
      <c r="AD101" s="1032"/>
      <c r="AE101" s="1033"/>
    </row>
    <row r="102" spans="2:31" ht="12.75" customHeight="1" x14ac:dyDescent="0.25">
      <c r="B102" s="464"/>
      <c r="C102" s="112"/>
      <c r="D102" s="112"/>
      <c r="E102" s="112"/>
      <c r="F102" s="112"/>
      <c r="G102" s="112"/>
      <c r="H102" s="112"/>
      <c r="I102" s="112"/>
      <c r="J102" s="112"/>
      <c r="K102" s="112"/>
      <c r="L102" s="112"/>
      <c r="M102" s="112"/>
      <c r="N102" s="112"/>
      <c r="O102" s="112"/>
      <c r="P102" s="112"/>
      <c r="Q102" s="112"/>
      <c r="R102" s="112"/>
      <c r="S102" s="112"/>
      <c r="T102" s="112"/>
      <c r="U102" s="112"/>
      <c r="V102" s="112"/>
      <c r="W102" s="112"/>
      <c r="X102" s="78"/>
      <c r="Y102" s="78"/>
      <c r="Z102" s="78"/>
      <c r="AA102" s="78"/>
      <c r="AB102" s="78"/>
      <c r="AC102" s="78"/>
      <c r="AD102" s="78"/>
      <c r="AE102" s="340"/>
    </row>
    <row r="103" spans="2:31" ht="12.75" customHeight="1" x14ac:dyDescent="0.25">
      <c r="B103" s="1353" t="s">
        <v>38</v>
      </c>
      <c r="C103" s="1391"/>
      <c r="D103" s="4" t="s">
        <v>39</v>
      </c>
      <c r="E103" s="109" t="s">
        <v>399</v>
      </c>
      <c r="F103" s="1354" t="s">
        <v>673</v>
      </c>
      <c r="G103" s="1378"/>
      <c r="H103" s="1418" t="str">
        <f>$H$4</f>
        <v>BOCATOMA</v>
      </c>
      <c r="I103" s="1419"/>
      <c r="J103" s="1394"/>
      <c r="K103" s="1395"/>
      <c r="L103" s="1420" t="str">
        <f>$L$4</f>
        <v>DESARENADOR</v>
      </c>
      <c r="M103" s="1419"/>
      <c r="N103" s="1394" t="s">
        <v>693</v>
      </c>
      <c r="O103" s="1395"/>
      <c r="P103" s="1393" t="str">
        <f>$P$4</f>
        <v>PLANTA</v>
      </c>
      <c r="Q103" s="1336"/>
      <c r="R103" s="1337"/>
      <c r="S103" s="1337"/>
      <c r="T103" s="1048" t="str">
        <f>$T$4</f>
        <v>TANQUE</v>
      </c>
      <c r="U103" s="1336"/>
      <c r="V103" s="1337" t="s">
        <v>1184</v>
      </c>
      <c r="W103" s="1337"/>
      <c r="X103" s="1048" t="str">
        <f>$X$4</f>
        <v>CASETA</v>
      </c>
      <c r="Y103" s="1049"/>
      <c r="Z103" s="1329" t="s">
        <v>1418</v>
      </c>
      <c r="AA103" s="1050"/>
      <c r="AB103" s="1048" t="s">
        <v>1421</v>
      </c>
      <c r="AC103" s="1050"/>
      <c r="AD103" s="1329"/>
      <c r="AE103" s="1330"/>
    </row>
    <row r="104" spans="2:31" ht="12.75" customHeight="1" x14ac:dyDescent="0.25">
      <c r="B104" s="1379" t="str">
        <f>+'PTO OC PLIEGO'!B45</f>
        <v>VÁLVULA AQT COMPUERTA ELÁSTICA BRIDADA DE 10" (INCLUYE INSTALACIÓN Y SUMINISTRO)</v>
      </c>
      <c r="C104" s="1380"/>
      <c r="D104" s="1380"/>
      <c r="E104" s="1380"/>
      <c r="F104" s="1135" t="s">
        <v>201</v>
      </c>
      <c r="G104" s="1381"/>
      <c r="H104" s="115"/>
      <c r="I104" s="1331" t="s">
        <v>885</v>
      </c>
      <c r="J104" s="1338"/>
      <c r="K104" s="1339"/>
      <c r="L104" s="113">
        <f>+L105</f>
        <v>1</v>
      </c>
      <c r="M104" s="1359"/>
      <c r="N104" s="1359"/>
      <c r="O104" s="1360"/>
      <c r="P104" s="115"/>
      <c r="Q104" s="1331" t="s">
        <v>885</v>
      </c>
      <c r="R104" s="1356"/>
      <c r="S104" s="1357"/>
      <c r="T104" s="113">
        <f>+T105*T112</f>
        <v>0</v>
      </c>
      <c r="U104" s="1331" t="s">
        <v>885</v>
      </c>
      <c r="V104" s="1356"/>
      <c r="W104" s="1357"/>
      <c r="X104" s="139">
        <f>+X105*X112</f>
        <v>0</v>
      </c>
      <c r="Y104" s="1331" t="s">
        <v>885</v>
      </c>
      <c r="Z104" s="1052"/>
      <c r="AA104" s="1053"/>
      <c r="AB104" s="139"/>
      <c r="AC104" s="1331" t="s">
        <v>885</v>
      </c>
      <c r="AD104" s="1052"/>
      <c r="AE104" s="1332"/>
    </row>
    <row r="105" spans="2:31" ht="12.75" customHeight="1" x14ac:dyDescent="0.25">
      <c r="B105" s="1379"/>
      <c r="C105" s="1380"/>
      <c r="D105" s="1380"/>
      <c r="E105" s="1380"/>
      <c r="F105" s="1135" t="s">
        <v>132</v>
      </c>
      <c r="G105" s="1364"/>
      <c r="H105" s="115"/>
      <c r="I105" s="1340"/>
      <c r="J105" s="1341"/>
      <c r="K105" s="948"/>
      <c r="L105" s="115">
        <v>1</v>
      </c>
      <c r="M105" s="1359"/>
      <c r="N105" s="1359"/>
      <c r="O105" s="1360"/>
      <c r="P105" s="115"/>
      <c r="Q105" s="1358"/>
      <c r="R105" s="1359"/>
      <c r="S105" s="1360"/>
      <c r="T105" s="115"/>
      <c r="U105" s="1358"/>
      <c r="V105" s="1359"/>
      <c r="W105" s="1360"/>
      <c r="X105" s="115"/>
      <c r="Y105" s="1029"/>
      <c r="Z105" s="939"/>
      <c r="AA105" s="1054"/>
      <c r="AB105" s="115"/>
      <c r="AC105" s="1029"/>
      <c r="AD105" s="939"/>
      <c r="AE105" s="1030"/>
    </row>
    <row r="106" spans="2:31" ht="12.75" customHeight="1" x14ac:dyDescent="0.25">
      <c r="B106" s="1379"/>
      <c r="C106" s="1380"/>
      <c r="D106" s="1380"/>
      <c r="E106" s="1380"/>
      <c r="F106" s="1135" t="s">
        <v>674</v>
      </c>
      <c r="G106" s="1364"/>
      <c r="H106" s="115"/>
      <c r="I106" s="1340"/>
      <c r="J106" s="1341"/>
      <c r="K106" s="948"/>
      <c r="L106" s="115"/>
      <c r="M106" s="1359"/>
      <c r="N106" s="1359"/>
      <c r="O106" s="1360"/>
      <c r="P106" s="115"/>
      <c r="Q106" s="1358"/>
      <c r="R106" s="1359"/>
      <c r="S106" s="1360"/>
      <c r="T106" s="115"/>
      <c r="U106" s="1358"/>
      <c r="V106" s="1359"/>
      <c r="W106" s="1360"/>
      <c r="X106" s="115"/>
      <c r="Y106" s="1029"/>
      <c r="Z106" s="939"/>
      <c r="AA106" s="1054"/>
      <c r="AB106" s="115"/>
      <c r="AC106" s="1029"/>
      <c r="AD106" s="939"/>
      <c r="AE106" s="1030"/>
    </row>
    <row r="107" spans="2:31" ht="12.75" customHeight="1" x14ac:dyDescent="0.25">
      <c r="B107" s="1379"/>
      <c r="C107" s="1380"/>
      <c r="D107" s="1380"/>
      <c r="E107" s="1380"/>
      <c r="F107" s="1135" t="s">
        <v>675</v>
      </c>
      <c r="G107" s="1364"/>
      <c r="H107" s="115"/>
      <c r="I107" s="1340"/>
      <c r="J107" s="1341"/>
      <c r="K107" s="948"/>
      <c r="L107" s="115"/>
      <c r="M107" s="1359"/>
      <c r="N107" s="1359"/>
      <c r="O107" s="1360"/>
      <c r="P107" s="115"/>
      <c r="Q107" s="1358"/>
      <c r="R107" s="1359"/>
      <c r="S107" s="1360"/>
      <c r="T107" s="115"/>
      <c r="U107" s="1358"/>
      <c r="V107" s="1359"/>
      <c r="W107" s="1360"/>
      <c r="X107" s="115"/>
      <c r="Y107" s="1029"/>
      <c r="Z107" s="939"/>
      <c r="AA107" s="1054"/>
      <c r="AB107" s="115"/>
      <c r="AC107" s="1029"/>
      <c r="AD107" s="939"/>
      <c r="AE107" s="1030"/>
    </row>
    <row r="108" spans="2:31" ht="12.75" customHeight="1" x14ac:dyDescent="0.25">
      <c r="B108" s="1379"/>
      <c r="C108" s="1380"/>
      <c r="D108" s="1380"/>
      <c r="E108" s="1380"/>
      <c r="F108" s="1135" t="s">
        <v>676</v>
      </c>
      <c r="G108" s="1364"/>
      <c r="H108" s="115"/>
      <c r="I108" s="1340"/>
      <c r="J108" s="1341"/>
      <c r="K108" s="948"/>
      <c r="L108" s="115"/>
      <c r="M108" s="1359"/>
      <c r="N108" s="1359"/>
      <c r="O108" s="1360"/>
      <c r="P108" s="115"/>
      <c r="Q108" s="1358"/>
      <c r="R108" s="1359"/>
      <c r="S108" s="1360"/>
      <c r="T108" s="115"/>
      <c r="U108" s="1358"/>
      <c r="V108" s="1359"/>
      <c r="W108" s="1360"/>
      <c r="X108" s="115"/>
      <c r="Y108" s="1029"/>
      <c r="Z108" s="939"/>
      <c r="AA108" s="1054"/>
      <c r="AB108" s="115"/>
      <c r="AC108" s="1029"/>
      <c r="AD108" s="939"/>
      <c r="AE108" s="1030"/>
    </row>
    <row r="109" spans="2:31" ht="12.75" customHeight="1" x14ac:dyDescent="0.25">
      <c r="B109" s="1379"/>
      <c r="C109" s="1380"/>
      <c r="D109" s="1380"/>
      <c r="E109" s="1380"/>
      <c r="F109" s="1135" t="s">
        <v>11</v>
      </c>
      <c r="G109" s="1364"/>
      <c r="H109" s="115"/>
      <c r="I109" s="1340"/>
      <c r="J109" s="1341"/>
      <c r="K109" s="948"/>
      <c r="L109" s="117"/>
      <c r="M109" s="1359"/>
      <c r="N109" s="1359"/>
      <c r="O109" s="1360"/>
      <c r="P109" s="115"/>
      <c r="Q109" s="1358"/>
      <c r="R109" s="1359"/>
      <c r="S109" s="1360"/>
      <c r="T109" s="115"/>
      <c r="U109" s="1358"/>
      <c r="V109" s="1359"/>
      <c r="W109" s="1360"/>
      <c r="X109" s="115"/>
      <c r="Y109" s="1029"/>
      <c r="Z109" s="939"/>
      <c r="AA109" s="1054"/>
      <c r="AB109" s="115"/>
      <c r="AC109" s="1029"/>
      <c r="AD109" s="939"/>
      <c r="AE109" s="1030"/>
    </row>
    <row r="110" spans="2:31" ht="12.75" customHeight="1" x14ac:dyDescent="0.25">
      <c r="B110" s="1379"/>
      <c r="C110" s="1380"/>
      <c r="D110" s="1380"/>
      <c r="E110" s="1380"/>
      <c r="F110" s="1135" t="s">
        <v>678</v>
      </c>
      <c r="G110" s="1364"/>
      <c r="H110" s="115"/>
      <c r="I110" s="1340"/>
      <c r="J110" s="1341"/>
      <c r="K110" s="948"/>
      <c r="L110" s="115"/>
      <c r="M110" s="1359"/>
      <c r="N110" s="1359"/>
      <c r="O110" s="1360"/>
      <c r="P110" s="115"/>
      <c r="Q110" s="1358"/>
      <c r="R110" s="1359"/>
      <c r="S110" s="1360"/>
      <c r="T110" s="115"/>
      <c r="U110" s="1358"/>
      <c r="V110" s="1359"/>
      <c r="W110" s="1360"/>
      <c r="X110" s="115"/>
      <c r="Y110" s="1029"/>
      <c r="Z110" s="939"/>
      <c r="AA110" s="1054"/>
      <c r="AB110" s="115"/>
      <c r="AC110" s="1029"/>
      <c r="AD110" s="939"/>
      <c r="AE110" s="1030"/>
    </row>
    <row r="111" spans="2:31" ht="12.75" customHeight="1" x14ac:dyDescent="0.25">
      <c r="B111" s="1379"/>
      <c r="C111" s="1380"/>
      <c r="D111" s="1380"/>
      <c r="E111" s="1380"/>
      <c r="F111" s="1135" t="s">
        <v>1146</v>
      </c>
      <c r="G111" s="1364"/>
      <c r="H111" s="115"/>
      <c r="I111" s="1340"/>
      <c r="J111" s="1341"/>
      <c r="K111" s="948"/>
      <c r="L111" s="115"/>
      <c r="M111" s="1359"/>
      <c r="N111" s="1359"/>
      <c r="O111" s="1360"/>
      <c r="P111" s="115"/>
      <c r="Q111" s="1358"/>
      <c r="R111" s="1359"/>
      <c r="S111" s="1360"/>
      <c r="T111" s="115"/>
      <c r="U111" s="1358"/>
      <c r="V111" s="1359"/>
      <c r="W111" s="1360"/>
      <c r="X111" s="115"/>
      <c r="Y111" s="1029"/>
      <c r="Z111" s="939"/>
      <c r="AA111" s="1054"/>
      <c r="AB111" s="115"/>
      <c r="AC111" s="1029"/>
      <c r="AD111" s="939"/>
      <c r="AE111" s="1030"/>
    </row>
    <row r="112" spans="2:31" ht="12.75" customHeight="1" x14ac:dyDescent="0.25">
      <c r="B112" s="1379"/>
      <c r="C112" s="1380"/>
      <c r="D112" s="1380"/>
      <c r="E112" s="1380"/>
      <c r="F112" s="1135" t="s">
        <v>1148</v>
      </c>
      <c r="G112" s="1364"/>
      <c r="H112" s="115"/>
      <c r="I112" s="953"/>
      <c r="J112" s="1342"/>
      <c r="K112" s="1343"/>
      <c r="L112" s="115"/>
      <c r="M112" s="1362"/>
      <c r="N112" s="1362"/>
      <c r="O112" s="1363"/>
      <c r="P112" s="115"/>
      <c r="Q112" s="1361"/>
      <c r="R112" s="1362"/>
      <c r="S112" s="1363"/>
      <c r="T112" s="115"/>
      <c r="U112" s="1361"/>
      <c r="V112" s="1362"/>
      <c r="W112" s="1363"/>
      <c r="X112" s="115"/>
      <c r="Y112" s="1031"/>
      <c r="Z112" s="1032"/>
      <c r="AA112" s="1055"/>
      <c r="AB112" s="115"/>
      <c r="AC112" s="1031"/>
      <c r="AD112" s="1032"/>
      <c r="AE112" s="1033"/>
    </row>
    <row r="113" spans="2:31" ht="12.75" customHeight="1" x14ac:dyDescent="0.25">
      <c r="B113" s="464"/>
      <c r="C113" s="112"/>
      <c r="D113" s="112"/>
      <c r="E113" s="112"/>
      <c r="F113" s="112"/>
      <c r="G113" s="112"/>
      <c r="H113" s="112"/>
      <c r="I113" s="112"/>
      <c r="J113" s="112"/>
      <c r="K113" s="112"/>
      <c r="L113" s="112"/>
      <c r="M113" s="112"/>
      <c r="N113" s="112"/>
      <c r="O113" s="112"/>
      <c r="P113" s="112"/>
      <c r="Q113" s="112"/>
      <c r="R113" s="112"/>
      <c r="S113" s="112"/>
      <c r="T113" s="112"/>
      <c r="U113" s="112"/>
      <c r="V113" s="112"/>
      <c r="W113" s="112"/>
      <c r="X113" s="78"/>
      <c r="Y113" s="78"/>
      <c r="Z113" s="78"/>
      <c r="AA113" s="78"/>
      <c r="AB113" s="78"/>
      <c r="AC113" s="78"/>
      <c r="AD113" s="78"/>
      <c r="AE113" s="340"/>
    </row>
    <row r="114" spans="2:31" ht="12.75" customHeight="1" x14ac:dyDescent="0.25">
      <c r="B114" s="1353" t="s">
        <v>38</v>
      </c>
      <c r="C114" s="1336"/>
      <c r="D114" s="4" t="s">
        <v>39</v>
      </c>
      <c r="E114" s="109" t="s">
        <v>399</v>
      </c>
      <c r="F114" s="1354" t="s">
        <v>673</v>
      </c>
      <c r="G114" s="1378"/>
      <c r="H114" s="1048" t="str">
        <f>$H$4</f>
        <v>BOCATOMA</v>
      </c>
      <c r="I114" s="1336"/>
      <c r="J114" s="1337" t="s">
        <v>55</v>
      </c>
      <c r="K114" s="1337"/>
      <c r="L114" s="1048" t="str">
        <f>$L$4</f>
        <v>DESARENADOR</v>
      </c>
      <c r="M114" s="1336"/>
      <c r="N114" s="1394" t="s">
        <v>87</v>
      </c>
      <c r="O114" s="1395"/>
      <c r="P114" s="1393" t="str">
        <f>$P$4</f>
        <v>PLANTA</v>
      </c>
      <c r="Q114" s="1336"/>
      <c r="R114" s="1337"/>
      <c r="S114" s="1337"/>
      <c r="T114" s="1048" t="str">
        <f>$T$4</f>
        <v>TANQUE</v>
      </c>
      <c r="U114" s="1336"/>
      <c r="V114" s="1337" t="s">
        <v>1185</v>
      </c>
      <c r="W114" s="1337"/>
      <c r="X114" s="1048" t="str">
        <f>$X$4</f>
        <v>CASETA</v>
      </c>
      <c r="Y114" s="1049"/>
      <c r="Z114" s="1329" t="s">
        <v>1419</v>
      </c>
      <c r="AA114" s="1050"/>
      <c r="AB114" s="1048" t="s">
        <v>1421</v>
      </c>
      <c r="AC114" s="1050"/>
      <c r="AD114" s="1329"/>
      <c r="AE114" s="1330"/>
    </row>
    <row r="115" spans="2:31" ht="12.75" customHeight="1" x14ac:dyDescent="0.25">
      <c r="B115" s="1350" t="str">
        <f>+'PTO OC PLIEGO'!B46</f>
        <v>TEE PVC 10" (INCLUYE INSTALACIÓN Y SUMINISTRO)</v>
      </c>
      <c r="C115" s="1405"/>
      <c r="D115" s="1405"/>
      <c r="E115" s="1406"/>
      <c r="F115" s="1135" t="s">
        <v>201</v>
      </c>
      <c r="G115" s="1364"/>
      <c r="H115" s="113">
        <f>+H123*H116</f>
        <v>0</v>
      </c>
      <c r="I115" s="1331" t="s">
        <v>885</v>
      </c>
      <c r="J115" s="1338"/>
      <c r="K115" s="1339"/>
      <c r="L115" s="113">
        <f>+L116</f>
        <v>1</v>
      </c>
      <c r="M115" s="1331"/>
      <c r="N115" s="1356"/>
      <c r="O115" s="1357"/>
      <c r="P115" s="115"/>
      <c r="Q115" s="1331" t="s">
        <v>885</v>
      </c>
      <c r="R115" s="1356"/>
      <c r="S115" s="1357"/>
      <c r="T115" s="113">
        <f>+T116*T123</f>
        <v>0</v>
      </c>
      <c r="U115" s="1331" t="s">
        <v>885</v>
      </c>
      <c r="V115" s="1356"/>
      <c r="W115" s="1357"/>
      <c r="X115" s="113">
        <f>+X116*X123</f>
        <v>0</v>
      </c>
      <c r="Y115" s="1331" t="s">
        <v>885</v>
      </c>
      <c r="Z115" s="1356"/>
      <c r="AA115" s="1357"/>
      <c r="AB115" s="139"/>
      <c r="AC115" s="1331" t="s">
        <v>885</v>
      </c>
      <c r="AD115" s="1052"/>
      <c r="AE115" s="1332"/>
    </row>
    <row r="116" spans="2:31" ht="12.75" customHeight="1" x14ac:dyDescent="0.25">
      <c r="B116" s="1407"/>
      <c r="C116" s="1408"/>
      <c r="D116" s="1408"/>
      <c r="E116" s="1409"/>
      <c r="F116" s="1135" t="s">
        <v>132</v>
      </c>
      <c r="G116" s="1364"/>
      <c r="H116" s="115"/>
      <c r="I116" s="1340"/>
      <c r="J116" s="1341"/>
      <c r="K116" s="948"/>
      <c r="L116" s="115">
        <v>1</v>
      </c>
      <c r="M116" s="1358"/>
      <c r="N116" s="1359"/>
      <c r="O116" s="1360"/>
      <c r="P116" s="115"/>
      <c r="Q116" s="1358"/>
      <c r="R116" s="1359"/>
      <c r="S116" s="1360"/>
      <c r="T116" s="115"/>
      <c r="U116" s="1358"/>
      <c r="V116" s="1359"/>
      <c r="W116" s="1360"/>
      <c r="X116" s="115"/>
      <c r="Y116" s="1358"/>
      <c r="Z116" s="1359"/>
      <c r="AA116" s="1360"/>
      <c r="AB116" s="115"/>
      <c r="AC116" s="1029"/>
      <c r="AD116" s="939"/>
      <c r="AE116" s="1030"/>
    </row>
    <row r="117" spans="2:31" ht="12.75" customHeight="1" x14ac:dyDescent="0.25">
      <c r="B117" s="1407"/>
      <c r="C117" s="1408"/>
      <c r="D117" s="1408"/>
      <c r="E117" s="1409"/>
      <c r="F117" s="1135" t="s">
        <v>1142</v>
      </c>
      <c r="G117" s="1364"/>
      <c r="H117" s="115"/>
      <c r="I117" s="1340"/>
      <c r="J117" s="1341"/>
      <c r="K117" s="948"/>
      <c r="L117" s="115"/>
      <c r="M117" s="1358"/>
      <c r="N117" s="1359"/>
      <c r="O117" s="1360"/>
      <c r="P117" s="115"/>
      <c r="Q117" s="1358"/>
      <c r="R117" s="1359"/>
      <c r="S117" s="1360"/>
      <c r="T117" s="115"/>
      <c r="U117" s="1358"/>
      <c r="V117" s="1359"/>
      <c r="W117" s="1360"/>
      <c r="X117" s="115"/>
      <c r="Y117" s="1358"/>
      <c r="Z117" s="1359"/>
      <c r="AA117" s="1360"/>
      <c r="AB117" s="115"/>
      <c r="AC117" s="1029"/>
      <c r="AD117" s="939"/>
      <c r="AE117" s="1030"/>
    </row>
    <row r="118" spans="2:31" ht="12.75" customHeight="1" x14ac:dyDescent="0.25">
      <c r="B118" s="1407"/>
      <c r="C118" s="1408"/>
      <c r="D118" s="1408"/>
      <c r="E118" s="1409"/>
      <c r="F118" s="1135" t="s">
        <v>1143</v>
      </c>
      <c r="G118" s="1364"/>
      <c r="H118" s="115"/>
      <c r="I118" s="1340"/>
      <c r="J118" s="1341"/>
      <c r="K118" s="948"/>
      <c r="L118" s="115"/>
      <c r="M118" s="1358"/>
      <c r="N118" s="1359"/>
      <c r="O118" s="1360"/>
      <c r="P118" s="115"/>
      <c r="Q118" s="1358"/>
      <c r="R118" s="1359"/>
      <c r="S118" s="1360"/>
      <c r="T118" s="115"/>
      <c r="U118" s="1358"/>
      <c r="V118" s="1359"/>
      <c r="W118" s="1360"/>
      <c r="X118" s="115"/>
      <c r="Y118" s="1358"/>
      <c r="Z118" s="1359"/>
      <c r="AA118" s="1360"/>
      <c r="AB118" s="115"/>
      <c r="AC118" s="1029"/>
      <c r="AD118" s="939"/>
      <c r="AE118" s="1030"/>
    </row>
    <row r="119" spans="2:31" ht="12.75" customHeight="1" x14ac:dyDescent="0.25">
      <c r="B119" s="1407"/>
      <c r="C119" s="1408"/>
      <c r="D119" s="1408"/>
      <c r="E119" s="1409"/>
      <c r="F119" s="1135" t="s">
        <v>1144</v>
      </c>
      <c r="G119" s="1364"/>
      <c r="H119" s="115"/>
      <c r="I119" s="1340"/>
      <c r="J119" s="1341"/>
      <c r="K119" s="948"/>
      <c r="L119" s="115"/>
      <c r="M119" s="1358"/>
      <c r="N119" s="1359"/>
      <c r="O119" s="1360"/>
      <c r="P119" s="115"/>
      <c r="Q119" s="1358"/>
      <c r="R119" s="1359"/>
      <c r="S119" s="1360"/>
      <c r="T119" s="115"/>
      <c r="U119" s="1358"/>
      <c r="V119" s="1359"/>
      <c r="W119" s="1360"/>
      <c r="X119" s="115"/>
      <c r="Y119" s="1358"/>
      <c r="Z119" s="1359"/>
      <c r="AA119" s="1360"/>
      <c r="AB119" s="115"/>
      <c r="AC119" s="1029"/>
      <c r="AD119" s="939"/>
      <c r="AE119" s="1030"/>
    </row>
    <row r="120" spans="2:31" ht="12.75" customHeight="1" x14ac:dyDescent="0.25">
      <c r="B120" s="1407"/>
      <c r="C120" s="1408"/>
      <c r="D120" s="1408"/>
      <c r="E120" s="1409"/>
      <c r="F120" s="1135" t="s">
        <v>1145</v>
      </c>
      <c r="G120" s="1364"/>
      <c r="H120" s="115"/>
      <c r="I120" s="1340"/>
      <c r="J120" s="1341"/>
      <c r="K120" s="948"/>
      <c r="L120" s="115"/>
      <c r="M120" s="1358"/>
      <c r="N120" s="1359"/>
      <c r="O120" s="1360"/>
      <c r="P120" s="115"/>
      <c r="Q120" s="1358"/>
      <c r="R120" s="1359"/>
      <c r="S120" s="1360"/>
      <c r="T120" s="115"/>
      <c r="U120" s="1358"/>
      <c r="V120" s="1359"/>
      <c r="W120" s="1360"/>
      <c r="X120" s="115"/>
      <c r="Y120" s="1358"/>
      <c r="Z120" s="1359"/>
      <c r="AA120" s="1360"/>
      <c r="AB120" s="115"/>
      <c r="AC120" s="1029"/>
      <c r="AD120" s="939"/>
      <c r="AE120" s="1030"/>
    </row>
    <row r="121" spans="2:31" ht="12.75" customHeight="1" x14ac:dyDescent="0.25">
      <c r="B121" s="1407"/>
      <c r="C121" s="1408"/>
      <c r="D121" s="1408"/>
      <c r="E121" s="1409"/>
      <c r="F121" s="1135" t="s">
        <v>677</v>
      </c>
      <c r="G121" s="1364"/>
      <c r="H121" s="115"/>
      <c r="I121" s="1340"/>
      <c r="J121" s="1341"/>
      <c r="K121" s="948"/>
      <c r="L121" s="115"/>
      <c r="M121" s="1358"/>
      <c r="N121" s="1359"/>
      <c r="O121" s="1360"/>
      <c r="P121" s="115"/>
      <c r="Q121" s="1358"/>
      <c r="R121" s="1359"/>
      <c r="S121" s="1360"/>
      <c r="T121" s="115"/>
      <c r="U121" s="1358"/>
      <c r="V121" s="1359"/>
      <c r="W121" s="1360"/>
      <c r="X121" s="115"/>
      <c r="Y121" s="1358"/>
      <c r="Z121" s="1359"/>
      <c r="AA121" s="1360"/>
      <c r="AB121" s="115"/>
      <c r="AC121" s="1029"/>
      <c r="AD121" s="939"/>
      <c r="AE121" s="1030"/>
    </row>
    <row r="122" spans="2:31" ht="12.75" customHeight="1" x14ac:dyDescent="0.25">
      <c r="B122" s="1407"/>
      <c r="C122" s="1408"/>
      <c r="D122" s="1408"/>
      <c r="E122" s="1409"/>
      <c r="F122" s="1135" t="s">
        <v>1146</v>
      </c>
      <c r="G122" s="1364"/>
      <c r="H122" s="115"/>
      <c r="I122" s="1340"/>
      <c r="J122" s="1341"/>
      <c r="K122" s="948"/>
      <c r="L122" s="115"/>
      <c r="M122" s="1358"/>
      <c r="N122" s="1359"/>
      <c r="O122" s="1360"/>
      <c r="P122" s="115"/>
      <c r="Q122" s="1358"/>
      <c r="R122" s="1359"/>
      <c r="S122" s="1360"/>
      <c r="T122" s="115"/>
      <c r="U122" s="1358"/>
      <c r="V122" s="1359"/>
      <c r="W122" s="1360"/>
      <c r="X122" s="115"/>
      <c r="Y122" s="1358"/>
      <c r="Z122" s="1359"/>
      <c r="AA122" s="1360"/>
      <c r="AB122" s="115"/>
      <c r="AC122" s="1029"/>
      <c r="AD122" s="939"/>
      <c r="AE122" s="1030"/>
    </row>
    <row r="123" spans="2:31" ht="12.75" customHeight="1" x14ac:dyDescent="0.25">
      <c r="B123" s="1410"/>
      <c r="C123" s="1411"/>
      <c r="D123" s="1411"/>
      <c r="E123" s="1412"/>
      <c r="F123" s="1135" t="s">
        <v>1148</v>
      </c>
      <c r="G123" s="1364"/>
      <c r="H123" s="115">
        <f>(H117)-H118-H119-H120</f>
        <v>0</v>
      </c>
      <c r="I123" s="953"/>
      <c r="J123" s="1342"/>
      <c r="K123" s="1343"/>
      <c r="L123" s="115"/>
      <c r="M123" s="1361"/>
      <c r="N123" s="1362"/>
      <c r="O123" s="1363"/>
      <c r="P123" s="115"/>
      <c r="Q123" s="1361"/>
      <c r="R123" s="1362"/>
      <c r="S123" s="1363"/>
      <c r="T123" s="115">
        <f>+T117-T118-T119-T120</f>
        <v>0</v>
      </c>
      <c r="U123" s="1361"/>
      <c r="V123" s="1362"/>
      <c r="W123" s="1363"/>
      <c r="X123" s="115">
        <f>+X117-X118-X119-X120</f>
        <v>0</v>
      </c>
      <c r="Y123" s="1361"/>
      <c r="Z123" s="1362"/>
      <c r="AA123" s="1363"/>
      <c r="AB123" s="115"/>
      <c r="AC123" s="1031"/>
      <c r="AD123" s="1032"/>
      <c r="AE123" s="1033"/>
    </row>
    <row r="124" spans="2:31" ht="12.75" customHeight="1" x14ac:dyDescent="0.25">
      <c r="B124" s="463"/>
      <c r="C124" s="78"/>
      <c r="D124" s="78"/>
      <c r="E124" s="78"/>
      <c r="F124" s="78"/>
      <c r="G124" s="78"/>
      <c r="H124" s="78"/>
      <c r="I124" s="78"/>
      <c r="J124" s="78"/>
      <c r="K124" s="78"/>
      <c r="L124" s="112"/>
      <c r="M124" s="112"/>
      <c r="N124" s="112"/>
      <c r="O124" s="112"/>
      <c r="P124" s="112"/>
      <c r="Q124" s="112"/>
      <c r="R124" s="112"/>
      <c r="S124" s="112"/>
      <c r="T124" s="112"/>
      <c r="U124" s="112"/>
      <c r="V124" s="112"/>
      <c r="W124" s="112"/>
      <c r="X124" s="78"/>
      <c r="Y124" s="78"/>
      <c r="Z124" s="78"/>
      <c r="AA124" s="78"/>
      <c r="AB124" s="78"/>
      <c r="AC124" s="78"/>
      <c r="AD124" s="78"/>
      <c r="AE124" s="340"/>
    </row>
    <row r="125" spans="2:31" ht="12.75" customHeight="1" x14ac:dyDescent="0.25">
      <c r="B125" s="1353" t="s">
        <v>38</v>
      </c>
      <c r="C125" s="1336"/>
      <c r="D125" s="4" t="s">
        <v>39</v>
      </c>
      <c r="E125" s="109" t="s">
        <v>399</v>
      </c>
      <c r="F125" s="1354" t="s">
        <v>673</v>
      </c>
      <c r="G125" s="1378"/>
      <c r="H125" s="1048" t="str">
        <f>$H$4</f>
        <v>BOCATOMA</v>
      </c>
      <c r="I125" s="1336"/>
      <c r="J125" s="1337" t="s">
        <v>57</v>
      </c>
      <c r="K125" s="1337"/>
      <c r="L125" s="1048" t="str">
        <f>$L$4</f>
        <v>DESARENADOR</v>
      </c>
      <c r="M125" s="1336"/>
      <c r="N125" s="1337" t="s">
        <v>1157</v>
      </c>
      <c r="O125" s="1337"/>
      <c r="P125" s="1393" t="str">
        <f>$P$4</f>
        <v>PLANTA</v>
      </c>
      <c r="Q125" s="1336"/>
      <c r="R125" s="1337" t="s">
        <v>109</v>
      </c>
      <c r="S125" s="1337"/>
      <c r="T125" s="1048" t="str">
        <f>$T$4</f>
        <v>TANQUE</v>
      </c>
      <c r="U125" s="1336"/>
      <c r="V125" s="1337" t="s">
        <v>1186</v>
      </c>
      <c r="W125" s="1337"/>
      <c r="X125" s="1048" t="str">
        <f>$X$4</f>
        <v>CASETA</v>
      </c>
      <c r="Y125" s="1049"/>
      <c r="Z125" s="1329" t="s">
        <v>1417</v>
      </c>
      <c r="AA125" s="1050"/>
      <c r="AB125" s="1048" t="s">
        <v>1421</v>
      </c>
      <c r="AC125" s="1050"/>
      <c r="AD125" s="1329"/>
      <c r="AE125" s="1330"/>
    </row>
    <row r="126" spans="2:31" ht="12.75" customHeight="1" x14ac:dyDescent="0.25">
      <c r="B126" s="1350" t="str">
        <f>+'PTO OC PLIEGO'!B47</f>
        <v>CODO 90° PVC 10" (INCLUYE INSTALACIÓN Y SUMINISTRO)</v>
      </c>
      <c r="C126" s="1405"/>
      <c r="D126" s="1405"/>
      <c r="E126" s="1406"/>
      <c r="F126" s="1135" t="s">
        <v>201</v>
      </c>
      <c r="G126" s="1364"/>
      <c r="H126" s="113">
        <f>+H127*H134</f>
        <v>0</v>
      </c>
      <c r="I126" s="1331"/>
      <c r="J126" s="1356"/>
      <c r="K126" s="1357"/>
      <c r="L126" s="113">
        <f>+L127</f>
        <v>2</v>
      </c>
      <c r="M126" s="1331"/>
      <c r="N126" s="1356"/>
      <c r="O126" s="1357"/>
      <c r="P126" s="113">
        <f>+P127*P134</f>
        <v>0</v>
      </c>
      <c r="Q126" s="1331" t="s">
        <v>885</v>
      </c>
      <c r="R126" s="1356"/>
      <c r="S126" s="1357"/>
      <c r="T126" s="113">
        <f>+T127*T134</f>
        <v>0</v>
      </c>
      <c r="U126" s="1331" t="s">
        <v>885</v>
      </c>
      <c r="V126" s="1356"/>
      <c r="W126" s="1357"/>
      <c r="X126" s="139"/>
      <c r="Y126" s="1331" t="s">
        <v>885</v>
      </c>
      <c r="Z126" s="1052"/>
      <c r="AA126" s="1053"/>
      <c r="AB126" s="139"/>
      <c r="AC126" s="1331" t="s">
        <v>885</v>
      </c>
      <c r="AD126" s="1052"/>
      <c r="AE126" s="1332"/>
    </row>
    <row r="127" spans="2:31" ht="12.75" customHeight="1" x14ac:dyDescent="0.25">
      <c r="B127" s="1407"/>
      <c r="C127" s="1408"/>
      <c r="D127" s="1408"/>
      <c r="E127" s="1409"/>
      <c r="F127" s="1135" t="s">
        <v>132</v>
      </c>
      <c r="G127" s="1364"/>
      <c r="H127" s="115"/>
      <c r="I127" s="1358"/>
      <c r="J127" s="1359"/>
      <c r="K127" s="1360"/>
      <c r="L127" s="115">
        <v>2</v>
      </c>
      <c r="M127" s="1358"/>
      <c r="N127" s="1359"/>
      <c r="O127" s="1360"/>
      <c r="P127" s="115"/>
      <c r="Q127" s="1358"/>
      <c r="R127" s="1359"/>
      <c r="S127" s="1360"/>
      <c r="T127" s="115"/>
      <c r="U127" s="1358"/>
      <c r="V127" s="1359"/>
      <c r="W127" s="1360"/>
      <c r="X127" s="115"/>
      <c r="Y127" s="1029"/>
      <c r="Z127" s="939"/>
      <c r="AA127" s="1054"/>
      <c r="AB127" s="115"/>
      <c r="AC127" s="1029"/>
      <c r="AD127" s="939"/>
      <c r="AE127" s="1030"/>
    </row>
    <row r="128" spans="2:31" ht="12.75" customHeight="1" x14ac:dyDescent="0.25">
      <c r="B128" s="1407"/>
      <c r="C128" s="1408"/>
      <c r="D128" s="1408"/>
      <c r="E128" s="1409"/>
      <c r="F128" s="1135" t="s">
        <v>674</v>
      </c>
      <c r="G128" s="1364"/>
      <c r="H128" s="115"/>
      <c r="I128" s="1358"/>
      <c r="J128" s="1359"/>
      <c r="K128" s="1360"/>
      <c r="L128" s="115"/>
      <c r="M128" s="1358"/>
      <c r="N128" s="1359"/>
      <c r="O128" s="1360"/>
      <c r="P128" s="115"/>
      <c r="Q128" s="1358"/>
      <c r="R128" s="1359"/>
      <c r="S128" s="1360"/>
      <c r="T128" s="115"/>
      <c r="U128" s="1358"/>
      <c r="V128" s="1359"/>
      <c r="W128" s="1360"/>
      <c r="X128" s="115"/>
      <c r="Y128" s="1029"/>
      <c r="Z128" s="939"/>
      <c r="AA128" s="1054"/>
      <c r="AB128" s="115"/>
      <c r="AC128" s="1029"/>
      <c r="AD128" s="939"/>
      <c r="AE128" s="1030"/>
    </row>
    <row r="129" spans="2:31" ht="12.75" customHeight="1" x14ac:dyDescent="0.25">
      <c r="B129" s="1407"/>
      <c r="C129" s="1408"/>
      <c r="D129" s="1408"/>
      <c r="E129" s="1409"/>
      <c r="F129" s="1135" t="s">
        <v>675</v>
      </c>
      <c r="G129" s="1364"/>
      <c r="H129" s="115"/>
      <c r="I129" s="1358"/>
      <c r="J129" s="1359"/>
      <c r="K129" s="1360"/>
      <c r="L129" s="115"/>
      <c r="M129" s="1358"/>
      <c r="N129" s="1359"/>
      <c r="O129" s="1360"/>
      <c r="P129" s="115"/>
      <c r="Q129" s="1358"/>
      <c r="R129" s="1359"/>
      <c r="S129" s="1360"/>
      <c r="T129" s="115"/>
      <c r="U129" s="1358"/>
      <c r="V129" s="1359"/>
      <c r="W129" s="1360"/>
      <c r="X129" s="115"/>
      <c r="Y129" s="1029"/>
      <c r="Z129" s="939"/>
      <c r="AA129" s="1054"/>
      <c r="AB129" s="115"/>
      <c r="AC129" s="1029"/>
      <c r="AD129" s="939"/>
      <c r="AE129" s="1030"/>
    </row>
    <row r="130" spans="2:31" ht="12.75" customHeight="1" x14ac:dyDescent="0.25">
      <c r="B130" s="1407"/>
      <c r="C130" s="1408"/>
      <c r="D130" s="1408"/>
      <c r="E130" s="1409"/>
      <c r="F130" s="1135" t="s">
        <v>684</v>
      </c>
      <c r="G130" s="1364"/>
      <c r="H130" s="115"/>
      <c r="I130" s="1358"/>
      <c r="J130" s="1359"/>
      <c r="K130" s="1360"/>
      <c r="L130" s="115"/>
      <c r="M130" s="1358"/>
      <c r="N130" s="1359"/>
      <c r="O130" s="1360"/>
      <c r="P130" s="115"/>
      <c r="Q130" s="1358"/>
      <c r="R130" s="1359"/>
      <c r="S130" s="1360"/>
      <c r="T130" s="115"/>
      <c r="U130" s="1358"/>
      <c r="V130" s="1359"/>
      <c r="W130" s="1360"/>
      <c r="X130" s="115"/>
      <c r="Y130" s="1029"/>
      <c r="Z130" s="939"/>
      <c r="AA130" s="1054"/>
      <c r="AB130" s="115"/>
      <c r="AC130" s="1029"/>
      <c r="AD130" s="939"/>
      <c r="AE130" s="1030"/>
    </row>
    <row r="131" spans="2:31" ht="12.75" customHeight="1" x14ac:dyDescent="0.25">
      <c r="B131" s="1407"/>
      <c r="C131" s="1408"/>
      <c r="D131" s="1408"/>
      <c r="E131" s="1409"/>
      <c r="F131" s="1135" t="s">
        <v>677</v>
      </c>
      <c r="G131" s="1364"/>
      <c r="H131" s="115"/>
      <c r="I131" s="1358"/>
      <c r="J131" s="1359"/>
      <c r="K131" s="1360"/>
      <c r="L131" s="115"/>
      <c r="M131" s="1358"/>
      <c r="N131" s="1359"/>
      <c r="O131" s="1360"/>
      <c r="P131" s="115"/>
      <c r="Q131" s="1358"/>
      <c r="R131" s="1359"/>
      <c r="S131" s="1360"/>
      <c r="T131" s="117"/>
      <c r="U131" s="1358"/>
      <c r="V131" s="1359"/>
      <c r="W131" s="1360"/>
      <c r="X131" s="115"/>
      <c r="Y131" s="1029"/>
      <c r="Z131" s="939"/>
      <c r="AA131" s="1054"/>
      <c r="AB131" s="115"/>
      <c r="AC131" s="1029"/>
      <c r="AD131" s="939"/>
      <c r="AE131" s="1030"/>
    </row>
    <row r="132" spans="2:31" ht="12.75" customHeight="1" x14ac:dyDescent="0.25">
      <c r="B132" s="1407"/>
      <c r="C132" s="1408"/>
      <c r="D132" s="1408"/>
      <c r="E132" s="1409"/>
      <c r="F132" s="1135" t="s">
        <v>678</v>
      </c>
      <c r="G132" s="1364"/>
      <c r="H132" s="115"/>
      <c r="I132" s="1358"/>
      <c r="J132" s="1359"/>
      <c r="K132" s="1360"/>
      <c r="L132" s="115"/>
      <c r="M132" s="1358"/>
      <c r="N132" s="1359"/>
      <c r="O132" s="1360"/>
      <c r="P132" s="115"/>
      <c r="Q132" s="1358"/>
      <c r="R132" s="1359"/>
      <c r="S132" s="1360"/>
      <c r="T132" s="115"/>
      <c r="U132" s="1358"/>
      <c r="V132" s="1359"/>
      <c r="W132" s="1360"/>
      <c r="X132" s="115"/>
      <c r="Y132" s="1029"/>
      <c r="Z132" s="939"/>
      <c r="AA132" s="1054"/>
      <c r="AB132" s="115"/>
      <c r="AC132" s="1029"/>
      <c r="AD132" s="939"/>
      <c r="AE132" s="1030"/>
    </row>
    <row r="133" spans="2:31" ht="12.75" customHeight="1" x14ac:dyDescent="0.25">
      <c r="B133" s="1407"/>
      <c r="C133" s="1408"/>
      <c r="D133" s="1408"/>
      <c r="E133" s="1409"/>
      <c r="F133" s="1135" t="s">
        <v>1146</v>
      </c>
      <c r="G133" s="1364"/>
      <c r="H133" s="115"/>
      <c r="I133" s="1358"/>
      <c r="J133" s="1359"/>
      <c r="K133" s="1360"/>
      <c r="L133" s="115"/>
      <c r="M133" s="1358"/>
      <c r="N133" s="1359"/>
      <c r="O133" s="1360"/>
      <c r="P133" s="115"/>
      <c r="Q133" s="1358"/>
      <c r="R133" s="1359"/>
      <c r="S133" s="1360"/>
      <c r="T133" s="115"/>
      <c r="U133" s="1358"/>
      <c r="V133" s="1359"/>
      <c r="W133" s="1360"/>
      <c r="X133" s="115"/>
      <c r="Y133" s="1029"/>
      <c r="Z133" s="939"/>
      <c r="AA133" s="1054"/>
      <c r="AB133" s="115"/>
      <c r="AC133" s="1029"/>
      <c r="AD133" s="939"/>
      <c r="AE133" s="1030"/>
    </row>
    <row r="134" spans="2:31" ht="12.75" customHeight="1" x14ac:dyDescent="0.25">
      <c r="B134" s="1410"/>
      <c r="C134" s="1411"/>
      <c r="D134" s="1411"/>
      <c r="E134" s="1412"/>
      <c r="F134" s="1135" t="s">
        <v>1148</v>
      </c>
      <c r="G134" s="1364"/>
      <c r="H134" s="115"/>
      <c r="I134" s="1361"/>
      <c r="J134" s="1362"/>
      <c r="K134" s="1363"/>
      <c r="L134" s="115"/>
      <c r="M134" s="1361"/>
      <c r="N134" s="1362"/>
      <c r="O134" s="1363"/>
      <c r="P134" s="115"/>
      <c r="Q134" s="1361"/>
      <c r="R134" s="1362"/>
      <c r="S134" s="1363"/>
      <c r="T134" s="115"/>
      <c r="U134" s="1361"/>
      <c r="V134" s="1362"/>
      <c r="W134" s="1363"/>
      <c r="X134" s="115"/>
      <c r="Y134" s="1031"/>
      <c r="Z134" s="1032"/>
      <c r="AA134" s="1055"/>
      <c r="AB134" s="115"/>
      <c r="AC134" s="1031"/>
      <c r="AD134" s="1032"/>
      <c r="AE134" s="1033"/>
    </row>
    <row r="135" spans="2:31" ht="12.75" customHeight="1" x14ac:dyDescent="0.25">
      <c r="B135" s="463"/>
      <c r="C135" s="78"/>
      <c r="D135" s="78"/>
      <c r="E135" s="78"/>
      <c r="F135" s="78"/>
      <c r="G135" s="78"/>
      <c r="H135" s="78"/>
      <c r="I135" s="78"/>
      <c r="J135" s="78"/>
      <c r="K135" s="78"/>
      <c r="L135" s="78"/>
      <c r="M135" s="78"/>
      <c r="N135" s="78"/>
      <c r="O135" s="78"/>
      <c r="P135" s="78"/>
      <c r="Q135" s="78"/>
      <c r="R135" s="78"/>
      <c r="S135" s="78"/>
      <c r="T135" s="78"/>
      <c r="U135" s="78"/>
      <c r="V135" s="78"/>
      <c r="W135" s="78"/>
      <c r="X135" s="78"/>
      <c r="Y135" s="78"/>
      <c r="Z135" s="78"/>
      <c r="AA135" s="78"/>
      <c r="AB135" s="78"/>
      <c r="AC135" s="78"/>
      <c r="AD135" s="78"/>
      <c r="AE135" s="340"/>
    </row>
    <row r="136" spans="2:31" ht="12.75" customHeight="1" x14ac:dyDescent="0.25">
      <c r="B136" s="1353" t="s">
        <v>38</v>
      </c>
      <c r="C136" s="1336"/>
      <c r="D136" s="4" t="s">
        <v>39</v>
      </c>
      <c r="E136" s="109" t="s">
        <v>399</v>
      </c>
      <c r="F136" s="1354" t="s">
        <v>673</v>
      </c>
      <c r="G136" s="1378"/>
      <c r="H136" s="1048" t="str">
        <f>$H$4</f>
        <v>BOCATOMA</v>
      </c>
      <c r="I136" s="1336"/>
      <c r="J136" s="1337"/>
      <c r="K136" s="1337"/>
      <c r="L136" s="1048" t="str">
        <f>$L$4</f>
        <v>DESARENADOR</v>
      </c>
      <c r="M136" s="1336"/>
      <c r="N136" s="1337" t="s">
        <v>1158</v>
      </c>
      <c r="O136" s="1337"/>
      <c r="P136" s="1393" t="str">
        <f>$P$4</f>
        <v>PLANTA</v>
      </c>
      <c r="Q136" s="1336"/>
      <c r="R136" s="1337"/>
      <c r="S136" s="1337"/>
      <c r="T136" s="1048" t="str">
        <f>$T$4</f>
        <v>TANQUE</v>
      </c>
      <c r="U136" s="1336"/>
      <c r="V136" s="1337" t="s">
        <v>1187</v>
      </c>
      <c r="W136" s="1337"/>
      <c r="X136" s="1048" t="str">
        <f>$X$4</f>
        <v>CASETA</v>
      </c>
      <c r="Y136" s="1049"/>
      <c r="Z136" s="1329" t="s">
        <v>1418</v>
      </c>
      <c r="AA136" s="1050"/>
      <c r="AB136" s="1048" t="s">
        <v>1421</v>
      </c>
      <c r="AC136" s="1050"/>
      <c r="AD136" s="1329"/>
      <c r="AE136" s="1330"/>
    </row>
    <row r="137" spans="2:31" ht="12.75" customHeight="1" x14ac:dyDescent="0.25">
      <c r="B137" s="1350" t="str">
        <f>+'PTO OC PLIEGO'!B48:H48</f>
        <v>PASAMUROS PVC 10" E.L L=0.30m (INCLUYE INSTALACIÓN Y SUMINISTRO)</v>
      </c>
      <c r="C137" s="1405"/>
      <c r="D137" s="1405"/>
      <c r="E137" s="1406"/>
      <c r="F137" s="1135" t="s">
        <v>201</v>
      </c>
      <c r="G137" s="1364"/>
      <c r="H137" s="115"/>
      <c r="I137" s="1331" t="s">
        <v>885</v>
      </c>
      <c r="J137" s="1338"/>
      <c r="K137" s="1339"/>
      <c r="L137" s="113">
        <f>+L138</f>
        <v>4</v>
      </c>
      <c r="M137" s="1331"/>
      <c r="N137" s="1356"/>
      <c r="O137" s="1357"/>
      <c r="P137" s="115"/>
      <c r="Q137" s="1331" t="s">
        <v>885</v>
      </c>
      <c r="R137" s="1356"/>
      <c r="S137" s="1357"/>
      <c r="T137" s="113">
        <f>+T138*T145</f>
        <v>0</v>
      </c>
      <c r="U137" s="1331" t="s">
        <v>885</v>
      </c>
      <c r="V137" s="1356"/>
      <c r="W137" s="1357"/>
      <c r="X137" s="139">
        <f>+X138*X145</f>
        <v>1.1599999999999999</v>
      </c>
      <c r="Y137" s="1331" t="s">
        <v>885</v>
      </c>
      <c r="Z137" s="1052"/>
      <c r="AA137" s="1053"/>
      <c r="AB137" s="139"/>
      <c r="AC137" s="1331" t="s">
        <v>885</v>
      </c>
      <c r="AD137" s="1052"/>
      <c r="AE137" s="1332"/>
    </row>
    <row r="138" spans="2:31" ht="12.75" customHeight="1" x14ac:dyDescent="0.25">
      <c r="B138" s="1407"/>
      <c r="C138" s="1408"/>
      <c r="D138" s="1408"/>
      <c r="E138" s="1409"/>
      <c r="F138" s="1135" t="s">
        <v>132</v>
      </c>
      <c r="G138" s="1364"/>
      <c r="H138" s="115"/>
      <c r="I138" s="1340"/>
      <c r="J138" s="1341"/>
      <c r="K138" s="948"/>
      <c r="L138" s="115">
        <v>4</v>
      </c>
      <c r="M138" s="1358"/>
      <c r="N138" s="1359"/>
      <c r="O138" s="1360"/>
      <c r="P138" s="115"/>
      <c r="Q138" s="1358"/>
      <c r="R138" s="1359"/>
      <c r="S138" s="1360"/>
      <c r="T138" s="115"/>
      <c r="U138" s="1358"/>
      <c r="V138" s="1359"/>
      <c r="W138" s="1360"/>
      <c r="X138" s="115">
        <v>1</v>
      </c>
      <c r="Y138" s="1029"/>
      <c r="Z138" s="939"/>
      <c r="AA138" s="1054"/>
      <c r="AB138" s="115"/>
      <c r="AC138" s="1029"/>
      <c r="AD138" s="939"/>
      <c r="AE138" s="1030"/>
    </row>
    <row r="139" spans="2:31" ht="12.75" customHeight="1" x14ac:dyDescent="0.25">
      <c r="B139" s="1407"/>
      <c r="C139" s="1408"/>
      <c r="D139" s="1408"/>
      <c r="E139" s="1409"/>
      <c r="F139" s="1135" t="s">
        <v>674</v>
      </c>
      <c r="G139" s="1364"/>
      <c r="H139" s="115"/>
      <c r="I139" s="1340"/>
      <c r="J139" s="1341"/>
      <c r="K139" s="948"/>
      <c r="L139" s="115"/>
      <c r="M139" s="1358"/>
      <c r="N139" s="1359"/>
      <c r="O139" s="1360"/>
      <c r="P139" s="115"/>
      <c r="Q139" s="1358"/>
      <c r="R139" s="1359"/>
      <c r="S139" s="1360"/>
      <c r="T139" s="115"/>
      <c r="U139" s="1358"/>
      <c r="V139" s="1359"/>
      <c r="W139" s="1360"/>
      <c r="X139" s="115"/>
      <c r="Y139" s="1029"/>
      <c r="Z139" s="939"/>
      <c r="AA139" s="1054"/>
      <c r="AB139" s="115"/>
      <c r="AC139" s="1029"/>
      <c r="AD139" s="939"/>
      <c r="AE139" s="1030"/>
    </row>
    <row r="140" spans="2:31" ht="12.75" customHeight="1" x14ac:dyDescent="0.25">
      <c r="B140" s="1407"/>
      <c r="C140" s="1408"/>
      <c r="D140" s="1408"/>
      <c r="E140" s="1409"/>
      <c r="F140" s="1135" t="s">
        <v>675</v>
      </c>
      <c r="G140" s="1364"/>
      <c r="H140" s="115"/>
      <c r="I140" s="1340"/>
      <c r="J140" s="1341"/>
      <c r="K140" s="948"/>
      <c r="L140" s="115"/>
      <c r="M140" s="1358"/>
      <c r="N140" s="1359"/>
      <c r="O140" s="1360"/>
      <c r="P140" s="115"/>
      <c r="Q140" s="1358"/>
      <c r="R140" s="1359"/>
      <c r="S140" s="1360"/>
      <c r="T140" s="115"/>
      <c r="U140" s="1358"/>
      <c r="V140" s="1359"/>
      <c r="W140" s="1360"/>
      <c r="X140" s="115">
        <v>1</v>
      </c>
      <c r="Y140" s="1029"/>
      <c r="Z140" s="939"/>
      <c r="AA140" s="1054"/>
      <c r="AB140" s="115"/>
      <c r="AC140" s="1029"/>
      <c r="AD140" s="939"/>
      <c r="AE140" s="1030"/>
    </row>
    <row r="141" spans="2:31" ht="12.75" customHeight="1" x14ac:dyDescent="0.25">
      <c r="B141" s="1407"/>
      <c r="C141" s="1408"/>
      <c r="D141" s="1408"/>
      <c r="E141" s="1409"/>
      <c r="F141" s="1135" t="s">
        <v>684</v>
      </c>
      <c r="G141" s="1364"/>
      <c r="H141" s="115"/>
      <c r="I141" s="1340"/>
      <c r="J141" s="1341"/>
      <c r="K141" s="948"/>
      <c r="L141" s="115"/>
      <c r="M141" s="1358"/>
      <c r="N141" s="1359"/>
      <c r="O141" s="1360"/>
      <c r="P141" s="115"/>
      <c r="Q141" s="1358"/>
      <c r="R141" s="1359"/>
      <c r="S141" s="1360"/>
      <c r="T141" s="115"/>
      <c r="U141" s="1358"/>
      <c r="V141" s="1359"/>
      <c r="W141" s="1360"/>
      <c r="X141" s="115">
        <v>0.05</v>
      </c>
      <c r="Y141" s="1029"/>
      <c r="Z141" s="939"/>
      <c r="AA141" s="1054"/>
      <c r="AB141" s="115"/>
      <c r="AC141" s="1029"/>
      <c r="AD141" s="939"/>
      <c r="AE141" s="1030"/>
    </row>
    <row r="142" spans="2:31" ht="12.75" customHeight="1" x14ac:dyDescent="0.25">
      <c r="B142" s="1407"/>
      <c r="C142" s="1408"/>
      <c r="D142" s="1408"/>
      <c r="E142" s="1409"/>
      <c r="F142" s="1135" t="s">
        <v>677</v>
      </c>
      <c r="G142" s="1364"/>
      <c r="H142" s="115"/>
      <c r="I142" s="1340"/>
      <c r="J142" s="1341"/>
      <c r="K142" s="948"/>
      <c r="L142" s="115"/>
      <c r="M142" s="1358"/>
      <c r="N142" s="1359"/>
      <c r="O142" s="1360"/>
      <c r="P142" s="115"/>
      <c r="Q142" s="1358"/>
      <c r="R142" s="1359"/>
      <c r="S142" s="1360"/>
      <c r="T142" s="115"/>
      <c r="U142" s="1358"/>
      <c r="V142" s="1359"/>
      <c r="W142" s="1360"/>
      <c r="X142" s="115"/>
      <c r="Y142" s="1029"/>
      <c r="Z142" s="939"/>
      <c r="AA142" s="1054"/>
      <c r="AB142" s="115"/>
      <c r="AC142" s="1029"/>
      <c r="AD142" s="939"/>
      <c r="AE142" s="1030"/>
    </row>
    <row r="143" spans="2:31" ht="12.75" customHeight="1" x14ac:dyDescent="0.25">
      <c r="B143" s="1407"/>
      <c r="C143" s="1408"/>
      <c r="D143" s="1408"/>
      <c r="E143" s="1409"/>
      <c r="F143" s="1135" t="s">
        <v>678</v>
      </c>
      <c r="G143" s="1364"/>
      <c r="H143" s="115"/>
      <c r="I143" s="1340"/>
      <c r="J143" s="1341"/>
      <c r="K143" s="948"/>
      <c r="L143" s="115"/>
      <c r="M143" s="1358"/>
      <c r="N143" s="1359"/>
      <c r="O143" s="1360"/>
      <c r="P143" s="115"/>
      <c r="Q143" s="1358"/>
      <c r="R143" s="1359"/>
      <c r="S143" s="1360"/>
      <c r="T143" s="115"/>
      <c r="U143" s="1358"/>
      <c r="V143" s="1359"/>
      <c r="W143" s="1360"/>
      <c r="X143" s="115">
        <v>23.2</v>
      </c>
      <c r="Y143" s="1029"/>
      <c r="Z143" s="939"/>
      <c r="AA143" s="1054"/>
      <c r="AB143" s="115"/>
      <c r="AC143" s="1029"/>
      <c r="AD143" s="939"/>
      <c r="AE143" s="1030"/>
    </row>
    <row r="144" spans="2:31" ht="12.75" customHeight="1" x14ac:dyDescent="0.25">
      <c r="B144" s="1407"/>
      <c r="C144" s="1408"/>
      <c r="D144" s="1408"/>
      <c r="E144" s="1409"/>
      <c r="F144" s="1135" t="s">
        <v>1146</v>
      </c>
      <c r="G144" s="1364"/>
      <c r="H144" s="115"/>
      <c r="I144" s="1340"/>
      <c r="J144" s="1341"/>
      <c r="K144" s="948"/>
      <c r="L144" s="115"/>
      <c r="M144" s="1358"/>
      <c r="N144" s="1359"/>
      <c r="O144" s="1360"/>
      <c r="P144" s="115"/>
      <c r="Q144" s="1358"/>
      <c r="R144" s="1359"/>
      <c r="S144" s="1360"/>
      <c r="T144" s="115"/>
      <c r="U144" s="1358"/>
      <c r="V144" s="1359"/>
      <c r="W144" s="1360"/>
      <c r="X144" s="115"/>
      <c r="Y144" s="1029"/>
      <c r="Z144" s="939"/>
      <c r="AA144" s="1054"/>
      <c r="AB144" s="115"/>
      <c r="AC144" s="1029"/>
      <c r="AD144" s="939"/>
      <c r="AE144" s="1030"/>
    </row>
    <row r="145" spans="2:31" ht="12.75" customHeight="1" x14ac:dyDescent="0.25">
      <c r="B145" s="1410"/>
      <c r="C145" s="1411"/>
      <c r="D145" s="1411"/>
      <c r="E145" s="1412"/>
      <c r="F145" s="1135" t="s">
        <v>1148</v>
      </c>
      <c r="G145" s="1364"/>
      <c r="H145" s="115"/>
      <c r="I145" s="953"/>
      <c r="J145" s="1342"/>
      <c r="K145" s="1343"/>
      <c r="L145" s="115">
        <f>+L143*L140*L141</f>
        <v>0</v>
      </c>
      <c r="M145" s="1361"/>
      <c r="N145" s="1362"/>
      <c r="O145" s="1363"/>
      <c r="P145" s="115"/>
      <c r="Q145" s="1361"/>
      <c r="R145" s="1362"/>
      <c r="S145" s="1363"/>
      <c r="T145" s="115"/>
      <c r="U145" s="1361"/>
      <c r="V145" s="1362"/>
      <c r="W145" s="1363"/>
      <c r="X145" s="115">
        <f>+X143*X140*X141</f>
        <v>1.1599999999999999</v>
      </c>
      <c r="Y145" s="1031"/>
      <c r="Z145" s="1032"/>
      <c r="AA145" s="1055"/>
      <c r="AB145" s="115"/>
      <c r="AC145" s="1031"/>
      <c r="AD145" s="1032"/>
      <c r="AE145" s="1033"/>
    </row>
    <row r="146" spans="2:31" ht="12.75" customHeight="1" x14ac:dyDescent="0.25">
      <c r="B146" s="463"/>
      <c r="C146" s="78"/>
      <c r="D146" s="78"/>
      <c r="E146" s="78"/>
      <c r="F146" s="78"/>
      <c r="G146" s="78"/>
      <c r="H146" s="78"/>
      <c r="I146" s="78"/>
      <c r="J146" s="78"/>
      <c r="K146" s="78"/>
      <c r="L146" s="78"/>
      <c r="M146" s="78"/>
      <c r="N146" s="78"/>
      <c r="O146" s="78"/>
      <c r="P146" s="78"/>
      <c r="Q146" s="78"/>
      <c r="R146" s="78"/>
      <c r="S146" s="78"/>
      <c r="T146" s="78"/>
      <c r="U146" s="78"/>
      <c r="V146" s="78"/>
      <c r="W146" s="78"/>
      <c r="X146" s="78"/>
      <c r="Y146" s="78"/>
      <c r="Z146" s="78"/>
      <c r="AA146" s="78"/>
      <c r="AB146" s="78"/>
      <c r="AC146" s="78"/>
      <c r="AD146" s="78"/>
      <c r="AE146" s="340"/>
    </row>
    <row r="147" spans="2:31" ht="12.75" customHeight="1" x14ac:dyDescent="0.25">
      <c r="B147" s="1353" t="s">
        <v>38</v>
      </c>
      <c r="C147" s="1336"/>
      <c r="D147" s="4" t="s">
        <v>39</v>
      </c>
      <c r="E147" s="109" t="s">
        <v>399</v>
      </c>
      <c r="F147" s="1354" t="s">
        <v>673</v>
      </c>
      <c r="G147" s="1378"/>
      <c r="H147" s="1048" t="str">
        <f>$H$4</f>
        <v>BOCATOMA</v>
      </c>
      <c r="I147" s="1336"/>
      <c r="J147" s="1337" t="s">
        <v>59</v>
      </c>
      <c r="K147" s="1337"/>
      <c r="L147" s="1048" t="str">
        <f>$L$4</f>
        <v>DESARENADOR</v>
      </c>
      <c r="M147" s="1336"/>
      <c r="N147" s="1337" t="s">
        <v>59</v>
      </c>
      <c r="O147" s="1337"/>
      <c r="P147" s="1393" t="str">
        <f>$P$4</f>
        <v>PLANTA</v>
      </c>
      <c r="Q147" s="1336"/>
      <c r="R147" s="1337" t="s">
        <v>110</v>
      </c>
      <c r="S147" s="1337"/>
      <c r="T147" s="1048" t="str">
        <f>$T$4</f>
        <v>TANQUE</v>
      </c>
      <c r="U147" s="1336"/>
      <c r="V147" s="1337" t="s">
        <v>1188</v>
      </c>
      <c r="W147" s="1337"/>
      <c r="X147" s="1048" t="str">
        <f>$X$4</f>
        <v>CASETA</v>
      </c>
      <c r="Y147" s="1049"/>
      <c r="Z147" s="1329" t="s">
        <v>1418</v>
      </c>
      <c r="AA147" s="1050"/>
      <c r="AB147" s="1048" t="s">
        <v>1421</v>
      </c>
      <c r="AC147" s="1050"/>
      <c r="AD147" s="1329"/>
      <c r="AE147" s="1330"/>
    </row>
    <row r="148" spans="2:31" ht="12.75" customHeight="1" x14ac:dyDescent="0.25">
      <c r="B148" s="1350" t="str">
        <f>+'PTO OC PLIEGO'!B49:H49</f>
        <v>UNIÓN PVC 10" (INCLUYE INSTALACIÓN Y SUMINISTRO)</v>
      </c>
      <c r="C148" s="1405"/>
      <c r="D148" s="1405"/>
      <c r="E148" s="1406"/>
      <c r="F148" s="1135" t="s">
        <v>201</v>
      </c>
      <c r="G148" s="1364"/>
      <c r="H148" s="113">
        <f>+H149*H156</f>
        <v>0</v>
      </c>
      <c r="I148" s="1331" t="s">
        <v>885</v>
      </c>
      <c r="J148" s="1338"/>
      <c r="K148" s="1339"/>
      <c r="L148" s="113">
        <f>+L149</f>
        <v>6</v>
      </c>
      <c r="M148" s="1331"/>
      <c r="N148" s="1356"/>
      <c r="O148" s="1357"/>
      <c r="P148" s="113">
        <f>+P149*P156</f>
        <v>0</v>
      </c>
      <c r="Q148" s="1331" t="s">
        <v>885</v>
      </c>
      <c r="R148" s="1052"/>
      <c r="S148" s="1053"/>
      <c r="T148" s="113">
        <f>+T149*T156</f>
        <v>0</v>
      </c>
      <c r="U148" s="1331" t="s">
        <v>885</v>
      </c>
      <c r="V148" s="1052"/>
      <c r="W148" s="1053"/>
      <c r="X148" s="139">
        <f>+X149*X156</f>
        <v>0</v>
      </c>
      <c r="Y148" s="1331" t="s">
        <v>885</v>
      </c>
      <c r="Z148" s="1052"/>
      <c r="AA148" s="1053"/>
      <c r="AB148" s="139"/>
      <c r="AC148" s="1331" t="s">
        <v>885</v>
      </c>
      <c r="AD148" s="1052"/>
      <c r="AE148" s="1332"/>
    </row>
    <row r="149" spans="2:31" ht="12.75" customHeight="1" x14ac:dyDescent="0.25">
      <c r="B149" s="1407"/>
      <c r="C149" s="1408"/>
      <c r="D149" s="1408"/>
      <c r="E149" s="1409"/>
      <c r="F149" s="1135" t="s">
        <v>132</v>
      </c>
      <c r="G149" s="1364"/>
      <c r="H149" s="115"/>
      <c r="I149" s="1340"/>
      <c r="J149" s="1341"/>
      <c r="K149" s="948"/>
      <c r="L149" s="115">
        <v>6</v>
      </c>
      <c r="M149" s="1358"/>
      <c r="N149" s="1359"/>
      <c r="O149" s="1360"/>
      <c r="P149" s="115"/>
      <c r="Q149" s="1029"/>
      <c r="R149" s="939"/>
      <c r="S149" s="1054"/>
      <c r="T149" s="115"/>
      <c r="U149" s="1029"/>
      <c r="V149" s="939"/>
      <c r="W149" s="1054"/>
      <c r="X149" s="115"/>
      <c r="Y149" s="1029"/>
      <c r="Z149" s="939"/>
      <c r="AA149" s="1054"/>
      <c r="AB149" s="115"/>
      <c r="AC149" s="1029"/>
      <c r="AD149" s="939"/>
      <c r="AE149" s="1030"/>
    </row>
    <row r="150" spans="2:31" ht="12.75" customHeight="1" x14ac:dyDescent="0.25">
      <c r="B150" s="1407"/>
      <c r="C150" s="1408"/>
      <c r="D150" s="1408"/>
      <c r="E150" s="1409"/>
      <c r="F150" s="1135" t="s">
        <v>674</v>
      </c>
      <c r="G150" s="1364"/>
      <c r="H150" s="115"/>
      <c r="I150" s="1340"/>
      <c r="J150" s="1341"/>
      <c r="K150" s="948"/>
      <c r="L150" s="115"/>
      <c r="M150" s="1358"/>
      <c r="N150" s="1359"/>
      <c r="O150" s="1360"/>
      <c r="P150" s="115"/>
      <c r="Q150" s="1029"/>
      <c r="R150" s="939"/>
      <c r="S150" s="1054"/>
      <c r="T150" s="115"/>
      <c r="U150" s="1029"/>
      <c r="V150" s="939"/>
      <c r="W150" s="1054"/>
      <c r="X150" s="115"/>
      <c r="Y150" s="1029"/>
      <c r="Z150" s="939"/>
      <c r="AA150" s="1054"/>
      <c r="AB150" s="115"/>
      <c r="AC150" s="1029"/>
      <c r="AD150" s="939"/>
      <c r="AE150" s="1030"/>
    </row>
    <row r="151" spans="2:31" ht="12.75" customHeight="1" x14ac:dyDescent="0.25">
      <c r="B151" s="1407"/>
      <c r="C151" s="1408"/>
      <c r="D151" s="1408"/>
      <c r="E151" s="1409"/>
      <c r="F151" s="1135" t="s">
        <v>675</v>
      </c>
      <c r="G151" s="1364"/>
      <c r="H151" s="115"/>
      <c r="I151" s="1340"/>
      <c r="J151" s="1341"/>
      <c r="K151" s="948"/>
      <c r="L151" s="115"/>
      <c r="M151" s="1358"/>
      <c r="N151" s="1359"/>
      <c r="O151" s="1360"/>
      <c r="P151" s="115"/>
      <c r="Q151" s="1029"/>
      <c r="R151" s="939"/>
      <c r="S151" s="1054"/>
      <c r="T151" s="115"/>
      <c r="U151" s="1029"/>
      <c r="V151" s="939"/>
      <c r="W151" s="1054"/>
      <c r="X151" s="115"/>
      <c r="Y151" s="1029"/>
      <c r="Z151" s="939"/>
      <c r="AA151" s="1054"/>
      <c r="AB151" s="115"/>
      <c r="AC151" s="1029"/>
      <c r="AD151" s="939"/>
      <c r="AE151" s="1030"/>
    </row>
    <row r="152" spans="2:31" ht="12.75" customHeight="1" x14ac:dyDescent="0.25">
      <c r="B152" s="1407"/>
      <c r="C152" s="1408"/>
      <c r="D152" s="1408"/>
      <c r="E152" s="1409"/>
      <c r="F152" s="1135" t="s">
        <v>684</v>
      </c>
      <c r="G152" s="1364"/>
      <c r="H152" s="115"/>
      <c r="I152" s="1340"/>
      <c r="J152" s="1341"/>
      <c r="K152" s="948"/>
      <c r="L152" s="115"/>
      <c r="M152" s="1358"/>
      <c r="N152" s="1359"/>
      <c r="O152" s="1360"/>
      <c r="P152" s="115"/>
      <c r="Q152" s="1029"/>
      <c r="R152" s="939"/>
      <c r="S152" s="1054"/>
      <c r="T152" s="115"/>
      <c r="U152" s="1029"/>
      <c r="V152" s="939"/>
      <c r="W152" s="1054"/>
      <c r="X152" s="115"/>
      <c r="Y152" s="1029"/>
      <c r="Z152" s="939"/>
      <c r="AA152" s="1054"/>
      <c r="AB152" s="115"/>
      <c r="AC152" s="1029"/>
      <c r="AD152" s="939"/>
      <c r="AE152" s="1030"/>
    </row>
    <row r="153" spans="2:31" ht="12.75" customHeight="1" x14ac:dyDescent="0.25">
      <c r="B153" s="1407"/>
      <c r="C153" s="1408"/>
      <c r="D153" s="1408"/>
      <c r="E153" s="1409"/>
      <c r="F153" s="1135" t="s">
        <v>677</v>
      </c>
      <c r="G153" s="1364"/>
      <c r="H153" s="115"/>
      <c r="I153" s="1340"/>
      <c r="J153" s="1341"/>
      <c r="K153" s="948"/>
      <c r="L153" s="115"/>
      <c r="M153" s="1358"/>
      <c r="N153" s="1359"/>
      <c r="O153" s="1360"/>
      <c r="P153" s="115"/>
      <c r="Q153" s="1029"/>
      <c r="R153" s="939"/>
      <c r="S153" s="1054"/>
      <c r="T153" s="117"/>
      <c r="U153" s="1029"/>
      <c r="V153" s="939"/>
      <c r="W153" s="1054"/>
      <c r="X153" s="115"/>
      <c r="Y153" s="1029"/>
      <c r="Z153" s="939"/>
      <c r="AA153" s="1054"/>
      <c r="AB153" s="115"/>
      <c r="AC153" s="1029"/>
      <c r="AD153" s="939"/>
      <c r="AE153" s="1030"/>
    </row>
    <row r="154" spans="2:31" ht="12.75" customHeight="1" x14ac:dyDescent="0.25">
      <c r="B154" s="1407"/>
      <c r="C154" s="1408"/>
      <c r="D154" s="1408"/>
      <c r="E154" s="1409"/>
      <c r="F154" s="1135" t="s">
        <v>678</v>
      </c>
      <c r="G154" s="1364"/>
      <c r="H154" s="115"/>
      <c r="I154" s="1340"/>
      <c r="J154" s="1341"/>
      <c r="K154" s="948"/>
      <c r="L154" s="115"/>
      <c r="M154" s="1358"/>
      <c r="N154" s="1359"/>
      <c r="O154" s="1360"/>
      <c r="P154" s="115"/>
      <c r="Q154" s="1029"/>
      <c r="R154" s="939"/>
      <c r="S154" s="1054"/>
      <c r="T154" s="115"/>
      <c r="U154" s="1029"/>
      <c r="V154" s="939"/>
      <c r="W154" s="1054"/>
      <c r="X154" s="115"/>
      <c r="Y154" s="1029"/>
      <c r="Z154" s="939"/>
      <c r="AA154" s="1054"/>
      <c r="AB154" s="115"/>
      <c r="AC154" s="1029"/>
      <c r="AD154" s="939"/>
      <c r="AE154" s="1030"/>
    </row>
    <row r="155" spans="2:31" ht="12.75" customHeight="1" x14ac:dyDescent="0.25">
      <c r="B155" s="1407"/>
      <c r="C155" s="1408"/>
      <c r="D155" s="1408"/>
      <c r="E155" s="1409"/>
      <c r="F155" s="1135" t="s">
        <v>1146</v>
      </c>
      <c r="G155" s="1364"/>
      <c r="H155" s="115"/>
      <c r="I155" s="1340"/>
      <c r="J155" s="1341"/>
      <c r="K155" s="948"/>
      <c r="L155" s="115"/>
      <c r="M155" s="1358"/>
      <c r="N155" s="1359"/>
      <c r="O155" s="1360"/>
      <c r="P155" s="115"/>
      <c r="Q155" s="1029"/>
      <c r="R155" s="939"/>
      <c r="S155" s="1054"/>
      <c r="T155" s="115"/>
      <c r="U155" s="1029"/>
      <c r="V155" s="939"/>
      <c r="W155" s="1054"/>
      <c r="X155" s="115"/>
      <c r="Y155" s="1029"/>
      <c r="Z155" s="939"/>
      <c r="AA155" s="1054"/>
      <c r="AB155" s="115"/>
      <c r="AC155" s="1029"/>
      <c r="AD155" s="939"/>
      <c r="AE155" s="1030"/>
    </row>
    <row r="156" spans="2:31" ht="12.75" customHeight="1" x14ac:dyDescent="0.25">
      <c r="B156" s="1410"/>
      <c r="C156" s="1411"/>
      <c r="D156" s="1411"/>
      <c r="E156" s="1412"/>
      <c r="F156" s="1135" t="s">
        <v>1148</v>
      </c>
      <c r="G156" s="1364"/>
      <c r="H156" s="115"/>
      <c r="I156" s="953"/>
      <c r="J156" s="1342"/>
      <c r="K156" s="1343"/>
      <c r="L156" s="115"/>
      <c r="M156" s="1361"/>
      <c r="N156" s="1362"/>
      <c r="O156" s="1363"/>
      <c r="P156" s="115">
        <f>+P150*P151*P152</f>
        <v>0</v>
      </c>
      <c r="Q156" s="1031"/>
      <c r="R156" s="1032"/>
      <c r="S156" s="1055"/>
      <c r="T156" s="115"/>
      <c r="U156" s="1031"/>
      <c r="V156" s="1032"/>
      <c r="W156" s="1055"/>
      <c r="X156" s="115"/>
      <c r="Y156" s="1031"/>
      <c r="Z156" s="1032"/>
      <c r="AA156" s="1055"/>
      <c r="AB156" s="115"/>
      <c r="AC156" s="1031"/>
      <c r="AD156" s="1032"/>
      <c r="AE156" s="1033"/>
    </row>
    <row r="157" spans="2:31" ht="12.75" customHeight="1" x14ac:dyDescent="0.25">
      <c r="B157" s="463"/>
      <c r="C157" s="78"/>
      <c r="D157" s="78"/>
      <c r="E157" s="78"/>
      <c r="F157" s="78"/>
      <c r="G157" s="78"/>
      <c r="H157" s="78"/>
      <c r="I157" s="78"/>
      <c r="J157" s="78"/>
      <c r="K157" s="78"/>
      <c r="L157" s="116"/>
      <c r="M157" s="116"/>
      <c r="N157" s="116"/>
      <c r="O157" s="116"/>
      <c r="P157" s="116"/>
      <c r="Q157" s="116"/>
      <c r="R157" s="116"/>
      <c r="S157" s="116"/>
      <c r="T157" s="116"/>
      <c r="U157" s="116"/>
      <c r="V157" s="116"/>
      <c r="W157" s="116"/>
      <c r="X157" s="78"/>
      <c r="Y157" s="78"/>
      <c r="Z157" s="78"/>
      <c r="AA157" s="78"/>
      <c r="AB157" s="78"/>
      <c r="AC157" s="78"/>
      <c r="AD157" s="78"/>
      <c r="AE157" s="340"/>
    </row>
    <row r="158" spans="2:31" ht="12.75" customHeight="1" x14ac:dyDescent="0.25">
      <c r="B158" s="1353" t="s">
        <v>38</v>
      </c>
      <c r="C158" s="1336"/>
      <c r="D158" s="4" t="s">
        <v>39</v>
      </c>
      <c r="E158" s="109" t="s">
        <v>399</v>
      </c>
      <c r="F158" s="1354" t="s">
        <v>673</v>
      </c>
      <c r="G158" s="1378"/>
      <c r="H158" s="1048" t="str">
        <f>$H$4</f>
        <v>BOCATOMA</v>
      </c>
      <c r="I158" s="1336"/>
      <c r="J158" s="1337" t="s">
        <v>683</v>
      </c>
      <c r="K158" s="1337"/>
      <c r="L158" s="1048" t="str">
        <f>$L$4</f>
        <v>DESARENADOR</v>
      </c>
      <c r="M158" s="1336"/>
      <c r="N158" s="1337" t="s">
        <v>683</v>
      </c>
      <c r="O158" s="1337"/>
      <c r="P158" s="1393" t="str">
        <f>$P$4</f>
        <v>PLANTA</v>
      </c>
      <c r="Q158" s="1336"/>
      <c r="R158" s="1337"/>
      <c r="S158" s="1337"/>
      <c r="T158" s="1048" t="str">
        <f>$T$4</f>
        <v>TANQUE</v>
      </c>
      <c r="U158" s="1336"/>
      <c r="V158" s="1337" t="s">
        <v>1189</v>
      </c>
      <c r="W158" s="1337"/>
      <c r="X158" s="1048" t="s">
        <v>1414</v>
      </c>
      <c r="Y158" s="1050"/>
      <c r="Z158" s="1329"/>
      <c r="AA158" s="1050"/>
      <c r="AB158" s="1048" t="s">
        <v>1421</v>
      </c>
      <c r="AC158" s="1050"/>
      <c r="AD158" s="1329"/>
      <c r="AE158" s="1330"/>
    </row>
    <row r="159" spans="2:31" ht="12.75" customHeight="1" x14ac:dyDescent="0.25">
      <c r="B159" s="1350" t="str">
        <f>+'PTO OC PLIEGO'!B50:H50</f>
        <v>VÁLVULA AQT COMPUERTA ELÁSTICA BRIDADA DE 8" (INCLUYE INSTALACIÓN Y SUMINISTRO)</v>
      </c>
      <c r="C159" s="1405"/>
      <c r="D159" s="1405"/>
      <c r="E159" s="1406"/>
      <c r="F159" s="1135" t="s">
        <v>201</v>
      </c>
      <c r="G159" s="1364"/>
      <c r="H159" s="113">
        <f>+H160*H167</f>
        <v>0</v>
      </c>
      <c r="I159" s="1331" t="s">
        <v>885</v>
      </c>
      <c r="J159" s="1338"/>
      <c r="K159" s="1339"/>
      <c r="L159" s="113">
        <f>+L160</f>
        <v>3</v>
      </c>
      <c r="M159" s="1331"/>
      <c r="N159" s="1356"/>
      <c r="O159" s="1357"/>
      <c r="P159" s="115"/>
      <c r="Q159" s="1331" t="s">
        <v>885</v>
      </c>
      <c r="R159" s="1356"/>
      <c r="S159" s="1357"/>
      <c r="T159" s="113">
        <f>+T160*T167</f>
        <v>0</v>
      </c>
      <c r="U159" s="1331" t="s">
        <v>885</v>
      </c>
      <c r="V159" s="1356"/>
      <c r="W159" s="1357"/>
      <c r="X159" s="139"/>
      <c r="Y159" s="1331" t="s">
        <v>885</v>
      </c>
      <c r="Z159" s="1052"/>
      <c r="AA159" s="1053"/>
      <c r="AB159" s="139"/>
      <c r="AC159" s="1331" t="s">
        <v>885</v>
      </c>
      <c r="AD159" s="1052"/>
      <c r="AE159" s="1332"/>
    </row>
    <row r="160" spans="2:31" ht="12.75" customHeight="1" x14ac:dyDescent="0.25">
      <c r="B160" s="1407"/>
      <c r="C160" s="1408"/>
      <c r="D160" s="1408"/>
      <c r="E160" s="1409"/>
      <c r="F160" s="1135" t="s">
        <v>132</v>
      </c>
      <c r="G160" s="1364"/>
      <c r="H160" s="115"/>
      <c r="I160" s="1340"/>
      <c r="J160" s="1341"/>
      <c r="K160" s="948"/>
      <c r="L160" s="115">
        <v>3</v>
      </c>
      <c r="M160" s="1358"/>
      <c r="N160" s="1359"/>
      <c r="O160" s="1360"/>
      <c r="P160" s="115"/>
      <c r="Q160" s="1358"/>
      <c r="R160" s="1359"/>
      <c r="S160" s="1360"/>
      <c r="T160" s="115"/>
      <c r="U160" s="1358"/>
      <c r="V160" s="1359"/>
      <c r="W160" s="1360"/>
      <c r="X160" s="115"/>
      <c r="Y160" s="1029"/>
      <c r="Z160" s="939"/>
      <c r="AA160" s="1054"/>
      <c r="AB160" s="115"/>
      <c r="AC160" s="1029"/>
      <c r="AD160" s="939"/>
      <c r="AE160" s="1030"/>
    </row>
    <row r="161" spans="2:31" ht="12.75" customHeight="1" x14ac:dyDescent="0.25">
      <c r="B161" s="1407"/>
      <c r="C161" s="1408"/>
      <c r="D161" s="1408"/>
      <c r="E161" s="1409"/>
      <c r="F161" s="1135" t="s">
        <v>674</v>
      </c>
      <c r="G161" s="1364"/>
      <c r="H161" s="115"/>
      <c r="I161" s="1340"/>
      <c r="J161" s="1341"/>
      <c r="K161" s="948"/>
      <c r="L161" s="115"/>
      <c r="M161" s="1358"/>
      <c r="N161" s="1359"/>
      <c r="O161" s="1360"/>
      <c r="P161" s="115"/>
      <c r="Q161" s="1358"/>
      <c r="R161" s="1359"/>
      <c r="S161" s="1360"/>
      <c r="T161" s="115"/>
      <c r="U161" s="1358"/>
      <c r="V161" s="1359"/>
      <c r="W161" s="1360"/>
      <c r="X161" s="115"/>
      <c r="Y161" s="1029"/>
      <c r="Z161" s="939"/>
      <c r="AA161" s="1054"/>
      <c r="AB161" s="115"/>
      <c r="AC161" s="1029"/>
      <c r="AD161" s="939"/>
      <c r="AE161" s="1030"/>
    </row>
    <row r="162" spans="2:31" ht="12.75" customHeight="1" x14ac:dyDescent="0.25">
      <c r="B162" s="1407"/>
      <c r="C162" s="1408"/>
      <c r="D162" s="1408"/>
      <c r="E162" s="1409"/>
      <c r="F162" s="1135" t="s">
        <v>1140</v>
      </c>
      <c r="G162" s="1364"/>
      <c r="H162" s="115"/>
      <c r="I162" s="1340"/>
      <c r="J162" s="1341"/>
      <c r="K162" s="948"/>
      <c r="L162" s="115"/>
      <c r="M162" s="1358"/>
      <c r="N162" s="1359"/>
      <c r="O162" s="1360"/>
      <c r="P162" s="115"/>
      <c r="Q162" s="1358"/>
      <c r="R162" s="1359"/>
      <c r="S162" s="1360"/>
      <c r="T162" s="115"/>
      <c r="U162" s="1358"/>
      <c r="V162" s="1359"/>
      <c r="W162" s="1360"/>
      <c r="X162" s="115"/>
      <c r="Y162" s="1029"/>
      <c r="Z162" s="939"/>
      <c r="AA162" s="1054"/>
      <c r="AB162" s="115"/>
      <c r="AC162" s="1029"/>
      <c r="AD162" s="939"/>
      <c r="AE162" s="1030"/>
    </row>
    <row r="163" spans="2:31" ht="12.75" customHeight="1" x14ac:dyDescent="0.25">
      <c r="B163" s="1407"/>
      <c r="C163" s="1408"/>
      <c r="D163" s="1408"/>
      <c r="E163" s="1409"/>
      <c r="F163" s="1135" t="s">
        <v>684</v>
      </c>
      <c r="G163" s="1364"/>
      <c r="H163" s="115"/>
      <c r="I163" s="1340"/>
      <c r="J163" s="1341"/>
      <c r="K163" s="948"/>
      <c r="L163" s="115"/>
      <c r="M163" s="1358"/>
      <c r="N163" s="1359"/>
      <c r="O163" s="1360"/>
      <c r="P163" s="115"/>
      <c r="Q163" s="1358"/>
      <c r="R163" s="1359"/>
      <c r="S163" s="1360"/>
      <c r="T163" s="115"/>
      <c r="U163" s="1358"/>
      <c r="V163" s="1359"/>
      <c r="W163" s="1360"/>
      <c r="X163" s="115"/>
      <c r="Y163" s="1029"/>
      <c r="Z163" s="939"/>
      <c r="AA163" s="1054"/>
      <c r="AB163" s="115"/>
      <c r="AC163" s="1029"/>
      <c r="AD163" s="939"/>
      <c r="AE163" s="1030"/>
    </row>
    <row r="164" spans="2:31" ht="12.75" customHeight="1" x14ac:dyDescent="0.25">
      <c r="B164" s="1407"/>
      <c r="C164" s="1408"/>
      <c r="D164" s="1408"/>
      <c r="E164" s="1409"/>
      <c r="F164" s="1135" t="s">
        <v>677</v>
      </c>
      <c r="G164" s="1364"/>
      <c r="H164" s="115"/>
      <c r="I164" s="1340"/>
      <c r="J164" s="1341"/>
      <c r="K164" s="948"/>
      <c r="L164" s="115"/>
      <c r="M164" s="1358"/>
      <c r="N164" s="1359"/>
      <c r="O164" s="1360"/>
      <c r="P164" s="115"/>
      <c r="Q164" s="1358"/>
      <c r="R164" s="1359"/>
      <c r="S164" s="1360"/>
      <c r="T164" s="117"/>
      <c r="U164" s="1358"/>
      <c r="V164" s="1359"/>
      <c r="W164" s="1360"/>
      <c r="X164" s="115"/>
      <c r="Y164" s="1029"/>
      <c r="Z164" s="939"/>
      <c r="AA164" s="1054"/>
      <c r="AB164" s="115"/>
      <c r="AC164" s="1029"/>
      <c r="AD164" s="939"/>
      <c r="AE164" s="1030"/>
    </row>
    <row r="165" spans="2:31" ht="12.75" customHeight="1" x14ac:dyDescent="0.25">
      <c r="B165" s="1407"/>
      <c r="C165" s="1408"/>
      <c r="D165" s="1408"/>
      <c r="E165" s="1409"/>
      <c r="F165" s="1135" t="s">
        <v>678</v>
      </c>
      <c r="G165" s="1364"/>
      <c r="H165" s="115"/>
      <c r="I165" s="1340"/>
      <c r="J165" s="1341"/>
      <c r="K165" s="948"/>
      <c r="L165" s="115"/>
      <c r="M165" s="1358"/>
      <c r="N165" s="1359"/>
      <c r="O165" s="1360"/>
      <c r="P165" s="115"/>
      <c r="Q165" s="1358"/>
      <c r="R165" s="1359"/>
      <c r="S165" s="1360"/>
      <c r="T165" s="115"/>
      <c r="U165" s="1358"/>
      <c r="V165" s="1359"/>
      <c r="W165" s="1360"/>
      <c r="X165" s="115"/>
      <c r="Y165" s="1029"/>
      <c r="Z165" s="939"/>
      <c r="AA165" s="1054"/>
      <c r="AB165" s="115"/>
      <c r="AC165" s="1029"/>
      <c r="AD165" s="939"/>
      <c r="AE165" s="1030"/>
    </row>
    <row r="166" spans="2:31" ht="12.75" customHeight="1" x14ac:dyDescent="0.25">
      <c r="B166" s="1407"/>
      <c r="C166" s="1408"/>
      <c r="D166" s="1408"/>
      <c r="E166" s="1409"/>
      <c r="F166" s="1135" t="s">
        <v>1146</v>
      </c>
      <c r="G166" s="1364"/>
      <c r="H166" s="115"/>
      <c r="I166" s="1340"/>
      <c r="J166" s="1341"/>
      <c r="K166" s="948"/>
      <c r="L166" s="115"/>
      <c r="M166" s="1358"/>
      <c r="N166" s="1359"/>
      <c r="O166" s="1360"/>
      <c r="P166" s="115"/>
      <c r="Q166" s="1358"/>
      <c r="R166" s="1359"/>
      <c r="S166" s="1360"/>
      <c r="T166" s="115"/>
      <c r="U166" s="1358"/>
      <c r="V166" s="1359"/>
      <c r="W166" s="1360"/>
      <c r="X166" s="115"/>
      <c r="Y166" s="1029"/>
      <c r="Z166" s="939"/>
      <c r="AA166" s="1054"/>
      <c r="AB166" s="115"/>
      <c r="AC166" s="1029"/>
      <c r="AD166" s="939"/>
      <c r="AE166" s="1030"/>
    </row>
    <row r="167" spans="2:31" ht="12.75" customHeight="1" x14ac:dyDescent="0.25">
      <c r="B167" s="1410"/>
      <c r="C167" s="1411"/>
      <c r="D167" s="1411"/>
      <c r="E167" s="1412"/>
      <c r="F167" s="1135" t="s">
        <v>1148</v>
      </c>
      <c r="G167" s="1364"/>
      <c r="H167" s="115"/>
      <c r="I167" s="953"/>
      <c r="J167" s="1342"/>
      <c r="K167" s="1343"/>
      <c r="L167" s="115"/>
      <c r="M167" s="1361"/>
      <c r="N167" s="1362"/>
      <c r="O167" s="1363"/>
      <c r="P167" s="115"/>
      <c r="Q167" s="1361"/>
      <c r="R167" s="1362"/>
      <c r="S167" s="1363"/>
      <c r="T167" s="115">
        <f>+T161*T162*T163</f>
        <v>0</v>
      </c>
      <c r="U167" s="1361"/>
      <c r="V167" s="1362"/>
      <c r="W167" s="1363"/>
      <c r="X167" s="115"/>
      <c r="Y167" s="1031"/>
      <c r="Z167" s="1032"/>
      <c r="AA167" s="1055"/>
      <c r="AB167" s="115"/>
      <c r="AC167" s="1031"/>
      <c r="AD167" s="1032"/>
      <c r="AE167" s="1033"/>
    </row>
    <row r="168" spans="2:31" ht="12.75" customHeight="1" x14ac:dyDescent="0.25">
      <c r="B168" s="463"/>
      <c r="C168" s="78"/>
      <c r="D168" s="78"/>
      <c r="E168" s="78"/>
      <c r="F168" s="78"/>
      <c r="G168" s="78"/>
      <c r="H168" s="78"/>
      <c r="I168" s="78"/>
      <c r="J168" s="78"/>
      <c r="K168" s="78"/>
      <c r="L168" s="108"/>
      <c r="M168" s="108"/>
      <c r="N168" s="108"/>
      <c r="O168" s="108"/>
      <c r="P168" s="108"/>
      <c r="Q168" s="108"/>
      <c r="R168" s="108"/>
      <c r="S168" s="108"/>
      <c r="T168" s="108"/>
      <c r="U168" s="108"/>
      <c r="V168" s="108"/>
      <c r="W168" s="108"/>
      <c r="X168" s="78"/>
      <c r="Y168" s="78"/>
      <c r="Z168" s="78"/>
      <c r="AA168" s="78"/>
      <c r="AB168" s="78"/>
      <c r="AC168" s="78"/>
      <c r="AD168" s="78"/>
      <c r="AE168" s="340"/>
    </row>
    <row r="169" spans="2:31" ht="12.75" customHeight="1" x14ac:dyDescent="0.25">
      <c r="B169" s="1353" t="s">
        <v>38</v>
      </c>
      <c r="C169" s="1336"/>
      <c r="D169" s="4" t="s">
        <v>39</v>
      </c>
      <c r="E169" s="109" t="s">
        <v>399</v>
      </c>
      <c r="F169" s="1354" t="s">
        <v>673</v>
      </c>
      <c r="G169" s="1378"/>
      <c r="H169" s="1048" t="str">
        <f>$H$4</f>
        <v>BOCATOMA</v>
      </c>
      <c r="I169" s="1336"/>
      <c r="J169" s="1337" t="s">
        <v>685</v>
      </c>
      <c r="K169" s="1337"/>
      <c r="L169" s="1048" t="str">
        <f>$L$4</f>
        <v>DESARENADOR</v>
      </c>
      <c r="M169" s="1336"/>
      <c r="N169" s="1337" t="s">
        <v>685</v>
      </c>
      <c r="O169" s="1337"/>
      <c r="P169" s="1393" t="str">
        <f>$P$4</f>
        <v>PLANTA</v>
      </c>
      <c r="Q169" s="1336"/>
      <c r="R169" s="1337"/>
      <c r="S169" s="1337"/>
      <c r="T169" s="1048" t="str">
        <f>$T$4</f>
        <v>TANQUE</v>
      </c>
      <c r="U169" s="1336"/>
      <c r="V169" s="1337" t="s">
        <v>1190</v>
      </c>
      <c r="W169" s="1337"/>
      <c r="X169" s="1048" t="s">
        <v>1414</v>
      </c>
      <c r="Y169" s="1050"/>
      <c r="Z169" s="1329"/>
      <c r="AA169" s="1050"/>
      <c r="AB169" s="1048" t="s">
        <v>1421</v>
      </c>
      <c r="AC169" s="1050"/>
      <c r="AD169" s="1329"/>
      <c r="AE169" s="1330"/>
    </row>
    <row r="170" spans="2:31" ht="12.75" customHeight="1" x14ac:dyDescent="0.25">
      <c r="B170" s="1350" t="str">
        <f>+'PTO OC PLIEGO'!B51:H51</f>
        <v>TEE PVC 8" (INCLUYE INSTALACIÓN Y SUMINISTRO)</v>
      </c>
      <c r="C170" s="1405"/>
      <c r="D170" s="1405"/>
      <c r="E170" s="1406"/>
      <c r="F170" s="1135" t="s">
        <v>201</v>
      </c>
      <c r="G170" s="1364"/>
      <c r="H170" s="113">
        <f>+H171*H178</f>
        <v>0</v>
      </c>
      <c r="I170" s="1331" t="s">
        <v>885</v>
      </c>
      <c r="J170" s="1338"/>
      <c r="K170" s="1339"/>
      <c r="L170" s="113">
        <f>+L171</f>
        <v>2</v>
      </c>
      <c r="M170" s="1331"/>
      <c r="N170" s="1356"/>
      <c r="O170" s="1357"/>
      <c r="P170" s="115"/>
      <c r="Q170" s="1331" t="s">
        <v>885</v>
      </c>
      <c r="R170" s="1356"/>
      <c r="S170" s="1357"/>
      <c r="T170" s="113">
        <f>+T171*T178</f>
        <v>0</v>
      </c>
      <c r="U170" s="1331" t="s">
        <v>885</v>
      </c>
      <c r="V170" s="1356"/>
      <c r="W170" s="1357"/>
      <c r="X170" s="139"/>
      <c r="Y170" s="1331" t="s">
        <v>885</v>
      </c>
      <c r="Z170" s="1052"/>
      <c r="AA170" s="1053"/>
      <c r="AB170" s="139"/>
      <c r="AC170" s="1331" t="s">
        <v>885</v>
      </c>
      <c r="AD170" s="1052"/>
      <c r="AE170" s="1332"/>
    </row>
    <row r="171" spans="2:31" ht="12.75" customHeight="1" x14ac:dyDescent="0.25">
      <c r="B171" s="1407"/>
      <c r="C171" s="1408"/>
      <c r="D171" s="1408"/>
      <c r="E171" s="1409"/>
      <c r="F171" s="1135" t="s">
        <v>132</v>
      </c>
      <c r="G171" s="1364"/>
      <c r="H171" s="115"/>
      <c r="I171" s="1340"/>
      <c r="J171" s="1341"/>
      <c r="K171" s="948"/>
      <c r="L171" s="115">
        <v>2</v>
      </c>
      <c r="M171" s="1358"/>
      <c r="N171" s="1359"/>
      <c r="O171" s="1360"/>
      <c r="P171" s="115"/>
      <c r="Q171" s="1358"/>
      <c r="R171" s="1359"/>
      <c r="S171" s="1360"/>
      <c r="T171" s="115"/>
      <c r="U171" s="1358"/>
      <c r="V171" s="1359"/>
      <c r="W171" s="1360"/>
      <c r="X171" s="115"/>
      <c r="Y171" s="1029"/>
      <c r="Z171" s="939"/>
      <c r="AA171" s="1054"/>
      <c r="AB171" s="115"/>
      <c r="AC171" s="1029"/>
      <c r="AD171" s="939"/>
      <c r="AE171" s="1030"/>
    </row>
    <row r="172" spans="2:31" ht="12.75" customHeight="1" x14ac:dyDescent="0.25">
      <c r="B172" s="1407"/>
      <c r="C172" s="1408"/>
      <c r="D172" s="1408"/>
      <c r="E172" s="1409"/>
      <c r="F172" s="1135" t="s">
        <v>674</v>
      </c>
      <c r="G172" s="1364"/>
      <c r="H172" s="115"/>
      <c r="I172" s="1340"/>
      <c r="J172" s="1341"/>
      <c r="K172" s="948"/>
      <c r="L172" s="115"/>
      <c r="M172" s="1358"/>
      <c r="N172" s="1359"/>
      <c r="O172" s="1360"/>
      <c r="P172" s="115"/>
      <c r="Q172" s="1358"/>
      <c r="R172" s="1359"/>
      <c r="S172" s="1360"/>
      <c r="T172" s="115"/>
      <c r="U172" s="1358"/>
      <c r="V172" s="1359"/>
      <c r="W172" s="1360"/>
      <c r="X172" s="115"/>
      <c r="Y172" s="1029"/>
      <c r="Z172" s="939"/>
      <c r="AA172" s="1054"/>
      <c r="AB172" s="115"/>
      <c r="AC172" s="1029"/>
      <c r="AD172" s="939"/>
      <c r="AE172" s="1030"/>
    </row>
    <row r="173" spans="2:31" ht="12.75" customHeight="1" x14ac:dyDescent="0.25">
      <c r="B173" s="1407"/>
      <c r="C173" s="1408"/>
      <c r="D173" s="1408"/>
      <c r="E173" s="1409"/>
      <c r="F173" s="1135" t="s">
        <v>1140</v>
      </c>
      <c r="G173" s="1364"/>
      <c r="H173" s="115"/>
      <c r="I173" s="1340"/>
      <c r="J173" s="1341"/>
      <c r="K173" s="948"/>
      <c r="L173" s="115"/>
      <c r="M173" s="1358"/>
      <c r="N173" s="1359"/>
      <c r="O173" s="1360"/>
      <c r="P173" s="115"/>
      <c r="Q173" s="1358"/>
      <c r="R173" s="1359"/>
      <c r="S173" s="1360"/>
      <c r="T173" s="115"/>
      <c r="U173" s="1358"/>
      <c r="V173" s="1359"/>
      <c r="W173" s="1360"/>
      <c r="X173" s="115"/>
      <c r="Y173" s="1029"/>
      <c r="Z173" s="939"/>
      <c r="AA173" s="1054"/>
      <c r="AB173" s="115"/>
      <c r="AC173" s="1029"/>
      <c r="AD173" s="939"/>
      <c r="AE173" s="1030"/>
    </row>
    <row r="174" spans="2:31" ht="12.75" customHeight="1" x14ac:dyDescent="0.25">
      <c r="B174" s="1407"/>
      <c r="C174" s="1408"/>
      <c r="D174" s="1408"/>
      <c r="E174" s="1409"/>
      <c r="F174" s="1135" t="s">
        <v>684</v>
      </c>
      <c r="G174" s="1364"/>
      <c r="H174" s="115"/>
      <c r="I174" s="1340"/>
      <c r="J174" s="1341"/>
      <c r="K174" s="948"/>
      <c r="L174" s="115"/>
      <c r="M174" s="1358"/>
      <c r="N174" s="1359"/>
      <c r="O174" s="1360"/>
      <c r="P174" s="115"/>
      <c r="Q174" s="1358"/>
      <c r="R174" s="1359"/>
      <c r="S174" s="1360"/>
      <c r="T174" s="115"/>
      <c r="U174" s="1358"/>
      <c r="V174" s="1359"/>
      <c r="W174" s="1360"/>
      <c r="X174" s="115"/>
      <c r="Y174" s="1029"/>
      <c r="Z174" s="939"/>
      <c r="AA174" s="1054"/>
      <c r="AB174" s="115"/>
      <c r="AC174" s="1029"/>
      <c r="AD174" s="939"/>
      <c r="AE174" s="1030"/>
    </row>
    <row r="175" spans="2:31" ht="12.75" customHeight="1" x14ac:dyDescent="0.25">
      <c r="B175" s="1407"/>
      <c r="C175" s="1408"/>
      <c r="D175" s="1408"/>
      <c r="E175" s="1409"/>
      <c r="F175" s="1135" t="s">
        <v>677</v>
      </c>
      <c r="G175" s="1364"/>
      <c r="H175" s="115"/>
      <c r="I175" s="1340"/>
      <c r="J175" s="1341"/>
      <c r="K175" s="948"/>
      <c r="L175" s="115"/>
      <c r="M175" s="1358"/>
      <c r="N175" s="1359"/>
      <c r="O175" s="1360"/>
      <c r="P175" s="115"/>
      <c r="Q175" s="1358"/>
      <c r="R175" s="1359"/>
      <c r="S175" s="1360"/>
      <c r="T175" s="117"/>
      <c r="U175" s="1358"/>
      <c r="V175" s="1359"/>
      <c r="W175" s="1360"/>
      <c r="X175" s="115"/>
      <c r="Y175" s="1029"/>
      <c r="Z175" s="939"/>
      <c r="AA175" s="1054"/>
      <c r="AB175" s="115"/>
      <c r="AC175" s="1029"/>
      <c r="AD175" s="939"/>
      <c r="AE175" s="1030"/>
    </row>
    <row r="176" spans="2:31" ht="12.75" customHeight="1" x14ac:dyDescent="0.25">
      <c r="B176" s="1407"/>
      <c r="C176" s="1408"/>
      <c r="D176" s="1408"/>
      <c r="E176" s="1409"/>
      <c r="F176" s="1135" t="s">
        <v>678</v>
      </c>
      <c r="G176" s="1364"/>
      <c r="H176" s="115"/>
      <c r="I176" s="1340"/>
      <c r="J176" s="1341"/>
      <c r="K176" s="948"/>
      <c r="L176" s="115"/>
      <c r="M176" s="1358"/>
      <c r="N176" s="1359"/>
      <c r="O176" s="1360"/>
      <c r="P176" s="115"/>
      <c r="Q176" s="1358"/>
      <c r="R176" s="1359"/>
      <c r="S176" s="1360"/>
      <c r="T176" s="115"/>
      <c r="U176" s="1358"/>
      <c r="V176" s="1359"/>
      <c r="W176" s="1360"/>
      <c r="X176" s="115"/>
      <c r="Y176" s="1029"/>
      <c r="Z176" s="939"/>
      <c r="AA176" s="1054"/>
      <c r="AB176" s="115"/>
      <c r="AC176" s="1029"/>
      <c r="AD176" s="939"/>
      <c r="AE176" s="1030"/>
    </row>
    <row r="177" spans="2:31" ht="12.75" customHeight="1" x14ac:dyDescent="0.25">
      <c r="B177" s="1407"/>
      <c r="C177" s="1408"/>
      <c r="D177" s="1408"/>
      <c r="E177" s="1409"/>
      <c r="F177" s="1135" t="s">
        <v>1146</v>
      </c>
      <c r="G177" s="1364"/>
      <c r="H177" s="115"/>
      <c r="I177" s="1340"/>
      <c r="J177" s="1341"/>
      <c r="K177" s="948"/>
      <c r="L177" s="115"/>
      <c r="M177" s="1358"/>
      <c r="N177" s="1359"/>
      <c r="O177" s="1360"/>
      <c r="P177" s="115"/>
      <c r="Q177" s="1358"/>
      <c r="R177" s="1359"/>
      <c r="S177" s="1360"/>
      <c r="T177" s="115"/>
      <c r="U177" s="1358"/>
      <c r="V177" s="1359"/>
      <c r="W177" s="1360"/>
      <c r="X177" s="115"/>
      <c r="Y177" s="1029"/>
      <c r="Z177" s="939"/>
      <c r="AA177" s="1054"/>
      <c r="AB177" s="115"/>
      <c r="AC177" s="1029"/>
      <c r="AD177" s="939"/>
      <c r="AE177" s="1030"/>
    </row>
    <row r="178" spans="2:31" ht="12.75" customHeight="1" x14ac:dyDescent="0.25">
      <c r="B178" s="1410"/>
      <c r="C178" s="1411"/>
      <c r="D178" s="1411"/>
      <c r="E178" s="1412"/>
      <c r="F178" s="1135" t="s">
        <v>1148</v>
      </c>
      <c r="G178" s="1364"/>
      <c r="H178" s="115"/>
      <c r="I178" s="953"/>
      <c r="J178" s="1342"/>
      <c r="K178" s="1343"/>
      <c r="L178" s="115"/>
      <c r="M178" s="1361"/>
      <c r="N178" s="1362"/>
      <c r="O178" s="1363"/>
      <c r="P178" s="115"/>
      <c r="Q178" s="1361"/>
      <c r="R178" s="1362"/>
      <c r="S178" s="1363"/>
      <c r="T178" s="115"/>
      <c r="U178" s="1361"/>
      <c r="V178" s="1362"/>
      <c r="W178" s="1363"/>
      <c r="X178" s="115"/>
      <c r="Y178" s="1031"/>
      <c r="Z178" s="1032"/>
      <c r="AA178" s="1055"/>
      <c r="AB178" s="115"/>
      <c r="AC178" s="1031"/>
      <c r="AD178" s="1032"/>
      <c r="AE178" s="1033"/>
    </row>
    <row r="179" spans="2:31" ht="12.75" customHeight="1" x14ac:dyDescent="0.25">
      <c r="B179" s="463"/>
      <c r="C179" s="78"/>
      <c r="D179" s="78"/>
      <c r="E179" s="78"/>
      <c r="F179" s="78"/>
      <c r="G179" s="78"/>
      <c r="H179" s="78"/>
      <c r="I179" s="78"/>
      <c r="J179" s="78"/>
      <c r="K179" s="78"/>
      <c r="L179" s="111"/>
      <c r="M179" s="111"/>
      <c r="N179" s="111"/>
      <c r="O179" s="111"/>
      <c r="P179" s="111"/>
      <c r="Q179" s="111"/>
      <c r="R179" s="111"/>
      <c r="S179" s="111"/>
      <c r="T179" s="111"/>
      <c r="U179" s="111"/>
      <c r="V179" s="111"/>
      <c r="W179" s="111"/>
      <c r="X179" s="78"/>
      <c r="Y179" s="78"/>
      <c r="Z179" s="78"/>
      <c r="AA179" s="78"/>
      <c r="AB179" s="78"/>
      <c r="AC179" s="78"/>
      <c r="AD179" s="78"/>
      <c r="AE179" s="340"/>
    </row>
    <row r="180" spans="2:31" ht="12.75" customHeight="1" x14ac:dyDescent="0.25">
      <c r="B180" s="1353" t="s">
        <v>38</v>
      </c>
      <c r="C180" s="1336"/>
      <c r="D180" s="4" t="s">
        <v>39</v>
      </c>
      <c r="E180" s="109" t="s">
        <v>399</v>
      </c>
      <c r="F180" s="1354" t="s">
        <v>673</v>
      </c>
      <c r="G180" s="1378"/>
      <c r="H180" s="1048" t="str">
        <f>$H$4</f>
        <v>BOCATOMA</v>
      </c>
      <c r="I180" s="1336"/>
      <c r="J180" s="1337"/>
      <c r="K180" s="1337"/>
      <c r="L180" s="1048" t="str">
        <f>$L$4</f>
        <v>DESARENADOR</v>
      </c>
      <c r="M180" s="1336"/>
      <c r="N180" s="1337" t="s">
        <v>686</v>
      </c>
      <c r="O180" s="1337"/>
      <c r="P180" s="1393" t="str">
        <f>$P$4</f>
        <v>PLANTA</v>
      </c>
      <c r="Q180" s="1336"/>
      <c r="R180" s="1337"/>
      <c r="S180" s="1337"/>
      <c r="T180" s="1048" t="str">
        <f>$T$4</f>
        <v>TANQUE</v>
      </c>
      <c r="U180" s="1336"/>
      <c r="V180" s="1337" t="s">
        <v>1191</v>
      </c>
      <c r="W180" s="1337"/>
      <c r="X180" s="1048" t="s">
        <v>1414</v>
      </c>
      <c r="Y180" s="1050"/>
      <c r="Z180" s="1329"/>
      <c r="AA180" s="1050"/>
      <c r="AB180" s="1048" t="s">
        <v>1421</v>
      </c>
      <c r="AC180" s="1050"/>
      <c r="AD180" s="1329"/>
      <c r="AE180" s="1330"/>
    </row>
    <row r="181" spans="2:31" ht="12.75" customHeight="1" x14ac:dyDescent="0.25">
      <c r="B181" s="1350" t="str">
        <f>+'PTO OC PLIEGO'!B52:H52</f>
        <v>CODO 90° PVC 8" (INCLUYE INSTALACIÓN Y SUMINISTRO)</v>
      </c>
      <c r="C181" s="1405"/>
      <c r="D181" s="1405"/>
      <c r="E181" s="1406"/>
      <c r="F181" s="1135" t="s">
        <v>201</v>
      </c>
      <c r="G181" s="1364"/>
      <c r="H181" s="113"/>
      <c r="I181" s="1331" t="s">
        <v>885</v>
      </c>
      <c r="J181" s="1356"/>
      <c r="K181" s="1357"/>
      <c r="L181" s="113">
        <f>+L182</f>
        <v>2</v>
      </c>
      <c r="M181" s="1331"/>
      <c r="N181" s="1356"/>
      <c r="O181" s="1357"/>
      <c r="P181" s="115"/>
      <c r="Q181" s="1331" t="s">
        <v>885</v>
      </c>
      <c r="R181" s="1356"/>
      <c r="S181" s="1357"/>
      <c r="T181" s="113">
        <f>+T182*T189</f>
        <v>0</v>
      </c>
      <c r="U181" s="1331" t="s">
        <v>885</v>
      </c>
      <c r="V181" s="1356"/>
      <c r="W181" s="1357"/>
      <c r="X181" s="139"/>
      <c r="Y181" s="1331" t="s">
        <v>885</v>
      </c>
      <c r="Z181" s="1052"/>
      <c r="AA181" s="1053"/>
      <c r="AB181" s="139"/>
      <c r="AC181" s="1331" t="s">
        <v>885</v>
      </c>
      <c r="AD181" s="1052"/>
      <c r="AE181" s="1332"/>
    </row>
    <row r="182" spans="2:31" ht="12.75" customHeight="1" x14ac:dyDescent="0.25">
      <c r="B182" s="1407"/>
      <c r="C182" s="1408"/>
      <c r="D182" s="1408"/>
      <c r="E182" s="1409"/>
      <c r="F182" s="1135" t="s">
        <v>132</v>
      </c>
      <c r="G182" s="1364"/>
      <c r="H182" s="115"/>
      <c r="I182" s="1358"/>
      <c r="J182" s="1359"/>
      <c r="K182" s="1360"/>
      <c r="L182" s="115">
        <v>2</v>
      </c>
      <c r="M182" s="1358"/>
      <c r="N182" s="1359"/>
      <c r="O182" s="1360"/>
      <c r="P182" s="115"/>
      <c r="Q182" s="1358"/>
      <c r="R182" s="1359"/>
      <c r="S182" s="1360"/>
      <c r="T182" s="115"/>
      <c r="U182" s="1358"/>
      <c r="V182" s="1359"/>
      <c r="W182" s="1360"/>
      <c r="X182" s="115"/>
      <c r="Y182" s="1029"/>
      <c r="Z182" s="939"/>
      <c r="AA182" s="1054"/>
      <c r="AB182" s="115"/>
      <c r="AC182" s="1029"/>
      <c r="AD182" s="939"/>
      <c r="AE182" s="1030"/>
    </row>
    <row r="183" spans="2:31" ht="12.75" customHeight="1" x14ac:dyDescent="0.25">
      <c r="B183" s="1407"/>
      <c r="C183" s="1408"/>
      <c r="D183" s="1408"/>
      <c r="E183" s="1409"/>
      <c r="F183" s="1135" t="s">
        <v>674</v>
      </c>
      <c r="G183" s="1364"/>
      <c r="H183" s="115"/>
      <c r="I183" s="1358"/>
      <c r="J183" s="1359"/>
      <c r="K183" s="1360"/>
      <c r="L183" s="115"/>
      <c r="M183" s="1358"/>
      <c r="N183" s="1359"/>
      <c r="O183" s="1360"/>
      <c r="P183" s="115"/>
      <c r="Q183" s="1358"/>
      <c r="R183" s="1359"/>
      <c r="S183" s="1360"/>
      <c r="T183" s="115"/>
      <c r="U183" s="1358"/>
      <c r="V183" s="1359"/>
      <c r="W183" s="1360"/>
      <c r="X183" s="115"/>
      <c r="Y183" s="1029"/>
      <c r="Z183" s="939"/>
      <c r="AA183" s="1054"/>
      <c r="AB183" s="115"/>
      <c r="AC183" s="1029"/>
      <c r="AD183" s="939"/>
      <c r="AE183" s="1030"/>
    </row>
    <row r="184" spans="2:31" ht="12.75" customHeight="1" x14ac:dyDescent="0.25">
      <c r="B184" s="1407"/>
      <c r="C184" s="1408"/>
      <c r="D184" s="1408"/>
      <c r="E184" s="1409"/>
      <c r="F184" s="1135" t="s">
        <v>1140</v>
      </c>
      <c r="G184" s="1364"/>
      <c r="H184" s="115"/>
      <c r="I184" s="1358"/>
      <c r="J184" s="1359"/>
      <c r="K184" s="1360"/>
      <c r="L184" s="115"/>
      <c r="M184" s="1358"/>
      <c r="N184" s="1359"/>
      <c r="O184" s="1360"/>
      <c r="P184" s="115"/>
      <c r="Q184" s="1358"/>
      <c r="R184" s="1359"/>
      <c r="S184" s="1360"/>
      <c r="T184" s="115"/>
      <c r="U184" s="1358"/>
      <c r="V184" s="1359"/>
      <c r="W184" s="1360"/>
      <c r="X184" s="115"/>
      <c r="Y184" s="1029"/>
      <c r="Z184" s="939"/>
      <c r="AA184" s="1054"/>
      <c r="AB184" s="115"/>
      <c r="AC184" s="1029"/>
      <c r="AD184" s="939"/>
      <c r="AE184" s="1030"/>
    </row>
    <row r="185" spans="2:31" ht="12.75" customHeight="1" x14ac:dyDescent="0.25">
      <c r="B185" s="1407"/>
      <c r="C185" s="1408"/>
      <c r="D185" s="1408"/>
      <c r="E185" s="1409"/>
      <c r="F185" s="1135" t="s">
        <v>684</v>
      </c>
      <c r="G185" s="1364"/>
      <c r="H185" s="115"/>
      <c r="I185" s="1358"/>
      <c r="J185" s="1359"/>
      <c r="K185" s="1360"/>
      <c r="L185" s="115"/>
      <c r="M185" s="1358"/>
      <c r="N185" s="1359"/>
      <c r="O185" s="1360"/>
      <c r="P185" s="115"/>
      <c r="Q185" s="1358"/>
      <c r="R185" s="1359"/>
      <c r="S185" s="1360"/>
      <c r="T185" s="115"/>
      <c r="U185" s="1358"/>
      <c r="V185" s="1359"/>
      <c r="W185" s="1360"/>
      <c r="X185" s="115"/>
      <c r="Y185" s="1029"/>
      <c r="Z185" s="939"/>
      <c r="AA185" s="1054"/>
      <c r="AB185" s="115"/>
      <c r="AC185" s="1029"/>
      <c r="AD185" s="939"/>
      <c r="AE185" s="1030"/>
    </row>
    <row r="186" spans="2:31" ht="12.75" customHeight="1" x14ac:dyDescent="0.25">
      <c r="B186" s="1407"/>
      <c r="C186" s="1408"/>
      <c r="D186" s="1408"/>
      <c r="E186" s="1409"/>
      <c r="F186" s="1135" t="s">
        <v>677</v>
      </c>
      <c r="G186" s="1364"/>
      <c r="H186" s="115"/>
      <c r="I186" s="1358"/>
      <c r="J186" s="1359"/>
      <c r="K186" s="1360"/>
      <c r="L186" s="115"/>
      <c r="M186" s="1358"/>
      <c r="N186" s="1359"/>
      <c r="O186" s="1360"/>
      <c r="P186" s="115"/>
      <c r="Q186" s="1358"/>
      <c r="R186" s="1359"/>
      <c r="S186" s="1360"/>
      <c r="T186" s="117"/>
      <c r="U186" s="1358"/>
      <c r="V186" s="1359"/>
      <c r="W186" s="1360"/>
      <c r="X186" s="115"/>
      <c r="Y186" s="1029"/>
      <c r="Z186" s="939"/>
      <c r="AA186" s="1054"/>
      <c r="AB186" s="115"/>
      <c r="AC186" s="1029"/>
      <c r="AD186" s="939"/>
      <c r="AE186" s="1030"/>
    </row>
    <row r="187" spans="2:31" ht="12.75" customHeight="1" x14ac:dyDescent="0.25">
      <c r="B187" s="1407"/>
      <c r="C187" s="1408"/>
      <c r="D187" s="1408"/>
      <c r="E187" s="1409"/>
      <c r="F187" s="1135" t="s">
        <v>678</v>
      </c>
      <c r="G187" s="1364"/>
      <c r="H187" s="115"/>
      <c r="I187" s="1358"/>
      <c r="J187" s="1359"/>
      <c r="K187" s="1360"/>
      <c r="L187" s="115"/>
      <c r="M187" s="1358"/>
      <c r="N187" s="1359"/>
      <c r="O187" s="1360"/>
      <c r="P187" s="115"/>
      <c r="Q187" s="1358"/>
      <c r="R187" s="1359"/>
      <c r="S187" s="1360"/>
      <c r="T187" s="115"/>
      <c r="U187" s="1358"/>
      <c r="V187" s="1359"/>
      <c r="W187" s="1360"/>
      <c r="X187" s="115"/>
      <c r="Y187" s="1029"/>
      <c r="Z187" s="939"/>
      <c r="AA187" s="1054"/>
      <c r="AB187" s="115"/>
      <c r="AC187" s="1029"/>
      <c r="AD187" s="939"/>
      <c r="AE187" s="1030"/>
    </row>
    <row r="188" spans="2:31" ht="12.75" customHeight="1" x14ac:dyDescent="0.25">
      <c r="B188" s="1407"/>
      <c r="C188" s="1408"/>
      <c r="D188" s="1408"/>
      <c r="E188" s="1409"/>
      <c r="F188" s="1135" t="s">
        <v>1146</v>
      </c>
      <c r="G188" s="1364"/>
      <c r="H188" s="115"/>
      <c r="I188" s="1358"/>
      <c r="J188" s="1359"/>
      <c r="K188" s="1360"/>
      <c r="L188" s="115"/>
      <c r="M188" s="1358"/>
      <c r="N188" s="1359"/>
      <c r="O188" s="1360"/>
      <c r="P188" s="115"/>
      <c r="Q188" s="1358"/>
      <c r="R188" s="1359"/>
      <c r="S188" s="1360"/>
      <c r="T188" s="115"/>
      <c r="U188" s="1358"/>
      <c r="V188" s="1359"/>
      <c r="W188" s="1360"/>
      <c r="X188" s="115"/>
      <c r="Y188" s="1029"/>
      <c r="Z188" s="939"/>
      <c r="AA188" s="1054"/>
      <c r="AB188" s="115"/>
      <c r="AC188" s="1029"/>
      <c r="AD188" s="939"/>
      <c r="AE188" s="1030"/>
    </row>
    <row r="189" spans="2:31" ht="12.75" customHeight="1" x14ac:dyDescent="0.25">
      <c r="B189" s="1410"/>
      <c r="C189" s="1411"/>
      <c r="D189" s="1411"/>
      <c r="E189" s="1412"/>
      <c r="F189" s="1135" t="s">
        <v>1148</v>
      </c>
      <c r="G189" s="1364"/>
      <c r="H189" s="115"/>
      <c r="I189" s="1361"/>
      <c r="J189" s="1362"/>
      <c r="K189" s="1363"/>
      <c r="L189" s="115"/>
      <c r="M189" s="1361"/>
      <c r="N189" s="1362"/>
      <c r="O189" s="1363"/>
      <c r="P189" s="115"/>
      <c r="Q189" s="1361"/>
      <c r="R189" s="1362"/>
      <c r="S189" s="1363"/>
      <c r="T189" s="115"/>
      <c r="U189" s="1361"/>
      <c r="V189" s="1362"/>
      <c r="W189" s="1363"/>
      <c r="X189" s="115"/>
      <c r="Y189" s="1031"/>
      <c r="Z189" s="1032"/>
      <c r="AA189" s="1055"/>
      <c r="AB189" s="115"/>
      <c r="AC189" s="1031"/>
      <c r="AD189" s="1032"/>
      <c r="AE189" s="1033"/>
    </row>
    <row r="190" spans="2:31" ht="12.75" customHeight="1" x14ac:dyDescent="0.25">
      <c r="B190" s="463"/>
      <c r="C190" s="78"/>
      <c r="D190" s="78"/>
      <c r="E190" s="78"/>
      <c r="F190" s="78"/>
      <c r="G190" s="78"/>
      <c r="H190" s="78"/>
      <c r="I190" s="78"/>
      <c r="J190" s="78"/>
      <c r="K190" s="78"/>
      <c r="L190" s="111"/>
      <c r="M190" s="111"/>
      <c r="N190" s="111"/>
      <c r="O190" s="111"/>
      <c r="P190" s="111"/>
      <c r="Q190" s="111"/>
      <c r="R190" s="111"/>
      <c r="S190" s="111"/>
      <c r="T190" s="111"/>
      <c r="U190" s="111"/>
      <c r="V190" s="111"/>
      <c r="W190" s="111"/>
      <c r="X190" s="78"/>
      <c r="Y190" s="78"/>
      <c r="Z190" s="78"/>
      <c r="AA190" s="78"/>
      <c r="AB190" s="78"/>
      <c r="AC190" s="78"/>
      <c r="AD190" s="78"/>
      <c r="AE190" s="340"/>
    </row>
    <row r="191" spans="2:31" ht="12.75" customHeight="1" x14ac:dyDescent="0.25">
      <c r="B191" s="1353" t="s">
        <v>38</v>
      </c>
      <c r="C191" s="1336"/>
      <c r="D191" s="4" t="s">
        <v>39</v>
      </c>
      <c r="E191" s="109" t="s">
        <v>399</v>
      </c>
      <c r="F191" s="1354" t="s">
        <v>673</v>
      </c>
      <c r="G191" s="1378"/>
      <c r="H191" s="1048" t="str">
        <f>$H$4</f>
        <v>BOCATOMA</v>
      </c>
      <c r="I191" s="1336"/>
      <c r="J191" s="1337"/>
      <c r="K191" s="1337"/>
      <c r="L191" s="1048" t="str">
        <f>$L$4</f>
        <v>DESARENADOR</v>
      </c>
      <c r="M191" s="1336"/>
      <c r="N191" s="1337" t="s">
        <v>1159</v>
      </c>
      <c r="O191" s="1337"/>
      <c r="P191" s="1393" t="str">
        <f>$P$4</f>
        <v>PLANTA</v>
      </c>
      <c r="Q191" s="1336"/>
      <c r="R191" s="1337"/>
      <c r="S191" s="1337"/>
      <c r="T191" s="1048" t="str">
        <f>$T$4</f>
        <v>TANQUE</v>
      </c>
      <c r="U191" s="1336"/>
      <c r="V191" s="1337" t="s">
        <v>1192</v>
      </c>
      <c r="W191" s="1337"/>
      <c r="X191" s="1048" t="s">
        <v>1414</v>
      </c>
      <c r="Y191" s="1050"/>
      <c r="Z191" s="1329"/>
      <c r="AA191" s="1050"/>
      <c r="AB191" s="1048" t="s">
        <v>1421</v>
      </c>
      <c r="AC191" s="1050"/>
      <c r="AD191" s="1329"/>
      <c r="AE191" s="1330"/>
    </row>
    <row r="192" spans="2:31" ht="12.75" customHeight="1" x14ac:dyDescent="0.25">
      <c r="B192" s="1350" t="str">
        <f>+'PTO OC PLIEGO'!B53:H53</f>
        <v>PASAMUROS PVC 8" E.L L=0.30m (INCLUYE INSTALACIÓN Y SUMINISTRO)</v>
      </c>
      <c r="C192" s="1405"/>
      <c r="D192" s="1405"/>
      <c r="E192" s="1406"/>
      <c r="F192" s="1135" t="s">
        <v>201</v>
      </c>
      <c r="G192" s="1364"/>
      <c r="H192" s="113"/>
      <c r="I192" s="1331" t="s">
        <v>885</v>
      </c>
      <c r="J192" s="1356"/>
      <c r="K192" s="1357"/>
      <c r="L192" s="113">
        <f>+L193</f>
        <v>6</v>
      </c>
      <c r="M192" s="1331"/>
      <c r="N192" s="1356"/>
      <c r="O192" s="1357"/>
      <c r="P192" s="115"/>
      <c r="Q192" s="1331" t="s">
        <v>885</v>
      </c>
      <c r="R192" s="1356"/>
      <c r="S192" s="1357"/>
      <c r="T192" s="113">
        <f>+T193*T200</f>
        <v>0</v>
      </c>
      <c r="U192" s="1331" t="s">
        <v>885</v>
      </c>
      <c r="V192" s="1356"/>
      <c r="W192" s="1357"/>
      <c r="X192" s="139"/>
      <c r="Y192" s="1331" t="s">
        <v>885</v>
      </c>
      <c r="Z192" s="1052"/>
      <c r="AA192" s="1053"/>
      <c r="AB192" s="139"/>
      <c r="AC192" s="1331" t="s">
        <v>885</v>
      </c>
      <c r="AD192" s="1052"/>
      <c r="AE192" s="1332"/>
    </row>
    <row r="193" spans="2:31" ht="12.75" customHeight="1" x14ac:dyDescent="0.25">
      <c r="B193" s="1407"/>
      <c r="C193" s="1408"/>
      <c r="D193" s="1408"/>
      <c r="E193" s="1409"/>
      <c r="F193" s="1135" t="s">
        <v>132</v>
      </c>
      <c r="G193" s="1364"/>
      <c r="H193" s="115"/>
      <c r="I193" s="1358"/>
      <c r="J193" s="1359"/>
      <c r="K193" s="1360"/>
      <c r="L193" s="115">
        <v>6</v>
      </c>
      <c r="M193" s="1358"/>
      <c r="N193" s="1359"/>
      <c r="O193" s="1360"/>
      <c r="P193" s="115"/>
      <c r="Q193" s="1358"/>
      <c r="R193" s="1359"/>
      <c r="S193" s="1360"/>
      <c r="T193" s="115"/>
      <c r="U193" s="1358"/>
      <c r="V193" s="1359"/>
      <c r="W193" s="1360"/>
      <c r="X193" s="115"/>
      <c r="Y193" s="1029"/>
      <c r="Z193" s="939"/>
      <c r="AA193" s="1054"/>
      <c r="AB193" s="115"/>
      <c r="AC193" s="1029"/>
      <c r="AD193" s="939"/>
      <c r="AE193" s="1030"/>
    </row>
    <row r="194" spans="2:31" ht="12.75" customHeight="1" x14ac:dyDescent="0.25">
      <c r="B194" s="1407"/>
      <c r="C194" s="1408"/>
      <c r="D194" s="1408"/>
      <c r="E194" s="1409"/>
      <c r="F194" s="1135" t="s">
        <v>674</v>
      </c>
      <c r="G194" s="1364"/>
      <c r="H194" s="115"/>
      <c r="I194" s="1358"/>
      <c r="J194" s="1359"/>
      <c r="K194" s="1360"/>
      <c r="L194" s="115"/>
      <c r="M194" s="1358"/>
      <c r="N194" s="1359"/>
      <c r="O194" s="1360"/>
      <c r="P194" s="115"/>
      <c r="Q194" s="1358"/>
      <c r="R194" s="1359"/>
      <c r="S194" s="1360"/>
      <c r="T194" s="115"/>
      <c r="U194" s="1358"/>
      <c r="V194" s="1359"/>
      <c r="W194" s="1360"/>
      <c r="X194" s="115"/>
      <c r="Y194" s="1029"/>
      <c r="Z194" s="939"/>
      <c r="AA194" s="1054"/>
      <c r="AB194" s="115"/>
      <c r="AC194" s="1029"/>
      <c r="AD194" s="939"/>
      <c r="AE194" s="1030"/>
    </row>
    <row r="195" spans="2:31" ht="12.75" customHeight="1" x14ac:dyDescent="0.25">
      <c r="B195" s="1407"/>
      <c r="C195" s="1408"/>
      <c r="D195" s="1408"/>
      <c r="E195" s="1409"/>
      <c r="F195" s="1135" t="s">
        <v>1140</v>
      </c>
      <c r="G195" s="1364"/>
      <c r="H195" s="115"/>
      <c r="I195" s="1358"/>
      <c r="J195" s="1359"/>
      <c r="K195" s="1360"/>
      <c r="L195" s="115"/>
      <c r="M195" s="1358"/>
      <c r="N195" s="1359"/>
      <c r="O195" s="1360"/>
      <c r="P195" s="115"/>
      <c r="Q195" s="1358"/>
      <c r="R195" s="1359"/>
      <c r="S195" s="1360"/>
      <c r="T195" s="115"/>
      <c r="U195" s="1358"/>
      <c r="V195" s="1359"/>
      <c r="W195" s="1360"/>
      <c r="X195" s="115"/>
      <c r="Y195" s="1029"/>
      <c r="Z195" s="939"/>
      <c r="AA195" s="1054"/>
      <c r="AB195" s="115"/>
      <c r="AC195" s="1029"/>
      <c r="AD195" s="939"/>
      <c r="AE195" s="1030"/>
    </row>
    <row r="196" spans="2:31" ht="12.75" customHeight="1" x14ac:dyDescent="0.25">
      <c r="B196" s="1407"/>
      <c r="C196" s="1408"/>
      <c r="D196" s="1408"/>
      <c r="E196" s="1409"/>
      <c r="F196" s="1135" t="s">
        <v>684</v>
      </c>
      <c r="G196" s="1364"/>
      <c r="H196" s="115"/>
      <c r="I196" s="1358"/>
      <c r="J196" s="1359"/>
      <c r="K196" s="1360"/>
      <c r="L196" s="115"/>
      <c r="M196" s="1358"/>
      <c r="N196" s="1359"/>
      <c r="O196" s="1360"/>
      <c r="P196" s="115"/>
      <c r="Q196" s="1358"/>
      <c r="R196" s="1359"/>
      <c r="S196" s="1360"/>
      <c r="T196" s="115"/>
      <c r="U196" s="1358"/>
      <c r="V196" s="1359"/>
      <c r="W196" s="1360"/>
      <c r="X196" s="115"/>
      <c r="Y196" s="1029"/>
      <c r="Z196" s="939"/>
      <c r="AA196" s="1054"/>
      <c r="AB196" s="115"/>
      <c r="AC196" s="1029"/>
      <c r="AD196" s="939"/>
      <c r="AE196" s="1030"/>
    </row>
    <row r="197" spans="2:31" ht="12.75" customHeight="1" x14ac:dyDescent="0.25">
      <c r="B197" s="1407"/>
      <c r="C197" s="1408"/>
      <c r="D197" s="1408"/>
      <c r="E197" s="1409"/>
      <c r="F197" s="1135" t="s">
        <v>677</v>
      </c>
      <c r="G197" s="1364"/>
      <c r="H197" s="115"/>
      <c r="I197" s="1358"/>
      <c r="J197" s="1359"/>
      <c r="K197" s="1360"/>
      <c r="L197" s="115"/>
      <c r="M197" s="1358"/>
      <c r="N197" s="1359"/>
      <c r="O197" s="1360"/>
      <c r="P197" s="115"/>
      <c r="Q197" s="1358"/>
      <c r="R197" s="1359"/>
      <c r="S197" s="1360"/>
      <c r="T197" s="117"/>
      <c r="U197" s="1358"/>
      <c r="V197" s="1359"/>
      <c r="W197" s="1360"/>
      <c r="X197" s="115"/>
      <c r="Y197" s="1029"/>
      <c r="Z197" s="939"/>
      <c r="AA197" s="1054"/>
      <c r="AB197" s="115"/>
      <c r="AC197" s="1029"/>
      <c r="AD197" s="939"/>
      <c r="AE197" s="1030"/>
    </row>
    <row r="198" spans="2:31" ht="12.75" customHeight="1" x14ac:dyDescent="0.25">
      <c r="B198" s="1407"/>
      <c r="C198" s="1408"/>
      <c r="D198" s="1408"/>
      <c r="E198" s="1409"/>
      <c r="F198" s="1135" t="s">
        <v>678</v>
      </c>
      <c r="G198" s="1364"/>
      <c r="H198" s="115"/>
      <c r="I198" s="1358"/>
      <c r="J198" s="1359"/>
      <c r="K198" s="1360"/>
      <c r="L198" s="115"/>
      <c r="M198" s="1358"/>
      <c r="N198" s="1359"/>
      <c r="O198" s="1360"/>
      <c r="P198" s="115"/>
      <c r="Q198" s="1358"/>
      <c r="R198" s="1359"/>
      <c r="S198" s="1360"/>
      <c r="T198" s="115"/>
      <c r="U198" s="1358"/>
      <c r="V198" s="1359"/>
      <c r="W198" s="1360"/>
      <c r="X198" s="115"/>
      <c r="Y198" s="1029"/>
      <c r="Z198" s="939"/>
      <c r="AA198" s="1054"/>
      <c r="AB198" s="115"/>
      <c r="AC198" s="1029"/>
      <c r="AD198" s="939"/>
      <c r="AE198" s="1030"/>
    </row>
    <row r="199" spans="2:31" ht="12.75" customHeight="1" x14ac:dyDescent="0.25">
      <c r="B199" s="1407"/>
      <c r="C199" s="1408"/>
      <c r="D199" s="1408"/>
      <c r="E199" s="1409"/>
      <c r="F199" s="1135" t="s">
        <v>1146</v>
      </c>
      <c r="G199" s="1364"/>
      <c r="H199" s="115"/>
      <c r="I199" s="1358"/>
      <c r="J199" s="1359"/>
      <c r="K199" s="1360"/>
      <c r="L199" s="115"/>
      <c r="M199" s="1358"/>
      <c r="N199" s="1359"/>
      <c r="O199" s="1360"/>
      <c r="P199" s="115"/>
      <c r="Q199" s="1358"/>
      <c r="R199" s="1359"/>
      <c r="S199" s="1360"/>
      <c r="T199" s="115"/>
      <c r="U199" s="1358"/>
      <c r="V199" s="1359"/>
      <c r="W199" s="1360"/>
      <c r="X199" s="115"/>
      <c r="Y199" s="1029"/>
      <c r="Z199" s="939"/>
      <c r="AA199" s="1054"/>
      <c r="AB199" s="115"/>
      <c r="AC199" s="1029"/>
      <c r="AD199" s="939"/>
      <c r="AE199" s="1030"/>
    </row>
    <row r="200" spans="2:31" ht="12.75" customHeight="1" x14ac:dyDescent="0.25">
      <c r="B200" s="1410"/>
      <c r="C200" s="1411"/>
      <c r="D200" s="1411"/>
      <c r="E200" s="1412"/>
      <c r="F200" s="1135" t="s">
        <v>1148</v>
      </c>
      <c r="G200" s="1364"/>
      <c r="H200" s="115"/>
      <c r="I200" s="1361"/>
      <c r="J200" s="1362"/>
      <c r="K200" s="1363"/>
      <c r="L200" s="115">
        <f>+L194*L195*L196</f>
        <v>0</v>
      </c>
      <c r="M200" s="1361"/>
      <c r="N200" s="1362"/>
      <c r="O200" s="1363"/>
      <c r="P200" s="115"/>
      <c r="Q200" s="1361"/>
      <c r="R200" s="1362"/>
      <c r="S200" s="1363"/>
      <c r="T200" s="115"/>
      <c r="U200" s="1361"/>
      <c r="V200" s="1362"/>
      <c r="W200" s="1363"/>
      <c r="X200" s="115"/>
      <c r="Y200" s="1031"/>
      <c r="Z200" s="1032"/>
      <c r="AA200" s="1055"/>
      <c r="AB200" s="115"/>
      <c r="AC200" s="1031"/>
      <c r="AD200" s="1032"/>
      <c r="AE200" s="1033"/>
    </row>
    <row r="201" spans="2:31" ht="12.75" customHeight="1" x14ac:dyDescent="0.25">
      <c r="B201" s="463"/>
      <c r="C201" s="78"/>
      <c r="D201" s="78"/>
      <c r="E201" s="78"/>
      <c r="F201" s="78"/>
      <c r="G201" s="78"/>
      <c r="H201" s="78"/>
      <c r="I201" s="78"/>
      <c r="J201" s="78"/>
      <c r="K201" s="78"/>
      <c r="L201" s="111"/>
      <c r="M201" s="111"/>
      <c r="N201" s="111"/>
      <c r="O201" s="111"/>
      <c r="P201" s="111"/>
      <c r="Q201" s="111"/>
      <c r="R201" s="111"/>
      <c r="S201" s="111"/>
      <c r="T201" s="111"/>
      <c r="U201" s="111"/>
      <c r="V201" s="111"/>
      <c r="W201" s="111"/>
      <c r="X201" s="78"/>
      <c r="Y201" s="78"/>
      <c r="Z201" s="78"/>
      <c r="AA201" s="78"/>
      <c r="AB201" s="78"/>
      <c r="AC201" s="78"/>
      <c r="AD201" s="78"/>
      <c r="AE201" s="340"/>
    </row>
    <row r="202" spans="2:31" ht="12.75" customHeight="1" x14ac:dyDescent="0.25">
      <c r="B202" s="1353" t="s">
        <v>38</v>
      </c>
      <c r="C202" s="1336"/>
      <c r="D202" s="4" t="s">
        <v>39</v>
      </c>
      <c r="E202" s="109" t="s">
        <v>399</v>
      </c>
      <c r="F202" s="1354" t="s">
        <v>673</v>
      </c>
      <c r="G202" s="1378"/>
      <c r="H202" s="1048" t="str">
        <f>$H$4</f>
        <v>BOCATOMA</v>
      </c>
      <c r="I202" s="1336"/>
      <c r="J202" s="1337"/>
      <c r="K202" s="1337"/>
      <c r="L202" s="1048" t="str">
        <f>$L$4</f>
        <v>DESARENADOR</v>
      </c>
      <c r="M202" s="1336"/>
      <c r="N202" s="1337" t="s">
        <v>1160</v>
      </c>
      <c r="O202" s="1337"/>
      <c r="P202" s="1393" t="str">
        <f>$P$4</f>
        <v>PLANTA</v>
      </c>
      <c r="Q202" s="1336"/>
      <c r="R202" s="1337"/>
      <c r="S202" s="1337"/>
      <c r="T202" s="1392" t="s">
        <v>884</v>
      </c>
      <c r="U202" s="1392"/>
      <c r="V202" s="1337"/>
      <c r="W202" s="1337"/>
      <c r="X202" s="1048" t="s">
        <v>1414</v>
      </c>
      <c r="Y202" s="1050"/>
      <c r="Z202" s="1329"/>
      <c r="AA202" s="1050"/>
      <c r="AB202" s="1048" t="s">
        <v>1421</v>
      </c>
      <c r="AC202" s="1050"/>
      <c r="AD202" s="1329"/>
      <c r="AE202" s="1330"/>
    </row>
    <row r="203" spans="2:31" ht="12.75" customHeight="1" x14ac:dyDescent="0.25">
      <c r="B203" s="1350" t="str">
        <f>+'PTO OC PLIEGO'!B54:H54</f>
        <v>UNIÓN PVC 8" (INCLUYE INSTALACIÓN Y SUMINISTRO)</v>
      </c>
      <c r="C203" s="1405"/>
      <c r="D203" s="1405"/>
      <c r="E203" s="1406"/>
      <c r="F203" s="1135" t="s">
        <v>201</v>
      </c>
      <c r="G203" s="1364"/>
      <c r="H203" s="113"/>
      <c r="I203" s="1331" t="s">
        <v>885</v>
      </c>
      <c r="J203" s="1356"/>
      <c r="K203" s="1357"/>
      <c r="L203" s="113">
        <f>+L204</f>
        <v>10</v>
      </c>
      <c r="M203" s="1331"/>
      <c r="N203" s="1356"/>
      <c r="O203" s="1357"/>
      <c r="P203" s="115"/>
      <c r="Q203" s="1331" t="s">
        <v>885</v>
      </c>
      <c r="R203" s="1356"/>
      <c r="S203" s="1357"/>
      <c r="T203" s="115"/>
      <c r="U203" s="1331" t="s">
        <v>885</v>
      </c>
      <c r="V203" s="1356"/>
      <c r="W203" s="1357"/>
      <c r="X203" s="139"/>
      <c r="Y203" s="1331" t="s">
        <v>885</v>
      </c>
      <c r="Z203" s="1052"/>
      <c r="AA203" s="1053"/>
      <c r="AB203" s="139"/>
      <c r="AC203" s="1331" t="s">
        <v>885</v>
      </c>
      <c r="AD203" s="1052"/>
      <c r="AE203" s="1332"/>
    </row>
    <row r="204" spans="2:31" ht="12.75" customHeight="1" x14ac:dyDescent="0.25">
      <c r="B204" s="1407"/>
      <c r="C204" s="1408"/>
      <c r="D204" s="1408"/>
      <c r="E204" s="1409"/>
      <c r="F204" s="1135" t="s">
        <v>132</v>
      </c>
      <c r="G204" s="1364"/>
      <c r="H204" s="115"/>
      <c r="I204" s="1358"/>
      <c r="J204" s="1359"/>
      <c r="K204" s="1360"/>
      <c r="L204" s="115">
        <v>10</v>
      </c>
      <c r="M204" s="1358"/>
      <c r="N204" s="1359"/>
      <c r="O204" s="1360"/>
      <c r="P204" s="115"/>
      <c r="Q204" s="1358"/>
      <c r="R204" s="1359"/>
      <c r="S204" s="1360"/>
      <c r="T204" s="115"/>
      <c r="U204" s="1358"/>
      <c r="V204" s="1359"/>
      <c r="W204" s="1360"/>
      <c r="X204" s="115"/>
      <c r="Y204" s="1029"/>
      <c r="Z204" s="939"/>
      <c r="AA204" s="1054"/>
      <c r="AB204" s="115"/>
      <c r="AC204" s="1029"/>
      <c r="AD204" s="939"/>
      <c r="AE204" s="1030"/>
    </row>
    <row r="205" spans="2:31" ht="12.75" customHeight="1" x14ac:dyDescent="0.25">
      <c r="B205" s="1407"/>
      <c r="C205" s="1408"/>
      <c r="D205" s="1408"/>
      <c r="E205" s="1409"/>
      <c r="F205" s="1135" t="s">
        <v>674</v>
      </c>
      <c r="G205" s="1364"/>
      <c r="H205" s="115"/>
      <c r="I205" s="1358"/>
      <c r="J205" s="1359"/>
      <c r="K205" s="1360"/>
      <c r="L205" s="115"/>
      <c r="M205" s="1358"/>
      <c r="N205" s="1359"/>
      <c r="O205" s="1360"/>
      <c r="P205" s="115"/>
      <c r="Q205" s="1358"/>
      <c r="R205" s="1359"/>
      <c r="S205" s="1360"/>
      <c r="T205" s="115"/>
      <c r="U205" s="1358"/>
      <c r="V205" s="1359"/>
      <c r="W205" s="1360"/>
      <c r="X205" s="115"/>
      <c r="Y205" s="1029"/>
      <c r="Z205" s="939"/>
      <c r="AA205" s="1054"/>
      <c r="AB205" s="115"/>
      <c r="AC205" s="1029"/>
      <c r="AD205" s="939"/>
      <c r="AE205" s="1030"/>
    </row>
    <row r="206" spans="2:31" ht="12.75" customHeight="1" x14ac:dyDescent="0.25">
      <c r="B206" s="1407"/>
      <c r="C206" s="1408"/>
      <c r="D206" s="1408"/>
      <c r="E206" s="1409"/>
      <c r="F206" s="1135" t="s">
        <v>1140</v>
      </c>
      <c r="G206" s="1364"/>
      <c r="H206" s="115"/>
      <c r="I206" s="1358"/>
      <c r="J206" s="1359"/>
      <c r="K206" s="1360"/>
      <c r="L206" s="115"/>
      <c r="M206" s="1358"/>
      <c r="N206" s="1359"/>
      <c r="O206" s="1360"/>
      <c r="P206" s="115"/>
      <c r="Q206" s="1358"/>
      <c r="R206" s="1359"/>
      <c r="S206" s="1360"/>
      <c r="T206" s="115"/>
      <c r="U206" s="1358"/>
      <c r="V206" s="1359"/>
      <c r="W206" s="1360"/>
      <c r="X206" s="115"/>
      <c r="Y206" s="1029"/>
      <c r="Z206" s="939"/>
      <c r="AA206" s="1054"/>
      <c r="AB206" s="115"/>
      <c r="AC206" s="1029"/>
      <c r="AD206" s="939"/>
      <c r="AE206" s="1030"/>
    </row>
    <row r="207" spans="2:31" ht="12.75" customHeight="1" x14ac:dyDescent="0.25">
      <c r="B207" s="1407"/>
      <c r="C207" s="1408"/>
      <c r="D207" s="1408"/>
      <c r="E207" s="1409"/>
      <c r="F207" s="1135" t="s">
        <v>684</v>
      </c>
      <c r="G207" s="1364"/>
      <c r="H207" s="115"/>
      <c r="I207" s="1358"/>
      <c r="J207" s="1359"/>
      <c r="K207" s="1360"/>
      <c r="L207" s="115"/>
      <c r="M207" s="1358"/>
      <c r="N207" s="1359"/>
      <c r="O207" s="1360"/>
      <c r="P207" s="115"/>
      <c r="Q207" s="1358"/>
      <c r="R207" s="1359"/>
      <c r="S207" s="1360"/>
      <c r="T207" s="115"/>
      <c r="U207" s="1358"/>
      <c r="V207" s="1359"/>
      <c r="W207" s="1360"/>
      <c r="X207" s="115"/>
      <c r="Y207" s="1029"/>
      <c r="Z207" s="939"/>
      <c r="AA207" s="1054"/>
      <c r="AB207" s="115"/>
      <c r="AC207" s="1029"/>
      <c r="AD207" s="939"/>
      <c r="AE207" s="1030"/>
    </row>
    <row r="208" spans="2:31" ht="12.75" customHeight="1" x14ac:dyDescent="0.25">
      <c r="B208" s="1407"/>
      <c r="C208" s="1408"/>
      <c r="D208" s="1408"/>
      <c r="E208" s="1409"/>
      <c r="F208" s="1135" t="s">
        <v>677</v>
      </c>
      <c r="G208" s="1364"/>
      <c r="H208" s="115"/>
      <c r="I208" s="1358"/>
      <c r="J208" s="1359"/>
      <c r="K208" s="1360"/>
      <c r="L208" s="115"/>
      <c r="M208" s="1358"/>
      <c r="N208" s="1359"/>
      <c r="O208" s="1360"/>
      <c r="P208" s="115"/>
      <c r="Q208" s="1358"/>
      <c r="R208" s="1359"/>
      <c r="S208" s="1360"/>
      <c r="T208" s="115"/>
      <c r="U208" s="1358"/>
      <c r="V208" s="1359"/>
      <c r="W208" s="1360"/>
      <c r="X208" s="115"/>
      <c r="Y208" s="1029"/>
      <c r="Z208" s="939"/>
      <c r="AA208" s="1054"/>
      <c r="AB208" s="115"/>
      <c r="AC208" s="1029"/>
      <c r="AD208" s="939"/>
      <c r="AE208" s="1030"/>
    </row>
    <row r="209" spans="2:31" ht="12.75" customHeight="1" x14ac:dyDescent="0.25">
      <c r="B209" s="1407"/>
      <c r="C209" s="1408"/>
      <c r="D209" s="1408"/>
      <c r="E209" s="1409"/>
      <c r="F209" s="1135" t="s">
        <v>678</v>
      </c>
      <c r="G209" s="1364"/>
      <c r="H209" s="115"/>
      <c r="I209" s="1358"/>
      <c r="J209" s="1359"/>
      <c r="K209" s="1360"/>
      <c r="L209" s="115"/>
      <c r="M209" s="1358"/>
      <c r="N209" s="1359"/>
      <c r="O209" s="1360"/>
      <c r="P209" s="115"/>
      <c r="Q209" s="1358"/>
      <c r="R209" s="1359"/>
      <c r="S209" s="1360"/>
      <c r="T209" s="115"/>
      <c r="U209" s="1358"/>
      <c r="V209" s="1359"/>
      <c r="W209" s="1360"/>
      <c r="X209" s="115"/>
      <c r="Y209" s="1029"/>
      <c r="Z209" s="939"/>
      <c r="AA209" s="1054"/>
      <c r="AB209" s="115"/>
      <c r="AC209" s="1029"/>
      <c r="AD209" s="939"/>
      <c r="AE209" s="1030"/>
    </row>
    <row r="210" spans="2:31" ht="12.75" customHeight="1" x14ac:dyDescent="0.25">
      <c r="B210" s="1407"/>
      <c r="C210" s="1408"/>
      <c r="D210" s="1408"/>
      <c r="E210" s="1409"/>
      <c r="F210" s="1135" t="s">
        <v>1146</v>
      </c>
      <c r="G210" s="1364"/>
      <c r="H210" s="115"/>
      <c r="I210" s="1358"/>
      <c r="J210" s="1359"/>
      <c r="K210" s="1360"/>
      <c r="L210" s="115"/>
      <c r="M210" s="1358"/>
      <c r="N210" s="1359"/>
      <c r="O210" s="1360"/>
      <c r="P210" s="115"/>
      <c r="Q210" s="1358"/>
      <c r="R210" s="1359"/>
      <c r="S210" s="1360"/>
      <c r="T210" s="115"/>
      <c r="U210" s="1358"/>
      <c r="V210" s="1359"/>
      <c r="W210" s="1360"/>
      <c r="X210" s="115"/>
      <c r="Y210" s="1029"/>
      <c r="Z210" s="939"/>
      <c r="AA210" s="1054"/>
      <c r="AB210" s="115"/>
      <c r="AC210" s="1029"/>
      <c r="AD210" s="939"/>
      <c r="AE210" s="1030"/>
    </row>
    <row r="211" spans="2:31" ht="12.75" customHeight="1" x14ac:dyDescent="0.25">
      <c r="B211" s="1410"/>
      <c r="C211" s="1411"/>
      <c r="D211" s="1411"/>
      <c r="E211" s="1412"/>
      <c r="F211" s="1135" t="s">
        <v>1148</v>
      </c>
      <c r="G211" s="1364"/>
      <c r="H211" s="115"/>
      <c r="I211" s="1361"/>
      <c r="J211" s="1362"/>
      <c r="K211" s="1363"/>
      <c r="L211" s="115">
        <f>+L205*L206*L207</f>
        <v>0</v>
      </c>
      <c r="M211" s="1361"/>
      <c r="N211" s="1362"/>
      <c r="O211" s="1363"/>
      <c r="P211" s="115"/>
      <c r="Q211" s="1361"/>
      <c r="R211" s="1362"/>
      <c r="S211" s="1363"/>
      <c r="T211" s="115"/>
      <c r="U211" s="1361"/>
      <c r="V211" s="1362"/>
      <c r="W211" s="1363"/>
      <c r="X211" s="115"/>
      <c r="Y211" s="1031"/>
      <c r="Z211" s="1032"/>
      <c r="AA211" s="1055"/>
      <c r="AB211" s="115"/>
      <c r="AC211" s="1031"/>
      <c r="AD211" s="1032"/>
      <c r="AE211" s="1033"/>
    </row>
    <row r="212" spans="2:31" ht="12.75" customHeight="1" x14ac:dyDescent="0.25">
      <c r="B212" s="463"/>
      <c r="C212" s="78"/>
      <c r="D212" s="78"/>
      <c r="E212" s="78"/>
      <c r="F212" s="78"/>
      <c r="G212" s="78"/>
      <c r="H212" s="78"/>
      <c r="I212" s="78"/>
      <c r="J212" s="78"/>
      <c r="K212" s="78"/>
      <c r="L212" s="111"/>
      <c r="M212" s="111"/>
      <c r="N212" s="111"/>
      <c r="O212" s="111"/>
      <c r="P212" s="111"/>
      <c r="Q212" s="111"/>
      <c r="R212" s="111"/>
      <c r="S212" s="111"/>
      <c r="T212" s="111"/>
      <c r="U212" s="111"/>
      <c r="V212" s="111"/>
      <c r="W212" s="111"/>
      <c r="X212" s="78"/>
      <c r="Y212" s="78"/>
      <c r="Z212" s="78"/>
      <c r="AA212" s="78"/>
      <c r="AB212" s="78"/>
      <c r="AC212" s="78"/>
      <c r="AD212" s="78"/>
      <c r="AE212" s="340"/>
    </row>
    <row r="213" spans="2:31" ht="12.75" customHeight="1" x14ac:dyDescent="0.25">
      <c r="B213" s="1353" t="s">
        <v>38</v>
      </c>
      <c r="C213" s="1336"/>
      <c r="D213" s="4" t="s">
        <v>39</v>
      </c>
      <c r="E213" s="109" t="s">
        <v>399</v>
      </c>
      <c r="F213" s="1354" t="s">
        <v>673</v>
      </c>
      <c r="G213" s="1378"/>
      <c r="H213" s="1048" t="str">
        <f>$H$4</f>
        <v>BOCATOMA</v>
      </c>
      <c r="I213" s="1336"/>
      <c r="J213" s="1337" t="s">
        <v>61</v>
      </c>
      <c r="K213" s="1337"/>
      <c r="L213" s="1048" t="str">
        <f>$L$4</f>
        <v>DESARENADOR</v>
      </c>
      <c r="M213" s="1336"/>
      <c r="N213" s="1337" t="s">
        <v>61</v>
      </c>
      <c r="O213" s="1337"/>
      <c r="P213" s="1393" t="str">
        <f>$P$4</f>
        <v>PLANTA</v>
      </c>
      <c r="Q213" s="1336"/>
      <c r="R213" s="1337"/>
      <c r="S213" s="1337"/>
      <c r="T213" s="1048" t="str">
        <f>$T$4</f>
        <v>TANQUE</v>
      </c>
      <c r="U213" s="1336"/>
      <c r="V213" s="1337" t="s">
        <v>1193</v>
      </c>
      <c r="W213" s="1337"/>
      <c r="X213" s="1048" t="s">
        <v>1414</v>
      </c>
      <c r="Y213" s="1050"/>
      <c r="Z213" s="1329"/>
      <c r="AA213" s="1050"/>
      <c r="AB213" s="1048" t="s">
        <v>1421</v>
      </c>
      <c r="AC213" s="1050"/>
      <c r="AD213" s="1329"/>
      <c r="AE213" s="1330"/>
    </row>
    <row r="214" spans="2:31" ht="12.75" customHeight="1" x14ac:dyDescent="0.25">
      <c r="B214" s="1350" t="str">
        <f>+'PTO OC PLIEGO'!B55:H55</f>
        <v>PELDAÑOS EN POLIPROPILENO DE ALTO IMPACTO ALMA DE ACERO (INCLUYE INSTALACIÓN Y SUMINISTRO)</v>
      </c>
      <c r="C214" s="1405"/>
      <c r="D214" s="1405"/>
      <c r="E214" s="1406"/>
      <c r="F214" s="1135" t="s">
        <v>201</v>
      </c>
      <c r="G214" s="1364"/>
      <c r="H214" s="113">
        <f>+H215*H222</f>
        <v>0</v>
      </c>
      <c r="I214" s="1331" t="s">
        <v>885</v>
      </c>
      <c r="J214" s="1356"/>
      <c r="K214" s="1357"/>
      <c r="L214" s="113">
        <f>+L215</f>
        <v>16.8</v>
      </c>
      <c r="M214" s="1331"/>
      <c r="N214" s="1356"/>
      <c r="O214" s="1357"/>
      <c r="P214" s="115"/>
      <c r="Q214" s="1331" t="s">
        <v>885</v>
      </c>
      <c r="R214" s="1356"/>
      <c r="S214" s="1357"/>
      <c r="T214" s="113">
        <f>+T215</f>
        <v>30.45</v>
      </c>
      <c r="U214" s="1331"/>
      <c r="V214" s="1356"/>
      <c r="W214" s="1357"/>
      <c r="X214" s="139"/>
      <c r="Y214" s="1331" t="s">
        <v>885</v>
      </c>
      <c r="Z214" s="1052"/>
      <c r="AA214" s="1053"/>
      <c r="AB214" s="139"/>
      <c r="AC214" s="1331" t="s">
        <v>885</v>
      </c>
      <c r="AD214" s="1052"/>
      <c r="AE214" s="1332"/>
    </row>
    <row r="215" spans="2:31" ht="12.75" customHeight="1" x14ac:dyDescent="0.25">
      <c r="B215" s="1407"/>
      <c r="C215" s="1408"/>
      <c r="D215" s="1408"/>
      <c r="E215" s="1409"/>
      <c r="F215" s="1135" t="s">
        <v>132</v>
      </c>
      <c r="G215" s="1364"/>
      <c r="H215" s="115"/>
      <c r="I215" s="1358"/>
      <c r="J215" s="1359"/>
      <c r="K215" s="1360"/>
      <c r="L215" s="115">
        <v>16.8</v>
      </c>
      <c r="M215" s="1358"/>
      <c r="N215" s="1359"/>
      <c r="O215" s="1360"/>
      <c r="P215" s="115"/>
      <c r="Q215" s="1358"/>
      <c r="R215" s="1359"/>
      <c r="S215" s="1360"/>
      <c r="T215" s="115">
        <v>30.45</v>
      </c>
      <c r="U215" s="1358"/>
      <c r="V215" s="1359"/>
      <c r="W215" s="1360"/>
      <c r="X215" s="115"/>
      <c r="Y215" s="1029"/>
      <c r="Z215" s="939"/>
      <c r="AA215" s="1054"/>
      <c r="AB215" s="115"/>
      <c r="AC215" s="1029"/>
      <c r="AD215" s="939"/>
      <c r="AE215" s="1030"/>
    </row>
    <row r="216" spans="2:31" ht="12.75" customHeight="1" x14ac:dyDescent="0.25">
      <c r="B216" s="1407"/>
      <c r="C216" s="1408"/>
      <c r="D216" s="1408"/>
      <c r="E216" s="1409"/>
      <c r="F216" s="1135" t="s">
        <v>674</v>
      </c>
      <c r="G216" s="1364"/>
      <c r="H216" s="115"/>
      <c r="I216" s="1358"/>
      <c r="J216" s="1359"/>
      <c r="K216" s="1360"/>
      <c r="L216" s="115"/>
      <c r="M216" s="1358"/>
      <c r="N216" s="1359"/>
      <c r="O216" s="1360"/>
      <c r="P216" s="115"/>
      <c r="Q216" s="1358"/>
      <c r="R216" s="1359"/>
      <c r="S216" s="1360"/>
      <c r="T216" s="115"/>
      <c r="U216" s="1358"/>
      <c r="V216" s="1359"/>
      <c r="W216" s="1360"/>
      <c r="X216" s="115"/>
      <c r="Y216" s="1029"/>
      <c r="Z216" s="939"/>
      <c r="AA216" s="1054"/>
      <c r="AB216" s="115"/>
      <c r="AC216" s="1029"/>
      <c r="AD216" s="939"/>
      <c r="AE216" s="1030"/>
    </row>
    <row r="217" spans="2:31" ht="12.75" customHeight="1" x14ac:dyDescent="0.25">
      <c r="B217" s="1407"/>
      <c r="C217" s="1408"/>
      <c r="D217" s="1408"/>
      <c r="E217" s="1409"/>
      <c r="F217" s="1135" t="s">
        <v>1140</v>
      </c>
      <c r="G217" s="1364"/>
      <c r="H217" s="115"/>
      <c r="I217" s="1358"/>
      <c r="J217" s="1359"/>
      <c r="K217" s="1360"/>
      <c r="L217" s="115"/>
      <c r="M217" s="1358"/>
      <c r="N217" s="1359"/>
      <c r="O217" s="1360"/>
      <c r="P217" s="115"/>
      <c r="Q217" s="1358"/>
      <c r="R217" s="1359"/>
      <c r="S217" s="1360"/>
      <c r="T217" s="115"/>
      <c r="U217" s="1358"/>
      <c r="V217" s="1359"/>
      <c r="W217" s="1360"/>
      <c r="X217" s="115"/>
      <c r="Y217" s="1029"/>
      <c r="Z217" s="939"/>
      <c r="AA217" s="1054"/>
      <c r="AB217" s="115"/>
      <c r="AC217" s="1029"/>
      <c r="AD217" s="939"/>
      <c r="AE217" s="1030"/>
    </row>
    <row r="218" spans="2:31" ht="12.75" customHeight="1" x14ac:dyDescent="0.25">
      <c r="B218" s="1407"/>
      <c r="C218" s="1408"/>
      <c r="D218" s="1408"/>
      <c r="E218" s="1409"/>
      <c r="F218" s="1135" t="s">
        <v>684</v>
      </c>
      <c r="G218" s="1364"/>
      <c r="H218" s="115"/>
      <c r="I218" s="1358"/>
      <c r="J218" s="1359"/>
      <c r="K218" s="1360"/>
      <c r="L218" s="115"/>
      <c r="M218" s="1358"/>
      <c r="N218" s="1359"/>
      <c r="O218" s="1360"/>
      <c r="P218" s="115"/>
      <c r="Q218" s="1358"/>
      <c r="R218" s="1359"/>
      <c r="S218" s="1360"/>
      <c r="T218" s="115"/>
      <c r="U218" s="1358"/>
      <c r="V218" s="1359"/>
      <c r="W218" s="1360"/>
      <c r="X218" s="115"/>
      <c r="Y218" s="1029"/>
      <c r="Z218" s="939"/>
      <c r="AA218" s="1054"/>
      <c r="AB218" s="115"/>
      <c r="AC218" s="1029"/>
      <c r="AD218" s="939"/>
      <c r="AE218" s="1030"/>
    </row>
    <row r="219" spans="2:31" ht="12.75" customHeight="1" x14ac:dyDescent="0.25">
      <c r="B219" s="1407"/>
      <c r="C219" s="1408"/>
      <c r="D219" s="1408"/>
      <c r="E219" s="1409"/>
      <c r="F219" s="1135" t="s">
        <v>677</v>
      </c>
      <c r="G219" s="1364"/>
      <c r="H219" s="115"/>
      <c r="I219" s="1358"/>
      <c r="J219" s="1359"/>
      <c r="K219" s="1360"/>
      <c r="L219" s="115"/>
      <c r="M219" s="1358"/>
      <c r="N219" s="1359"/>
      <c r="O219" s="1360"/>
      <c r="P219" s="115"/>
      <c r="Q219" s="1358"/>
      <c r="R219" s="1359"/>
      <c r="S219" s="1360"/>
      <c r="T219" s="117"/>
      <c r="U219" s="1358"/>
      <c r="V219" s="1359"/>
      <c r="W219" s="1360"/>
      <c r="X219" s="115"/>
      <c r="Y219" s="1029"/>
      <c r="Z219" s="939"/>
      <c r="AA219" s="1054"/>
      <c r="AB219" s="115"/>
      <c r="AC219" s="1029"/>
      <c r="AD219" s="939"/>
      <c r="AE219" s="1030"/>
    </row>
    <row r="220" spans="2:31" ht="12.75" customHeight="1" x14ac:dyDescent="0.25">
      <c r="B220" s="1407"/>
      <c r="C220" s="1408"/>
      <c r="D220" s="1408"/>
      <c r="E220" s="1409"/>
      <c r="F220" s="1135" t="s">
        <v>678</v>
      </c>
      <c r="G220" s="1364"/>
      <c r="H220" s="115"/>
      <c r="I220" s="1358"/>
      <c r="J220" s="1359"/>
      <c r="K220" s="1360"/>
      <c r="L220" s="115"/>
      <c r="M220" s="1358"/>
      <c r="N220" s="1359"/>
      <c r="O220" s="1360"/>
      <c r="P220" s="115"/>
      <c r="Q220" s="1358"/>
      <c r="R220" s="1359"/>
      <c r="S220" s="1360"/>
      <c r="T220" s="115"/>
      <c r="U220" s="1358"/>
      <c r="V220" s="1359"/>
      <c r="W220" s="1360"/>
      <c r="X220" s="115"/>
      <c r="Y220" s="1029"/>
      <c r="Z220" s="939"/>
      <c r="AA220" s="1054"/>
      <c r="AB220" s="115"/>
      <c r="AC220" s="1029"/>
      <c r="AD220" s="939"/>
      <c r="AE220" s="1030"/>
    </row>
    <row r="221" spans="2:31" ht="12.75" customHeight="1" x14ac:dyDescent="0.25">
      <c r="B221" s="1407"/>
      <c r="C221" s="1408"/>
      <c r="D221" s="1408"/>
      <c r="E221" s="1409"/>
      <c r="F221" s="1135" t="s">
        <v>1146</v>
      </c>
      <c r="G221" s="1364"/>
      <c r="H221" s="115"/>
      <c r="I221" s="1358"/>
      <c r="J221" s="1359"/>
      <c r="K221" s="1360"/>
      <c r="L221" s="115"/>
      <c r="M221" s="1358"/>
      <c r="N221" s="1359"/>
      <c r="O221" s="1360"/>
      <c r="P221" s="115"/>
      <c r="Q221" s="1358"/>
      <c r="R221" s="1359"/>
      <c r="S221" s="1360"/>
      <c r="T221" s="115"/>
      <c r="U221" s="1358"/>
      <c r="V221" s="1359"/>
      <c r="W221" s="1360"/>
      <c r="X221" s="115"/>
      <c r="Y221" s="1029"/>
      <c r="Z221" s="939"/>
      <c r="AA221" s="1054"/>
      <c r="AB221" s="115"/>
      <c r="AC221" s="1029"/>
      <c r="AD221" s="939"/>
      <c r="AE221" s="1030"/>
    </row>
    <row r="222" spans="2:31" ht="12.75" customHeight="1" x14ac:dyDescent="0.25">
      <c r="B222" s="1410"/>
      <c r="C222" s="1411"/>
      <c r="D222" s="1411"/>
      <c r="E222" s="1412"/>
      <c r="F222" s="1135" t="s">
        <v>1148</v>
      </c>
      <c r="G222" s="1364"/>
      <c r="H222" s="115"/>
      <c r="I222" s="1361"/>
      <c r="J222" s="1362"/>
      <c r="K222" s="1363"/>
      <c r="L222" s="115">
        <f>+L221*L218</f>
        <v>0</v>
      </c>
      <c r="M222" s="1361"/>
      <c r="N222" s="1362"/>
      <c r="O222" s="1363"/>
      <c r="P222" s="115"/>
      <c r="Q222" s="1361"/>
      <c r="R222" s="1362"/>
      <c r="S222" s="1363"/>
      <c r="T222" s="115"/>
      <c r="U222" s="1361"/>
      <c r="V222" s="1362"/>
      <c r="W222" s="1363"/>
      <c r="X222" s="115"/>
      <c r="Y222" s="1031"/>
      <c r="Z222" s="1032"/>
      <c r="AA222" s="1055"/>
      <c r="AB222" s="115"/>
      <c r="AC222" s="1031"/>
      <c r="AD222" s="1032"/>
      <c r="AE222" s="1033"/>
    </row>
    <row r="223" spans="2:31" ht="12.75" customHeight="1" x14ac:dyDescent="0.25">
      <c r="B223" s="463"/>
      <c r="C223" s="78"/>
      <c r="D223" s="78"/>
      <c r="E223" s="78"/>
      <c r="F223" s="78"/>
      <c r="G223" s="78"/>
      <c r="H223" s="78"/>
      <c r="I223" s="78"/>
      <c r="J223" s="78"/>
      <c r="K223" s="78"/>
      <c r="L223" s="111"/>
      <c r="M223" s="111"/>
      <c r="N223" s="111"/>
      <c r="O223" s="111"/>
      <c r="P223" s="111"/>
      <c r="Q223" s="111"/>
      <c r="R223" s="111"/>
      <c r="S223" s="111"/>
      <c r="T223" s="111"/>
      <c r="U223" s="111"/>
      <c r="V223" s="111"/>
      <c r="W223" s="111"/>
      <c r="X223" s="78"/>
      <c r="Y223" s="78"/>
      <c r="Z223" s="78"/>
      <c r="AA223" s="78"/>
      <c r="AB223" s="78"/>
      <c r="AC223" s="78"/>
      <c r="AD223" s="78"/>
      <c r="AE223" s="340"/>
    </row>
    <row r="224" spans="2:31" ht="12.75" customHeight="1" x14ac:dyDescent="0.25">
      <c r="B224" s="1353" t="s">
        <v>38</v>
      </c>
      <c r="C224" s="1336"/>
      <c r="D224" s="4" t="s">
        <v>39</v>
      </c>
      <c r="E224" s="109" t="s">
        <v>399</v>
      </c>
      <c r="F224" s="1354" t="s">
        <v>673</v>
      </c>
      <c r="G224" s="1378"/>
      <c r="H224" s="1048" t="str">
        <f>$H$4</f>
        <v>BOCATOMA</v>
      </c>
      <c r="I224" s="1336"/>
      <c r="J224" s="1337" t="s">
        <v>62</v>
      </c>
      <c r="K224" s="1337"/>
      <c r="L224" s="1048" t="str">
        <f>$L$4</f>
        <v>DESARENADOR</v>
      </c>
      <c r="M224" s="1336"/>
      <c r="N224" s="1337"/>
      <c r="O224" s="1337"/>
      <c r="P224" s="1393" t="str">
        <f>$P$4</f>
        <v>PLANTA</v>
      </c>
      <c r="Q224" s="1336"/>
      <c r="R224" s="1337"/>
      <c r="S224" s="1337"/>
      <c r="T224" s="1392" t="s">
        <v>884</v>
      </c>
      <c r="U224" s="1392"/>
      <c r="V224" s="1337"/>
      <c r="W224" s="1337"/>
      <c r="X224" s="1048" t="s">
        <v>1414</v>
      </c>
      <c r="Y224" s="1050"/>
      <c r="Z224" s="1329"/>
      <c r="AA224" s="1050"/>
      <c r="AB224" s="1048" t="s">
        <v>1421</v>
      </c>
      <c r="AC224" s="1050"/>
      <c r="AD224" s="1329"/>
      <c r="AE224" s="1330"/>
    </row>
    <row r="225" spans="2:31" ht="12.75" customHeight="1" x14ac:dyDescent="0.25">
      <c r="B225" s="1350" t="str">
        <f>+'PTO OC PLIEGO'!B56</f>
        <v>TAPA DE INSPECCIÓN EN ALFAJOR 80X80 (INCLUYE INSTALACIÓN Y SUMINISTRO)</v>
      </c>
      <c r="C225" s="1405"/>
      <c r="D225" s="1405"/>
      <c r="E225" s="1406"/>
      <c r="F225" s="1135" t="s">
        <v>201</v>
      </c>
      <c r="G225" s="1364"/>
      <c r="H225" s="113">
        <f>+H226*H233</f>
        <v>0</v>
      </c>
      <c r="I225" s="1331" t="s">
        <v>885</v>
      </c>
      <c r="J225" s="1356"/>
      <c r="K225" s="1357"/>
      <c r="L225" s="113">
        <f>+L226</f>
        <v>6</v>
      </c>
      <c r="M225" s="1331"/>
      <c r="N225" s="1356"/>
      <c r="O225" s="1357"/>
      <c r="P225" s="115"/>
      <c r="Q225" s="1331" t="s">
        <v>885</v>
      </c>
      <c r="R225" s="1356"/>
      <c r="S225" s="1357"/>
      <c r="T225" s="113">
        <f>+T226</f>
        <v>4</v>
      </c>
      <c r="U225" s="1331"/>
      <c r="V225" s="1356"/>
      <c r="W225" s="1357"/>
      <c r="X225" s="139"/>
      <c r="Y225" s="1331" t="s">
        <v>885</v>
      </c>
      <c r="Z225" s="1052"/>
      <c r="AA225" s="1053"/>
      <c r="AB225" s="139"/>
      <c r="AC225" s="1331" t="s">
        <v>885</v>
      </c>
      <c r="AD225" s="1052"/>
      <c r="AE225" s="1332"/>
    </row>
    <row r="226" spans="2:31" ht="12.75" customHeight="1" x14ac:dyDescent="0.25">
      <c r="B226" s="1407"/>
      <c r="C226" s="1408"/>
      <c r="D226" s="1408"/>
      <c r="E226" s="1409"/>
      <c r="F226" s="1135" t="s">
        <v>132</v>
      </c>
      <c r="G226" s="1364"/>
      <c r="H226" s="115"/>
      <c r="I226" s="1358"/>
      <c r="J226" s="1359"/>
      <c r="K226" s="1360"/>
      <c r="L226" s="115">
        <v>6</v>
      </c>
      <c r="M226" s="1358"/>
      <c r="N226" s="1359"/>
      <c r="O226" s="1360"/>
      <c r="P226" s="115"/>
      <c r="Q226" s="1358"/>
      <c r="R226" s="1359"/>
      <c r="S226" s="1360"/>
      <c r="T226" s="115">
        <v>4</v>
      </c>
      <c r="U226" s="1358"/>
      <c r="V226" s="1359"/>
      <c r="W226" s="1360"/>
      <c r="X226" s="115"/>
      <c r="Y226" s="1029"/>
      <c r="Z226" s="939"/>
      <c r="AA226" s="1054"/>
      <c r="AB226" s="115"/>
      <c r="AC226" s="1029"/>
      <c r="AD226" s="939"/>
      <c r="AE226" s="1030"/>
    </row>
    <row r="227" spans="2:31" ht="12.75" customHeight="1" x14ac:dyDescent="0.25">
      <c r="B227" s="1407"/>
      <c r="C227" s="1408"/>
      <c r="D227" s="1408"/>
      <c r="E227" s="1409"/>
      <c r="F227" s="1135" t="s">
        <v>674</v>
      </c>
      <c r="G227" s="1364"/>
      <c r="H227" s="115"/>
      <c r="I227" s="1358"/>
      <c r="J227" s="1359"/>
      <c r="K227" s="1360"/>
      <c r="L227" s="115"/>
      <c r="M227" s="1358"/>
      <c r="N227" s="1359"/>
      <c r="O227" s="1360"/>
      <c r="P227" s="115"/>
      <c r="Q227" s="1358"/>
      <c r="R227" s="1359"/>
      <c r="S227" s="1360"/>
      <c r="T227" s="115"/>
      <c r="U227" s="1358"/>
      <c r="V227" s="1359"/>
      <c r="W227" s="1360"/>
      <c r="X227" s="115"/>
      <c r="Y227" s="1029"/>
      <c r="Z227" s="939"/>
      <c r="AA227" s="1054"/>
      <c r="AB227" s="115"/>
      <c r="AC227" s="1029"/>
      <c r="AD227" s="939"/>
      <c r="AE227" s="1030"/>
    </row>
    <row r="228" spans="2:31" ht="12.75" customHeight="1" x14ac:dyDescent="0.25">
      <c r="B228" s="1407"/>
      <c r="C228" s="1408"/>
      <c r="D228" s="1408"/>
      <c r="E228" s="1409"/>
      <c r="F228" s="1135" t="s">
        <v>1140</v>
      </c>
      <c r="G228" s="1364"/>
      <c r="H228" s="115"/>
      <c r="I228" s="1358"/>
      <c r="J228" s="1359"/>
      <c r="K228" s="1360"/>
      <c r="L228" s="115"/>
      <c r="M228" s="1358"/>
      <c r="N228" s="1359"/>
      <c r="O228" s="1360"/>
      <c r="P228" s="115"/>
      <c r="Q228" s="1358"/>
      <c r="R228" s="1359"/>
      <c r="S228" s="1360"/>
      <c r="T228" s="115"/>
      <c r="U228" s="1358"/>
      <c r="V228" s="1359"/>
      <c r="W228" s="1360"/>
      <c r="X228" s="115"/>
      <c r="Y228" s="1029"/>
      <c r="Z228" s="939"/>
      <c r="AA228" s="1054"/>
      <c r="AB228" s="115"/>
      <c r="AC228" s="1029"/>
      <c r="AD228" s="939"/>
      <c r="AE228" s="1030"/>
    </row>
    <row r="229" spans="2:31" ht="12.75" customHeight="1" x14ac:dyDescent="0.25">
      <c r="B229" s="1407"/>
      <c r="C229" s="1408"/>
      <c r="D229" s="1408"/>
      <c r="E229" s="1409"/>
      <c r="F229" s="1135" t="s">
        <v>684</v>
      </c>
      <c r="G229" s="1364"/>
      <c r="H229" s="115"/>
      <c r="I229" s="1358"/>
      <c r="J229" s="1359"/>
      <c r="K229" s="1360"/>
      <c r="L229" s="115"/>
      <c r="M229" s="1358"/>
      <c r="N229" s="1359"/>
      <c r="O229" s="1360"/>
      <c r="P229" s="115"/>
      <c r="Q229" s="1358"/>
      <c r="R229" s="1359"/>
      <c r="S229" s="1360"/>
      <c r="T229" s="115"/>
      <c r="U229" s="1358"/>
      <c r="V229" s="1359"/>
      <c r="W229" s="1360"/>
      <c r="X229" s="115"/>
      <c r="Y229" s="1029"/>
      <c r="Z229" s="939"/>
      <c r="AA229" s="1054"/>
      <c r="AB229" s="115"/>
      <c r="AC229" s="1029"/>
      <c r="AD229" s="939"/>
      <c r="AE229" s="1030"/>
    </row>
    <row r="230" spans="2:31" ht="12.75" customHeight="1" x14ac:dyDescent="0.25">
      <c r="B230" s="1407"/>
      <c r="C230" s="1408"/>
      <c r="D230" s="1408"/>
      <c r="E230" s="1409"/>
      <c r="F230" s="1135" t="s">
        <v>677</v>
      </c>
      <c r="G230" s="1364"/>
      <c r="H230" s="115"/>
      <c r="I230" s="1358"/>
      <c r="J230" s="1359"/>
      <c r="K230" s="1360"/>
      <c r="L230" s="115"/>
      <c r="M230" s="1358"/>
      <c r="N230" s="1359"/>
      <c r="O230" s="1360"/>
      <c r="P230" s="115"/>
      <c r="Q230" s="1358"/>
      <c r="R230" s="1359"/>
      <c r="S230" s="1360"/>
      <c r="T230" s="115"/>
      <c r="U230" s="1358"/>
      <c r="V230" s="1359"/>
      <c r="W230" s="1360"/>
      <c r="X230" s="115"/>
      <c r="Y230" s="1029"/>
      <c r="Z230" s="939"/>
      <c r="AA230" s="1054"/>
      <c r="AB230" s="115"/>
      <c r="AC230" s="1029"/>
      <c r="AD230" s="939"/>
      <c r="AE230" s="1030"/>
    </row>
    <row r="231" spans="2:31" ht="12.75" customHeight="1" x14ac:dyDescent="0.25">
      <c r="B231" s="1407"/>
      <c r="C231" s="1408"/>
      <c r="D231" s="1408"/>
      <c r="E231" s="1409"/>
      <c r="F231" s="1135" t="s">
        <v>678</v>
      </c>
      <c r="G231" s="1364"/>
      <c r="H231" s="115"/>
      <c r="I231" s="1358"/>
      <c r="J231" s="1359"/>
      <c r="K231" s="1360"/>
      <c r="L231" s="115"/>
      <c r="M231" s="1358"/>
      <c r="N231" s="1359"/>
      <c r="O231" s="1360"/>
      <c r="P231" s="115"/>
      <c r="Q231" s="1358"/>
      <c r="R231" s="1359"/>
      <c r="S231" s="1360"/>
      <c r="T231" s="115"/>
      <c r="U231" s="1358"/>
      <c r="V231" s="1359"/>
      <c r="W231" s="1360"/>
      <c r="X231" s="115"/>
      <c r="Y231" s="1029"/>
      <c r="Z231" s="939"/>
      <c r="AA231" s="1054"/>
      <c r="AB231" s="115"/>
      <c r="AC231" s="1029"/>
      <c r="AD231" s="939"/>
      <c r="AE231" s="1030"/>
    </row>
    <row r="232" spans="2:31" ht="12.75" customHeight="1" x14ac:dyDescent="0.25">
      <c r="B232" s="1407"/>
      <c r="C232" s="1408"/>
      <c r="D232" s="1408"/>
      <c r="E232" s="1409"/>
      <c r="F232" s="1135" t="s">
        <v>1146</v>
      </c>
      <c r="G232" s="1364"/>
      <c r="H232" s="115"/>
      <c r="I232" s="1358"/>
      <c r="J232" s="1359"/>
      <c r="K232" s="1360"/>
      <c r="L232" s="115"/>
      <c r="M232" s="1358"/>
      <c r="N232" s="1359"/>
      <c r="O232" s="1360"/>
      <c r="P232" s="115"/>
      <c r="Q232" s="1358"/>
      <c r="R232" s="1359"/>
      <c r="S232" s="1360"/>
      <c r="T232" s="115"/>
      <c r="U232" s="1358"/>
      <c r="V232" s="1359"/>
      <c r="W232" s="1360"/>
      <c r="X232" s="115"/>
      <c r="Y232" s="1029"/>
      <c r="Z232" s="939"/>
      <c r="AA232" s="1054"/>
      <c r="AB232" s="115"/>
      <c r="AC232" s="1029"/>
      <c r="AD232" s="939"/>
      <c r="AE232" s="1030"/>
    </row>
    <row r="233" spans="2:31" ht="12.75" customHeight="1" x14ac:dyDescent="0.25">
      <c r="B233" s="1410"/>
      <c r="C233" s="1411"/>
      <c r="D233" s="1411"/>
      <c r="E233" s="1412"/>
      <c r="F233" s="1135" t="s">
        <v>1148</v>
      </c>
      <c r="G233" s="1364"/>
      <c r="H233" s="115"/>
      <c r="I233" s="1361"/>
      <c r="J233" s="1362"/>
      <c r="K233" s="1363"/>
      <c r="L233" s="115"/>
      <c r="M233" s="1361"/>
      <c r="N233" s="1362"/>
      <c r="O233" s="1363"/>
      <c r="P233" s="115"/>
      <c r="Q233" s="1361"/>
      <c r="R233" s="1362"/>
      <c r="S233" s="1363"/>
      <c r="T233" s="115"/>
      <c r="U233" s="1361"/>
      <c r="V233" s="1362"/>
      <c r="W233" s="1363"/>
      <c r="X233" s="115"/>
      <c r="Y233" s="1031"/>
      <c r="Z233" s="1032"/>
      <c r="AA233" s="1055"/>
      <c r="AB233" s="115"/>
      <c r="AC233" s="1031"/>
      <c r="AD233" s="1032"/>
      <c r="AE233" s="1033"/>
    </row>
    <row r="234" spans="2:31" ht="12.75" customHeight="1" x14ac:dyDescent="0.25">
      <c r="B234" s="463"/>
      <c r="C234" s="78"/>
      <c r="D234" s="78"/>
      <c r="E234" s="78"/>
      <c r="F234" s="78"/>
      <c r="G234" s="78"/>
      <c r="H234" s="78"/>
      <c r="I234" s="78"/>
      <c r="J234" s="78"/>
      <c r="K234" s="78"/>
      <c r="L234" s="111"/>
      <c r="M234" s="111"/>
      <c r="N234" s="111"/>
      <c r="O234" s="111"/>
      <c r="P234" s="111"/>
      <c r="Q234" s="111"/>
      <c r="R234" s="111"/>
      <c r="S234" s="111"/>
      <c r="T234" s="111"/>
      <c r="U234" s="111"/>
      <c r="V234" s="111"/>
      <c r="W234" s="111"/>
      <c r="X234" s="78"/>
      <c r="Y234" s="78"/>
      <c r="Z234" s="78"/>
      <c r="AA234" s="78"/>
      <c r="AB234" s="78"/>
      <c r="AC234" s="78"/>
      <c r="AD234" s="78"/>
      <c r="AE234" s="340"/>
    </row>
    <row r="235" spans="2:31" ht="12.75" customHeight="1" x14ac:dyDescent="0.25">
      <c r="B235" s="1353" t="s">
        <v>38</v>
      </c>
      <c r="C235" s="1336"/>
      <c r="D235" s="4" t="s">
        <v>39</v>
      </c>
      <c r="E235" s="109" t="s">
        <v>399</v>
      </c>
      <c r="F235" s="1354" t="s">
        <v>673</v>
      </c>
      <c r="G235" s="1378"/>
      <c r="H235" s="1048" t="str">
        <f>$H$4</f>
        <v>BOCATOMA</v>
      </c>
      <c r="I235" s="1336"/>
      <c r="J235" s="1337"/>
      <c r="K235" s="1337"/>
      <c r="L235" s="1048" t="str">
        <f>$L$4</f>
        <v>DESARENADOR</v>
      </c>
      <c r="M235" s="1336"/>
      <c r="N235" s="1337" t="s">
        <v>62</v>
      </c>
      <c r="O235" s="1337"/>
      <c r="P235" s="1393" t="str">
        <f>$P$4</f>
        <v>PLANTA</v>
      </c>
      <c r="Q235" s="1336"/>
      <c r="R235" s="1337"/>
      <c r="S235" s="1337"/>
      <c r="T235" s="1048" t="str">
        <f>$T$4</f>
        <v>TANQUE</v>
      </c>
      <c r="U235" s="1336"/>
      <c r="V235" s="1337" t="s">
        <v>1199</v>
      </c>
      <c r="W235" s="1337"/>
      <c r="X235" s="1048" t="s">
        <v>1414</v>
      </c>
      <c r="Y235" s="1336"/>
      <c r="Z235" s="1337" t="s">
        <v>1199</v>
      </c>
      <c r="AA235" s="1337"/>
      <c r="AB235" s="1048" t="s">
        <v>1421</v>
      </c>
      <c r="AC235" s="1050"/>
      <c r="AD235" s="1329"/>
      <c r="AE235" s="1330"/>
    </row>
    <row r="236" spans="2:31" ht="12.75" customHeight="1" x14ac:dyDescent="0.25">
      <c r="B236" s="1350" t="str">
        <f>+'PTO OC PLIEGO'!B57:H57</f>
        <v>CERRAMIENTO EN MALLA ESLABONADA C.10.5 INC. ÁNGULO (PARAL EN TUBO ESTRUCTURAL GALVANIZADO 2") INCLUYE CIMENTACIÓN</v>
      </c>
      <c r="C236" s="1405"/>
      <c r="D236" s="1405"/>
      <c r="E236" s="1406"/>
      <c r="F236" s="1135" t="s">
        <v>201</v>
      </c>
      <c r="G236" s="1364"/>
      <c r="H236" s="113"/>
      <c r="I236" s="1331" t="s">
        <v>885</v>
      </c>
      <c r="J236" s="1356"/>
      <c r="K236" s="1357"/>
      <c r="L236" s="113">
        <f>+L243</f>
        <v>280</v>
      </c>
      <c r="M236" s="1331"/>
      <c r="N236" s="1356"/>
      <c r="O236" s="1357"/>
      <c r="P236" s="115"/>
      <c r="Q236" s="1331" t="s">
        <v>885</v>
      </c>
      <c r="R236" s="1356"/>
      <c r="S236" s="1357"/>
      <c r="T236" s="113">
        <f>+T243</f>
        <v>570</v>
      </c>
      <c r="U236" s="1331"/>
      <c r="V236" s="1338"/>
      <c r="W236" s="1339"/>
      <c r="X236" s="113">
        <f>X244</f>
        <v>0</v>
      </c>
      <c r="Y236" s="1331" t="s">
        <v>885</v>
      </c>
      <c r="Z236" s="1052"/>
      <c r="AA236" s="1053"/>
      <c r="AB236" s="139"/>
      <c r="AC236" s="1331" t="s">
        <v>885</v>
      </c>
      <c r="AD236" s="1052"/>
      <c r="AE236" s="1332"/>
    </row>
    <row r="237" spans="2:31" ht="12.75" customHeight="1" x14ac:dyDescent="0.25">
      <c r="B237" s="1407"/>
      <c r="C237" s="1408"/>
      <c r="D237" s="1408"/>
      <c r="E237" s="1409"/>
      <c r="F237" s="1135" t="s">
        <v>132</v>
      </c>
      <c r="G237" s="1364"/>
      <c r="H237" s="115"/>
      <c r="I237" s="1358"/>
      <c r="J237" s="1359"/>
      <c r="K237" s="1360"/>
      <c r="L237" s="115"/>
      <c r="M237" s="1358"/>
      <c r="N237" s="1359"/>
      <c r="O237" s="1360"/>
      <c r="P237" s="115"/>
      <c r="Q237" s="1358"/>
      <c r="R237" s="1359"/>
      <c r="S237" s="1360"/>
      <c r="T237" s="115"/>
      <c r="U237" s="1340"/>
      <c r="V237" s="1341"/>
      <c r="W237" s="948"/>
      <c r="X237" s="115"/>
      <c r="Y237" s="1029"/>
      <c r="Z237" s="939"/>
      <c r="AA237" s="1054"/>
      <c r="AB237" s="115"/>
      <c r="AC237" s="1029"/>
      <c r="AD237" s="939"/>
      <c r="AE237" s="1030"/>
    </row>
    <row r="238" spans="2:31" ht="12.75" customHeight="1" x14ac:dyDescent="0.25">
      <c r="B238" s="1407"/>
      <c r="C238" s="1408"/>
      <c r="D238" s="1408"/>
      <c r="E238" s="1409"/>
      <c r="F238" s="1135" t="s">
        <v>674</v>
      </c>
      <c r="G238" s="1364"/>
      <c r="H238" s="115"/>
      <c r="I238" s="1358"/>
      <c r="J238" s="1359"/>
      <c r="K238" s="1360"/>
      <c r="L238" s="115"/>
      <c r="M238" s="1358"/>
      <c r="N238" s="1359"/>
      <c r="O238" s="1360"/>
      <c r="P238" s="115"/>
      <c r="Q238" s="1358"/>
      <c r="R238" s="1359"/>
      <c r="S238" s="1360"/>
      <c r="T238" s="115"/>
      <c r="U238" s="1340"/>
      <c r="V238" s="1341"/>
      <c r="W238" s="948"/>
      <c r="X238" s="115"/>
      <c r="Y238" s="1029"/>
      <c r="Z238" s="939"/>
      <c r="AA238" s="1054"/>
      <c r="AB238" s="115"/>
      <c r="AC238" s="1029"/>
      <c r="AD238" s="939"/>
      <c r="AE238" s="1030"/>
    </row>
    <row r="239" spans="2:31" ht="12.75" customHeight="1" x14ac:dyDescent="0.25">
      <c r="B239" s="1407"/>
      <c r="C239" s="1408"/>
      <c r="D239" s="1408"/>
      <c r="E239" s="1409"/>
      <c r="F239" s="1135" t="s">
        <v>1140</v>
      </c>
      <c r="G239" s="1364"/>
      <c r="H239" s="115"/>
      <c r="I239" s="1358"/>
      <c r="J239" s="1359"/>
      <c r="K239" s="1360"/>
      <c r="L239" s="115"/>
      <c r="M239" s="1358"/>
      <c r="N239" s="1359"/>
      <c r="O239" s="1360"/>
      <c r="P239" s="115"/>
      <c r="Q239" s="1358"/>
      <c r="R239" s="1359"/>
      <c r="S239" s="1360"/>
      <c r="T239" s="115"/>
      <c r="U239" s="1340"/>
      <c r="V239" s="1341"/>
      <c r="W239" s="948"/>
      <c r="X239" s="115"/>
      <c r="Y239" s="1029"/>
      <c r="Z239" s="939"/>
      <c r="AA239" s="1054"/>
      <c r="AB239" s="115"/>
      <c r="AC239" s="1029"/>
      <c r="AD239" s="939"/>
      <c r="AE239" s="1030"/>
    </row>
    <row r="240" spans="2:31" ht="12.75" customHeight="1" x14ac:dyDescent="0.25">
      <c r="B240" s="1407"/>
      <c r="C240" s="1408"/>
      <c r="D240" s="1408"/>
      <c r="E240" s="1409"/>
      <c r="F240" s="1135" t="s">
        <v>684</v>
      </c>
      <c r="G240" s="1364"/>
      <c r="H240" s="115"/>
      <c r="I240" s="1358"/>
      <c r="J240" s="1359"/>
      <c r="K240" s="1360"/>
      <c r="L240" s="115"/>
      <c r="M240" s="1358"/>
      <c r="N240" s="1359"/>
      <c r="O240" s="1360"/>
      <c r="P240" s="115"/>
      <c r="Q240" s="1358"/>
      <c r="R240" s="1359"/>
      <c r="S240" s="1360"/>
      <c r="T240" s="115"/>
      <c r="U240" s="1340"/>
      <c r="V240" s="1341"/>
      <c r="W240" s="948"/>
      <c r="X240" s="115"/>
      <c r="Y240" s="1029"/>
      <c r="Z240" s="939"/>
      <c r="AA240" s="1054"/>
      <c r="AB240" s="115"/>
      <c r="AC240" s="1029"/>
      <c r="AD240" s="939"/>
      <c r="AE240" s="1030"/>
    </row>
    <row r="241" spans="2:31" ht="12.75" customHeight="1" x14ac:dyDescent="0.25">
      <c r="B241" s="1407"/>
      <c r="C241" s="1408"/>
      <c r="D241" s="1408"/>
      <c r="E241" s="1409"/>
      <c r="F241" s="1135" t="s">
        <v>677</v>
      </c>
      <c r="G241" s="1364"/>
      <c r="H241" s="115"/>
      <c r="I241" s="1358"/>
      <c r="J241" s="1359"/>
      <c r="K241" s="1360"/>
      <c r="L241" s="115"/>
      <c r="M241" s="1358"/>
      <c r="N241" s="1359"/>
      <c r="O241" s="1360"/>
      <c r="P241" s="115"/>
      <c r="Q241" s="1358"/>
      <c r="R241" s="1359"/>
      <c r="S241" s="1360"/>
      <c r="T241" s="117"/>
      <c r="U241" s="1340"/>
      <c r="V241" s="1341"/>
      <c r="W241" s="948"/>
      <c r="X241" s="117"/>
      <c r="Y241" s="1029"/>
      <c r="Z241" s="939"/>
      <c r="AA241" s="1054"/>
      <c r="AB241" s="115"/>
      <c r="AC241" s="1029"/>
      <c r="AD241" s="939"/>
      <c r="AE241" s="1030"/>
    </row>
    <row r="242" spans="2:31" ht="12.75" customHeight="1" x14ac:dyDescent="0.25">
      <c r="B242" s="1407"/>
      <c r="C242" s="1408"/>
      <c r="D242" s="1408"/>
      <c r="E242" s="1409"/>
      <c r="F242" s="1135" t="s">
        <v>678</v>
      </c>
      <c r="G242" s="1364"/>
      <c r="H242" s="115"/>
      <c r="I242" s="1358"/>
      <c r="J242" s="1359"/>
      <c r="K242" s="1360"/>
      <c r="L242" s="115"/>
      <c r="M242" s="1358"/>
      <c r="N242" s="1359"/>
      <c r="O242" s="1360"/>
      <c r="P242" s="115"/>
      <c r="Q242" s="1358"/>
      <c r="R242" s="1359"/>
      <c r="S242" s="1360"/>
      <c r="T242" s="115"/>
      <c r="U242" s="1340"/>
      <c r="V242" s="1341"/>
      <c r="W242" s="948"/>
      <c r="X242" s="115"/>
      <c r="Y242" s="1029"/>
      <c r="Z242" s="939"/>
      <c r="AA242" s="1054"/>
      <c r="AB242" s="115"/>
      <c r="AC242" s="1029"/>
      <c r="AD242" s="939"/>
      <c r="AE242" s="1030"/>
    </row>
    <row r="243" spans="2:31" ht="12.75" customHeight="1" x14ac:dyDescent="0.25">
      <c r="B243" s="1407"/>
      <c r="C243" s="1408"/>
      <c r="D243" s="1408"/>
      <c r="E243" s="1409"/>
      <c r="F243" s="1135" t="s">
        <v>1146</v>
      </c>
      <c r="G243" s="1364"/>
      <c r="H243" s="115"/>
      <c r="I243" s="1358"/>
      <c r="J243" s="1359"/>
      <c r="K243" s="1360"/>
      <c r="L243" s="115">
        <v>280</v>
      </c>
      <c r="M243" s="1358"/>
      <c r="N243" s="1359"/>
      <c r="O243" s="1360"/>
      <c r="P243" s="115"/>
      <c r="Q243" s="1358"/>
      <c r="R243" s="1359"/>
      <c r="S243" s="1360"/>
      <c r="T243" s="115">
        <v>570</v>
      </c>
      <c r="U243" s="1340"/>
      <c r="V243" s="1341"/>
      <c r="W243" s="948"/>
      <c r="X243" s="115"/>
      <c r="Y243" s="1029"/>
      <c r="Z243" s="939"/>
      <c r="AA243" s="1054"/>
      <c r="AB243" s="115"/>
      <c r="AC243" s="1029"/>
      <c r="AD243" s="939"/>
      <c r="AE243" s="1030"/>
    </row>
    <row r="244" spans="2:31" ht="12.75" customHeight="1" x14ac:dyDescent="0.25">
      <c r="B244" s="1410"/>
      <c r="C244" s="1411"/>
      <c r="D244" s="1411"/>
      <c r="E244" s="1412"/>
      <c r="F244" s="1135" t="s">
        <v>1148</v>
      </c>
      <c r="G244" s="1364"/>
      <c r="H244" s="115"/>
      <c r="I244" s="1361"/>
      <c r="J244" s="1362"/>
      <c r="K244" s="1363"/>
      <c r="L244" s="115"/>
      <c r="M244" s="1361"/>
      <c r="N244" s="1362"/>
      <c r="O244" s="1363"/>
      <c r="P244" s="115"/>
      <c r="Q244" s="1361"/>
      <c r="R244" s="1362"/>
      <c r="S244" s="1363"/>
      <c r="T244" s="115"/>
      <c r="U244" s="953"/>
      <c r="V244" s="1342"/>
      <c r="W244" s="1343"/>
      <c r="X244" s="115"/>
      <c r="Y244" s="1031"/>
      <c r="Z244" s="1032"/>
      <c r="AA244" s="1055"/>
      <c r="AB244" s="115"/>
      <c r="AC244" s="1031"/>
      <c r="AD244" s="1032"/>
      <c r="AE244" s="1033"/>
    </row>
    <row r="245" spans="2:31" ht="12.75" customHeight="1" x14ac:dyDescent="0.25">
      <c r="B245" s="463"/>
      <c r="C245" s="78"/>
      <c r="D245" s="78"/>
      <c r="E245" s="78"/>
      <c r="F245" s="78"/>
      <c r="G245" s="78"/>
      <c r="H245" s="78"/>
      <c r="I245" s="78"/>
      <c r="J245" s="78"/>
      <c r="K245" s="78"/>
      <c r="L245" s="111"/>
      <c r="M245" s="111"/>
      <c r="N245" s="111"/>
      <c r="O245" s="111"/>
      <c r="P245" s="111"/>
      <c r="Q245" s="111"/>
      <c r="R245" s="111"/>
      <c r="S245" s="111"/>
      <c r="T245" s="111"/>
      <c r="U245" s="111"/>
      <c r="V245" s="111"/>
      <c r="W245" s="111"/>
      <c r="X245" s="78"/>
      <c r="Y245" s="78"/>
      <c r="Z245" s="78"/>
      <c r="AA245" s="78"/>
      <c r="AB245" s="78"/>
      <c r="AC245" s="78"/>
      <c r="AD245" s="78"/>
      <c r="AE245" s="340"/>
    </row>
    <row r="246" spans="2:31" ht="12.75" customHeight="1" x14ac:dyDescent="0.25">
      <c r="B246" s="1353" t="s">
        <v>38</v>
      </c>
      <c r="C246" s="1336"/>
      <c r="D246" s="4" t="s">
        <v>39</v>
      </c>
      <c r="E246" s="109" t="s">
        <v>397</v>
      </c>
      <c r="F246" s="1354" t="s">
        <v>673</v>
      </c>
      <c r="G246" s="1378"/>
      <c r="H246" s="1048" t="str">
        <f>$H$4</f>
        <v>BOCATOMA</v>
      </c>
      <c r="I246" s="1336"/>
      <c r="J246" s="1337" t="s">
        <v>64</v>
      </c>
      <c r="K246" s="1337"/>
      <c r="L246" s="1048" t="str">
        <f>$L$4</f>
        <v>DESARENADOR</v>
      </c>
      <c r="M246" s="1336"/>
      <c r="N246" s="1337" t="s">
        <v>64</v>
      </c>
      <c r="O246" s="1337"/>
      <c r="P246" s="1393" t="str">
        <f>$P$4</f>
        <v>PLANTA</v>
      </c>
      <c r="Q246" s="1336"/>
      <c r="R246" s="1337"/>
      <c r="S246" s="1337"/>
      <c r="T246" s="1048" t="str">
        <f>$T$4</f>
        <v>TANQUE</v>
      </c>
      <c r="U246" s="1336"/>
      <c r="V246" s="1337" t="s">
        <v>1201</v>
      </c>
      <c r="W246" s="1337"/>
      <c r="X246" s="1048" t="s">
        <v>1414</v>
      </c>
      <c r="Y246" s="1050"/>
      <c r="Z246" s="1329"/>
      <c r="AA246" s="1050"/>
      <c r="AB246" s="1048" t="s">
        <v>1421</v>
      </c>
      <c r="AC246" s="1050"/>
      <c r="AD246" s="1329"/>
      <c r="AE246" s="1330"/>
    </row>
    <row r="247" spans="2:31" ht="12.75" customHeight="1" x14ac:dyDescent="0.25">
      <c r="B247" s="1350" t="str">
        <f>+'PTO OC PLIEGO'!B59:H59</f>
        <v>TUBERÍA PVC 10" RDE 21 (INCLUYE INSTALACIÓN Y SUMINISTRO)</v>
      </c>
      <c r="C247" s="1405"/>
      <c r="D247" s="1405"/>
      <c r="E247" s="1406"/>
      <c r="F247" s="1135" t="s">
        <v>201</v>
      </c>
      <c r="G247" s="1364"/>
      <c r="H247" s="113">
        <f>+H248*H254</f>
        <v>0</v>
      </c>
      <c r="I247" s="1331" t="s">
        <v>885</v>
      </c>
      <c r="J247" s="1356"/>
      <c r="K247" s="1357"/>
      <c r="L247" s="113">
        <f>+L249</f>
        <v>9</v>
      </c>
      <c r="M247" s="1331"/>
      <c r="N247" s="1356"/>
      <c r="O247" s="1357"/>
      <c r="P247" s="115"/>
      <c r="Q247" s="1331" t="s">
        <v>885</v>
      </c>
      <c r="R247" s="1356"/>
      <c r="S247" s="1357"/>
      <c r="T247" s="113">
        <f>+T248*T254</f>
        <v>85.5</v>
      </c>
      <c r="U247" s="1331"/>
      <c r="V247" s="1338"/>
      <c r="W247" s="1339"/>
      <c r="X247" s="139"/>
      <c r="Y247" s="1331" t="s">
        <v>885</v>
      </c>
      <c r="Z247" s="1052"/>
      <c r="AA247" s="1053"/>
      <c r="AB247" s="139"/>
      <c r="AC247" s="1331" t="s">
        <v>885</v>
      </c>
      <c r="AD247" s="1052"/>
      <c r="AE247" s="1332"/>
    </row>
    <row r="248" spans="2:31" ht="12.75" customHeight="1" x14ac:dyDescent="0.25">
      <c r="B248" s="1407"/>
      <c r="C248" s="1408"/>
      <c r="D248" s="1408"/>
      <c r="E248" s="1409"/>
      <c r="F248" s="1135" t="s">
        <v>132</v>
      </c>
      <c r="G248" s="1364"/>
      <c r="H248" s="115"/>
      <c r="I248" s="1358"/>
      <c r="J248" s="1359"/>
      <c r="K248" s="1360"/>
      <c r="L248" s="115"/>
      <c r="M248" s="1358"/>
      <c r="N248" s="1359"/>
      <c r="O248" s="1360"/>
      <c r="P248" s="115"/>
      <c r="Q248" s="1358"/>
      <c r="R248" s="1359"/>
      <c r="S248" s="1360"/>
      <c r="T248" s="115">
        <v>1</v>
      </c>
      <c r="U248" s="1340"/>
      <c r="V248" s="1341"/>
      <c r="W248" s="948"/>
      <c r="X248" s="115"/>
      <c r="Y248" s="1029"/>
      <c r="Z248" s="939"/>
      <c r="AA248" s="1054"/>
      <c r="AB248" s="115"/>
      <c r="AC248" s="1029"/>
      <c r="AD248" s="939"/>
      <c r="AE248" s="1030"/>
    </row>
    <row r="249" spans="2:31" ht="12.75" customHeight="1" x14ac:dyDescent="0.25">
      <c r="B249" s="1407"/>
      <c r="C249" s="1408"/>
      <c r="D249" s="1408"/>
      <c r="E249" s="1409"/>
      <c r="F249" s="1135" t="s">
        <v>674</v>
      </c>
      <c r="G249" s="1364"/>
      <c r="H249" s="115"/>
      <c r="I249" s="1358"/>
      <c r="J249" s="1359"/>
      <c r="K249" s="1360"/>
      <c r="L249" s="115">
        <v>9</v>
      </c>
      <c r="M249" s="1358"/>
      <c r="N249" s="1359"/>
      <c r="O249" s="1360"/>
      <c r="P249" s="115"/>
      <c r="Q249" s="1358"/>
      <c r="R249" s="1359"/>
      <c r="S249" s="1360"/>
      <c r="T249" s="115"/>
      <c r="U249" s="1340"/>
      <c r="V249" s="1341"/>
      <c r="W249" s="948"/>
      <c r="X249" s="115"/>
      <c r="Y249" s="1029"/>
      <c r="Z249" s="939"/>
      <c r="AA249" s="1054"/>
      <c r="AB249" s="115"/>
      <c r="AC249" s="1029"/>
      <c r="AD249" s="939"/>
      <c r="AE249" s="1030"/>
    </row>
    <row r="250" spans="2:31" ht="12.75" customHeight="1" x14ac:dyDescent="0.25">
      <c r="B250" s="1407"/>
      <c r="C250" s="1408"/>
      <c r="D250" s="1408"/>
      <c r="E250" s="1409"/>
      <c r="F250" s="1135" t="s">
        <v>1140</v>
      </c>
      <c r="G250" s="1364"/>
      <c r="H250" s="115"/>
      <c r="I250" s="1358"/>
      <c r="J250" s="1359"/>
      <c r="K250" s="1360"/>
      <c r="L250" s="115"/>
      <c r="M250" s="1358"/>
      <c r="N250" s="1359"/>
      <c r="O250" s="1360"/>
      <c r="P250" s="115"/>
      <c r="Q250" s="1358"/>
      <c r="R250" s="1359"/>
      <c r="S250" s="1360"/>
      <c r="T250" s="115">
        <v>1</v>
      </c>
      <c r="U250" s="1340"/>
      <c r="V250" s="1341"/>
      <c r="W250" s="948"/>
      <c r="X250" s="115"/>
      <c r="Y250" s="1029"/>
      <c r="Z250" s="939"/>
      <c r="AA250" s="1054"/>
      <c r="AB250" s="115"/>
      <c r="AC250" s="1029"/>
      <c r="AD250" s="939"/>
      <c r="AE250" s="1030"/>
    </row>
    <row r="251" spans="2:31" ht="12.75" customHeight="1" x14ac:dyDescent="0.25">
      <c r="B251" s="1407"/>
      <c r="C251" s="1408"/>
      <c r="D251" s="1408"/>
      <c r="E251" s="1409"/>
      <c r="F251" s="1135" t="s">
        <v>684</v>
      </c>
      <c r="G251" s="1364"/>
      <c r="H251" s="115"/>
      <c r="I251" s="1358"/>
      <c r="J251" s="1359"/>
      <c r="K251" s="1360"/>
      <c r="L251" s="115"/>
      <c r="M251" s="1358"/>
      <c r="N251" s="1359"/>
      <c r="O251" s="1360"/>
      <c r="P251" s="115"/>
      <c r="Q251" s="1358"/>
      <c r="R251" s="1359"/>
      <c r="S251" s="1360"/>
      <c r="T251" s="115"/>
      <c r="U251" s="1340"/>
      <c r="V251" s="1341"/>
      <c r="W251" s="948"/>
      <c r="X251" s="115"/>
      <c r="Y251" s="1029"/>
      <c r="Z251" s="939"/>
      <c r="AA251" s="1054"/>
      <c r="AB251" s="115"/>
      <c r="AC251" s="1029"/>
      <c r="AD251" s="939"/>
      <c r="AE251" s="1030"/>
    </row>
    <row r="252" spans="2:31" ht="12.75" customHeight="1" x14ac:dyDescent="0.25">
      <c r="B252" s="1407"/>
      <c r="C252" s="1408"/>
      <c r="D252" s="1408"/>
      <c r="E252" s="1409"/>
      <c r="F252" s="1135" t="s">
        <v>677</v>
      </c>
      <c r="G252" s="1364"/>
      <c r="H252" s="115"/>
      <c r="I252" s="1358"/>
      <c r="J252" s="1359"/>
      <c r="K252" s="1360"/>
      <c r="L252" s="115"/>
      <c r="M252" s="1358"/>
      <c r="N252" s="1359"/>
      <c r="O252" s="1360"/>
      <c r="P252" s="115"/>
      <c r="Q252" s="1358"/>
      <c r="R252" s="1359"/>
      <c r="S252" s="1360"/>
      <c r="T252" s="117"/>
      <c r="U252" s="1340"/>
      <c r="V252" s="1341"/>
      <c r="W252" s="948"/>
      <c r="X252" s="115"/>
      <c r="Y252" s="1029"/>
      <c r="Z252" s="939"/>
      <c r="AA252" s="1054"/>
      <c r="AB252" s="115"/>
      <c r="AC252" s="1029"/>
      <c r="AD252" s="939"/>
      <c r="AE252" s="1030"/>
    </row>
    <row r="253" spans="2:31" ht="12.75" customHeight="1" x14ac:dyDescent="0.25">
      <c r="B253" s="1407"/>
      <c r="C253" s="1408"/>
      <c r="D253" s="1408"/>
      <c r="E253" s="1409"/>
      <c r="F253" s="1135" t="s">
        <v>678</v>
      </c>
      <c r="G253" s="1364"/>
      <c r="H253" s="115"/>
      <c r="I253" s="1358"/>
      <c r="J253" s="1359"/>
      <c r="K253" s="1360"/>
      <c r="L253" s="115"/>
      <c r="M253" s="1358"/>
      <c r="N253" s="1359"/>
      <c r="O253" s="1360"/>
      <c r="P253" s="115"/>
      <c r="Q253" s="1358"/>
      <c r="R253" s="1359"/>
      <c r="S253" s="1360"/>
      <c r="T253" s="115">
        <v>36.5</v>
      </c>
      <c r="U253" s="1340"/>
      <c r="V253" s="1341"/>
      <c r="W253" s="948"/>
      <c r="X253" s="115"/>
      <c r="Y253" s="1029"/>
      <c r="Z253" s="939"/>
      <c r="AA253" s="1054"/>
      <c r="AB253" s="115"/>
      <c r="AC253" s="1029"/>
      <c r="AD253" s="939"/>
      <c r="AE253" s="1030"/>
    </row>
    <row r="254" spans="2:31" ht="12.75" customHeight="1" x14ac:dyDescent="0.25">
      <c r="B254" s="1407"/>
      <c r="C254" s="1408"/>
      <c r="D254" s="1408"/>
      <c r="E254" s="1409"/>
      <c r="F254" s="1135" t="s">
        <v>1146</v>
      </c>
      <c r="G254" s="1364"/>
      <c r="H254" s="115"/>
      <c r="I254" s="1358"/>
      <c r="J254" s="1359"/>
      <c r="K254" s="1360"/>
      <c r="L254" s="115"/>
      <c r="M254" s="1358"/>
      <c r="N254" s="1359"/>
      <c r="O254" s="1360"/>
      <c r="P254" s="115"/>
      <c r="Q254" s="1358"/>
      <c r="R254" s="1359"/>
      <c r="S254" s="1360"/>
      <c r="T254" s="115">
        <f>+(T253*T250)+49</f>
        <v>85.5</v>
      </c>
      <c r="U254" s="1340"/>
      <c r="V254" s="1341"/>
      <c r="W254" s="948"/>
      <c r="X254" s="115"/>
      <c r="Y254" s="1029"/>
      <c r="Z254" s="939"/>
      <c r="AA254" s="1054"/>
      <c r="AB254" s="115"/>
      <c r="AC254" s="1029"/>
      <c r="AD254" s="939"/>
      <c r="AE254" s="1030"/>
    </row>
    <row r="255" spans="2:31" ht="12.75" customHeight="1" x14ac:dyDescent="0.25">
      <c r="B255" s="1410"/>
      <c r="C255" s="1411"/>
      <c r="D255" s="1411"/>
      <c r="E255" s="1412"/>
      <c r="F255" s="1135" t="s">
        <v>1148</v>
      </c>
      <c r="G255" s="1364"/>
      <c r="H255" s="115"/>
      <c r="I255" s="1361"/>
      <c r="J255" s="1362"/>
      <c r="K255" s="1363"/>
      <c r="L255" s="115"/>
      <c r="M255" s="1361"/>
      <c r="N255" s="1362"/>
      <c r="O255" s="1363"/>
      <c r="P255" s="115"/>
      <c r="Q255" s="1361"/>
      <c r="R255" s="1362"/>
      <c r="S255" s="1363"/>
      <c r="T255" s="115"/>
      <c r="U255" s="953"/>
      <c r="V255" s="1342"/>
      <c r="W255" s="1343"/>
      <c r="X255" s="115"/>
      <c r="Y255" s="1031"/>
      <c r="Z255" s="1032"/>
      <c r="AA255" s="1055"/>
      <c r="AB255" s="115"/>
      <c r="AC255" s="1031"/>
      <c r="AD255" s="1032"/>
      <c r="AE255" s="1033"/>
    </row>
    <row r="256" spans="2:31" ht="12.75" customHeight="1" x14ac:dyDescent="0.25">
      <c r="B256" s="463"/>
      <c r="C256" s="78"/>
      <c r="D256" s="78"/>
      <c r="E256" s="78"/>
      <c r="F256" s="78"/>
      <c r="G256" s="78"/>
      <c r="H256" s="78"/>
      <c r="I256" s="78"/>
      <c r="J256" s="78"/>
      <c r="K256" s="78"/>
      <c r="L256" s="326"/>
      <c r="M256" s="326"/>
      <c r="N256" s="326"/>
      <c r="O256" s="326"/>
      <c r="P256" s="326"/>
      <c r="Q256" s="326"/>
      <c r="R256" s="326"/>
      <c r="S256" s="326"/>
      <c r="T256" s="326"/>
      <c r="U256" s="326"/>
      <c r="V256" s="326"/>
      <c r="W256" s="326"/>
      <c r="X256" s="78"/>
      <c r="Y256" s="78"/>
      <c r="Z256" s="78"/>
      <c r="AA256" s="78"/>
      <c r="AB256" s="78"/>
      <c r="AC256" s="78"/>
      <c r="AD256" s="78"/>
      <c r="AE256" s="340"/>
    </row>
    <row r="257" spans="2:31" ht="12.75" customHeight="1" x14ac:dyDescent="0.25">
      <c r="B257" s="1353" t="s">
        <v>38</v>
      </c>
      <c r="C257" s="1336"/>
      <c r="D257" s="4" t="s">
        <v>39</v>
      </c>
      <c r="E257" s="109" t="s">
        <v>415</v>
      </c>
      <c r="F257" s="1354" t="s">
        <v>673</v>
      </c>
      <c r="G257" s="1378"/>
      <c r="H257" s="1048" t="str">
        <f>$H$4</f>
        <v>BOCATOMA</v>
      </c>
      <c r="I257" s="1336"/>
      <c r="J257" s="1337" t="s">
        <v>65</v>
      </c>
      <c r="K257" s="1337"/>
      <c r="L257" s="1048" t="str">
        <f>$L$4</f>
        <v>DESARENADOR</v>
      </c>
      <c r="M257" s="1336"/>
      <c r="N257" s="1337" t="s">
        <v>65</v>
      </c>
      <c r="O257" s="1337"/>
      <c r="P257" s="1393" t="str">
        <f>$P$4</f>
        <v>PLANTA</v>
      </c>
      <c r="Q257" s="1336"/>
      <c r="R257" s="1337" t="s">
        <v>111</v>
      </c>
      <c r="S257" s="1337"/>
      <c r="T257" s="1048" t="str">
        <f>$T$4</f>
        <v>TANQUE</v>
      </c>
      <c r="U257" s="1336"/>
      <c r="V257" s="1337" t="s">
        <v>1202</v>
      </c>
      <c r="W257" s="1337"/>
      <c r="X257" s="1048" t="s">
        <v>1414</v>
      </c>
      <c r="Y257" s="1336"/>
      <c r="Z257" s="1337" t="s">
        <v>1202</v>
      </c>
      <c r="AA257" s="1337"/>
      <c r="AB257" s="1048" t="s">
        <v>1421</v>
      </c>
      <c r="AC257" s="1050"/>
      <c r="AD257" s="1329"/>
      <c r="AE257" s="1330"/>
    </row>
    <row r="258" spans="2:31" ht="12.75" customHeight="1" x14ac:dyDescent="0.25">
      <c r="B258" s="1350" t="str">
        <f>+'PTO OC PLIEGO'!B60:H60</f>
        <v>TUBERÍA PVC 8" RDE 21 (INCLUYE INSTALACIÓN Y SUMINISTRO)</v>
      </c>
      <c r="C258" s="1405"/>
      <c r="D258" s="1405"/>
      <c r="E258" s="1406"/>
      <c r="F258" s="1135" t="s">
        <v>201</v>
      </c>
      <c r="G258" s="1364"/>
      <c r="H258" s="113">
        <f>+H259*H263</f>
        <v>0</v>
      </c>
      <c r="I258" s="1331" t="s">
        <v>885</v>
      </c>
      <c r="J258" s="1356"/>
      <c r="K258" s="1357"/>
      <c r="L258" s="113">
        <f>+L260</f>
        <v>43.3</v>
      </c>
      <c r="M258" s="1331"/>
      <c r="N258" s="1356"/>
      <c r="O258" s="1357"/>
      <c r="P258" s="113">
        <f>+P259*P263</f>
        <v>702</v>
      </c>
      <c r="Q258" s="1331"/>
      <c r="R258" s="1356"/>
      <c r="S258" s="1357"/>
      <c r="T258" s="113">
        <f>+T259*T263</f>
        <v>5350</v>
      </c>
      <c r="U258" s="1331"/>
      <c r="V258" s="1338"/>
      <c r="W258" s="1339"/>
      <c r="X258" s="113">
        <f>+X259*X263</f>
        <v>1392.84</v>
      </c>
      <c r="Y258" s="1331"/>
      <c r="Z258" s="1338"/>
      <c r="AA258" s="1339"/>
      <c r="AB258" s="139"/>
      <c r="AC258" s="1331" t="s">
        <v>885</v>
      </c>
      <c r="AD258" s="1052"/>
      <c r="AE258" s="1332"/>
    </row>
    <row r="259" spans="2:31" ht="12.75" customHeight="1" x14ac:dyDescent="0.25">
      <c r="B259" s="1407"/>
      <c r="C259" s="1408"/>
      <c r="D259" s="1408"/>
      <c r="E259" s="1409"/>
      <c r="F259" s="1135" t="s">
        <v>132</v>
      </c>
      <c r="G259" s="1364"/>
      <c r="H259" s="115"/>
      <c r="I259" s="1358"/>
      <c r="J259" s="1359"/>
      <c r="K259" s="1360"/>
      <c r="L259" s="115"/>
      <c r="M259" s="1358"/>
      <c r="N259" s="1359"/>
      <c r="O259" s="1360"/>
      <c r="P259" s="115">
        <v>1</v>
      </c>
      <c r="Q259" s="1358"/>
      <c r="R259" s="1359"/>
      <c r="S259" s="1360"/>
      <c r="T259" s="115">
        <v>1</v>
      </c>
      <c r="U259" s="1340"/>
      <c r="V259" s="1341"/>
      <c r="W259" s="948"/>
      <c r="X259" s="115">
        <v>1</v>
      </c>
      <c r="Y259" s="1340"/>
      <c r="Z259" s="1341"/>
      <c r="AA259" s="948"/>
      <c r="AB259" s="115"/>
      <c r="AC259" s="1029"/>
      <c r="AD259" s="939"/>
      <c r="AE259" s="1030"/>
    </row>
    <row r="260" spans="2:31" ht="12.75" customHeight="1" x14ac:dyDescent="0.25">
      <c r="B260" s="1407"/>
      <c r="C260" s="1408"/>
      <c r="D260" s="1408"/>
      <c r="E260" s="1409"/>
      <c r="F260" s="1135" t="s">
        <v>674</v>
      </c>
      <c r="G260" s="1364"/>
      <c r="H260" s="115"/>
      <c r="I260" s="1358"/>
      <c r="J260" s="1359"/>
      <c r="K260" s="1360"/>
      <c r="L260" s="115">
        <v>43.3</v>
      </c>
      <c r="M260" s="1358"/>
      <c r="N260" s="1359"/>
      <c r="O260" s="1360"/>
      <c r="P260" s="115"/>
      <c r="Q260" s="1358"/>
      <c r="R260" s="1359"/>
      <c r="S260" s="1360"/>
      <c r="T260" s="115"/>
      <c r="U260" s="1340"/>
      <c r="V260" s="1341"/>
      <c r="W260" s="948"/>
      <c r="X260" s="115"/>
      <c r="Y260" s="1340"/>
      <c r="Z260" s="1341"/>
      <c r="AA260" s="948"/>
      <c r="AB260" s="115"/>
      <c r="AC260" s="1029"/>
      <c r="AD260" s="939"/>
      <c r="AE260" s="1030"/>
    </row>
    <row r="261" spans="2:31" ht="12.75" customHeight="1" x14ac:dyDescent="0.25">
      <c r="B261" s="1407"/>
      <c r="C261" s="1408"/>
      <c r="D261" s="1408"/>
      <c r="E261" s="1409"/>
      <c r="F261" s="1135" t="s">
        <v>1140</v>
      </c>
      <c r="G261" s="1364"/>
      <c r="H261" s="115"/>
      <c r="I261" s="1358"/>
      <c r="J261" s="1359"/>
      <c r="K261" s="1360"/>
      <c r="L261" s="115"/>
      <c r="M261" s="1358"/>
      <c r="N261" s="1359"/>
      <c r="O261" s="1360"/>
      <c r="P261" s="115"/>
      <c r="Q261" s="1358"/>
      <c r="R261" s="1359"/>
      <c r="S261" s="1360"/>
      <c r="T261" s="115"/>
      <c r="U261" s="1340"/>
      <c r="V261" s="1341"/>
      <c r="W261" s="948"/>
      <c r="X261" s="115"/>
      <c r="Y261" s="1340"/>
      <c r="Z261" s="1341"/>
      <c r="AA261" s="948"/>
      <c r="AB261" s="115"/>
      <c r="AC261" s="1029"/>
      <c r="AD261" s="939"/>
      <c r="AE261" s="1030"/>
    </row>
    <row r="262" spans="2:31" ht="12.75" customHeight="1" x14ac:dyDescent="0.25">
      <c r="B262" s="1407"/>
      <c r="C262" s="1408"/>
      <c r="D262" s="1408"/>
      <c r="E262" s="1409"/>
      <c r="F262" s="1135" t="s">
        <v>684</v>
      </c>
      <c r="G262" s="1364"/>
      <c r="H262" s="115"/>
      <c r="I262" s="1358"/>
      <c r="J262" s="1359"/>
      <c r="K262" s="1360"/>
      <c r="L262" s="115"/>
      <c r="M262" s="1358"/>
      <c r="N262" s="1359"/>
      <c r="O262" s="1360"/>
      <c r="P262" s="115"/>
      <c r="Q262" s="1358"/>
      <c r="R262" s="1359"/>
      <c r="S262" s="1360"/>
      <c r="T262" s="115"/>
      <c r="U262" s="1340"/>
      <c r="V262" s="1341"/>
      <c r="W262" s="948"/>
      <c r="X262" s="115"/>
      <c r="Y262" s="1340"/>
      <c r="Z262" s="1341"/>
      <c r="AA262" s="948"/>
      <c r="AB262" s="115"/>
      <c r="AC262" s="1029"/>
      <c r="AD262" s="939"/>
      <c r="AE262" s="1030"/>
    </row>
    <row r="263" spans="2:31" ht="12.75" customHeight="1" x14ac:dyDescent="0.25">
      <c r="B263" s="1407"/>
      <c r="C263" s="1408"/>
      <c r="D263" s="1408"/>
      <c r="E263" s="1409"/>
      <c r="F263" s="1135" t="s">
        <v>677</v>
      </c>
      <c r="G263" s="1364"/>
      <c r="H263" s="115"/>
      <c r="I263" s="1358"/>
      <c r="J263" s="1359"/>
      <c r="K263" s="1360"/>
      <c r="L263" s="115"/>
      <c r="M263" s="1358"/>
      <c r="N263" s="1359"/>
      <c r="O263" s="1360"/>
      <c r="P263" s="115">
        <f>353+349</f>
        <v>702</v>
      </c>
      <c r="Q263" s="1358"/>
      <c r="R263" s="1359"/>
      <c r="S263" s="1360"/>
      <c r="T263" s="115">
        <v>5350</v>
      </c>
      <c r="U263" s="1340"/>
      <c r="V263" s="1341"/>
      <c r="W263" s="948"/>
      <c r="X263" s="115">
        <v>1392.84</v>
      </c>
      <c r="Y263" s="1340"/>
      <c r="Z263" s="1341"/>
      <c r="AA263" s="948"/>
      <c r="AB263" s="115"/>
      <c r="AC263" s="1029"/>
      <c r="AD263" s="939"/>
      <c r="AE263" s="1030"/>
    </row>
    <row r="264" spans="2:31" ht="12.75" customHeight="1" x14ac:dyDescent="0.25">
      <c r="B264" s="1407"/>
      <c r="C264" s="1408"/>
      <c r="D264" s="1408"/>
      <c r="E264" s="1409"/>
      <c r="F264" s="1135" t="s">
        <v>678</v>
      </c>
      <c r="G264" s="1364"/>
      <c r="H264" s="115"/>
      <c r="I264" s="1358"/>
      <c r="J264" s="1359"/>
      <c r="K264" s="1360"/>
      <c r="L264" s="115"/>
      <c r="M264" s="1358"/>
      <c r="N264" s="1359"/>
      <c r="O264" s="1360"/>
      <c r="P264" s="115"/>
      <c r="Q264" s="1358"/>
      <c r="R264" s="1359"/>
      <c r="S264" s="1360"/>
      <c r="T264" s="115"/>
      <c r="U264" s="1340"/>
      <c r="V264" s="1341"/>
      <c r="W264" s="948"/>
      <c r="X264" s="115"/>
      <c r="Y264" s="1340"/>
      <c r="Z264" s="1341"/>
      <c r="AA264" s="948"/>
      <c r="AB264" s="115"/>
      <c r="AC264" s="1029"/>
      <c r="AD264" s="939"/>
      <c r="AE264" s="1030"/>
    </row>
    <row r="265" spans="2:31" ht="12.75" customHeight="1" x14ac:dyDescent="0.25">
      <c r="B265" s="1407"/>
      <c r="C265" s="1408"/>
      <c r="D265" s="1408"/>
      <c r="E265" s="1409"/>
      <c r="F265" s="1135" t="s">
        <v>1146</v>
      </c>
      <c r="G265" s="1364"/>
      <c r="H265" s="115"/>
      <c r="I265" s="1358"/>
      <c r="J265" s="1359"/>
      <c r="K265" s="1360"/>
      <c r="L265" s="115"/>
      <c r="M265" s="1358"/>
      <c r="N265" s="1359"/>
      <c r="O265" s="1360"/>
      <c r="P265" s="115"/>
      <c r="Q265" s="1358"/>
      <c r="R265" s="1359"/>
      <c r="S265" s="1360"/>
      <c r="T265" s="115"/>
      <c r="U265" s="1340"/>
      <c r="V265" s="1341"/>
      <c r="W265" s="948"/>
      <c r="X265" s="115"/>
      <c r="Y265" s="1340"/>
      <c r="Z265" s="1341"/>
      <c r="AA265" s="948"/>
      <c r="AB265" s="115"/>
      <c r="AC265" s="1029"/>
      <c r="AD265" s="939"/>
      <c r="AE265" s="1030"/>
    </row>
    <row r="266" spans="2:31" ht="12.75" customHeight="1" x14ac:dyDescent="0.25">
      <c r="B266" s="1410"/>
      <c r="C266" s="1411"/>
      <c r="D266" s="1411"/>
      <c r="E266" s="1412"/>
      <c r="F266" s="1135" t="s">
        <v>1148</v>
      </c>
      <c r="G266" s="1364"/>
      <c r="H266" s="115"/>
      <c r="I266" s="1361"/>
      <c r="J266" s="1362"/>
      <c r="K266" s="1363"/>
      <c r="L266" s="115"/>
      <c r="M266" s="1361"/>
      <c r="N266" s="1362"/>
      <c r="O266" s="1363"/>
      <c r="P266" s="115"/>
      <c r="Q266" s="1361"/>
      <c r="R266" s="1362"/>
      <c r="S266" s="1363"/>
      <c r="T266" s="115"/>
      <c r="U266" s="953"/>
      <c r="V266" s="1342"/>
      <c r="W266" s="1343"/>
      <c r="X266" s="115"/>
      <c r="Y266" s="953"/>
      <c r="Z266" s="1342"/>
      <c r="AA266" s="1343"/>
      <c r="AB266" s="115"/>
      <c r="AC266" s="1031"/>
      <c r="AD266" s="1032"/>
      <c r="AE266" s="1033"/>
    </row>
    <row r="267" spans="2:31" ht="12.75" customHeight="1" x14ac:dyDescent="0.25">
      <c r="B267" s="463"/>
      <c r="C267" s="78"/>
      <c r="D267" s="78"/>
      <c r="E267" s="78"/>
      <c r="F267" s="78"/>
      <c r="G267" s="78"/>
      <c r="H267" s="78"/>
      <c r="I267" s="78"/>
      <c r="J267" s="78"/>
      <c r="K267" s="78"/>
      <c r="L267" s="78"/>
      <c r="M267" s="78"/>
      <c r="N267" s="78"/>
      <c r="O267" s="78"/>
      <c r="P267" s="78"/>
      <c r="Q267" s="78"/>
      <c r="R267" s="78"/>
      <c r="S267" s="78"/>
      <c r="T267" s="78"/>
      <c r="U267" s="78"/>
      <c r="V267" s="78"/>
      <c r="W267" s="78"/>
      <c r="X267" s="78"/>
      <c r="Y267" s="78"/>
      <c r="Z267" s="78"/>
      <c r="AA267" s="78"/>
      <c r="AB267" s="78"/>
      <c r="AC267" s="78"/>
      <c r="AD267" s="78"/>
      <c r="AE267" s="340"/>
    </row>
    <row r="268" spans="2:31" ht="12.75" customHeight="1" x14ac:dyDescent="0.25">
      <c r="B268" s="1353" t="s">
        <v>38</v>
      </c>
      <c r="C268" s="1336"/>
      <c r="D268" s="4" t="s">
        <v>39</v>
      </c>
      <c r="E268" s="109" t="s">
        <v>424</v>
      </c>
      <c r="F268" s="1354" t="s">
        <v>673</v>
      </c>
      <c r="G268" s="1378"/>
      <c r="H268" s="1048" t="str">
        <f>$H$4</f>
        <v>BOCATOMA</v>
      </c>
      <c r="I268" s="1336"/>
      <c r="J268" s="1421" t="s">
        <v>71</v>
      </c>
      <c r="K268" s="1422"/>
      <c r="L268" s="1048" t="str">
        <f>$L$4</f>
        <v>DESARENADOR</v>
      </c>
      <c r="M268" s="1336"/>
      <c r="N268" s="1337"/>
      <c r="O268" s="1337"/>
      <c r="P268" s="1393" t="str">
        <f>$P$4</f>
        <v>PLANTA</v>
      </c>
      <c r="Q268" s="1336"/>
      <c r="R268" s="1337"/>
      <c r="S268" s="1337"/>
      <c r="T268" s="1392" t="s">
        <v>884</v>
      </c>
      <c r="U268" s="1392"/>
      <c r="V268" s="1337"/>
      <c r="W268" s="1337"/>
      <c r="X268" s="1048" t="s">
        <v>1414</v>
      </c>
      <c r="Y268" s="1050"/>
      <c r="Z268" s="1329"/>
      <c r="AA268" s="1050"/>
      <c r="AB268" s="1048" t="s">
        <v>1421</v>
      </c>
      <c r="AC268" s="1050"/>
      <c r="AD268" s="1329"/>
      <c r="AE268" s="1330"/>
    </row>
    <row r="269" spans="2:31" ht="12.75" customHeight="1" x14ac:dyDescent="0.25">
      <c r="B269" s="1350" t="str">
        <f>+'PTO OC PLIEGO'!B78:H78</f>
        <v>VÁLVULA DE CHEQUE DE BOLA EN HD Ø4"</v>
      </c>
      <c r="C269" s="1405"/>
      <c r="D269" s="1405"/>
      <c r="E269" s="1406"/>
      <c r="F269" s="1135" t="s">
        <v>201</v>
      </c>
      <c r="G269" s="1364"/>
      <c r="H269" s="113">
        <f>+H270</f>
        <v>0</v>
      </c>
      <c r="I269" s="1331" t="s">
        <v>885</v>
      </c>
      <c r="J269" s="1356"/>
      <c r="K269" s="1357"/>
      <c r="L269" s="113"/>
      <c r="M269" s="1331" t="s">
        <v>885</v>
      </c>
      <c r="N269" s="1356"/>
      <c r="O269" s="1357"/>
      <c r="P269" s="113">
        <f>+P270</f>
        <v>8</v>
      </c>
      <c r="Q269" s="1331"/>
      <c r="R269" s="1356"/>
      <c r="S269" s="1357"/>
      <c r="T269" s="115"/>
      <c r="U269" s="1331" t="s">
        <v>885</v>
      </c>
      <c r="V269" s="1356"/>
      <c r="W269" s="1357"/>
      <c r="X269" s="139"/>
      <c r="Y269" s="1331" t="s">
        <v>885</v>
      </c>
      <c r="Z269" s="1052"/>
      <c r="AA269" s="1053"/>
      <c r="AB269" s="139"/>
      <c r="AC269" s="1331" t="s">
        <v>885</v>
      </c>
      <c r="AD269" s="1052"/>
      <c r="AE269" s="1332"/>
    </row>
    <row r="270" spans="2:31" ht="12.75" customHeight="1" x14ac:dyDescent="0.25">
      <c r="B270" s="1407"/>
      <c r="C270" s="1408"/>
      <c r="D270" s="1408"/>
      <c r="E270" s="1409"/>
      <c r="F270" s="1135" t="s">
        <v>132</v>
      </c>
      <c r="G270" s="1364"/>
      <c r="H270" s="115"/>
      <c r="I270" s="1358"/>
      <c r="J270" s="1359"/>
      <c r="K270" s="1360"/>
      <c r="L270" s="115"/>
      <c r="M270" s="1358"/>
      <c r="N270" s="1359"/>
      <c r="O270" s="1360"/>
      <c r="P270" s="115">
        <v>8</v>
      </c>
      <c r="Q270" s="1358"/>
      <c r="R270" s="1359"/>
      <c r="S270" s="1360"/>
      <c r="T270" s="115"/>
      <c r="U270" s="1358"/>
      <c r="V270" s="1359"/>
      <c r="W270" s="1360"/>
      <c r="X270" s="115"/>
      <c r="Y270" s="1029"/>
      <c r="Z270" s="939"/>
      <c r="AA270" s="1054"/>
      <c r="AB270" s="115"/>
      <c r="AC270" s="1029"/>
      <c r="AD270" s="939"/>
      <c r="AE270" s="1030"/>
    </row>
    <row r="271" spans="2:31" ht="12.75" customHeight="1" x14ac:dyDescent="0.25">
      <c r="B271" s="1407"/>
      <c r="C271" s="1408"/>
      <c r="D271" s="1408"/>
      <c r="E271" s="1409"/>
      <c r="F271" s="1135" t="s">
        <v>674</v>
      </c>
      <c r="G271" s="1364"/>
      <c r="H271" s="115"/>
      <c r="I271" s="1358"/>
      <c r="J271" s="1359"/>
      <c r="K271" s="1360"/>
      <c r="L271" s="115"/>
      <c r="M271" s="1358"/>
      <c r="N271" s="1359"/>
      <c r="O271" s="1360"/>
      <c r="P271" s="115"/>
      <c r="Q271" s="1358"/>
      <c r="R271" s="1359"/>
      <c r="S271" s="1360"/>
      <c r="T271" s="115"/>
      <c r="U271" s="1358"/>
      <c r="V271" s="1359"/>
      <c r="W271" s="1360"/>
      <c r="X271" s="115"/>
      <c r="Y271" s="1029"/>
      <c r="Z271" s="939"/>
      <c r="AA271" s="1054"/>
      <c r="AB271" s="115"/>
      <c r="AC271" s="1029"/>
      <c r="AD271" s="939"/>
      <c r="AE271" s="1030"/>
    </row>
    <row r="272" spans="2:31" ht="12.75" customHeight="1" x14ac:dyDescent="0.25">
      <c r="B272" s="1407"/>
      <c r="C272" s="1408"/>
      <c r="D272" s="1408"/>
      <c r="E272" s="1409"/>
      <c r="F272" s="1135" t="s">
        <v>1140</v>
      </c>
      <c r="G272" s="1364"/>
      <c r="H272" s="115"/>
      <c r="I272" s="1358"/>
      <c r="J272" s="1359"/>
      <c r="K272" s="1360"/>
      <c r="L272" s="115"/>
      <c r="M272" s="1358"/>
      <c r="N272" s="1359"/>
      <c r="O272" s="1360"/>
      <c r="P272" s="115"/>
      <c r="Q272" s="1358"/>
      <c r="R272" s="1359"/>
      <c r="S272" s="1360"/>
      <c r="T272" s="115"/>
      <c r="U272" s="1358"/>
      <c r="V272" s="1359"/>
      <c r="W272" s="1360"/>
      <c r="X272" s="115"/>
      <c r="Y272" s="1029"/>
      <c r="Z272" s="939"/>
      <c r="AA272" s="1054"/>
      <c r="AB272" s="115"/>
      <c r="AC272" s="1029"/>
      <c r="AD272" s="939"/>
      <c r="AE272" s="1030"/>
    </row>
    <row r="273" spans="2:31" ht="12.75" customHeight="1" x14ac:dyDescent="0.25">
      <c r="B273" s="1407"/>
      <c r="C273" s="1408"/>
      <c r="D273" s="1408"/>
      <c r="E273" s="1409"/>
      <c r="F273" s="1135" t="s">
        <v>684</v>
      </c>
      <c r="G273" s="1364"/>
      <c r="H273" s="115"/>
      <c r="I273" s="1358"/>
      <c r="J273" s="1359"/>
      <c r="K273" s="1360"/>
      <c r="L273" s="115"/>
      <c r="M273" s="1358"/>
      <c r="N273" s="1359"/>
      <c r="O273" s="1360"/>
      <c r="P273" s="115"/>
      <c r="Q273" s="1358"/>
      <c r="R273" s="1359"/>
      <c r="S273" s="1360"/>
      <c r="T273" s="115"/>
      <c r="U273" s="1358"/>
      <c r="V273" s="1359"/>
      <c r="W273" s="1360"/>
      <c r="X273" s="115"/>
      <c r="Y273" s="1029"/>
      <c r="Z273" s="939"/>
      <c r="AA273" s="1054"/>
      <c r="AB273" s="115"/>
      <c r="AC273" s="1029"/>
      <c r="AD273" s="939"/>
      <c r="AE273" s="1030"/>
    </row>
    <row r="274" spans="2:31" ht="12.75" customHeight="1" x14ac:dyDescent="0.25">
      <c r="B274" s="1407"/>
      <c r="C274" s="1408"/>
      <c r="D274" s="1408"/>
      <c r="E274" s="1409"/>
      <c r="F274" s="1135" t="s">
        <v>677</v>
      </c>
      <c r="G274" s="1364"/>
      <c r="H274" s="115"/>
      <c r="I274" s="1358"/>
      <c r="J274" s="1359"/>
      <c r="K274" s="1360"/>
      <c r="L274" s="115"/>
      <c r="M274" s="1358"/>
      <c r="N274" s="1359"/>
      <c r="O274" s="1360"/>
      <c r="P274" s="115"/>
      <c r="Q274" s="1358"/>
      <c r="R274" s="1359"/>
      <c r="S274" s="1360"/>
      <c r="T274" s="115"/>
      <c r="U274" s="1358"/>
      <c r="V274" s="1359"/>
      <c r="W274" s="1360"/>
      <c r="X274" s="115"/>
      <c r="Y274" s="1029"/>
      <c r="Z274" s="939"/>
      <c r="AA274" s="1054"/>
      <c r="AB274" s="115"/>
      <c r="AC274" s="1029"/>
      <c r="AD274" s="939"/>
      <c r="AE274" s="1030"/>
    </row>
    <row r="275" spans="2:31" ht="12.75" customHeight="1" x14ac:dyDescent="0.25">
      <c r="B275" s="1407"/>
      <c r="C275" s="1408"/>
      <c r="D275" s="1408"/>
      <c r="E275" s="1409"/>
      <c r="F275" s="1135" t="s">
        <v>678</v>
      </c>
      <c r="G275" s="1364"/>
      <c r="H275" s="115"/>
      <c r="I275" s="1358"/>
      <c r="J275" s="1359"/>
      <c r="K275" s="1360"/>
      <c r="L275" s="115"/>
      <c r="M275" s="1358"/>
      <c r="N275" s="1359"/>
      <c r="O275" s="1360"/>
      <c r="P275" s="115"/>
      <c r="Q275" s="1358"/>
      <c r="R275" s="1359"/>
      <c r="S275" s="1360"/>
      <c r="T275" s="115"/>
      <c r="U275" s="1358"/>
      <c r="V275" s="1359"/>
      <c r="W275" s="1360"/>
      <c r="X275" s="115"/>
      <c r="Y275" s="1029"/>
      <c r="Z275" s="939"/>
      <c r="AA275" s="1054"/>
      <c r="AB275" s="115"/>
      <c r="AC275" s="1029"/>
      <c r="AD275" s="939"/>
      <c r="AE275" s="1030"/>
    </row>
    <row r="276" spans="2:31" ht="12.75" customHeight="1" x14ac:dyDescent="0.25">
      <c r="B276" s="1407"/>
      <c r="C276" s="1408"/>
      <c r="D276" s="1408"/>
      <c r="E276" s="1409"/>
      <c r="F276" s="1135" t="s">
        <v>1146</v>
      </c>
      <c r="G276" s="1364"/>
      <c r="H276" s="115"/>
      <c r="I276" s="1358"/>
      <c r="J276" s="1359"/>
      <c r="K276" s="1360"/>
      <c r="L276" s="115"/>
      <c r="M276" s="1358"/>
      <c r="N276" s="1359"/>
      <c r="O276" s="1360"/>
      <c r="P276" s="115"/>
      <c r="Q276" s="1358"/>
      <c r="R276" s="1359"/>
      <c r="S276" s="1360"/>
      <c r="T276" s="115"/>
      <c r="U276" s="1358"/>
      <c r="V276" s="1359"/>
      <c r="W276" s="1360"/>
      <c r="X276" s="115"/>
      <c r="Y276" s="1029"/>
      <c r="Z276" s="939"/>
      <c r="AA276" s="1054"/>
      <c r="AB276" s="115"/>
      <c r="AC276" s="1029"/>
      <c r="AD276" s="939"/>
      <c r="AE276" s="1030"/>
    </row>
    <row r="277" spans="2:31" ht="12.75" customHeight="1" x14ac:dyDescent="0.25">
      <c r="B277" s="1410"/>
      <c r="C277" s="1411"/>
      <c r="D277" s="1411"/>
      <c r="E277" s="1412"/>
      <c r="F277" s="1135" t="s">
        <v>1148</v>
      </c>
      <c r="G277" s="1364"/>
      <c r="H277" s="115"/>
      <c r="I277" s="1361"/>
      <c r="J277" s="1362"/>
      <c r="K277" s="1363"/>
      <c r="L277" s="115"/>
      <c r="M277" s="1361"/>
      <c r="N277" s="1362"/>
      <c r="O277" s="1363"/>
      <c r="P277" s="115"/>
      <c r="Q277" s="1361"/>
      <c r="R277" s="1362"/>
      <c r="S277" s="1363"/>
      <c r="T277" s="115"/>
      <c r="U277" s="1361"/>
      <c r="V277" s="1362"/>
      <c r="W277" s="1363"/>
      <c r="X277" s="115"/>
      <c r="Y277" s="1031"/>
      <c r="Z277" s="1032"/>
      <c r="AA277" s="1055"/>
      <c r="AB277" s="115"/>
      <c r="AC277" s="1031"/>
      <c r="AD277" s="1032"/>
      <c r="AE277" s="1033"/>
    </row>
    <row r="278" spans="2:31" ht="12.75" customHeight="1" x14ac:dyDescent="0.25">
      <c r="B278" s="463"/>
      <c r="C278" s="78"/>
      <c r="D278" s="78"/>
      <c r="E278" s="78"/>
      <c r="F278" s="78"/>
      <c r="G278" s="78"/>
      <c r="H278" s="78"/>
      <c r="I278" s="78"/>
      <c r="J278" s="78"/>
      <c r="K278" s="78"/>
      <c r="L278" s="78"/>
      <c r="M278" s="78"/>
      <c r="N278" s="78"/>
      <c r="O278" s="78"/>
      <c r="P278" s="78"/>
      <c r="Q278" s="78"/>
      <c r="R278" s="78"/>
      <c r="S278" s="78"/>
      <c r="T278" s="78"/>
      <c r="U278" s="78"/>
      <c r="V278" s="78"/>
      <c r="W278" s="78"/>
      <c r="X278" s="78"/>
      <c r="Y278" s="78"/>
      <c r="Z278" s="78"/>
      <c r="AA278" s="78"/>
      <c r="AB278" s="78"/>
      <c r="AC278" s="78"/>
      <c r="AD278" s="78"/>
      <c r="AE278" s="340"/>
    </row>
    <row r="279" spans="2:31" ht="12.75" customHeight="1" x14ac:dyDescent="0.25">
      <c r="B279" s="1353" t="s">
        <v>38</v>
      </c>
      <c r="C279" s="1336"/>
      <c r="D279" s="4" t="s">
        <v>39</v>
      </c>
      <c r="E279" s="109" t="s">
        <v>424</v>
      </c>
      <c r="F279" s="1354" t="s">
        <v>673</v>
      </c>
      <c r="G279" s="1378"/>
      <c r="H279" s="1048" t="str">
        <f>$H$4</f>
        <v>BOCATOMA</v>
      </c>
      <c r="I279" s="1336"/>
      <c r="J279" s="1421" t="s">
        <v>72</v>
      </c>
      <c r="K279" s="1422"/>
      <c r="L279" s="1048" t="str">
        <f>$L$4</f>
        <v>DESARENADOR</v>
      </c>
      <c r="M279" s="1336"/>
      <c r="N279" s="1337" t="s">
        <v>98</v>
      </c>
      <c r="O279" s="1337"/>
      <c r="P279" s="1393" t="str">
        <f>$P$4</f>
        <v>PLANTA</v>
      </c>
      <c r="Q279" s="1336"/>
      <c r="R279" s="1337"/>
      <c r="S279" s="1337"/>
      <c r="T279" s="1392" t="s">
        <v>884</v>
      </c>
      <c r="U279" s="1392"/>
      <c r="V279" s="1337"/>
      <c r="W279" s="1337"/>
      <c r="X279" s="1048" t="s">
        <v>1414</v>
      </c>
      <c r="Y279" s="1050"/>
      <c r="Z279" s="1329"/>
      <c r="AA279" s="1050"/>
      <c r="AB279" s="1048" t="s">
        <v>1421</v>
      </c>
      <c r="AC279" s="1050"/>
      <c r="AD279" s="1329"/>
      <c r="AE279" s="1330"/>
    </row>
    <row r="280" spans="2:31" ht="12.75" customHeight="1" x14ac:dyDescent="0.25">
      <c r="B280" s="1350" t="str">
        <f>+'PTO OC PLIEGO'!B79:H79</f>
        <v>CODO 90° PVC 4" (INCLUYE INSTALACIÓN Y SUMINISTRO)</v>
      </c>
      <c r="C280" s="1405"/>
      <c r="D280" s="1405"/>
      <c r="E280" s="1406"/>
      <c r="F280" s="1135" t="s">
        <v>201</v>
      </c>
      <c r="G280" s="1364"/>
      <c r="H280" s="113">
        <f>+H281</f>
        <v>0</v>
      </c>
      <c r="I280" s="1331" t="s">
        <v>885</v>
      </c>
      <c r="J280" s="1356"/>
      <c r="K280" s="1357"/>
      <c r="L280" s="113">
        <f>+L281</f>
        <v>0</v>
      </c>
      <c r="M280" s="1331" t="s">
        <v>885</v>
      </c>
      <c r="N280" s="1356"/>
      <c r="O280" s="1357"/>
      <c r="P280" s="113">
        <f>+P281</f>
        <v>10</v>
      </c>
      <c r="Q280" s="1331"/>
      <c r="R280" s="1356"/>
      <c r="S280" s="1357"/>
      <c r="T280" s="113">
        <f>+T281</f>
        <v>16</v>
      </c>
      <c r="U280" s="1331"/>
      <c r="V280" s="1356"/>
      <c r="W280" s="1357"/>
      <c r="X280" s="139"/>
      <c r="Y280" s="1331" t="s">
        <v>885</v>
      </c>
      <c r="Z280" s="1052"/>
      <c r="AA280" s="1053"/>
      <c r="AB280" s="139"/>
      <c r="AC280" s="1331" t="s">
        <v>885</v>
      </c>
      <c r="AD280" s="1052"/>
      <c r="AE280" s="1332"/>
    </row>
    <row r="281" spans="2:31" ht="12.75" customHeight="1" x14ac:dyDescent="0.25">
      <c r="B281" s="1407"/>
      <c r="C281" s="1408"/>
      <c r="D281" s="1408"/>
      <c r="E281" s="1409"/>
      <c r="F281" s="1135" t="s">
        <v>132</v>
      </c>
      <c r="G281" s="1364"/>
      <c r="H281" s="115"/>
      <c r="I281" s="1358"/>
      <c r="J281" s="1359"/>
      <c r="K281" s="1360"/>
      <c r="L281" s="115"/>
      <c r="M281" s="1358"/>
      <c r="N281" s="1359"/>
      <c r="O281" s="1360"/>
      <c r="P281" s="115">
        <v>10</v>
      </c>
      <c r="Q281" s="1358"/>
      <c r="R281" s="1359"/>
      <c r="S281" s="1360"/>
      <c r="T281" s="115">
        <v>16</v>
      </c>
      <c r="U281" s="1358"/>
      <c r="V281" s="1359"/>
      <c r="W281" s="1360"/>
      <c r="X281" s="115"/>
      <c r="Y281" s="1029"/>
      <c r="Z281" s="939"/>
      <c r="AA281" s="1054"/>
      <c r="AB281" s="115"/>
      <c r="AC281" s="1029"/>
      <c r="AD281" s="939"/>
      <c r="AE281" s="1030"/>
    </row>
    <row r="282" spans="2:31" ht="12.75" customHeight="1" x14ac:dyDescent="0.25">
      <c r="B282" s="1407"/>
      <c r="C282" s="1408"/>
      <c r="D282" s="1408"/>
      <c r="E282" s="1409"/>
      <c r="F282" s="1135" t="s">
        <v>674</v>
      </c>
      <c r="G282" s="1364"/>
      <c r="H282" s="115"/>
      <c r="I282" s="1358"/>
      <c r="J282" s="1359"/>
      <c r="K282" s="1360"/>
      <c r="L282" s="115"/>
      <c r="M282" s="1358"/>
      <c r="N282" s="1359"/>
      <c r="O282" s="1360"/>
      <c r="P282" s="115"/>
      <c r="Q282" s="1358"/>
      <c r="R282" s="1359"/>
      <c r="S282" s="1360"/>
      <c r="T282" s="115"/>
      <c r="U282" s="1358"/>
      <c r="V282" s="1359"/>
      <c r="W282" s="1360"/>
      <c r="X282" s="115"/>
      <c r="Y282" s="1029"/>
      <c r="Z282" s="939"/>
      <c r="AA282" s="1054"/>
      <c r="AB282" s="115"/>
      <c r="AC282" s="1029"/>
      <c r="AD282" s="939"/>
      <c r="AE282" s="1030"/>
    </row>
    <row r="283" spans="2:31" ht="12.75" customHeight="1" x14ac:dyDescent="0.25">
      <c r="B283" s="1407"/>
      <c r="C283" s="1408"/>
      <c r="D283" s="1408"/>
      <c r="E283" s="1409"/>
      <c r="F283" s="1135" t="s">
        <v>675</v>
      </c>
      <c r="G283" s="1364"/>
      <c r="H283" s="115"/>
      <c r="I283" s="1358"/>
      <c r="J283" s="1359"/>
      <c r="K283" s="1360"/>
      <c r="L283" s="115"/>
      <c r="M283" s="1358"/>
      <c r="N283" s="1359"/>
      <c r="O283" s="1360"/>
      <c r="P283" s="115"/>
      <c r="Q283" s="1358"/>
      <c r="R283" s="1359"/>
      <c r="S283" s="1360"/>
      <c r="T283" s="115"/>
      <c r="U283" s="1358"/>
      <c r="V283" s="1359"/>
      <c r="W283" s="1360"/>
      <c r="X283" s="115"/>
      <c r="Y283" s="1029"/>
      <c r="Z283" s="939"/>
      <c r="AA283" s="1054"/>
      <c r="AB283" s="115"/>
      <c r="AC283" s="1029"/>
      <c r="AD283" s="939"/>
      <c r="AE283" s="1030"/>
    </row>
    <row r="284" spans="2:31" ht="12.75" customHeight="1" x14ac:dyDescent="0.25">
      <c r="B284" s="1407"/>
      <c r="C284" s="1408"/>
      <c r="D284" s="1408"/>
      <c r="E284" s="1409"/>
      <c r="F284" s="1135" t="s">
        <v>676</v>
      </c>
      <c r="G284" s="1364"/>
      <c r="H284" s="115"/>
      <c r="I284" s="1358"/>
      <c r="J284" s="1359"/>
      <c r="K284" s="1360"/>
      <c r="L284" s="115"/>
      <c r="M284" s="1358"/>
      <c r="N284" s="1359"/>
      <c r="O284" s="1360"/>
      <c r="P284" s="115"/>
      <c r="Q284" s="1358"/>
      <c r="R284" s="1359"/>
      <c r="S284" s="1360"/>
      <c r="T284" s="115"/>
      <c r="U284" s="1358"/>
      <c r="V284" s="1359"/>
      <c r="W284" s="1360"/>
      <c r="X284" s="115"/>
      <c r="Y284" s="1029"/>
      <c r="Z284" s="939"/>
      <c r="AA284" s="1054"/>
      <c r="AB284" s="115"/>
      <c r="AC284" s="1029"/>
      <c r="AD284" s="939"/>
      <c r="AE284" s="1030"/>
    </row>
    <row r="285" spans="2:31" ht="12.75" customHeight="1" x14ac:dyDescent="0.25">
      <c r="B285" s="1407"/>
      <c r="C285" s="1408"/>
      <c r="D285" s="1408"/>
      <c r="E285" s="1409"/>
      <c r="F285" s="1135" t="s">
        <v>677</v>
      </c>
      <c r="G285" s="1364"/>
      <c r="H285" s="115"/>
      <c r="I285" s="1358"/>
      <c r="J285" s="1359"/>
      <c r="K285" s="1360"/>
      <c r="L285" s="115"/>
      <c r="M285" s="1358"/>
      <c r="N285" s="1359"/>
      <c r="O285" s="1360"/>
      <c r="P285" s="115"/>
      <c r="Q285" s="1358"/>
      <c r="R285" s="1359"/>
      <c r="S285" s="1360"/>
      <c r="T285" s="115"/>
      <c r="U285" s="1358"/>
      <c r="V285" s="1359"/>
      <c r="W285" s="1360"/>
      <c r="X285" s="115"/>
      <c r="Y285" s="1029"/>
      <c r="Z285" s="939"/>
      <c r="AA285" s="1054"/>
      <c r="AB285" s="115"/>
      <c r="AC285" s="1029"/>
      <c r="AD285" s="939"/>
      <c r="AE285" s="1030"/>
    </row>
    <row r="286" spans="2:31" ht="12.75" customHeight="1" x14ac:dyDescent="0.25">
      <c r="B286" s="1407"/>
      <c r="C286" s="1408"/>
      <c r="D286" s="1408"/>
      <c r="E286" s="1409"/>
      <c r="F286" s="1135" t="s">
        <v>678</v>
      </c>
      <c r="G286" s="1364"/>
      <c r="H286" s="115"/>
      <c r="I286" s="1358"/>
      <c r="J286" s="1359"/>
      <c r="K286" s="1360"/>
      <c r="L286" s="115"/>
      <c r="M286" s="1358"/>
      <c r="N286" s="1359"/>
      <c r="O286" s="1360"/>
      <c r="P286" s="115"/>
      <c r="Q286" s="1358"/>
      <c r="R286" s="1359"/>
      <c r="S286" s="1360"/>
      <c r="T286" s="115"/>
      <c r="U286" s="1358"/>
      <c r="V286" s="1359"/>
      <c r="W286" s="1360"/>
      <c r="X286" s="115"/>
      <c r="Y286" s="1029"/>
      <c r="Z286" s="939"/>
      <c r="AA286" s="1054"/>
      <c r="AB286" s="115"/>
      <c r="AC286" s="1029"/>
      <c r="AD286" s="939"/>
      <c r="AE286" s="1030"/>
    </row>
    <row r="287" spans="2:31" ht="12.75" customHeight="1" x14ac:dyDescent="0.25">
      <c r="B287" s="1407"/>
      <c r="C287" s="1408"/>
      <c r="D287" s="1408"/>
      <c r="E287" s="1409"/>
      <c r="F287" s="1135" t="s">
        <v>1146</v>
      </c>
      <c r="G287" s="1364"/>
      <c r="H287" s="115"/>
      <c r="I287" s="1358"/>
      <c r="J287" s="1359"/>
      <c r="K287" s="1360"/>
      <c r="L287" s="115"/>
      <c r="M287" s="1358"/>
      <c r="N287" s="1359"/>
      <c r="O287" s="1360"/>
      <c r="P287" s="115"/>
      <c r="Q287" s="1358"/>
      <c r="R287" s="1359"/>
      <c r="S287" s="1360"/>
      <c r="T287" s="115"/>
      <c r="U287" s="1358"/>
      <c r="V287" s="1359"/>
      <c r="W287" s="1360"/>
      <c r="X287" s="115"/>
      <c r="Y287" s="1029"/>
      <c r="Z287" s="939"/>
      <c r="AA287" s="1054"/>
      <c r="AB287" s="115"/>
      <c r="AC287" s="1029"/>
      <c r="AD287" s="939"/>
      <c r="AE287" s="1030"/>
    </row>
    <row r="288" spans="2:31" ht="12.75" customHeight="1" x14ac:dyDescent="0.25">
      <c r="B288" s="1410"/>
      <c r="C288" s="1411"/>
      <c r="D288" s="1411"/>
      <c r="E288" s="1412"/>
      <c r="F288" s="1135" t="s">
        <v>1148</v>
      </c>
      <c r="G288" s="1364"/>
      <c r="H288" s="115"/>
      <c r="I288" s="1361"/>
      <c r="J288" s="1362"/>
      <c r="K288" s="1363"/>
      <c r="L288" s="115"/>
      <c r="M288" s="1361"/>
      <c r="N288" s="1362"/>
      <c r="O288" s="1363"/>
      <c r="P288" s="115"/>
      <c r="Q288" s="1361"/>
      <c r="R288" s="1362"/>
      <c r="S288" s="1363"/>
      <c r="T288" s="115"/>
      <c r="U288" s="1361"/>
      <c r="V288" s="1362"/>
      <c r="W288" s="1363"/>
      <c r="X288" s="115"/>
      <c r="Y288" s="1031"/>
      <c r="Z288" s="1032"/>
      <c r="AA288" s="1055"/>
      <c r="AB288" s="115"/>
      <c r="AC288" s="1031"/>
      <c r="AD288" s="1032"/>
      <c r="AE288" s="1033"/>
    </row>
    <row r="289" spans="2:31" ht="12.75" customHeight="1" x14ac:dyDescent="0.25">
      <c r="B289" s="463"/>
      <c r="C289" s="78"/>
      <c r="D289" s="78"/>
      <c r="E289" s="78"/>
      <c r="F289" s="78"/>
      <c r="G289" s="78"/>
      <c r="H289" s="78"/>
      <c r="I289" s="78"/>
      <c r="J289" s="78"/>
      <c r="K289" s="78"/>
      <c r="L289" s="78"/>
      <c r="M289" s="78"/>
      <c r="N289" s="78"/>
      <c r="O289" s="78"/>
      <c r="P289" s="78"/>
      <c r="Q289" s="78"/>
      <c r="R289" s="78"/>
      <c r="S289" s="78"/>
      <c r="T289" s="78"/>
      <c r="U289" s="78"/>
      <c r="V289" s="78"/>
      <c r="W289" s="78"/>
      <c r="X289" s="78"/>
      <c r="Y289" s="78"/>
      <c r="Z289" s="78"/>
      <c r="AA289" s="78"/>
      <c r="AB289" s="78"/>
      <c r="AC289" s="78"/>
      <c r="AD289" s="78"/>
      <c r="AE289" s="340"/>
    </row>
    <row r="290" spans="2:31" ht="12.75" customHeight="1" x14ac:dyDescent="0.25">
      <c r="B290" s="1353" t="s">
        <v>38</v>
      </c>
      <c r="C290" s="1336"/>
      <c r="D290" s="4" t="s">
        <v>39</v>
      </c>
      <c r="E290" s="109" t="s">
        <v>424</v>
      </c>
      <c r="F290" s="1354" t="s">
        <v>673</v>
      </c>
      <c r="G290" s="1378"/>
      <c r="H290" s="1048" t="str">
        <f>$H$4</f>
        <v>BOCATOMA</v>
      </c>
      <c r="I290" s="1336"/>
      <c r="J290" s="1421" t="s">
        <v>73</v>
      </c>
      <c r="K290" s="1422"/>
      <c r="L290" s="1048" t="str">
        <f>$L$4</f>
        <v>DESARENADOR</v>
      </c>
      <c r="M290" s="1336"/>
      <c r="N290" s="1337" t="s">
        <v>99</v>
      </c>
      <c r="O290" s="1337"/>
      <c r="P290" s="1393" t="str">
        <f>$P$4</f>
        <v>PLANTA</v>
      </c>
      <c r="Q290" s="1336"/>
      <c r="R290" s="1337"/>
      <c r="S290" s="1337"/>
      <c r="T290" s="1392" t="s">
        <v>884</v>
      </c>
      <c r="U290" s="1392"/>
      <c r="V290" s="1337" t="s">
        <v>1204</v>
      </c>
      <c r="W290" s="1337"/>
      <c r="X290" s="1048" t="s">
        <v>1414</v>
      </c>
      <c r="Y290" s="1050"/>
      <c r="Z290" s="1329"/>
      <c r="AA290" s="1050"/>
      <c r="AB290" s="1048" t="s">
        <v>1421</v>
      </c>
      <c r="AC290" s="1050"/>
      <c r="AD290" s="1329"/>
      <c r="AE290" s="1330"/>
    </row>
    <row r="291" spans="2:31" ht="12.75" customHeight="1" x14ac:dyDescent="0.25">
      <c r="B291" s="1350" t="str">
        <f>+'PTO OC PLIEGO'!B80:H80</f>
        <v>TEE Ø4" PVC</v>
      </c>
      <c r="C291" s="1405"/>
      <c r="D291" s="1405"/>
      <c r="E291" s="1406"/>
      <c r="F291" s="1135" t="s">
        <v>201</v>
      </c>
      <c r="G291" s="1364"/>
      <c r="H291" s="113">
        <f>+H292</f>
        <v>0</v>
      </c>
      <c r="I291" s="1331" t="s">
        <v>885</v>
      </c>
      <c r="J291" s="1356"/>
      <c r="K291" s="1357"/>
      <c r="L291" s="113">
        <f>+L292</f>
        <v>0</v>
      </c>
      <c r="M291" s="1331" t="s">
        <v>885</v>
      </c>
      <c r="N291" s="1356"/>
      <c r="O291" s="1357"/>
      <c r="P291" s="113">
        <f>+P292</f>
        <v>7</v>
      </c>
      <c r="Q291" s="1331"/>
      <c r="R291" s="1356"/>
      <c r="S291" s="1357"/>
      <c r="T291" s="113">
        <f>+T292</f>
        <v>5</v>
      </c>
      <c r="U291" s="1331" t="s">
        <v>885</v>
      </c>
      <c r="V291" s="1356"/>
      <c r="W291" s="1357"/>
      <c r="X291" s="139"/>
      <c r="Y291" s="1331" t="s">
        <v>885</v>
      </c>
      <c r="Z291" s="1052"/>
      <c r="AA291" s="1053"/>
      <c r="AB291" s="139"/>
      <c r="AC291" s="1331" t="s">
        <v>885</v>
      </c>
      <c r="AD291" s="1052"/>
      <c r="AE291" s="1332"/>
    </row>
    <row r="292" spans="2:31" ht="12.75" customHeight="1" x14ac:dyDescent="0.25">
      <c r="B292" s="1407"/>
      <c r="C292" s="1408"/>
      <c r="D292" s="1408"/>
      <c r="E292" s="1409"/>
      <c r="F292" s="1135" t="s">
        <v>132</v>
      </c>
      <c r="G292" s="1364"/>
      <c r="H292" s="115"/>
      <c r="I292" s="1358"/>
      <c r="J292" s="1359"/>
      <c r="K292" s="1360"/>
      <c r="L292" s="115"/>
      <c r="M292" s="1358"/>
      <c r="N292" s="1359"/>
      <c r="O292" s="1360"/>
      <c r="P292" s="115">
        <v>7</v>
      </c>
      <c r="Q292" s="1358"/>
      <c r="R292" s="1359"/>
      <c r="S292" s="1360"/>
      <c r="T292" s="115">
        <v>5</v>
      </c>
      <c r="U292" s="1358"/>
      <c r="V292" s="1359"/>
      <c r="W292" s="1360"/>
      <c r="X292" s="115"/>
      <c r="Y292" s="1029"/>
      <c r="Z292" s="939"/>
      <c r="AA292" s="1054"/>
      <c r="AB292" s="115"/>
      <c r="AC292" s="1029"/>
      <c r="AD292" s="939"/>
      <c r="AE292" s="1030"/>
    </row>
    <row r="293" spans="2:31" ht="12.75" customHeight="1" x14ac:dyDescent="0.25">
      <c r="B293" s="1407"/>
      <c r="C293" s="1408"/>
      <c r="D293" s="1408"/>
      <c r="E293" s="1409"/>
      <c r="F293" s="1135" t="s">
        <v>674</v>
      </c>
      <c r="G293" s="1364"/>
      <c r="H293" s="115"/>
      <c r="I293" s="1358"/>
      <c r="J293" s="1359"/>
      <c r="K293" s="1360"/>
      <c r="L293" s="115"/>
      <c r="M293" s="1358"/>
      <c r="N293" s="1359"/>
      <c r="O293" s="1360"/>
      <c r="P293" s="115"/>
      <c r="Q293" s="1358"/>
      <c r="R293" s="1359"/>
      <c r="S293" s="1360"/>
      <c r="T293" s="115"/>
      <c r="U293" s="1358"/>
      <c r="V293" s="1359"/>
      <c r="W293" s="1360"/>
      <c r="X293" s="115"/>
      <c r="Y293" s="1029"/>
      <c r="Z293" s="939"/>
      <c r="AA293" s="1054"/>
      <c r="AB293" s="115"/>
      <c r="AC293" s="1029"/>
      <c r="AD293" s="939"/>
      <c r="AE293" s="1030"/>
    </row>
    <row r="294" spans="2:31" ht="12.75" customHeight="1" x14ac:dyDescent="0.25">
      <c r="B294" s="1407"/>
      <c r="C294" s="1408"/>
      <c r="D294" s="1408"/>
      <c r="E294" s="1409"/>
      <c r="F294" s="1135" t="s">
        <v>675</v>
      </c>
      <c r="G294" s="1364"/>
      <c r="H294" s="115"/>
      <c r="I294" s="1358"/>
      <c r="J294" s="1359"/>
      <c r="K294" s="1360"/>
      <c r="L294" s="115"/>
      <c r="M294" s="1358"/>
      <c r="N294" s="1359"/>
      <c r="O294" s="1360"/>
      <c r="P294" s="115"/>
      <c r="Q294" s="1358"/>
      <c r="R294" s="1359"/>
      <c r="S294" s="1360"/>
      <c r="T294" s="115"/>
      <c r="U294" s="1358"/>
      <c r="V294" s="1359"/>
      <c r="W294" s="1360"/>
      <c r="X294" s="115"/>
      <c r="Y294" s="1029"/>
      <c r="Z294" s="939"/>
      <c r="AA294" s="1054"/>
      <c r="AB294" s="115"/>
      <c r="AC294" s="1029"/>
      <c r="AD294" s="939"/>
      <c r="AE294" s="1030"/>
    </row>
    <row r="295" spans="2:31" ht="12.75" customHeight="1" x14ac:dyDescent="0.25">
      <c r="B295" s="1407"/>
      <c r="C295" s="1408"/>
      <c r="D295" s="1408"/>
      <c r="E295" s="1409"/>
      <c r="F295" s="1135" t="s">
        <v>676</v>
      </c>
      <c r="G295" s="1364"/>
      <c r="H295" s="115"/>
      <c r="I295" s="1358"/>
      <c r="J295" s="1359"/>
      <c r="K295" s="1360"/>
      <c r="L295" s="115"/>
      <c r="M295" s="1358"/>
      <c r="N295" s="1359"/>
      <c r="O295" s="1360"/>
      <c r="P295" s="115"/>
      <c r="Q295" s="1358"/>
      <c r="R295" s="1359"/>
      <c r="S295" s="1360"/>
      <c r="T295" s="115"/>
      <c r="U295" s="1358"/>
      <c r="V295" s="1359"/>
      <c r="W295" s="1360"/>
      <c r="X295" s="115"/>
      <c r="Y295" s="1029"/>
      <c r="Z295" s="939"/>
      <c r="AA295" s="1054"/>
      <c r="AB295" s="115"/>
      <c r="AC295" s="1029"/>
      <c r="AD295" s="939"/>
      <c r="AE295" s="1030"/>
    </row>
    <row r="296" spans="2:31" ht="12.75" customHeight="1" x14ac:dyDescent="0.25">
      <c r="B296" s="1407"/>
      <c r="C296" s="1408"/>
      <c r="D296" s="1408"/>
      <c r="E296" s="1409"/>
      <c r="F296" s="1135" t="s">
        <v>677</v>
      </c>
      <c r="G296" s="1364"/>
      <c r="H296" s="115"/>
      <c r="I296" s="1358"/>
      <c r="J296" s="1359"/>
      <c r="K296" s="1360"/>
      <c r="L296" s="115"/>
      <c r="M296" s="1358"/>
      <c r="N296" s="1359"/>
      <c r="O296" s="1360"/>
      <c r="P296" s="115"/>
      <c r="Q296" s="1358"/>
      <c r="R296" s="1359"/>
      <c r="S296" s="1360"/>
      <c r="T296" s="115"/>
      <c r="U296" s="1358"/>
      <c r="V296" s="1359"/>
      <c r="W296" s="1360"/>
      <c r="X296" s="115"/>
      <c r="Y296" s="1029"/>
      <c r="Z296" s="939"/>
      <c r="AA296" s="1054"/>
      <c r="AB296" s="115"/>
      <c r="AC296" s="1029"/>
      <c r="AD296" s="939"/>
      <c r="AE296" s="1030"/>
    </row>
    <row r="297" spans="2:31" ht="12.75" customHeight="1" x14ac:dyDescent="0.25">
      <c r="B297" s="1407"/>
      <c r="C297" s="1408"/>
      <c r="D297" s="1408"/>
      <c r="E297" s="1409"/>
      <c r="F297" s="1135" t="s">
        <v>1149</v>
      </c>
      <c r="G297" s="1364"/>
      <c r="H297" s="115"/>
      <c r="I297" s="1358"/>
      <c r="J297" s="1359"/>
      <c r="K297" s="1360"/>
      <c r="L297" s="115"/>
      <c r="M297" s="1358"/>
      <c r="N297" s="1359"/>
      <c r="O297" s="1360"/>
      <c r="P297" s="115"/>
      <c r="Q297" s="1358"/>
      <c r="R297" s="1359"/>
      <c r="S297" s="1360"/>
      <c r="T297" s="115"/>
      <c r="U297" s="1358"/>
      <c r="V297" s="1359"/>
      <c r="W297" s="1360"/>
      <c r="X297" s="115"/>
      <c r="Y297" s="1029"/>
      <c r="Z297" s="939"/>
      <c r="AA297" s="1054"/>
      <c r="AB297" s="115"/>
      <c r="AC297" s="1029"/>
      <c r="AD297" s="939"/>
      <c r="AE297" s="1030"/>
    </row>
    <row r="298" spans="2:31" ht="12.75" customHeight="1" x14ac:dyDescent="0.25">
      <c r="B298" s="1407"/>
      <c r="C298" s="1408"/>
      <c r="D298" s="1408"/>
      <c r="E298" s="1409"/>
      <c r="F298" s="1135" t="s">
        <v>1150</v>
      </c>
      <c r="G298" s="1364"/>
      <c r="H298" s="115"/>
      <c r="I298" s="1358"/>
      <c r="J298" s="1359"/>
      <c r="K298" s="1360"/>
      <c r="L298" s="115"/>
      <c r="M298" s="1358"/>
      <c r="N298" s="1359"/>
      <c r="O298" s="1360"/>
      <c r="P298" s="115"/>
      <c r="Q298" s="1358"/>
      <c r="R298" s="1359"/>
      <c r="S298" s="1360"/>
      <c r="T298" s="115"/>
      <c r="U298" s="1358"/>
      <c r="V298" s="1359"/>
      <c r="W298" s="1360"/>
      <c r="X298" s="115"/>
      <c r="Y298" s="1029"/>
      <c r="Z298" s="939"/>
      <c r="AA298" s="1054"/>
      <c r="AB298" s="115"/>
      <c r="AC298" s="1029"/>
      <c r="AD298" s="939"/>
      <c r="AE298" s="1030"/>
    </row>
    <row r="299" spans="2:31" ht="12.75" customHeight="1" x14ac:dyDescent="0.25">
      <c r="B299" s="1410"/>
      <c r="C299" s="1411"/>
      <c r="D299" s="1411"/>
      <c r="E299" s="1412"/>
      <c r="F299" s="1135" t="s">
        <v>1148</v>
      </c>
      <c r="G299" s="1364"/>
      <c r="H299" s="115"/>
      <c r="I299" s="1361"/>
      <c r="J299" s="1362"/>
      <c r="K299" s="1363"/>
      <c r="L299" s="115"/>
      <c r="M299" s="1361"/>
      <c r="N299" s="1362"/>
      <c r="O299" s="1363"/>
      <c r="P299" s="115"/>
      <c r="Q299" s="1361"/>
      <c r="R299" s="1362"/>
      <c r="S299" s="1363"/>
      <c r="T299" s="115"/>
      <c r="U299" s="1361"/>
      <c r="V299" s="1362"/>
      <c r="W299" s="1363"/>
      <c r="X299" s="115"/>
      <c r="Y299" s="1031"/>
      <c r="Z299" s="1032"/>
      <c r="AA299" s="1055"/>
      <c r="AB299" s="115"/>
      <c r="AC299" s="1031"/>
      <c r="AD299" s="1032"/>
      <c r="AE299" s="1033"/>
    </row>
    <row r="300" spans="2:31" ht="12.75" customHeight="1" x14ac:dyDescent="0.25">
      <c r="B300" s="463"/>
      <c r="C300" s="78"/>
      <c r="D300" s="78"/>
      <c r="E300" s="78"/>
      <c r="F300" s="78"/>
      <c r="G300" s="78"/>
      <c r="H300" s="78"/>
      <c r="I300" s="78"/>
      <c r="J300" s="78"/>
      <c r="K300" s="78"/>
      <c r="L300" s="78"/>
      <c r="M300" s="78"/>
      <c r="N300" s="78"/>
      <c r="O300" s="78"/>
      <c r="P300" s="78"/>
      <c r="Q300" s="78"/>
      <c r="R300" s="78"/>
      <c r="S300" s="78"/>
      <c r="T300" s="78"/>
      <c r="U300" s="78"/>
      <c r="V300" s="78"/>
      <c r="W300" s="78"/>
      <c r="X300" s="78"/>
      <c r="Y300" s="78"/>
      <c r="Z300" s="78"/>
      <c r="AA300" s="78"/>
      <c r="AB300" s="78"/>
      <c r="AC300" s="78"/>
      <c r="AD300" s="78"/>
      <c r="AE300" s="340"/>
    </row>
    <row r="301" spans="2:31" ht="12.75" customHeight="1" x14ac:dyDescent="0.25">
      <c r="B301" s="1353" t="s">
        <v>38</v>
      </c>
      <c r="C301" s="1336"/>
      <c r="D301" s="4" t="s">
        <v>39</v>
      </c>
      <c r="E301" s="109" t="s">
        <v>424</v>
      </c>
      <c r="F301" s="1354" t="s">
        <v>673</v>
      </c>
      <c r="G301" s="1378"/>
      <c r="H301" s="1048" t="str">
        <f>$H$4</f>
        <v>BOCATOMA</v>
      </c>
      <c r="I301" s="1336"/>
      <c r="J301" s="1421" t="s">
        <v>74</v>
      </c>
      <c r="K301" s="1422"/>
      <c r="L301" s="1048" t="str">
        <f>$L$4</f>
        <v>DESARENADOR</v>
      </c>
      <c r="M301" s="1336"/>
      <c r="N301" s="1337" t="s">
        <v>1162</v>
      </c>
      <c r="O301" s="1337"/>
      <c r="P301" s="1393" t="str">
        <f>$P$4</f>
        <v>PLANTA</v>
      </c>
      <c r="Q301" s="1336"/>
      <c r="R301" s="1337"/>
      <c r="S301" s="1337"/>
      <c r="T301" s="1392" t="s">
        <v>884</v>
      </c>
      <c r="U301" s="1392"/>
      <c r="V301" s="1337" t="s">
        <v>1205</v>
      </c>
      <c r="W301" s="1337"/>
      <c r="X301" s="1048" t="s">
        <v>1414</v>
      </c>
      <c r="Y301" s="1050"/>
      <c r="Z301" s="1329"/>
      <c r="AA301" s="1050"/>
      <c r="AB301" s="1048" t="s">
        <v>1421</v>
      </c>
      <c r="AC301" s="1050"/>
      <c r="AD301" s="1329"/>
      <c r="AE301" s="1330"/>
    </row>
    <row r="302" spans="2:31" ht="12.75" customHeight="1" x14ac:dyDescent="0.25">
      <c r="B302" s="1350" t="str">
        <f>+'PTO OC PLIEGO'!B81:H81</f>
        <v>GRAVA PARA FILTRO 2-4mm (1/8″ a malla 10).</v>
      </c>
      <c r="C302" s="1405"/>
      <c r="D302" s="1405"/>
      <c r="E302" s="1406"/>
      <c r="F302" s="1135" t="s">
        <v>201</v>
      </c>
      <c r="G302" s="1364"/>
      <c r="H302" s="113">
        <f>+H303</f>
        <v>0</v>
      </c>
      <c r="I302" s="1331" t="s">
        <v>885</v>
      </c>
      <c r="J302" s="1356"/>
      <c r="K302" s="1357"/>
      <c r="L302" s="113">
        <f>+L303</f>
        <v>0</v>
      </c>
      <c r="M302" s="1331" t="s">
        <v>885</v>
      </c>
      <c r="N302" s="1356"/>
      <c r="O302" s="1357"/>
      <c r="P302" s="113">
        <f>+P303</f>
        <v>0.3</v>
      </c>
      <c r="Q302" s="1331" t="s">
        <v>885</v>
      </c>
      <c r="R302" s="1356"/>
      <c r="S302" s="1357"/>
      <c r="T302" s="113">
        <f>+T303</f>
        <v>0</v>
      </c>
      <c r="U302" s="1331" t="s">
        <v>885</v>
      </c>
      <c r="V302" s="1356"/>
      <c r="W302" s="1357"/>
      <c r="X302" s="139"/>
      <c r="Y302" s="1331" t="s">
        <v>885</v>
      </c>
      <c r="Z302" s="1052"/>
      <c r="AA302" s="1053"/>
      <c r="AB302" s="139"/>
      <c r="AC302" s="1331" t="s">
        <v>885</v>
      </c>
      <c r="AD302" s="1052"/>
      <c r="AE302" s="1332"/>
    </row>
    <row r="303" spans="2:31" ht="12.75" customHeight="1" x14ac:dyDescent="0.25">
      <c r="B303" s="1407"/>
      <c r="C303" s="1408"/>
      <c r="D303" s="1408"/>
      <c r="E303" s="1409"/>
      <c r="F303" s="1135" t="s">
        <v>132</v>
      </c>
      <c r="G303" s="1364"/>
      <c r="H303" s="115"/>
      <c r="I303" s="1358"/>
      <c r="J303" s="1359"/>
      <c r="K303" s="1360"/>
      <c r="L303" s="115"/>
      <c r="M303" s="1358"/>
      <c r="N303" s="1359"/>
      <c r="O303" s="1360"/>
      <c r="P303" s="115">
        <v>0.3</v>
      </c>
      <c r="Q303" s="1358"/>
      <c r="R303" s="1359"/>
      <c r="S303" s="1360"/>
      <c r="T303" s="115"/>
      <c r="U303" s="1358"/>
      <c r="V303" s="1359"/>
      <c r="W303" s="1360"/>
      <c r="X303" s="115"/>
      <c r="Y303" s="1029"/>
      <c r="Z303" s="939"/>
      <c r="AA303" s="1054"/>
      <c r="AB303" s="115"/>
      <c r="AC303" s="1029"/>
      <c r="AD303" s="939"/>
      <c r="AE303" s="1030"/>
    </row>
    <row r="304" spans="2:31" ht="12.75" customHeight="1" x14ac:dyDescent="0.25">
      <c r="B304" s="1407"/>
      <c r="C304" s="1408"/>
      <c r="D304" s="1408"/>
      <c r="E304" s="1409"/>
      <c r="F304" s="1135" t="s">
        <v>674</v>
      </c>
      <c r="G304" s="1364"/>
      <c r="H304" s="115"/>
      <c r="I304" s="1358"/>
      <c r="J304" s="1359"/>
      <c r="K304" s="1360"/>
      <c r="L304" s="115"/>
      <c r="M304" s="1358"/>
      <c r="N304" s="1359"/>
      <c r="O304" s="1360"/>
      <c r="P304" s="115"/>
      <c r="Q304" s="1358"/>
      <c r="R304" s="1359"/>
      <c r="S304" s="1360"/>
      <c r="T304" s="115"/>
      <c r="U304" s="1358"/>
      <c r="V304" s="1359"/>
      <c r="W304" s="1360"/>
      <c r="X304" s="115"/>
      <c r="Y304" s="1029"/>
      <c r="Z304" s="939"/>
      <c r="AA304" s="1054"/>
      <c r="AB304" s="115"/>
      <c r="AC304" s="1029"/>
      <c r="AD304" s="939"/>
      <c r="AE304" s="1030"/>
    </row>
    <row r="305" spans="2:31" ht="12.75" customHeight="1" x14ac:dyDescent="0.25">
      <c r="B305" s="1407"/>
      <c r="C305" s="1408"/>
      <c r="D305" s="1408"/>
      <c r="E305" s="1409"/>
      <c r="F305" s="1135" t="s">
        <v>675</v>
      </c>
      <c r="G305" s="1364"/>
      <c r="H305" s="115"/>
      <c r="I305" s="1358"/>
      <c r="J305" s="1359"/>
      <c r="K305" s="1360"/>
      <c r="L305" s="115"/>
      <c r="M305" s="1358"/>
      <c r="N305" s="1359"/>
      <c r="O305" s="1360"/>
      <c r="P305" s="115"/>
      <c r="Q305" s="1358"/>
      <c r="R305" s="1359"/>
      <c r="S305" s="1360"/>
      <c r="T305" s="115"/>
      <c r="U305" s="1358"/>
      <c r="V305" s="1359"/>
      <c r="W305" s="1360"/>
      <c r="X305" s="115"/>
      <c r="Y305" s="1029"/>
      <c r="Z305" s="939"/>
      <c r="AA305" s="1054"/>
      <c r="AB305" s="115"/>
      <c r="AC305" s="1029"/>
      <c r="AD305" s="939"/>
      <c r="AE305" s="1030"/>
    </row>
    <row r="306" spans="2:31" ht="12.75" customHeight="1" x14ac:dyDescent="0.25">
      <c r="B306" s="1407"/>
      <c r="C306" s="1408"/>
      <c r="D306" s="1408"/>
      <c r="E306" s="1409"/>
      <c r="F306" s="1135" t="s">
        <v>676</v>
      </c>
      <c r="G306" s="1364"/>
      <c r="H306" s="115"/>
      <c r="I306" s="1358"/>
      <c r="J306" s="1359"/>
      <c r="K306" s="1360"/>
      <c r="L306" s="115"/>
      <c r="M306" s="1358"/>
      <c r="N306" s="1359"/>
      <c r="O306" s="1360"/>
      <c r="P306" s="115"/>
      <c r="Q306" s="1358"/>
      <c r="R306" s="1359"/>
      <c r="S306" s="1360"/>
      <c r="T306" s="115"/>
      <c r="U306" s="1358"/>
      <c r="V306" s="1359"/>
      <c r="W306" s="1360"/>
      <c r="X306" s="115"/>
      <c r="Y306" s="1029"/>
      <c r="Z306" s="939"/>
      <c r="AA306" s="1054"/>
      <c r="AB306" s="115"/>
      <c r="AC306" s="1029"/>
      <c r="AD306" s="939"/>
      <c r="AE306" s="1030"/>
    </row>
    <row r="307" spans="2:31" ht="12.75" customHeight="1" x14ac:dyDescent="0.25">
      <c r="B307" s="1407"/>
      <c r="C307" s="1408"/>
      <c r="D307" s="1408"/>
      <c r="E307" s="1409"/>
      <c r="F307" s="1135" t="s">
        <v>677</v>
      </c>
      <c r="G307" s="1364"/>
      <c r="H307" s="115"/>
      <c r="I307" s="1358"/>
      <c r="J307" s="1359"/>
      <c r="K307" s="1360"/>
      <c r="L307" s="115"/>
      <c r="M307" s="1358"/>
      <c r="N307" s="1359"/>
      <c r="O307" s="1360"/>
      <c r="P307" s="115"/>
      <c r="Q307" s="1358"/>
      <c r="R307" s="1359"/>
      <c r="S307" s="1360"/>
      <c r="T307" s="115"/>
      <c r="U307" s="1358"/>
      <c r="V307" s="1359"/>
      <c r="W307" s="1360"/>
      <c r="X307" s="115"/>
      <c r="Y307" s="1029"/>
      <c r="Z307" s="939"/>
      <c r="AA307" s="1054"/>
      <c r="AB307" s="115"/>
      <c r="AC307" s="1029"/>
      <c r="AD307" s="939"/>
      <c r="AE307" s="1030"/>
    </row>
    <row r="308" spans="2:31" ht="12.75" customHeight="1" x14ac:dyDescent="0.25">
      <c r="B308" s="1407"/>
      <c r="C308" s="1408"/>
      <c r="D308" s="1408"/>
      <c r="E308" s="1409"/>
      <c r="F308" s="1135" t="s">
        <v>678</v>
      </c>
      <c r="G308" s="1364"/>
      <c r="H308" s="115"/>
      <c r="I308" s="1358"/>
      <c r="J308" s="1359"/>
      <c r="K308" s="1360"/>
      <c r="L308" s="115"/>
      <c r="M308" s="1358"/>
      <c r="N308" s="1359"/>
      <c r="O308" s="1360"/>
      <c r="P308" s="115"/>
      <c r="Q308" s="1358"/>
      <c r="R308" s="1359"/>
      <c r="S308" s="1360"/>
      <c r="T308" s="115"/>
      <c r="U308" s="1358"/>
      <c r="V308" s="1359"/>
      <c r="W308" s="1360"/>
      <c r="X308" s="115"/>
      <c r="Y308" s="1029"/>
      <c r="Z308" s="939"/>
      <c r="AA308" s="1054"/>
      <c r="AB308" s="115"/>
      <c r="AC308" s="1029"/>
      <c r="AD308" s="939"/>
      <c r="AE308" s="1030"/>
    </row>
    <row r="309" spans="2:31" ht="12.75" customHeight="1" x14ac:dyDescent="0.25">
      <c r="B309" s="1407"/>
      <c r="C309" s="1408"/>
      <c r="D309" s="1408"/>
      <c r="E309" s="1409"/>
      <c r="F309" s="1135" t="s">
        <v>1146</v>
      </c>
      <c r="G309" s="1364"/>
      <c r="H309" s="115"/>
      <c r="I309" s="1358"/>
      <c r="J309" s="1359"/>
      <c r="K309" s="1360"/>
      <c r="L309" s="115"/>
      <c r="M309" s="1358"/>
      <c r="N309" s="1359"/>
      <c r="O309" s="1360"/>
      <c r="P309" s="115"/>
      <c r="Q309" s="1358"/>
      <c r="R309" s="1359"/>
      <c r="S309" s="1360"/>
      <c r="T309" s="115"/>
      <c r="U309" s="1358"/>
      <c r="V309" s="1359"/>
      <c r="W309" s="1360"/>
      <c r="X309" s="115"/>
      <c r="Y309" s="1029"/>
      <c r="Z309" s="939"/>
      <c r="AA309" s="1054"/>
      <c r="AB309" s="115"/>
      <c r="AC309" s="1029"/>
      <c r="AD309" s="939"/>
      <c r="AE309" s="1030"/>
    </row>
    <row r="310" spans="2:31" ht="12.75" customHeight="1" x14ac:dyDescent="0.25">
      <c r="B310" s="1410"/>
      <c r="C310" s="1411"/>
      <c r="D310" s="1411"/>
      <c r="E310" s="1412"/>
      <c r="F310" s="1135" t="s">
        <v>1148</v>
      </c>
      <c r="G310" s="1364"/>
      <c r="H310" s="115"/>
      <c r="I310" s="1361"/>
      <c r="J310" s="1362"/>
      <c r="K310" s="1363"/>
      <c r="L310" s="115"/>
      <c r="M310" s="1361"/>
      <c r="N310" s="1362"/>
      <c r="O310" s="1363"/>
      <c r="P310" s="115"/>
      <c r="Q310" s="1361"/>
      <c r="R310" s="1362"/>
      <c r="S310" s="1363"/>
      <c r="T310" s="115"/>
      <c r="U310" s="1361"/>
      <c r="V310" s="1362"/>
      <c r="W310" s="1363"/>
      <c r="X310" s="115"/>
      <c r="Y310" s="1031"/>
      <c r="Z310" s="1032"/>
      <c r="AA310" s="1055"/>
      <c r="AB310" s="115"/>
      <c r="AC310" s="1031"/>
      <c r="AD310" s="1032"/>
      <c r="AE310" s="1033"/>
    </row>
    <row r="311" spans="2:31" ht="12.75" customHeight="1" x14ac:dyDescent="0.25">
      <c r="B311" s="463"/>
      <c r="C311" s="78"/>
      <c r="D311" s="78"/>
      <c r="E311" s="78"/>
      <c r="F311" s="78"/>
      <c r="G311" s="78"/>
      <c r="H311" s="78"/>
      <c r="I311" s="78"/>
      <c r="J311" s="78"/>
      <c r="K311" s="78"/>
      <c r="L311" s="78"/>
      <c r="M311" s="78"/>
      <c r="N311" s="78"/>
      <c r="O311" s="78"/>
      <c r="P311" s="78"/>
      <c r="Q311" s="78"/>
      <c r="R311" s="78"/>
      <c r="S311" s="78"/>
      <c r="T311" s="78"/>
      <c r="U311" s="78"/>
      <c r="V311" s="78"/>
      <c r="W311" s="78"/>
      <c r="X311" s="78"/>
      <c r="Y311" s="78"/>
      <c r="Z311" s="78"/>
      <c r="AA311" s="78"/>
      <c r="AB311" s="78"/>
      <c r="AC311" s="78"/>
      <c r="AD311" s="78"/>
      <c r="AE311" s="340"/>
    </row>
    <row r="312" spans="2:31" ht="12.75" customHeight="1" x14ac:dyDescent="0.25">
      <c r="B312" s="1353" t="s">
        <v>38</v>
      </c>
      <c r="C312" s="1336"/>
      <c r="D312" s="4" t="s">
        <v>39</v>
      </c>
      <c r="E312" s="109" t="s">
        <v>424</v>
      </c>
      <c r="F312" s="1354" t="s">
        <v>673</v>
      </c>
      <c r="G312" s="1378"/>
      <c r="H312" s="1048" t="str">
        <f>$H$4</f>
        <v>BOCATOMA</v>
      </c>
      <c r="I312" s="1336"/>
      <c r="J312" s="1421" t="s">
        <v>691</v>
      </c>
      <c r="K312" s="1422"/>
      <c r="L312" s="1048" t="str">
        <f>$L$4</f>
        <v>DESARENADOR</v>
      </c>
      <c r="M312" s="1336"/>
      <c r="N312" s="1337"/>
      <c r="O312" s="1337"/>
      <c r="P312" s="1393" t="str">
        <f>$P$4</f>
        <v>PLANTA</v>
      </c>
      <c r="Q312" s="1336"/>
      <c r="R312" s="1337"/>
      <c r="S312" s="1337"/>
      <c r="T312" s="1392" t="s">
        <v>884</v>
      </c>
      <c r="U312" s="1392"/>
      <c r="V312" s="1337"/>
      <c r="W312" s="1337"/>
      <c r="X312" s="1048" t="s">
        <v>1414</v>
      </c>
      <c r="Y312" s="1050"/>
      <c r="Z312" s="1329"/>
      <c r="AA312" s="1050"/>
      <c r="AB312" s="1048" t="s">
        <v>1421</v>
      </c>
      <c r="AC312" s="1050"/>
      <c r="AD312" s="1329"/>
      <c r="AE312" s="1330"/>
    </row>
    <row r="313" spans="2:31" ht="12.75" customHeight="1" x14ac:dyDescent="0.25">
      <c r="B313" s="1350" t="str">
        <f>+'PTO OC PLIEGO'!B82:H82</f>
        <v>CAJA DE INSPECCIÓN 40X40 (INCLUYE TAPA)</v>
      </c>
      <c r="C313" s="1405"/>
      <c r="D313" s="1405"/>
      <c r="E313" s="1406"/>
      <c r="F313" s="1135" t="s">
        <v>201</v>
      </c>
      <c r="G313" s="1364"/>
      <c r="H313" s="113">
        <f>+H314</f>
        <v>0</v>
      </c>
      <c r="I313" s="1331" t="s">
        <v>885</v>
      </c>
      <c r="J313" s="1356"/>
      <c r="K313" s="1357"/>
      <c r="L313" s="113"/>
      <c r="M313" s="1331" t="s">
        <v>885</v>
      </c>
      <c r="N313" s="1356"/>
      <c r="O313" s="1357"/>
      <c r="P313" s="113">
        <f>+P314</f>
        <v>10</v>
      </c>
      <c r="Q313" s="1331" t="s">
        <v>885</v>
      </c>
      <c r="R313" s="1356"/>
      <c r="S313" s="1357"/>
      <c r="T313" s="115"/>
      <c r="U313" s="1331" t="s">
        <v>885</v>
      </c>
      <c r="V313" s="1356"/>
      <c r="W313" s="1357"/>
      <c r="X313" s="139"/>
      <c r="Y313" s="1331" t="s">
        <v>885</v>
      </c>
      <c r="Z313" s="1052"/>
      <c r="AA313" s="1053"/>
      <c r="AB313" s="139"/>
      <c r="AC313" s="1331" t="s">
        <v>885</v>
      </c>
      <c r="AD313" s="1052"/>
      <c r="AE313" s="1332"/>
    </row>
    <row r="314" spans="2:31" ht="12.75" customHeight="1" x14ac:dyDescent="0.25">
      <c r="B314" s="1407"/>
      <c r="C314" s="1408"/>
      <c r="D314" s="1408"/>
      <c r="E314" s="1409"/>
      <c r="F314" s="1135" t="s">
        <v>132</v>
      </c>
      <c r="G314" s="1364"/>
      <c r="H314" s="115"/>
      <c r="I314" s="1358"/>
      <c r="J314" s="1359"/>
      <c r="K314" s="1360"/>
      <c r="L314" s="115"/>
      <c r="M314" s="1358"/>
      <c r="N314" s="1359"/>
      <c r="O314" s="1360"/>
      <c r="P314" s="115">
        <v>10</v>
      </c>
      <c r="Q314" s="1358"/>
      <c r="R314" s="1359"/>
      <c r="S314" s="1360"/>
      <c r="T314" s="115"/>
      <c r="U314" s="1358"/>
      <c r="V314" s="1359"/>
      <c r="W314" s="1360"/>
      <c r="X314" s="115"/>
      <c r="Y314" s="1029"/>
      <c r="Z314" s="939"/>
      <c r="AA314" s="1054"/>
      <c r="AB314" s="115"/>
      <c r="AC314" s="1029"/>
      <c r="AD314" s="939"/>
      <c r="AE314" s="1030"/>
    </row>
    <row r="315" spans="2:31" ht="12.75" customHeight="1" x14ac:dyDescent="0.25">
      <c r="B315" s="1407"/>
      <c r="C315" s="1408"/>
      <c r="D315" s="1408"/>
      <c r="E315" s="1409"/>
      <c r="F315" s="1135" t="s">
        <v>674</v>
      </c>
      <c r="G315" s="1364"/>
      <c r="H315" s="115"/>
      <c r="I315" s="1358"/>
      <c r="J315" s="1359"/>
      <c r="K315" s="1360"/>
      <c r="L315" s="115"/>
      <c r="M315" s="1358"/>
      <c r="N315" s="1359"/>
      <c r="O315" s="1360"/>
      <c r="P315" s="115"/>
      <c r="Q315" s="1358"/>
      <c r="R315" s="1359"/>
      <c r="S315" s="1360"/>
      <c r="T315" s="115"/>
      <c r="U315" s="1358"/>
      <c r="V315" s="1359"/>
      <c r="W315" s="1360"/>
      <c r="X315" s="115"/>
      <c r="Y315" s="1029"/>
      <c r="Z315" s="939"/>
      <c r="AA315" s="1054"/>
      <c r="AB315" s="115"/>
      <c r="AC315" s="1029"/>
      <c r="AD315" s="939"/>
      <c r="AE315" s="1030"/>
    </row>
    <row r="316" spans="2:31" ht="12.75" customHeight="1" x14ac:dyDescent="0.25">
      <c r="B316" s="1407"/>
      <c r="C316" s="1408"/>
      <c r="D316" s="1408"/>
      <c r="E316" s="1409"/>
      <c r="F316" s="1135" t="s">
        <v>675</v>
      </c>
      <c r="G316" s="1364"/>
      <c r="H316" s="115"/>
      <c r="I316" s="1358"/>
      <c r="J316" s="1359"/>
      <c r="K316" s="1360"/>
      <c r="L316" s="115"/>
      <c r="M316" s="1358"/>
      <c r="N316" s="1359"/>
      <c r="O316" s="1360"/>
      <c r="P316" s="115"/>
      <c r="Q316" s="1358"/>
      <c r="R316" s="1359"/>
      <c r="S316" s="1360"/>
      <c r="T316" s="115"/>
      <c r="U316" s="1358"/>
      <c r="V316" s="1359"/>
      <c r="W316" s="1360"/>
      <c r="X316" s="115"/>
      <c r="Y316" s="1029"/>
      <c r="Z316" s="939"/>
      <c r="AA316" s="1054"/>
      <c r="AB316" s="115"/>
      <c r="AC316" s="1029"/>
      <c r="AD316" s="939"/>
      <c r="AE316" s="1030"/>
    </row>
    <row r="317" spans="2:31" ht="12.75" customHeight="1" x14ac:dyDescent="0.25">
      <c r="B317" s="1407"/>
      <c r="C317" s="1408"/>
      <c r="D317" s="1408"/>
      <c r="E317" s="1409"/>
      <c r="F317" s="1135" t="s">
        <v>676</v>
      </c>
      <c r="G317" s="1364"/>
      <c r="H317" s="115"/>
      <c r="I317" s="1358"/>
      <c r="J317" s="1359"/>
      <c r="K317" s="1360"/>
      <c r="L317" s="115"/>
      <c r="M317" s="1358"/>
      <c r="N317" s="1359"/>
      <c r="O317" s="1360"/>
      <c r="P317" s="115"/>
      <c r="Q317" s="1358"/>
      <c r="R317" s="1359"/>
      <c r="S317" s="1360"/>
      <c r="T317" s="115"/>
      <c r="U317" s="1358"/>
      <c r="V317" s="1359"/>
      <c r="W317" s="1360"/>
      <c r="X317" s="115"/>
      <c r="Y317" s="1029"/>
      <c r="Z317" s="939"/>
      <c r="AA317" s="1054"/>
      <c r="AB317" s="115"/>
      <c r="AC317" s="1029"/>
      <c r="AD317" s="939"/>
      <c r="AE317" s="1030"/>
    </row>
    <row r="318" spans="2:31" ht="12.75" customHeight="1" x14ac:dyDescent="0.25">
      <c r="B318" s="1407"/>
      <c r="C318" s="1408"/>
      <c r="D318" s="1408"/>
      <c r="E318" s="1409"/>
      <c r="F318" s="1135" t="s">
        <v>677</v>
      </c>
      <c r="G318" s="1364"/>
      <c r="H318" s="115"/>
      <c r="I318" s="1358"/>
      <c r="J318" s="1359"/>
      <c r="K318" s="1360"/>
      <c r="L318" s="115"/>
      <c r="M318" s="1358"/>
      <c r="N318" s="1359"/>
      <c r="O318" s="1360"/>
      <c r="P318" s="115"/>
      <c r="Q318" s="1358"/>
      <c r="R318" s="1359"/>
      <c r="S318" s="1360"/>
      <c r="T318" s="115"/>
      <c r="U318" s="1358"/>
      <c r="V318" s="1359"/>
      <c r="W318" s="1360"/>
      <c r="X318" s="115"/>
      <c r="Y318" s="1029"/>
      <c r="Z318" s="939"/>
      <c r="AA318" s="1054"/>
      <c r="AB318" s="115"/>
      <c r="AC318" s="1029"/>
      <c r="AD318" s="939"/>
      <c r="AE318" s="1030"/>
    </row>
    <row r="319" spans="2:31" ht="12.75" customHeight="1" x14ac:dyDescent="0.25">
      <c r="B319" s="1407"/>
      <c r="C319" s="1408"/>
      <c r="D319" s="1408"/>
      <c r="E319" s="1409"/>
      <c r="F319" s="1135" t="s">
        <v>678</v>
      </c>
      <c r="G319" s="1364"/>
      <c r="H319" s="115"/>
      <c r="I319" s="1358"/>
      <c r="J319" s="1359"/>
      <c r="K319" s="1360"/>
      <c r="L319" s="115"/>
      <c r="M319" s="1358"/>
      <c r="N319" s="1359"/>
      <c r="O319" s="1360"/>
      <c r="P319" s="115"/>
      <c r="Q319" s="1358"/>
      <c r="R319" s="1359"/>
      <c r="S319" s="1360"/>
      <c r="T319" s="115"/>
      <c r="U319" s="1358"/>
      <c r="V319" s="1359"/>
      <c r="W319" s="1360"/>
      <c r="X319" s="115"/>
      <c r="Y319" s="1029"/>
      <c r="Z319" s="939"/>
      <c r="AA319" s="1054"/>
      <c r="AB319" s="115"/>
      <c r="AC319" s="1029"/>
      <c r="AD319" s="939"/>
      <c r="AE319" s="1030"/>
    </row>
    <row r="320" spans="2:31" ht="12.75" customHeight="1" x14ac:dyDescent="0.25">
      <c r="B320" s="1407"/>
      <c r="C320" s="1408"/>
      <c r="D320" s="1408"/>
      <c r="E320" s="1409"/>
      <c r="F320" s="1135" t="s">
        <v>1146</v>
      </c>
      <c r="G320" s="1364"/>
      <c r="H320" s="115"/>
      <c r="I320" s="1358"/>
      <c r="J320" s="1359"/>
      <c r="K320" s="1360"/>
      <c r="L320" s="115"/>
      <c r="M320" s="1358"/>
      <c r="N320" s="1359"/>
      <c r="O320" s="1360"/>
      <c r="P320" s="115"/>
      <c r="Q320" s="1358"/>
      <c r="R320" s="1359"/>
      <c r="S320" s="1360"/>
      <c r="T320" s="115"/>
      <c r="U320" s="1358"/>
      <c r="V320" s="1359"/>
      <c r="W320" s="1360"/>
      <c r="X320" s="115"/>
      <c r="Y320" s="1029"/>
      <c r="Z320" s="939"/>
      <c r="AA320" s="1054"/>
      <c r="AB320" s="115"/>
      <c r="AC320" s="1029"/>
      <c r="AD320" s="939"/>
      <c r="AE320" s="1030"/>
    </row>
    <row r="321" spans="2:31" ht="12.75" customHeight="1" x14ac:dyDescent="0.25">
      <c r="B321" s="1410"/>
      <c r="C321" s="1411"/>
      <c r="D321" s="1411"/>
      <c r="E321" s="1412"/>
      <c r="F321" s="1135" t="s">
        <v>1148</v>
      </c>
      <c r="G321" s="1364"/>
      <c r="H321" s="115"/>
      <c r="I321" s="1361"/>
      <c r="J321" s="1362"/>
      <c r="K321" s="1363"/>
      <c r="L321" s="115"/>
      <c r="M321" s="1361"/>
      <c r="N321" s="1362"/>
      <c r="O321" s="1363"/>
      <c r="P321" s="115"/>
      <c r="Q321" s="1361"/>
      <c r="R321" s="1362"/>
      <c r="S321" s="1363"/>
      <c r="T321" s="115"/>
      <c r="U321" s="1361"/>
      <c r="V321" s="1362"/>
      <c r="W321" s="1363"/>
      <c r="X321" s="115"/>
      <c r="Y321" s="1031"/>
      <c r="Z321" s="1032"/>
      <c r="AA321" s="1055"/>
      <c r="AB321" s="115"/>
      <c r="AC321" s="1031"/>
      <c r="AD321" s="1032"/>
      <c r="AE321" s="1033"/>
    </row>
    <row r="322" spans="2:31" ht="12.75" customHeight="1" x14ac:dyDescent="0.25">
      <c r="B322" s="463"/>
      <c r="C322" s="78"/>
      <c r="D322" s="78"/>
      <c r="E322" s="78"/>
      <c r="F322" s="78"/>
      <c r="G322" s="78"/>
      <c r="H322" s="78"/>
      <c r="I322" s="78"/>
      <c r="J322" s="78"/>
      <c r="K322" s="78"/>
      <c r="L322" s="78"/>
      <c r="M322" s="78"/>
      <c r="N322" s="78"/>
      <c r="O322" s="78"/>
      <c r="P322" s="78"/>
      <c r="Q322" s="78"/>
      <c r="R322" s="78"/>
      <c r="S322" s="78"/>
      <c r="T322" s="78"/>
      <c r="U322" s="78"/>
      <c r="V322" s="78"/>
      <c r="W322" s="78"/>
      <c r="X322" s="78"/>
      <c r="Y322" s="78"/>
      <c r="Z322" s="78"/>
      <c r="AA322" s="78"/>
      <c r="AB322" s="78"/>
      <c r="AC322" s="78"/>
      <c r="AD322" s="78"/>
      <c r="AE322" s="340"/>
    </row>
    <row r="323" spans="2:31" ht="12.75" customHeight="1" x14ac:dyDescent="0.25">
      <c r="B323" s="1353" t="s">
        <v>38</v>
      </c>
      <c r="C323" s="1336"/>
      <c r="D323" s="4" t="s">
        <v>39</v>
      </c>
      <c r="E323" s="109" t="s">
        <v>424</v>
      </c>
      <c r="F323" s="1354" t="s">
        <v>673</v>
      </c>
      <c r="G323" s="1378"/>
      <c r="H323" s="1048" t="str">
        <f>$H$4</f>
        <v>BOCATOMA</v>
      </c>
      <c r="I323" s="1336"/>
      <c r="J323" s="1421" t="s">
        <v>910</v>
      </c>
      <c r="K323" s="1422"/>
      <c r="L323" s="1048" t="str">
        <f>$L$4</f>
        <v>DESARENADOR</v>
      </c>
      <c r="M323" s="1336"/>
      <c r="N323" s="1337" t="s">
        <v>1171</v>
      </c>
      <c r="O323" s="1337"/>
      <c r="P323" s="1393" t="str">
        <f>$P$4</f>
        <v>PLANTA</v>
      </c>
      <c r="Q323" s="1336"/>
      <c r="R323" s="1337"/>
      <c r="S323" s="1337"/>
      <c r="T323" s="1392" t="s">
        <v>884</v>
      </c>
      <c r="U323" s="1392"/>
      <c r="V323" s="1337"/>
      <c r="W323" s="1337"/>
      <c r="X323" s="1048" t="s">
        <v>1414</v>
      </c>
      <c r="Y323" s="1050"/>
      <c r="Z323" s="1329"/>
      <c r="AA323" s="1050"/>
      <c r="AB323" s="1048" t="s">
        <v>1421</v>
      </c>
      <c r="AC323" s="1050"/>
      <c r="AD323" s="1329"/>
      <c r="AE323" s="1330"/>
    </row>
    <row r="324" spans="2:31" ht="12.75" customHeight="1" x14ac:dyDescent="0.25">
      <c r="B324" s="1350" t="str">
        <f>+'PTO OC PLIEGO'!B83:H83</f>
        <v>TEJA PLÁSTICA INCLUYE CERCHA METÁLICA</v>
      </c>
      <c r="C324" s="1405"/>
      <c r="D324" s="1405"/>
      <c r="E324" s="1406"/>
      <c r="F324" s="1135" t="s">
        <v>201</v>
      </c>
      <c r="G324" s="1364"/>
      <c r="H324" s="113">
        <f>+H325</f>
        <v>0</v>
      </c>
      <c r="I324" s="1331" t="s">
        <v>885</v>
      </c>
      <c r="J324" s="1356"/>
      <c r="K324" s="1357"/>
      <c r="L324" s="113">
        <f>+L325</f>
        <v>0</v>
      </c>
      <c r="M324" s="1331" t="s">
        <v>885</v>
      </c>
      <c r="N324" s="1356"/>
      <c r="O324" s="1357"/>
      <c r="P324" s="113">
        <f>+P325</f>
        <v>53</v>
      </c>
      <c r="Q324" s="1331" t="s">
        <v>885</v>
      </c>
      <c r="R324" s="1356"/>
      <c r="S324" s="1357"/>
      <c r="T324" s="115"/>
      <c r="U324" s="1331" t="s">
        <v>885</v>
      </c>
      <c r="V324" s="1356"/>
      <c r="W324" s="1357"/>
      <c r="X324" s="139"/>
      <c r="Y324" s="1331" t="s">
        <v>885</v>
      </c>
      <c r="Z324" s="1052"/>
      <c r="AA324" s="1053"/>
      <c r="AB324" s="139"/>
      <c r="AC324" s="1331" t="s">
        <v>885</v>
      </c>
      <c r="AD324" s="1052"/>
      <c r="AE324" s="1332"/>
    </row>
    <row r="325" spans="2:31" ht="12.75" customHeight="1" x14ac:dyDescent="0.25">
      <c r="B325" s="1407"/>
      <c r="C325" s="1408"/>
      <c r="D325" s="1408"/>
      <c r="E325" s="1409"/>
      <c r="F325" s="1135" t="s">
        <v>132</v>
      </c>
      <c r="G325" s="1364"/>
      <c r="H325" s="115"/>
      <c r="I325" s="1358"/>
      <c r="J325" s="1359"/>
      <c r="K325" s="1360"/>
      <c r="L325" s="115"/>
      <c r="M325" s="1358"/>
      <c r="N325" s="1359"/>
      <c r="O325" s="1360"/>
      <c r="P325" s="115">
        <v>53</v>
      </c>
      <c r="Q325" s="1358"/>
      <c r="R325" s="1359"/>
      <c r="S325" s="1360"/>
      <c r="T325" s="115"/>
      <c r="U325" s="1358"/>
      <c r="V325" s="1359"/>
      <c r="W325" s="1360"/>
      <c r="X325" s="115"/>
      <c r="Y325" s="1029"/>
      <c r="Z325" s="939"/>
      <c r="AA325" s="1054"/>
      <c r="AB325" s="115"/>
      <c r="AC325" s="1029"/>
      <c r="AD325" s="939"/>
      <c r="AE325" s="1030"/>
    </row>
    <row r="326" spans="2:31" ht="12.75" customHeight="1" x14ac:dyDescent="0.25">
      <c r="B326" s="1407"/>
      <c r="C326" s="1408"/>
      <c r="D326" s="1408"/>
      <c r="E326" s="1409"/>
      <c r="F326" s="1135" t="s">
        <v>674</v>
      </c>
      <c r="G326" s="1364"/>
      <c r="H326" s="115"/>
      <c r="I326" s="1358"/>
      <c r="J326" s="1359"/>
      <c r="K326" s="1360"/>
      <c r="L326" s="115"/>
      <c r="M326" s="1358"/>
      <c r="N326" s="1359"/>
      <c r="O326" s="1360"/>
      <c r="P326" s="115"/>
      <c r="Q326" s="1358"/>
      <c r="R326" s="1359"/>
      <c r="S326" s="1360"/>
      <c r="T326" s="115"/>
      <c r="U326" s="1358"/>
      <c r="V326" s="1359"/>
      <c r="W326" s="1360"/>
      <c r="X326" s="115"/>
      <c r="Y326" s="1029"/>
      <c r="Z326" s="939"/>
      <c r="AA326" s="1054"/>
      <c r="AB326" s="115"/>
      <c r="AC326" s="1029"/>
      <c r="AD326" s="939"/>
      <c r="AE326" s="1030"/>
    </row>
    <row r="327" spans="2:31" ht="12.75" customHeight="1" x14ac:dyDescent="0.25">
      <c r="B327" s="1407"/>
      <c r="C327" s="1408"/>
      <c r="D327" s="1408"/>
      <c r="E327" s="1409"/>
      <c r="F327" s="1135" t="s">
        <v>675</v>
      </c>
      <c r="G327" s="1364"/>
      <c r="H327" s="115"/>
      <c r="I327" s="1358"/>
      <c r="J327" s="1359"/>
      <c r="K327" s="1360"/>
      <c r="L327" s="115"/>
      <c r="M327" s="1358"/>
      <c r="N327" s="1359"/>
      <c r="O327" s="1360"/>
      <c r="P327" s="115"/>
      <c r="Q327" s="1358"/>
      <c r="R327" s="1359"/>
      <c r="S327" s="1360"/>
      <c r="T327" s="115"/>
      <c r="U327" s="1358"/>
      <c r="V327" s="1359"/>
      <c r="W327" s="1360"/>
      <c r="X327" s="115"/>
      <c r="Y327" s="1029"/>
      <c r="Z327" s="939"/>
      <c r="AA327" s="1054"/>
      <c r="AB327" s="115"/>
      <c r="AC327" s="1029"/>
      <c r="AD327" s="939"/>
      <c r="AE327" s="1030"/>
    </row>
    <row r="328" spans="2:31" ht="12.75" customHeight="1" x14ac:dyDescent="0.25">
      <c r="B328" s="1407"/>
      <c r="C328" s="1408"/>
      <c r="D328" s="1408"/>
      <c r="E328" s="1409"/>
      <c r="F328" s="1135" t="s">
        <v>676</v>
      </c>
      <c r="G328" s="1364"/>
      <c r="H328" s="115"/>
      <c r="I328" s="1358"/>
      <c r="J328" s="1359"/>
      <c r="K328" s="1360"/>
      <c r="L328" s="115"/>
      <c r="M328" s="1358"/>
      <c r="N328" s="1359"/>
      <c r="O328" s="1360"/>
      <c r="P328" s="115"/>
      <c r="Q328" s="1358"/>
      <c r="R328" s="1359"/>
      <c r="S328" s="1360"/>
      <c r="T328" s="115"/>
      <c r="U328" s="1358"/>
      <c r="V328" s="1359"/>
      <c r="W328" s="1360"/>
      <c r="X328" s="115"/>
      <c r="Y328" s="1029"/>
      <c r="Z328" s="939"/>
      <c r="AA328" s="1054"/>
      <c r="AB328" s="115"/>
      <c r="AC328" s="1029"/>
      <c r="AD328" s="939"/>
      <c r="AE328" s="1030"/>
    </row>
    <row r="329" spans="2:31" ht="12.75" customHeight="1" x14ac:dyDescent="0.25">
      <c r="B329" s="1407"/>
      <c r="C329" s="1408"/>
      <c r="D329" s="1408"/>
      <c r="E329" s="1409"/>
      <c r="F329" s="1135" t="s">
        <v>677</v>
      </c>
      <c r="G329" s="1364"/>
      <c r="H329" s="115"/>
      <c r="I329" s="1358"/>
      <c r="J329" s="1359"/>
      <c r="K329" s="1360"/>
      <c r="L329" s="115"/>
      <c r="M329" s="1358"/>
      <c r="N329" s="1359"/>
      <c r="O329" s="1360"/>
      <c r="P329" s="115"/>
      <c r="Q329" s="1358"/>
      <c r="R329" s="1359"/>
      <c r="S329" s="1360"/>
      <c r="T329" s="115"/>
      <c r="U329" s="1358"/>
      <c r="V329" s="1359"/>
      <c r="W329" s="1360"/>
      <c r="X329" s="115"/>
      <c r="Y329" s="1029"/>
      <c r="Z329" s="939"/>
      <c r="AA329" s="1054"/>
      <c r="AB329" s="115"/>
      <c r="AC329" s="1029"/>
      <c r="AD329" s="939"/>
      <c r="AE329" s="1030"/>
    </row>
    <row r="330" spans="2:31" ht="12.75" customHeight="1" x14ac:dyDescent="0.25">
      <c r="B330" s="1407"/>
      <c r="C330" s="1408"/>
      <c r="D330" s="1408"/>
      <c r="E330" s="1409"/>
      <c r="F330" s="1135" t="s">
        <v>678</v>
      </c>
      <c r="G330" s="1364"/>
      <c r="H330" s="115"/>
      <c r="I330" s="1358"/>
      <c r="J330" s="1359"/>
      <c r="K330" s="1360"/>
      <c r="L330" s="115"/>
      <c r="M330" s="1358"/>
      <c r="N330" s="1359"/>
      <c r="O330" s="1360"/>
      <c r="P330" s="115"/>
      <c r="Q330" s="1358"/>
      <c r="R330" s="1359"/>
      <c r="S330" s="1360"/>
      <c r="T330" s="115"/>
      <c r="U330" s="1358"/>
      <c r="V330" s="1359"/>
      <c r="W330" s="1360"/>
      <c r="X330" s="115"/>
      <c r="Y330" s="1029"/>
      <c r="Z330" s="939"/>
      <c r="AA330" s="1054"/>
      <c r="AB330" s="115"/>
      <c r="AC330" s="1029"/>
      <c r="AD330" s="939"/>
      <c r="AE330" s="1030"/>
    </row>
    <row r="331" spans="2:31" ht="12.75" customHeight="1" x14ac:dyDescent="0.25">
      <c r="B331" s="1407"/>
      <c r="C331" s="1408"/>
      <c r="D331" s="1408"/>
      <c r="E331" s="1409"/>
      <c r="F331" s="1135" t="s">
        <v>1146</v>
      </c>
      <c r="G331" s="1364"/>
      <c r="H331" s="115"/>
      <c r="I331" s="1358"/>
      <c r="J331" s="1359"/>
      <c r="K331" s="1360"/>
      <c r="L331" s="115"/>
      <c r="M331" s="1358"/>
      <c r="N331" s="1359"/>
      <c r="O331" s="1360"/>
      <c r="P331" s="115"/>
      <c r="Q331" s="1358"/>
      <c r="R331" s="1359"/>
      <c r="S331" s="1360"/>
      <c r="T331" s="115"/>
      <c r="U331" s="1358"/>
      <c r="V331" s="1359"/>
      <c r="W331" s="1360"/>
      <c r="X331" s="115"/>
      <c r="Y331" s="1029"/>
      <c r="Z331" s="939"/>
      <c r="AA331" s="1054"/>
      <c r="AB331" s="115"/>
      <c r="AC331" s="1029"/>
      <c r="AD331" s="939"/>
      <c r="AE331" s="1030"/>
    </row>
    <row r="332" spans="2:31" ht="12.75" customHeight="1" x14ac:dyDescent="0.25">
      <c r="B332" s="1410"/>
      <c r="C332" s="1411"/>
      <c r="D332" s="1411"/>
      <c r="E332" s="1412"/>
      <c r="F332" s="1135" t="s">
        <v>1148</v>
      </c>
      <c r="G332" s="1364"/>
      <c r="H332" s="115"/>
      <c r="I332" s="1361"/>
      <c r="J332" s="1362"/>
      <c r="K332" s="1363"/>
      <c r="L332" s="115"/>
      <c r="M332" s="1361"/>
      <c r="N332" s="1362"/>
      <c r="O332" s="1363"/>
      <c r="P332" s="115"/>
      <c r="Q332" s="1361"/>
      <c r="R332" s="1362"/>
      <c r="S332" s="1363"/>
      <c r="T332" s="115"/>
      <c r="U332" s="1361"/>
      <c r="V332" s="1362"/>
      <c r="W332" s="1363"/>
      <c r="X332" s="115"/>
      <c r="Y332" s="1031"/>
      <c r="Z332" s="1032"/>
      <c r="AA332" s="1055"/>
      <c r="AB332" s="115"/>
      <c r="AC332" s="1031"/>
      <c r="AD332" s="1032"/>
      <c r="AE332" s="1033"/>
    </row>
    <row r="333" spans="2:31" ht="12.75" customHeight="1" x14ac:dyDescent="0.25">
      <c r="B333" s="463"/>
      <c r="C333" s="78"/>
      <c r="D333" s="78"/>
      <c r="E333" s="78"/>
      <c r="F333" s="78"/>
      <c r="G333" s="78"/>
      <c r="H333" s="78"/>
      <c r="I333" s="78"/>
      <c r="J333" s="78"/>
      <c r="K333" s="78"/>
      <c r="L333" s="78"/>
      <c r="M333" s="78"/>
      <c r="N333" s="78"/>
      <c r="O333" s="78"/>
      <c r="P333" s="78"/>
      <c r="Q333" s="78"/>
      <c r="R333" s="78"/>
      <c r="S333" s="78"/>
      <c r="T333" s="78"/>
      <c r="U333" s="78"/>
      <c r="V333" s="78"/>
      <c r="W333" s="78"/>
      <c r="X333" s="78"/>
      <c r="Y333" s="78"/>
      <c r="Z333" s="78"/>
      <c r="AA333" s="78"/>
      <c r="AB333" s="78"/>
      <c r="AC333" s="78"/>
      <c r="AD333" s="78"/>
      <c r="AE333" s="340"/>
    </row>
    <row r="334" spans="2:31" ht="12.75" customHeight="1" x14ac:dyDescent="0.25">
      <c r="B334" s="1353" t="s">
        <v>38</v>
      </c>
      <c r="C334" s="1336"/>
      <c r="D334" s="4" t="s">
        <v>39</v>
      </c>
      <c r="E334" s="109" t="s">
        <v>424</v>
      </c>
      <c r="F334" s="1354" t="s">
        <v>673</v>
      </c>
      <c r="G334" s="1378"/>
      <c r="H334" s="1048" t="str">
        <f>$H$4</f>
        <v>BOCATOMA</v>
      </c>
      <c r="I334" s="1336"/>
      <c r="J334" s="1421" t="s">
        <v>911</v>
      </c>
      <c r="K334" s="1422"/>
      <c r="L334" s="1048" t="str">
        <f>$L$4</f>
        <v>DESARENADOR</v>
      </c>
      <c r="M334" s="1336"/>
      <c r="N334" s="1337" t="s">
        <v>1172</v>
      </c>
      <c r="O334" s="1337"/>
      <c r="P334" s="1393" t="str">
        <f>$P$4</f>
        <v>PLANTA</v>
      </c>
      <c r="Q334" s="1336"/>
      <c r="R334" s="1337"/>
      <c r="S334" s="1337"/>
      <c r="T334" s="1392" t="s">
        <v>884</v>
      </c>
      <c r="U334" s="1392"/>
      <c r="V334" s="1337"/>
      <c r="W334" s="1337"/>
      <c r="X334" s="1048" t="s">
        <v>1414</v>
      </c>
      <c r="Y334" s="1050"/>
      <c r="Z334" s="1329"/>
      <c r="AA334" s="1050"/>
      <c r="AB334" s="1048" t="s">
        <v>1421</v>
      </c>
      <c r="AC334" s="1050"/>
      <c r="AD334" s="1329"/>
      <c r="AE334" s="1330"/>
    </row>
    <row r="335" spans="2:31" ht="12.75" customHeight="1" x14ac:dyDescent="0.25">
      <c r="B335" s="1350" t="str">
        <f>+'PTO OC PLIEGO'!B84:H84</f>
        <v>GRAVA PARA OPTIMIZACIÓN DE FILTROS 1/8"</v>
      </c>
      <c r="C335" s="1405"/>
      <c r="D335" s="1405"/>
      <c r="E335" s="1406"/>
      <c r="F335" s="1135" t="s">
        <v>201</v>
      </c>
      <c r="G335" s="1364"/>
      <c r="H335" s="113">
        <f>+H336</f>
        <v>0</v>
      </c>
      <c r="I335" s="1331" t="s">
        <v>885</v>
      </c>
      <c r="J335" s="1356"/>
      <c r="K335" s="1357"/>
      <c r="L335" s="113">
        <f>+L336</f>
        <v>0</v>
      </c>
      <c r="M335" s="1331" t="s">
        <v>885</v>
      </c>
      <c r="N335" s="1356"/>
      <c r="O335" s="1357"/>
      <c r="P335" s="113">
        <f>+P336</f>
        <v>151.19999999999999</v>
      </c>
      <c r="Q335" s="1331" t="s">
        <v>885</v>
      </c>
      <c r="R335" s="1356"/>
      <c r="S335" s="1357"/>
      <c r="T335" s="115"/>
      <c r="U335" s="1331" t="s">
        <v>885</v>
      </c>
      <c r="V335" s="1356"/>
      <c r="W335" s="1357"/>
      <c r="X335" s="139"/>
      <c r="Y335" s="1331" t="s">
        <v>885</v>
      </c>
      <c r="Z335" s="1052"/>
      <c r="AA335" s="1053"/>
      <c r="AB335" s="139"/>
      <c r="AC335" s="1331" t="s">
        <v>885</v>
      </c>
      <c r="AD335" s="1052"/>
      <c r="AE335" s="1332"/>
    </row>
    <row r="336" spans="2:31" ht="12.75" customHeight="1" x14ac:dyDescent="0.25">
      <c r="B336" s="1407"/>
      <c r="C336" s="1408"/>
      <c r="D336" s="1408"/>
      <c r="E336" s="1409"/>
      <c r="F336" s="1135" t="s">
        <v>132</v>
      </c>
      <c r="G336" s="1364"/>
      <c r="H336" s="115"/>
      <c r="I336" s="1358"/>
      <c r="J336" s="1359"/>
      <c r="K336" s="1360"/>
      <c r="L336" s="115"/>
      <c r="M336" s="1358"/>
      <c r="N336" s="1359"/>
      <c r="O336" s="1360"/>
      <c r="P336" s="115">
        <v>151.19999999999999</v>
      </c>
      <c r="Q336" s="1358"/>
      <c r="R336" s="1359"/>
      <c r="S336" s="1360"/>
      <c r="T336" s="115"/>
      <c r="U336" s="1358"/>
      <c r="V336" s="1359"/>
      <c r="W336" s="1360"/>
      <c r="X336" s="115"/>
      <c r="Y336" s="1029"/>
      <c r="Z336" s="939"/>
      <c r="AA336" s="1054"/>
      <c r="AB336" s="115"/>
      <c r="AC336" s="1029"/>
      <c r="AD336" s="939"/>
      <c r="AE336" s="1030"/>
    </row>
    <row r="337" spans="2:31" ht="12.75" customHeight="1" x14ac:dyDescent="0.25">
      <c r="B337" s="1407"/>
      <c r="C337" s="1408"/>
      <c r="D337" s="1408"/>
      <c r="E337" s="1409"/>
      <c r="F337" s="1135" t="s">
        <v>674</v>
      </c>
      <c r="G337" s="1364"/>
      <c r="H337" s="115"/>
      <c r="I337" s="1358"/>
      <c r="J337" s="1359"/>
      <c r="K337" s="1360"/>
      <c r="L337" s="115"/>
      <c r="M337" s="1358"/>
      <c r="N337" s="1359"/>
      <c r="O337" s="1360"/>
      <c r="P337" s="115"/>
      <c r="Q337" s="1358"/>
      <c r="R337" s="1359"/>
      <c r="S337" s="1360"/>
      <c r="T337" s="115"/>
      <c r="U337" s="1358"/>
      <c r="V337" s="1359"/>
      <c r="W337" s="1360"/>
      <c r="X337" s="115"/>
      <c r="Y337" s="1029"/>
      <c r="Z337" s="939"/>
      <c r="AA337" s="1054"/>
      <c r="AB337" s="115"/>
      <c r="AC337" s="1029"/>
      <c r="AD337" s="939"/>
      <c r="AE337" s="1030"/>
    </row>
    <row r="338" spans="2:31" ht="12" customHeight="1" x14ac:dyDescent="0.25">
      <c r="B338" s="1407"/>
      <c r="C338" s="1408"/>
      <c r="D338" s="1408"/>
      <c r="E338" s="1409"/>
      <c r="F338" s="1135" t="s">
        <v>675</v>
      </c>
      <c r="G338" s="1364"/>
      <c r="H338" s="115"/>
      <c r="I338" s="1358"/>
      <c r="J338" s="1359"/>
      <c r="K338" s="1360"/>
      <c r="L338" s="115"/>
      <c r="M338" s="1358"/>
      <c r="N338" s="1359"/>
      <c r="O338" s="1360"/>
      <c r="P338" s="115"/>
      <c r="Q338" s="1358"/>
      <c r="R338" s="1359"/>
      <c r="S338" s="1360"/>
      <c r="T338" s="115"/>
      <c r="U338" s="1358"/>
      <c r="V338" s="1359"/>
      <c r="W338" s="1360"/>
      <c r="X338" s="115"/>
      <c r="Y338" s="1029"/>
      <c r="Z338" s="939"/>
      <c r="AA338" s="1054"/>
      <c r="AB338" s="115"/>
      <c r="AC338" s="1029"/>
      <c r="AD338" s="939"/>
      <c r="AE338" s="1030"/>
    </row>
    <row r="339" spans="2:31" ht="12" customHeight="1" x14ac:dyDescent="0.25">
      <c r="B339" s="1407"/>
      <c r="C339" s="1408"/>
      <c r="D339" s="1408"/>
      <c r="E339" s="1409"/>
      <c r="F339" s="1135" t="s">
        <v>676</v>
      </c>
      <c r="G339" s="1364"/>
      <c r="H339" s="115"/>
      <c r="I339" s="1358"/>
      <c r="J339" s="1359"/>
      <c r="K339" s="1360"/>
      <c r="L339" s="115"/>
      <c r="M339" s="1358"/>
      <c r="N339" s="1359"/>
      <c r="O339" s="1360"/>
      <c r="P339" s="115"/>
      <c r="Q339" s="1358"/>
      <c r="R339" s="1359"/>
      <c r="S339" s="1360"/>
      <c r="T339" s="115"/>
      <c r="U339" s="1358"/>
      <c r="V339" s="1359"/>
      <c r="W339" s="1360"/>
      <c r="X339" s="115"/>
      <c r="Y339" s="1029"/>
      <c r="Z339" s="939"/>
      <c r="AA339" s="1054"/>
      <c r="AB339" s="115"/>
      <c r="AC339" s="1029"/>
      <c r="AD339" s="939"/>
      <c r="AE339" s="1030"/>
    </row>
    <row r="340" spans="2:31" ht="12.75" customHeight="1" x14ac:dyDescent="0.25">
      <c r="B340" s="1407"/>
      <c r="C340" s="1408"/>
      <c r="D340" s="1408"/>
      <c r="E340" s="1409"/>
      <c r="F340" s="1135" t="s">
        <v>677</v>
      </c>
      <c r="G340" s="1364"/>
      <c r="H340" s="115"/>
      <c r="I340" s="1358"/>
      <c r="J340" s="1359"/>
      <c r="K340" s="1360"/>
      <c r="L340" s="115"/>
      <c r="M340" s="1358"/>
      <c r="N340" s="1359"/>
      <c r="O340" s="1360"/>
      <c r="P340" s="115"/>
      <c r="Q340" s="1358"/>
      <c r="R340" s="1359"/>
      <c r="S340" s="1360"/>
      <c r="T340" s="115"/>
      <c r="U340" s="1358"/>
      <c r="V340" s="1359"/>
      <c r="W340" s="1360"/>
      <c r="X340" s="115"/>
      <c r="Y340" s="1029"/>
      <c r="Z340" s="939"/>
      <c r="AA340" s="1054"/>
      <c r="AB340" s="115"/>
      <c r="AC340" s="1029"/>
      <c r="AD340" s="939"/>
      <c r="AE340" s="1030"/>
    </row>
    <row r="341" spans="2:31" ht="12.75" customHeight="1" x14ac:dyDescent="0.25">
      <c r="B341" s="1407"/>
      <c r="C341" s="1408"/>
      <c r="D341" s="1408"/>
      <c r="E341" s="1409"/>
      <c r="F341" s="1135" t="s">
        <v>678</v>
      </c>
      <c r="G341" s="1364"/>
      <c r="H341" s="115"/>
      <c r="I341" s="1358"/>
      <c r="J341" s="1359"/>
      <c r="K341" s="1360"/>
      <c r="L341" s="115"/>
      <c r="M341" s="1358"/>
      <c r="N341" s="1359"/>
      <c r="O341" s="1360"/>
      <c r="P341" s="115"/>
      <c r="Q341" s="1358"/>
      <c r="R341" s="1359"/>
      <c r="S341" s="1360"/>
      <c r="T341" s="115"/>
      <c r="U341" s="1358"/>
      <c r="V341" s="1359"/>
      <c r="W341" s="1360"/>
      <c r="X341" s="115"/>
      <c r="Y341" s="1029"/>
      <c r="Z341" s="939"/>
      <c r="AA341" s="1054"/>
      <c r="AB341" s="115"/>
      <c r="AC341" s="1029"/>
      <c r="AD341" s="939"/>
      <c r="AE341" s="1030"/>
    </row>
    <row r="342" spans="2:31" ht="12.75" customHeight="1" x14ac:dyDescent="0.25">
      <c r="B342" s="1407"/>
      <c r="C342" s="1408"/>
      <c r="D342" s="1408"/>
      <c r="E342" s="1409"/>
      <c r="F342" s="1135" t="s">
        <v>1146</v>
      </c>
      <c r="G342" s="1364"/>
      <c r="H342" s="115"/>
      <c r="I342" s="1358"/>
      <c r="J342" s="1359"/>
      <c r="K342" s="1360"/>
      <c r="L342" s="115"/>
      <c r="M342" s="1358"/>
      <c r="N342" s="1359"/>
      <c r="O342" s="1360"/>
      <c r="P342" s="115"/>
      <c r="Q342" s="1358"/>
      <c r="R342" s="1359"/>
      <c r="S342" s="1360"/>
      <c r="T342" s="115"/>
      <c r="U342" s="1358"/>
      <c r="V342" s="1359"/>
      <c r="W342" s="1360"/>
      <c r="X342" s="115"/>
      <c r="Y342" s="1029"/>
      <c r="Z342" s="939"/>
      <c r="AA342" s="1054"/>
      <c r="AB342" s="115"/>
      <c r="AC342" s="1029"/>
      <c r="AD342" s="939"/>
      <c r="AE342" s="1030"/>
    </row>
    <row r="343" spans="2:31" ht="12.75" customHeight="1" x14ac:dyDescent="0.25">
      <c r="B343" s="1410"/>
      <c r="C343" s="1411"/>
      <c r="D343" s="1411"/>
      <c r="E343" s="1412"/>
      <c r="F343" s="1135" t="s">
        <v>1148</v>
      </c>
      <c r="G343" s="1364"/>
      <c r="H343" s="115"/>
      <c r="I343" s="1361"/>
      <c r="J343" s="1362"/>
      <c r="K343" s="1363"/>
      <c r="L343" s="115"/>
      <c r="M343" s="1361"/>
      <c r="N343" s="1362"/>
      <c r="O343" s="1363"/>
      <c r="P343" s="115"/>
      <c r="Q343" s="1361"/>
      <c r="R343" s="1362"/>
      <c r="S343" s="1363"/>
      <c r="T343" s="115"/>
      <c r="U343" s="1361"/>
      <c r="V343" s="1362"/>
      <c r="W343" s="1363"/>
      <c r="X343" s="115"/>
      <c r="Y343" s="1031"/>
      <c r="Z343" s="1032"/>
      <c r="AA343" s="1055"/>
      <c r="AB343" s="115"/>
      <c r="AC343" s="1031"/>
      <c r="AD343" s="1032"/>
      <c r="AE343" s="1033"/>
    </row>
    <row r="344" spans="2:31" ht="12.75" customHeight="1" x14ac:dyDescent="0.25">
      <c r="B344" s="463"/>
      <c r="C344" s="78"/>
      <c r="D344" s="78"/>
      <c r="E344" s="78"/>
      <c r="F344" s="78"/>
      <c r="G344" s="78"/>
      <c r="H344" s="78"/>
      <c r="I344" s="78"/>
      <c r="J344" s="78"/>
      <c r="K344" s="78"/>
      <c r="L344" s="78"/>
      <c r="M344" s="78"/>
      <c r="N344" s="78"/>
      <c r="O344" s="78"/>
      <c r="P344" s="78"/>
      <c r="Q344" s="78"/>
      <c r="R344" s="78"/>
      <c r="S344" s="78"/>
      <c r="T344" s="78"/>
      <c r="U344" s="78"/>
      <c r="V344" s="78"/>
      <c r="W344" s="78"/>
      <c r="X344" s="78"/>
      <c r="Y344" s="78"/>
      <c r="Z344" s="78"/>
      <c r="AA344" s="78"/>
      <c r="AB344" s="78"/>
      <c r="AC344" s="78"/>
      <c r="AD344" s="78"/>
      <c r="AE344" s="340"/>
    </row>
    <row r="345" spans="2:31" customFormat="1" ht="12.75" customHeight="1" x14ac:dyDescent="0.25">
      <c r="B345" s="463"/>
      <c r="C345" s="78"/>
      <c r="D345" s="78"/>
      <c r="E345" s="78"/>
      <c r="F345" s="78"/>
      <c r="G345" s="78"/>
      <c r="H345" s="78"/>
      <c r="I345" s="78"/>
      <c r="J345" s="78"/>
      <c r="K345" s="78"/>
      <c r="L345" s="78"/>
      <c r="M345" s="78"/>
      <c r="N345" s="78"/>
      <c r="O345" s="78"/>
      <c r="P345" s="78"/>
      <c r="Q345" s="78"/>
      <c r="R345" s="78"/>
      <c r="S345" s="78"/>
      <c r="T345" s="78"/>
      <c r="U345" s="78"/>
      <c r="V345" s="78"/>
      <c r="W345" s="78"/>
      <c r="X345" s="78"/>
      <c r="Y345" s="78"/>
      <c r="Z345" s="78"/>
      <c r="AA345" s="78"/>
      <c r="AB345" s="76"/>
      <c r="AC345" s="76"/>
      <c r="AD345" s="76"/>
      <c r="AE345" s="338"/>
    </row>
    <row r="346" spans="2:31" customFormat="1" ht="12.75" customHeight="1" x14ac:dyDescent="0.25">
      <c r="B346" s="1353" t="s">
        <v>38</v>
      </c>
      <c r="C346" s="1049"/>
      <c r="D346" s="4" t="s">
        <v>39</v>
      </c>
      <c r="E346" s="109" t="s">
        <v>424</v>
      </c>
      <c r="F346" s="1354" t="s">
        <v>673</v>
      </c>
      <c r="G346" s="1055"/>
      <c r="H346" s="1048" t="str">
        <f>$H$4</f>
        <v>BOCATOMA</v>
      </c>
      <c r="I346" s="1049"/>
      <c r="J346" s="1355"/>
      <c r="K346" s="1050"/>
      <c r="L346" s="1048" t="str">
        <f>$L$4</f>
        <v>DESARENADOR</v>
      </c>
      <c r="M346" s="1049"/>
      <c r="N346" s="1329" t="s">
        <v>1163</v>
      </c>
      <c r="O346" s="1050"/>
      <c r="P346" s="1048" t="str">
        <f>$P$4</f>
        <v>PLANTA</v>
      </c>
      <c r="Q346" s="1049"/>
      <c r="R346" s="1329"/>
      <c r="S346" s="1050"/>
      <c r="T346" s="1048" t="s">
        <v>884</v>
      </c>
      <c r="U346" s="1050"/>
      <c r="V346" s="1329" t="s">
        <v>1206</v>
      </c>
      <c r="W346" s="1050"/>
      <c r="X346" s="1048" t="s">
        <v>1414</v>
      </c>
      <c r="Y346" s="1050"/>
      <c r="Z346" s="1329"/>
      <c r="AA346" s="1050"/>
      <c r="AB346" s="1048" t="s">
        <v>1421</v>
      </c>
      <c r="AC346" s="1050"/>
      <c r="AD346" s="1329"/>
      <c r="AE346" s="1330"/>
    </row>
    <row r="347" spans="2:31" customFormat="1" ht="12.75" customHeight="1" x14ac:dyDescent="0.2">
      <c r="B347" s="1350" t="str">
        <f>+'PTO OC PLIEGO'!B85:H85</f>
        <v>GRAVA PARA OPTIMIZACIÓN DE FILTROS 1/2"</v>
      </c>
      <c r="C347" s="1052"/>
      <c r="D347" s="1052"/>
      <c r="E347" s="1053"/>
      <c r="F347" s="1135" t="s">
        <v>201</v>
      </c>
      <c r="G347" s="1050"/>
      <c r="H347" s="139"/>
      <c r="I347" s="1331" t="s">
        <v>885</v>
      </c>
      <c r="J347" s="1052"/>
      <c r="K347" s="1053"/>
      <c r="L347" s="139">
        <f>+L348</f>
        <v>2</v>
      </c>
      <c r="M347" s="1331" t="s">
        <v>885</v>
      </c>
      <c r="N347" s="1356"/>
      <c r="O347" s="1357"/>
      <c r="P347" s="113">
        <f>+P348</f>
        <v>151.19999999999999</v>
      </c>
      <c r="Q347" s="1331" t="s">
        <v>885</v>
      </c>
      <c r="R347" s="1052"/>
      <c r="S347" s="1053"/>
      <c r="T347" s="139">
        <f>+T348</f>
        <v>2</v>
      </c>
      <c r="U347" s="1331" t="s">
        <v>885</v>
      </c>
      <c r="V347" s="1052"/>
      <c r="W347" s="1053"/>
      <c r="X347" s="139"/>
      <c r="Y347" s="1331" t="s">
        <v>885</v>
      </c>
      <c r="Z347" s="1052"/>
      <c r="AA347" s="1053"/>
      <c r="AB347" s="139"/>
      <c r="AC347" s="1331" t="s">
        <v>885</v>
      </c>
      <c r="AD347" s="1052"/>
      <c r="AE347" s="1332"/>
    </row>
    <row r="348" spans="2:31" customFormat="1" ht="12.75" customHeight="1" x14ac:dyDescent="0.2">
      <c r="B348" s="1351"/>
      <c r="C348" s="939"/>
      <c r="D348" s="939"/>
      <c r="E348" s="1054"/>
      <c r="F348" s="1135" t="s">
        <v>132</v>
      </c>
      <c r="G348" s="1050"/>
      <c r="H348" s="115"/>
      <c r="I348" s="1029"/>
      <c r="J348" s="939"/>
      <c r="K348" s="1054"/>
      <c r="L348" s="115">
        <v>2</v>
      </c>
      <c r="M348" s="1358"/>
      <c r="N348" s="1359"/>
      <c r="O348" s="1360"/>
      <c r="P348" s="115">
        <v>151.19999999999999</v>
      </c>
      <c r="Q348" s="1029"/>
      <c r="R348" s="939"/>
      <c r="S348" s="1054"/>
      <c r="T348" s="115">
        <v>2</v>
      </c>
      <c r="U348" s="1029"/>
      <c r="V348" s="939"/>
      <c r="W348" s="1054"/>
      <c r="X348" s="115"/>
      <c r="Y348" s="1029"/>
      <c r="Z348" s="939"/>
      <c r="AA348" s="1054"/>
      <c r="AB348" s="115"/>
      <c r="AC348" s="1029"/>
      <c r="AD348" s="939"/>
      <c r="AE348" s="1030"/>
    </row>
    <row r="349" spans="2:31" customFormat="1" ht="12.75" customHeight="1" x14ac:dyDescent="0.2">
      <c r="B349" s="1351"/>
      <c r="C349" s="939"/>
      <c r="D349" s="939"/>
      <c r="E349" s="1054"/>
      <c r="F349" s="1135" t="s">
        <v>674</v>
      </c>
      <c r="G349" s="1050"/>
      <c r="H349" s="115"/>
      <c r="I349" s="1029"/>
      <c r="J349" s="939"/>
      <c r="K349" s="1054"/>
      <c r="L349" s="115"/>
      <c r="M349" s="1358"/>
      <c r="N349" s="1359"/>
      <c r="O349" s="1360"/>
      <c r="P349" s="115"/>
      <c r="Q349" s="1029"/>
      <c r="R349" s="939"/>
      <c r="S349" s="1054"/>
      <c r="T349" s="115"/>
      <c r="U349" s="1029"/>
      <c r="V349" s="939"/>
      <c r="W349" s="1054"/>
      <c r="X349" s="115"/>
      <c r="Y349" s="1029"/>
      <c r="Z349" s="939"/>
      <c r="AA349" s="1054"/>
      <c r="AB349" s="115"/>
      <c r="AC349" s="1029"/>
      <c r="AD349" s="939"/>
      <c r="AE349" s="1030"/>
    </row>
    <row r="350" spans="2:31" customFormat="1" ht="12.75" customHeight="1" x14ac:dyDescent="0.2">
      <c r="B350" s="1351"/>
      <c r="C350" s="939"/>
      <c r="D350" s="939"/>
      <c r="E350" s="1054"/>
      <c r="F350" s="1135" t="s">
        <v>675</v>
      </c>
      <c r="G350" s="1050"/>
      <c r="H350" s="115"/>
      <c r="I350" s="1029"/>
      <c r="J350" s="939"/>
      <c r="K350" s="1054"/>
      <c r="L350" s="115"/>
      <c r="M350" s="1358"/>
      <c r="N350" s="1359"/>
      <c r="O350" s="1360"/>
      <c r="P350" s="115"/>
      <c r="Q350" s="1029"/>
      <c r="R350" s="939"/>
      <c r="S350" s="1054"/>
      <c r="T350" s="115"/>
      <c r="U350" s="1029"/>
      <c r="V350" s="939"/>
      <c r="W350" s="1054"/>
      <c r="X350" s="115"/>
      <c r="Y350" s="1029"/>
      <c r="Z350" s="939"/>
      <c r="AA350" s="1054"/>
      <c r="AB350" s="115"/>
      <c r="AC350" s="1029"/>
      <c r="AD350" s="939"/>
      <c r="AE350" s="1030"/>
    </row>
    <row r="351" spans="2:31" customFormat="1" ht="12.75" customHeight="1" x14ac:dyDescent="0.2">
      <c r="B351" s="1351"/>
      <c r="C351" s="939"/>
      <c r="D351" s="939"/>
      <c r="E351" s="1054"/>
      <c r="F351" s="1135" t="s">
        <v>676</v>
      </c>
      <c r="G351" s="1050"/>
      <c r="H351" s="115"/>
      <c r="I351" s="1029"/>
      <c r="J351" s="939"/>
      <c r="K351" s="1054"/>
      <c r="L351" s="115"/>
      <c r="M351" s="1358"/>
      <c r="N351" s="1359"/>
      <c r="O351" s="1360"/>
      <c r="P351" s="115"/>
      <c r="Q351" s="1029"/>
      <c r="R351" s="939"/>
      <c r="S351" s="1054"/>
      <c r="T351" s="115"/>
      <c r="U351" s="1029"/>
      <c r="V351" s="939"/>
      <c r="W351" s="1054"/>
      <c r="X351" s="115"/>
      <c r="Y351" s="1029"/>
      <c r="Z351" s="939"/>
      <c r="AA351" s="1054"/>
      <c r="AB351" s="115"/>
      <c r="AC351" s="1029"/>
      <c r="AD351" s="939"/>
      <c r="AE351" s="1030"/>
    </row>
    <row r="352" spans="2:31" customFormat="1" ht="12.75" customHeight="1" x14ac:dyDescent="0.2">
      <c r="B352" s="1351"/>
      <c r="C352" s="939"/>
      <c r="D352" s="939"/>
      <c r="E352" s="1054"/>
      <c r="F352" s="1135" t="s">
        <v>677</v>
      </c>
      <c r="G352" s="1050"/>
      <c r="H352" s="115"/>
      <c r="I352" s="1029"/>
      <c r="J352" s="939"/>
      <c r="K352" s="1054"/>
      <c r="L352" s="115"/>
      <c r="M352" s="1358"/>
      <c r="N352" s="1359"/>
      <c r="O352" s="1360"/>
      <c r="P352" s="115"/>
      <c r="Q352" s="1029"/>
      <c r="R352" s="939"/>
      <c r="S352" s="1054"/>
      <c r="T352" s="115"/>
      <c r="U352" s="1029"/>
      <c r="V352" s="939"/>
      <c r="W352" s="1054"/>
      <c r="X352" s="115"/>
      <c r="Y352" s="1029"/>
      <c r="Z352" s="939"/>
      <c r="AA352" s="1054"/>
      <c r="AB352" s="115"/>
      <c r="AC352" s="1029"/>
      <c r="AD352" s="939"/>
      <c r="AE352" s="1030"/>
    </row>
    <row r="353" spans="2:31" customFormat="1" ht="12.75" customHeight="1" x14ac:dyDescent="0.2">
      <c r="B353" s="1351"/>
      <c r="C353" s="939"/>
      <c r="D353" s="939"/>
      <c r="E353" s="1054"/>
      <c r="F353" s="1135" t="s">
        <v>678</v>
      </c>
      <c r="G353" s="1050"/>
      <c r="H353" s="115"/>
      <c r="I353" s="1029"/>
      <c r="J353" s="939"/>
      <c r="K353" s="1054"/>
      <c r="L353" s="115"/>
      <c r="M353" s="1358"/>
      <c r="N353" s="1359"/>
      <c r="O353" s="1360"/>
      <c r="P353" s="115"/>
      <c r="Q353" s="1029"/>
      <c r="R353" s="939"/>
      <c r="S353" s="1054"/>
      <c r="T353" s="115"/>
      <c r="U353" s="1029"/>
      <c r="V353" s="939"/>
      <c r="W353" s="1054"/>
      <c r="X353" s="115"/>
      <c r="Y353" s="1029"/>
      <c r="Z353" s="939"/>
      <c r="AA353" s="1054"/>
      <c r="AB353" s="115"/>
      <c r="AC353" s="1029"/>
      <c r="AD353" s="939"/>
      <c r="AE353" s="1030"/>
    </row>
    <row r="354" spans="2:31" customFormat="1" ht="12.75" customHeight="1" x14ac:dyDescent="0.2">
      <c r="B354" s="1351"/>
      <c r="C354" s="939"/>
      <c r="D354" s="939"/>
      <c r="E354" s="1054"/>
      <c r="F354" s="1135" t="s">
        <v>679</v>
      </c>
      <c r="G354" s="1050"/>
      <c r="H354" s="115"/>
      <c r="I354" s="1029"/>
      <c r="J354" s="939"/>
      <c r="K354" s="1054"/>
      <c r="L354" s="115"/>
      <c r="M354" s="1358"/>
      <c r="N354" s="1359"/>
      <c r="O354" s="1360"/>
      <c r="P354" s="115"/>
      <c r="Q354" s="1029"/>
      <c r="R354" s="939"/>
      <c r="S354" s="1054"/>
      <c r="T354" s="115"/>
      <c r="U354" s="1029"/>
      <c r="V354" s="939"/>
      <c r="W354" s="1054"/>
      <c r="X354" s="115"/>
      <c r="Y354" s="1029"/>
      <c r="Z354" s="939"/>
      <c r="AA354" s="1054"/>
      <c r="AB354" s="115"/>
      <c r="AC354" s="1029"/>
      <c r="AD354" s="939"/>
      <c r="AE354" s="1030"/>
    </row>
    <row r="355" spans="2:31" customFormat="1" ht="12.75" customHeight="1" x14ac:dyDescent="0.2">
      <c r="B355" s="1352"/>
      <c r="C355" s="1032"/>
      <c r="D355" s="1032"/>
      <c r="E355" s="1055"/>
      <c r="F355" s="1135" t="s">
        <v>680</v>
      </c>
      <c r="G355" s="1050"/>
      <c r="H355" s="115"/>
      <c r="I355" s="1031"/>
      <c r="J355" s="1032"/>
      <c r="K355" s="1055"/>
      <c r="L355" s="115"/>
      <c r="M355" s="1361"/>
      <c r="N355" s="1362"/>
      <c r="O355" s="1363"/>
      <c r="P355" s="115"/>
      <c r="Q355" s="1031"/>
      <c r="R355" s="1032"/>
      <c r="S355" s="1055"/>
      <c r="T355" s="115"/>
      <c r="U355" s="1031"/>
      <c r="V355" s="1032"/>
      <c r="W355" s="1055"/>
      <c r="X355" s="115"/>
      <c r="Y355" s="1031"/>
      <c r="Z355" s="1032"/>
      <c r="AA355" s="1055"/>
      <c r="AB355" s="115"/>
      <c r="AC355" s="1031"/>
      <c r="AD355" s="1032"/>
      <c r="AE355" s="1033"/>
    </row>
    <row r="356" spans="2:31" customFormat="1" ht="12.75" customHeight="1" x14ac:dyDescent="0.25">
      <c r="B356" s="463"/>
      <c r="C356" s="78"/>
      <c r="D356" s="78"/>
      <c r="E356" s="78"/>
      <c r="F356" s="78"/>
      <c r="G356" s="78"/>
      <c r="H356" s="78"/>
      <c r="I356" s="78"/>
      <c r="J356" s="78"/>
      <c r="K356" s="78"/>
      <c r="L356" s="78"/>
      <c r="M356" s="78"/>
      <c r="N356" s="78"/>
      <c r="O356" s="78"/>
      <c r="P356" s="78"/>
      <c r="Q356" s="78"/>
      <c r="R356" s="78"/>
      <c r="S356" s="78"/>
      <c r="T356" s="78"/>
      <c r="U356" s="78"/>
      <c r="V356" s="78"/>
      <c r="W356" s="78"/>
      <c r="X356" s="78"/>
      <c r="Y356" s="78"/>
      <c r="Z356" s="78"/>
      <c r="AA356" s="78"/>
      <c r="AB356" s="78"/>
      <c r="AC356" s="78"/>
      <c r="AD356" s="78"/>
      <c r="AE356" s="340"/>
    </row>
    <row r="357" spans="2:31" customFormat="1" ht="12.75" customHeight="1" x14ac:dyDescent="0.25">
      <c r="B357" s="1353" t="s">
        <v>38</v>
      </c>
      <c r="C357" s="1049"/>
      <c r="D357" s="4" t="s">
        <v>39</v>
      </c>
      <c r="E357" s="109" t="s">
        <v>424</v>
      </c>
      <c r="F357" s="1354" t="s">
        <v>673</v>
      </c>
      <c r="G357" s="1055"/>
      <c r="H357" s="1048" t="str">
        <f>$H$4</f>
        <v>BOCATOMA</v>
      </c>
      <c r="I357" s="1049"/>
      <c r="J357" s="1355"/>
      <c r="K357" s="1050"/>
      <c r="L357" s="1048" t="str">
        <f>$L$4</f>
        <v>DESARENADOR</v>
      </c>
      <c r="M357" s="1049"/>
      <c r="N357" s="1329" t="s">
        <v>1164</v>
      </c>
      <c r="O357" s="1050"/>
      <c r="P357" s="1048" t="str">
        <f>$P$4</f>
        <v>PLANTA</v>
      </c>
      <c r="Q357" s="1049"/>
      <c r="R357" s="1329"/>
      <c r="S357" s="1050"/>
      <c r="T357" s="1048" t="s">
        <v>884</v>
      </c>
      <c r="U357" s="1050"/>
      <c r="V357" s="1329"/>
      <c r="W357" s="1050"/>
      <c r="X357" s="1048" t="s">
        <v>1414</v>
      </c>
      <c r="Y357" s="1050"/>
      <c r="Z357" s="1329"/>
      <c r="AA357" s="1050"/>
      <c r="AB357" s="1048" t="s">
        <v>1421</v>
      </c>
      <c r="AC357" s="1050"/>
      <c r="AD357" s="1329"/>
      <c r="AE357" s="1330"/>
    </row>
    <row r="358" spans="2:31" customFormat="1" ht="12.75" customHeight="1" x14ac:dyDescent="0.2">
      <c r="B358" s="1350" t="str">
        <f>+'PTO OC PLIEGO'!B86:H86</f>
        <v>GRAVA PARA OPTIMIZACIÓN DE FILTROS 1"</v>
      </c>
      <c r="C358" s="1052"/>
      <c r="D358" s="1052"/>
      <c r="E358" s="1053"/>
      <c r="F358" s="1135" t="s">
        <v>201</v>
      </c>
      <c r="G358" s="1050"/>
      <c r="H358" s="139"/>
      <c r="I358" s="1331" t="s">
        <v>885</v>
      </c>
      <c r="J358" s="1052"/>
      <c r="K358" s="1053"/>
      <c r="L358" s="139">
        <f>+L359</f>
        <v>1</v>
      </c>
      <c r="M358" s="1331" t="s">
        <v>885</v>
      </c>
      <c r="N358" s="1356"/>
      <c r="O358" s="1357"/>
      <c r="P358" s="139">
        <f>+P359</f>
        <v>151.19999999999999</v>
      </c>
      <c r="Q358" s="1331" t="s">
        <v>885</v>
      </c>
      <c r="R358" s="1052"/>
      <c r="S358" s="1053"/>
      <c r="T358" s="115"/>
      <c r="U358" s="1331" t="s">
        <v>885</v>
      </c>
      <c r="V358" s="1052"/>
      <c r="W358" s="1053"/>
      <c r="X358" s="139"/>
      <c r="Y358" s="1331" t="s">
        <v>885</v>
      </c>
      <c r="Z358" s="1052"/>
      <c r="AA358" s="1053"/>
      <c r="AB358" s="139"/>
      <c r="AC358" s="1331" t="s">
        <v>885</v>
      </c>
      <c r="AD358" s="1052"/>
      <c r="AE358" s="1332"/>
    </row>
    <row r="359" spans="2:31" customFormat="1" ht="12.75" customHeight="1" x14ac:dyDescent="0.2">
      <c r="B359" s="1351"/>
      <c r="C359" s="939"/>
      <c r="D359" s="939"/>
      <c r="E359" s="1054"/>
      <c r="F359" s="1135" t="s">
        <v>132</v>
      </c>
      <c r="G359" s="1050"/>
      <c r="H359" s="115"/>
      <c r="I359" s="1029"/>
      <c r="J359" s="939"/>
      <c r="K359" s="1054"/>
      <c r="L359" s="115">
        <v>1</v>
      </c>
      <c r="M359" s="1358"/>
      <c r="N359" s="1359"/>
      <c r="O359" s="1360"/>
      <c r="P359" s="115">
        <v>151.19999999999999</v>
      </c>
      <c r="Q359" s="1029"/>
      <c r="R359" s="939"/>
      <c r="S359" s="1054"/>
      <c r="T359" s="115"/>
      <c r="U359" s="1029"/>
      <c r="V359" s="939"/>
      <c r="W359" s="1054"/>
      <c r="X359" s="115"/>
      <c r="Y359" s="1029"/>
      <c r="Z359" s="939"/>
      <c r="AA359" s="1054"/>
      <c r="AB359" s="115"/>
      <c r="AC359" s="1029"/>
      <c r="AD359" s="939"/>
      <c r="AE359" s="1030"/>
    </row>
    <row r="360" spans="2:31" customFormat="1" ht="12.75" customHeight="1" x14ac:dyDescent="0.2">
      <c r="B360" s="1351"/>
      <c r="C360" s="939"/>
      <c r="D360" s="939"/>
      <c r="E360" s="1054"/>
      <c r="F360" s="1135" t="s">
        <v>674</v>
      </c>
      <c r="G360" s="1050"/>
      <c r="H360" s="115"/>
      <c r="I360" s="1029"/>
      <c r="J360" s="939"/>
      <c r="K360" s="1054"/>
      <c r="L360" s="115"/>
      <c r="M360" s="1358"/>
      <c r="N360" s="1359"/>
      <c r="O360" s="1360"/>
      <c r="P360" s="115"/>
      <c r="Q360" s="1029"/>
      <c r="R360" s="939"/>
      <c r="S360" s="1054"/>
      <c r="T360" s="115"/>
      <c r="U360" s="1029"/>
      <c r="V360" s="939"/>
      <c r="W360" s="1054"/>
      <c r="X360" s="115"/>
      <c r="Y360" s="1029"/>
      <c r="Z360" s="939"/>
      <c r="AA360" s="1054"/>
      <c r="AB360" s="115"/>
      <c r="AC360" s="1029"/>
      <c r="AD360" s="939"/>
      <c r="AE360" s="1030"/>
    </row>
    <row r="361" spans="2:31" customFormat="1" ht="12.75" customHeight="1" x14ac:dyDescent="0.2">
      <c r="B361" s="1351"/>
      <c r="C361" s="939"/>
      <c r="D361" s="939"/>
      <c r="E361" s="1054"/>
      <c r="F361" s="1135" t="s">
        <v>687</v>
      </c>
      <c r="G361" s="1050"/>
      <c r="H361" s="115"/>
      <c r="I361" s="1029"/>
      <c r="J361" s="939"/>
      <c r="K361" s="1054"/>
      <c r="L361" s="115"/>
      <c r="M361" s="1358"/>
      <c r="N361" s="1359"/>
      <c r="O361" s="1360"/>
      <c r="P361" s="115"/>
      <c r="Q361" s="1029"/>
      <c r="R361" s="939"/>
      <c r="S361" s="1054"/>
      <c r="T361" s="115"/>
      <c r="U361" s="1029"/>
      <c r="V361" s="939"/>
      <c r="W361" s="1054"/>
      <c r="X361" s="115"/>
      <c r="Y361" s="1029"/>
      <c r="Z361" s="939"/>
      <c r="AA361" s="1054"/>
      <c r="AB361" s="115"/>
      <c r="AC361" s="1029"/>
      <c r="AD361" s="939"/>
      <c r="AE361" s="1030"/>
    </row>
    <row r="362" spans="2:31" customFormat="1" ht="12.75" customHeight="1" x14ac:dyDescent="0.2">
      <c r="B362" s="1351"/>
      <c r="C362" s="939"/>
      <c r="D362" s="939"/>
      <c r="E362" s="1054"/>
      <c r="F362" s="1135" t="s">
        <v>676</v>
      </c>
      <c r="G362" s="1050"/>
      <c r="H362" s="115"/>
      <c r="I362" s="1029"/>
      <c r="J362" s="939"/>
      <c r="K362" s="1054"/>
      <c r="L362" s="115"/>
      <c r="M362" s="1358"/>
      <c r="N362" s="1359"/>
      <c r="O362" s="1360"/>
      <c r="P362" s="115"/>
      <c r="Q362" s="1029"/>
      <c r="R362" s="939"/>
      <c r="S362" s="1054"/>
      <c r="T362" s="115"/>
      <c r="U362" s="1029"/>
      <c r="V362" s="939"/>
      <c r="W362" s="1054"/>
      <c r="X362" s="115"/>
      <c r="Y362" s="1029"/>
      <c r="Z362" s="939"/>
      <c r="AA362" s="1054"/>
      <c r="AB362" s="115"/>
      <c r="AC362" s="1029"/>
      <c r="AD362" s="939"/>
      <c r="AE362" s="1030"/>
    </row>
    <row r="363" spans="2:31" customFormat="1" ht="12.75" customHeight="1" x14ac:dyDescent="0.2">
      <c r="B363" s="1351"/>
      <c r="C363" s="939"/>
      <c r="D363" s="939"/>
      <c r="E363" s="1054"/>
      <c r="F363" s="1135" t="s">
        <v>677</v>
      </c>
      <c r="G363" s="1050"/>
      <c r="H363" s="115"/>
      <c r="I363" s="1029"/>
      <c r="J363" s="939"/>
      <c r="K363" s="1054"/>
      <c r="L363" s="115"/>
      <c r="M363" s="1358"/>
      <c r="N363" s="1359"/>
      <c r="O363" s="1360"/>
      <c r="P363" s="115"/>
      <c r="Q363" s="1029"/>
      <c r="R363" s="939"/>
      <c r="S363" s="1054"/>
      <c r="T363" s="115"/>
      <c r="U363" s="1029"/>
      <c r="V363" s="939"/>
      <c r="W363" s="1054"/>
      <c r="X363" s="115"/>
      <c r="Y363" s="1029"/>
      <c r="Z363" s="939"/>
      <c r="AA363" s="1054"/>
      <c r="AB363" s="115"/>
      <c r="AC363" s="1029"/>
      <c r="AD363" s="939"/>
      <c r="AE363" s="1030"/>
    </row>
    <row r="364" spans="2:31" customFormat="1" ht="12.75" customHeight="1" x14ac:dyDescent="0.2">
      <c r="B364" s="1351"/>
      <c r="C364" s="939"/>
      <c r="D364" s="939"/>
      <c r="E364" s="1054"/>
      <c r="F364" s="1135" t="s">
        <v>678</v>
      </c>
      <c r="G364" s="1050"/>
      <c r="H364" s="115"/>
      <c r="I364" s="1029"/>
      <c r="J364" s="939"/>
      <c r="K364" s="1054"/>
      <c r="L364" s="115"/>
      <c r="M364" s="1358"/>
      <c r="N364" s="1359"/>
      <c r="O364" s="1360"/>
      <c r="P364" s="115"/>
      <c r="Q364" s="1029"/>
      <c r="R364" s="939"/>
      <c r="S364" s="1054"/>
      <c r="T364" s="115"/>
      <c r="U364" s="1029"/>
      <c r="V364" s="939"/>
      <c r="W364" s="1054"/>
      <c r="X364" s="115"/>
      <c r="Y364" s="1029"/>
      <c r="Z364" s="939"/>
      <c r="AA364" s="1054"/>
      <c r="AB364" s="115"/>
      <c r="AC364" s="1029"/>
      <c r="AD364" s="939"/>
      <c r="AE364" s="1030"/>
    </row>
    <row r="365" spans="2:31" customFormat="1" ht="12.75" customHeight="1" x14ac:dyDescent="0.2">
      <c r="B365" s="1351"/>
      <c r="C365" s="939"/>
      <c r="D365" s="939"/>
      <c r="E365" s="1054"/>
      <c r="F365" s="1135" t="s">
        <v>679</v>
      </c>
      <c r="G365" s="1050"/>
      <c r="H365" s="115"/>
      <c r="I365" s="1029"/>
      <c r="J365" s="939"/>
      <c r="K365" s="1054"/>
      <c r="L365" s="115"/>
      <c r="M365" s="1358"/>
      <c r="N365" s="1359"/>
      <c r="O365" s="1360"/>
      <c r="P365" s="115"/>
      <c r="Q365" s="1029"/>
      <c r="R365" s="939"/>
      <c r="S365" s="1054"/>
      <c r="T365" s="115"/>
      <c r="U365" s="1029"/>
      <c r="V365" s="939"/>
      <c r="W365" s="1054"/>
      <c r="X365" s="115"/>
      <c r="Y365" s="1029"/>
      <c r="Z365" s="939"/>
      <c r="AA365" s="1054"/>
      <c r="AB365" s="115"/>
      <c r="AC365" s="1029"/>
      <c r="AD365" s="939"/>
      <c r="AE365" s="1030"/>
    </row>
    <row r="366" spans="2:31" customFormat="1" ht="12.75" customHeight="1" x14ac:dyDescent="0.2">
      <c r="B366" s="1352"/>
      <c r="C366" s="1032"/>
      <c r="D366" s="1032"/>
      <c r="E366" s="1055"/>
      <c r="F366" s="1135" t="s">
        <v>680</v>
      </c>
      <c r="G366" s="1050"/>
      <c r="H366" s="115"/>
      <c r="I366" s="1031"/>
      <c r="J366" s="1032"/>
      <c r="K366" s="1055"/>
      <c r="L366" s="115"/>
      <c r="M366" s="1361"/>
      <c r="N366" s="1362"/>
      <c r="O366" s="1363"/>
      <c r="P366" s="115"/>
      <c r="Q366" s="1031"/>
      <c r="R366" s="1032"/>
      <c r="S366" s="1055"/>
      <c r="T366" s="115"/>
      <c r="U366" s="1031"/>
      <c r="V366" s="1032"/>
      <c r="W366" s="1055"/>
      <c r="X366" s="115"/>
      <c r="Y366" s="1031"/>
      <c r="Z366" s="1032"/>
      <c r="AA366" s="1055"/>
      <c r="AB366" s="115"/>
      <c r="AC366" s="1031"/>
      <c r="AD366" s="1032"/>
      <c r="AE366" s="1033"/>
    </row>
    <row r="367" spans="2:31" customFormat="1" ht="12.75" customHeight="1" x14ac:dyDescent="0.25">
      <c r="B367" s="463"/>
      <c r="C367" s="78"/>
      <c r="D367" s="78"/>
      <c r="E367" s="78"/>
      <c r="F367" s="78"/>
      <c r="G367" s="78"/>
      <c r="H367" s="78"/>
      <c r="I367" s="78"/>
      <c r="J367" s="78"/>
      <c r="K367" s="78"/>
      <c r="L367" s="78"/>
      <c r="M367" s="78"/>
      <c r="N367" s="78"/>
      <c r="O367" s="78"/>
      <c r="P367" s="78"/>
      <c r="Q367" s="78"/>
      <c r="R367" s="78"/>
      <c r="S367" s="78"/>
      <c r="T367" s="78"/>
      <c r="U367" s="78"/>
      <c r="V367" s="78"/>
      <c r="W367" s="78"/>
      <c r="X367" s="78"/>
      <c r="Y367" s="78"/>
      <c r="Z367" s="78"/>
      <c r="AA367" s="78"/>
      <c r="AB367" s="78"/>
      <c r="AC367" s="78"/>
      <c r="AD367" s="78"/>
      <c r="AE367" s="340"/>
    </row>
    <row r="368" spans="2:31" customFormat="1" ht="12.75" customHeight="1" x14ac:dyDescent="0.25">
      <c r="B368" s="1353" t="s">
        <v>38</v>
      </c>
      <c r="C368" s="1049"/>
      <c r="D368" s="4" t="s">
        <v>39</v>
      </c>
      <c r="E368" s="109" t="s">
        <v>424</v>
      </c>
      <c r="F368" s="1354" t="s">
        <v>673</v>
      </c>
      <c r="G368" s="1055"/>
      <c r="H368" s="1048" t="str">
        <f>$H$4</f>
        <v>BOCATOMA</v>
      </c>
      <c r="I368" s="1049"/>
      <c r="J368" s="1355"/>
      <c r="K368" s="1050"/>
      <c r="L368" s="1048" t="str">
        <f>$L$4</f>
        <v>DESARENADOR</v>
      </c>
      <c r="M368" s="1049"/>
      <c r="N368" s="1329" t="s">
        <v>1165</v>
      </c>
      <c r="O368" s="1050"/>
      <c r="P368" s="1048" t="str">
        <f>$P$4</f>
        <v>PLANTA</v>
      </c>
      <c r="Q368" s="1049"/>
      <c r="R368" s="1329"/>
      <c r="S368" s="1050"/>
      <c r="T368" s="1048" t="s">
        <v>884</v>
      </c>
      <c r="U368" s="1050"/>
      <c r="V368" s="1329" t="s">
        <v>1207</v>
      </c>
      <c r="W368" s="1050"/>
      <c r="X368" s="1048" t="s">
        <v>1414</v>
      </c>
      <c r="Y368" s="1050"/>
      <c r="Z368" s="1329"/>
      <c r="AA368" s="1050"/>
      <c r="AB368" s="1048" t="s">
        <v>1421</v>
      </c>
      <c r="AC368" s="1050"/>
      <c r="AD368" s="1329"/>
      <c r="AE368" s="1330"/>
    </row>
    <row r="369" spans="2:31" customFormat="1" ht="12.75" customHeight="1" x14ac:dyDescent="0.2">
      <c r="B369" s="1350" t="str">
        <f>+'PTO OC PLIEGO'!B87:H87</f>
        <v>ANTRACITA PARA OPTIMIZACIÓN DE FILTROS</v>
      </c>
      <c r="C369" s="1052"/>
      <c r="D369" s="1052"/>
      <c r="E369" s="1053"/>
      <c r="F369" s="1135" t="s">
        <v>201</v>
      </c>
      <c r="G369" s="1050"/>
      <c r="H369" s="139"/>
      <c r="I369" s="1331" t="s">
        <v>885</v>
      </c>
      <c r="J369" s="1052"/>
      <c r="K369" s="1053"/>
      <c r="L369" s="139">
        <f>+L370</f>
        <v>0</v>
      </c>
      <c r="M369" s="1331" t="s">
        <v>885</v>
      </c>
      <c r="N369" s="1356"/>
      <c r="O369" s="1357"/>
      <c r="P369" s="139">
        <f>+P370</f>
        <v>216</v>
      </c>
      <c r="Q369" s="1331" t="s">
        <v>885</v>
      </c>
      <c r="R369" s="1052"/>
      <c r="S369" s="1053"/>
      <c r="T369" s="139">
        <f>+T370*T376</f>
        <v>20</v>
      </c>
      <c r="U369" s="1331" t="s">
        <v>885</v>
      </c>
      <c r="V369" s="1052"/>
      <c r="W369" s="1053"/>
      <c r="X369" s="139"/>
      <c r="Y369" s="1331" t="s">
        <v>885</v>
      </c>
      <c r="Z369" s="1052"/>
      <c r="AA369" s="1053"/>
      <c r="AB369" s="139"/>
      <c r="AC369" s="1331" t="s">
        <v>885</v>
      </c>
      <c r="AD369" s="1052"/>
      <c r="AE369" s="1332"/>
    </row>
    <row r="370" spans="2:31" customFormat="1" ht="12.75" customHeight="1" x14ac:dyDescent="0.2">
      <c r="B370" s="1351"/>
      <c r="C370" s="939"/>
      <c r="D370" s="939"/>
      <c r="E370" s="1054"/>
      <c r="F370" s="1135" t="s">
        <v>132</v>
      </c>
      <c r="G370" s="1050"/>
      <c r="H370" s="115"/>
      <c r="I370" s="1029"/>
      <c r="J370" s="939"/>
      <c r="K370" s="1054"/>
      <c r="L370" s="115"/>
      <c r="M370" s="1358"/>
      <c r="N370" s="1359"/>
      <c r="O370" s="1360"/>
      <c r="P370" s="115">
        <v>216</v>
      </c>
      <c r="Q370" s="1029"/>
      <c r="R370" s="939"/>
      <c r="S370" s="1054"/>
      <c r="T370" s="115">
        <v>2</v>
      </c>
      <c r="U370" s="1029"/>
      <c r="V370" s="939"/>
      <c r="W370" s="1054"/>
      <c r="X370" s="115"/>
      <c r="Y370" s="1029"/>
      <c r="Z370" s="939"/>
      <c r="AA370" s="1054"/>
      <c r="AB370" s="115"/>
      <c r="AC370" s="1029"/>
      <c r="AD370" s="939"/>
      <c r="AE370" s="1030"/>
    </row>
    <row r="371" spans="2:31" customFormat="1" ht="12.75" customHeight="1" x14ac:dyDescent="0.2">
      <c r="B371" s="1351"/>
      <c r="C371" s="939"/>
      <c r="D371" s="939"/>
      <c r="E371" s="1054"/>
      <c r="F371" s="1135" t="s">
        <v>681</v>
      </c>
      <c r="G371" s="1050"/>
      <c r="H371" s="115"/>
      <c r="I371" s="1029"/>
      <c r="J371" s="939"/>
      <c r="K371" s="1054"/>
      <c r="L371" s="115"/>
      <c r="M371" s="1358"/>
      <c r="N371" s="1359"/>
      <c r="O371" s="1360"/>
      <c r="P371" s="115"/>
      <c r="Q371" s="1029"/>
      <c r="R371" s="939"/>
      <c r="S371" s="1054"/>
      <c r="T371" s="115"/>
      <c r="U371" s="1029"/>
      <c r="V371" s="939"/>
      <c r="W371" s="1054"/>
      <c r="X371" s="115"/>
      <c r="Y371" s="1029"/>
      <c r="Z371" s="939"/>
      <c r="AA371" s="1054"/>
      <c r="AB371" s="115"/>
      <c r="AC371" s="1029"/>
      <c r="AD371" s="939"/>
      <c r="AE371" s="1030"/>
    </row>
    <row r="372" spans="2:31" customFormat="1" ht="12.75" customHeight="1" x14ac:dyDescent="0.2">
      <c r="B372" s="1351"/>
      <c r="C372" s="939"/>
      <c r="D372" s="939"/>
      <c r="E372" s="1054"/>
      <c r="F372" s="1135" t="s">
        <v>682</v>
      </c>
      <c r="G372" s="1050"/>
      <c r="H372" s="115"/>
      <c r="I372" s="1029"/>
      <c r="J372" s="939"/>
      <c r="K372" s="1054"/>
      <c r="L372" s="115"/>
      <c r="M372" s="1358"/>
      <c r="N372" s="1359"/>
      <c r="O372" s="1360"/>
      <c r="P372" s="115"/>
      <c r="Q372" s="1029"/>
      <c r="R372" s="939"/>
      <c r="S372" s="1054"/>
      <c r="T372" s="115"/>
      <c r="U372" s="1029"/>
      <c r="V372" s="939"/>
      <c r="W372" s="1054"/>
      <c r="X372" s="115"/>
      <c r="Y372" s="1029"/>
      <c r="Z372" s="939"/>
      <c r="AA372" s="1054"/>
      <c r="AB372" s="115"/>
      <c r="AC372" s="1029"/>
      <c r="AD372" s="939"/>
      <c r="AE372" s="1030"/>
    </row>
    <row r="373" spans="2:31" customFormat="1" ht="12.75" customHeight="1" x14ac:dyDescent="0.2">
      <c r="B373" s="1351"/>
      <c r="C373" s="939"/>
      <c r="D373" s="939"/>
      <c r="E373" s="1054"/>
      <c r="F373" s="1135" t="s">
        <v>688</v>
      </c>
      <c r="G373" s="1050"/>
      <c r="H373" s="115"/>
      <c r="I373" s="1029"/>
      <c r="J373" s="939"/>
      <c r="K373" s="1054"/>
      <c r="L373" s="115"/>
      <c r="M373" s="1358"/>
      <c r="N373" s="1359"/>
      <c r="O373" s="1360"/>
      <c r="P373" s="115"/>
      <c r="Q373" s="1029"/>
      <c r="R373" s="939"/>
      <c r="S373" s="1054"/>
      <c r="T373" s="115"/>
      <c r="U373" s="1029"/>
      <c r="V373" s="939"/>
      <c r="W373" s="1054"/>
      <c r="X373" s="115"/>
      <c r="Y373" s="1029"/>
      <c r="Z373" s="939"/>
      <c r="AA373" s="1054"/>
      <c r="AB373" s="115"/>
      <c r="AC373" s="1029"/>
      <c r="AD373" s="939"/>
      <c r="AE373" s="1030"/>
    </row>
    <row r="374" spans="2:31" customFormat="1" ht="12.75" customHeight="1" x14ac:dyDescent="0.2">
      <c r="B374" s="1351"/>
      <c r="C374" s="939"/>
      <c r="D374" s="939"/>
      <c r="E374" s="1054"/>
      <c r="F374" s="1135" t="s">
        <v>1208</v>
      </c>
      <c r="G374" s="1050"/>
      <c r="H374" s="115"/>
      <c r="I374" s="1029"/>
      <c r="J374" s="939"/>
      <c r="K374" s="1054"/>
      <c r="L374" s="115"/>
      <c r="M374" s="1358"/>
      <c r="N374" s="1359"/>
      <c r="O374" s="1360"/>
      <c r="P374" s="115"/>
      <c r="Q374" s="1029"/>
      <c r="R374" s="939"/>
      <c r="S374" s="1054"/>
      <c r="T374" s="115">
        <v>0.3</v>
      </c>
      <c r="U374" s="1029"/>
      <c r="V374" s="939"/>
      <c r="W374" s="1054"/>
      <c r="X374" s="115"/>
      <c r="Y374" s="1029"/>
      <c r="Z374" s="939"/>
      <c r="AA374" s="1054"/>
      <c r="AB374" s="115"/>
      <c r="AC374" s="1029"/>
      <c r="AD374" s="939"/>
      <c r="AE374" s="1030"/>
    </row>
    <row r="375" spans="2:31" customFormat="1" ht="12.75" customHeight="1" x14ac:dyDescent="0.2">
      <c r="B375" s="1351"/>
      <c r="C375" s="939"/>
      <c r="D375" s="939"/>
      <c r="E375" s="1054"/>
      <c r="F375" s="1135" t="s">
        <v>676</v>
      </c>
      <c r="G375" s="1050"/>
      <c r="H375" s="115"/>
      <c r="I375" s="1029"/>
      <c r="J375" s="939"/>
      <c r="K375" s="1054"/>
      <c r="L375" s="115"/>
      <c r="M375" s="1358"/>
      <c r="N375" s="1359"/>
      <c r="O375" s="1360"/>
      <c r="P375" s="115"/>
      <c r="Q375" s="1029"/>
      <c r="R375" s="939"/>
      <c r="S375" s="1054"/>
      <c r="T375" s="115">
        <v>3</v>
      </c>
      <c r="U375" s="1029"/>
      <c r="V375" s="939"/>
      <c r="W375" s="1054"/>
      <c r="X375" s="115"/>
      <c r="Y375" s="1029"/>
      <c r="Z375" s="939"/>
      <c r="AA375" s="1054"/>
      <c r="AB375" s="115"/>
      <c r="AC375" s="1029"/>
      <c r="AD375" s="939"/>
      <c r="AE375" s="1030"/>
    </row>
    <row r="376" spans="2:31" customFormat="1" ht="12.75" customHeight="1" x14ac:dyDescent="0.2">
      <c r="B376" s="1351"/>
      <c r="C376" s="939"/>
      <c r="D376" s="939"/>
      <c r="E376" s="1054"/>
      <c r="F376" s="1135" t="s">
        <v>1209</v>
      </c>
      <c r="G376" s="1050"/>
      <c r="H376" s="115"/>
      <c r="I376" s="1029"/>
      <c r="J376" s="939"/>
      <c r="K376" s="1054"/>
      <c r="L376" s="115"/>
      <c r="M376" s="1358"/>
      <c r="N376" s="1359"/>
      <c r="O376" s="1360"/>
      <c r="P376" s="115"/>
      <c r="Q376" s="1029"/>
      <c r="R376" s="939"/>
      <c r="S376" s="1054"/>
      <c r="T376" s="115">
        <f>+T375/T374</f>
        <v>10</v>
      </c>
      <c r="U376" s="1029"/>
      <c r="V376" s="939"/>
      <c r="W376" s="1054"/>
      <c r="X376" s="115"/>
      <c r="Y376" s="1029"/>
      <c r="Z376" s="939"/>
      <c r="AA376" s="1054"/>
      <c r="AB376" s="115"/>
      <c r="AC376" s="1029"/>
      <c r="AD376" s="939"/>
      <c r="AE376" s="1030"/>
    </row>
    <row r="377" spans="2:31" customFormat="1" ht="12.75" customHeight="1" x14ac:dyDescent="0.2">
      <c r="B377" s="1352"/>
      <c r="C377" s="1032"/>
      <c r="D377" s="1032"/>
      <c r="E377" s="1055"/>
      <c r="F377" s="1135" t="s">
        <v>680</v>
      </c>
      <c r="G377" s="1050"/>
      <c r="H377" s="115"/>
      <c r="I377" s="1031"/>
      <c r="J377" s="1032"/>
      <c r="K377" s="1055"/>
      <c r="L377" s="115"/>
      <c r="M377" s="1361"/>
      <c r="N377" s="1362"/>
      <c r="O377" s="1363"/>
      <c r="P377" s="115"/>
      <c r="Q377" s="1031"/>
      <c r="R377" s="1032"/>
      <c r="S377" s="1055"/>
      <c r="T377" s="115"/>
      <c r="U377" s="1031"/>
      <c r="V377" s="1032"/>
      <c r="W377" s="1055"/>
      <c r="X377" s="115"/>
      <c r="Y377" s="1031"/>
      <c r="Z377" s="1032"/>
      <c r="AA377" s="1055"/>
      <c r="AB377" s="115"/>
      <c r="AC377" s="1031"/>
      <c r="AD377" s="1032"/>
      <c r="AE377" s="1033"/>
    </row>
    <row r="378" spans="2:31" customFormat="1" ht="12.75" customHeight="1" x14ac:dyDescent="0.25">
      <c r="B378" s="463"/>
      <c r="C378" s="78"/>
      <c r="D378" s="78"/>
      <c r="E378" s="78"/>
      <c r="F378" s="78"/>
      <c r="G378" s="78"/>
      <c r="H378" s="78"/>
      <c r="I378" s="78"/>
      <c r="J378" s="78"/>
      <c r="K378" s="78"/>
      <c r="L378" s="78"/>
      <c r="M378" s="78"/>
      <c r="N378" s="78"/>
      <c r="O378" s="78"/>
      <c r="P378" s="78"/>
      <c r="Q378" s="78"/>
      <c r="R378" s="78"/>
      <c r="S378" s="78"/>
      <c r="T378" s="78"/>
      <c r="U378" s="78"/>
      <c r="V378" s="78"/>
      <c r="W378" s="78"/>
      <c r="X378" s="78"/>
      <c r="Y378" s="78"/>
      <c r="Z378" s="78"/>
      <c r="AA378" s="78"/>
      <c r="AB378" s="78"/>
      <c r="AC378" s="78"/>
      <c r="AD378" s="78"/>
      <c r="AE378" s="340"/>
    </row>
    <row r="379" spans="2:31" customFormat="1" ht="12.75" customHeight="1" x14ac:dyDescent="0.25">
      <c r="B379" s="1353" t="s">
        <v>38</v>
      </c>
      <c r="C379" s="1049"/>
      <c r="D379" s="4" t="s">
        <v>39</v>
      </c>
      <c r="E379" s="109" t="s">
        <v>424</v>
      </c>
      <c r="F379" s="1354" t="s">
        <v>673</v>
      </c>
      <c r="G379" s="1055"/>
      <c r="H379" s="1048" t="str">
        <f>$H$4</f>
        <v>BOCATOMA</v>
      </c>
      <c r="I379" s="1049"/>
      <c r="J379" s="1355"/>
      <c r="K379" s="1050"/>
      <c r="L379" s="1048" t="str">
        <f>$L$4</f>
        <v>DESARENADOR</v>
      </c>
      <c r="M379" s="1049"/>
      <c r="N379" s="1329" t="s">
        <v>1166</v>
      </c>
      <c r="O379" s="1050"/>
      <c r="P379" s="1048" t="str">
        <f>$P$4</f>
        <v>PLANTA</v>
      </c>
      <c r="Q379" s="1049"/>
      <c r="R379" s="1329"/>
      <c r="S379" s="1050"/>
      <c r="T379" s="1048" t="s">
        <v>884</v>
      </c>
      <c r="U379" s="1050"/>
      <c r="V379" s="1329"/>
      <c r="W379" s="1050"/>
      <c r="X379" s="1048" t="s">
        <v>1414</v>
      </c>
      <c r="Y379" s="1050"/>
      <c r="Z379" s="1329"/>
      <c r="AA379" s="1050"/>
      <c r="AB379" s="1048" t="s">
        <v>1421</v>
      </c>
      <c r="AC379" s="1050"/>
      <c r="AD379" s="1329"/>
      <c r="AE379" s="1330"/>
    </row>
    <row r="380" spans="2:31" customFormat="1" ht="12.75" customHeight="1" x14ac:dyDescent="0.2">
      <c r="B380" s="1350" t="str">
        <f>+'PTO OC PLIEGO'!B88:H88</f>
        <v>ARENA PARA OPTIMIZACIÓN DE FILTROS</v>
      </c>
      <c r="C380" s="1052"/>
      <c r="D380" s="1052"/>
      <c r="E380" s="1053"/>
      <c r="F380" s="1135" t="s">
        <v>201</v>
      </c>
      <c r="G380" s="1050"/>
      <c r="H380" s="139"/>
      <c r="I380" s="1331" t="s">
        <v>885</v>
      </c>
      <c r="J380" s="1052"/>
      <c r="K380" s="1053"/>
      <c r="L380" s="139">
        <f>+L381</f>
        <v>0</v>
      </c>
      <c r="M380" s="1331" t="s">
        <v>885</v>
      </c>
      <c r="N380" s="1356"/>
      <c r="O380" s="1357"/>
      <c r="P380" s="139">
        <f>+P381</f>
        <v>240</v>
      </c>
      <c r="Q380" s="1331" t="s">
        <v>885</v>
      </c>
      <c r="R380" s="1052"/>
      <c r="S380" s="1053"/>
      <c r="T380" s="139"/>
      <c r="U380" s="1331" t="s">
        <v>885</v>
      </c>
      <c r="V380" s="1052"/>
      <c r="W380" s="1053"/>
      <c r="X380" s="139"/>
      <c r="Y380" s="1331" t="s">
        <v>885</v>
      </c>
      <c r="Z380" s="1052"/>
      <c r="AA380" s="1053"/>
      <c r="AB380" s="139"/>
      <c r="AC380" s="1331" t="s">
        <v>885</v>
      </c>
      <c r="AD380" s="1052"/>
      <c r="AE380" s="1332"/>
    </row>
    <row r="381" spans="2:31" customFormat="1" ht="12.75" customHeight="1" x14ac:dyDescent="0.2">
      <c r="B381" s="1351"/>
      <c r="C381" s="939"/>
      <c r="D381" s="939"/>
      <c r="E381" s="1054"/>
      <c r="F381" s="1135" t="s">
        <v>132</v>
      </c>
      <c r="G381" s="1050"/>
      <c r="H381" s="115"/>
      <c r="I381" s="1029"/>
      <c r="J381" s="939"/>
      <c r="K381" s="1054"/>
      <c r="L381" s="115"/>
      <c r="M381" s="1358"/>
      <c r="N381" s="1359"/>
      <c r="O381" s="1360"/>
      <c r="P381" s="115">
        <v>240</v>
      </c>
      <c r="Q381" s="1029"/>
      <c r="R381" s="939"/>
      <c r="S381" s="1054"/>
      <c r="T381" s="115"/>
      <c r="U381" s="1029"/>
      <c r="V381" s="939"/>
      <c r="W381" s="1054"/>
      <c r="X381" s="115"/>
      <c r="Y381" s="1029"/>
      <c r="Z381" s="939"/>
      <c r="AA381" s="1054"/>
      <c r="AB381" s="115"/>
      <c r="AC381" s="1029"/>
      <c r="AD381" s="939"/>
      <c r="AE381" s="1030"/>
    </row>
    <row r="382" spans="2:31" customFormat="1" ht="12.75" customHeight="1" x14ac:dyDescent="0.2">
      <c r="B382" s="1351"/>
      <c r="C382" s="939"/>
      <c r="D382" s="939"/>
      <c r="E382" s="1054"/>
      <c r="F382" s="1135" t="s">
        <v>674</v>
      </c>
      <c r="G382" s="1050"/>
      <c r="H382" s="115"/>
      <c r="I382" s="1029"/>
      <c r="J382" s="939"/>
      <c r="K382" s="1054"/>
      <c r="L382" s="115"/>
      <c r="M382" s="1358"/>
      <c r="N382" s="1359"/>
      <c r="O382" s="1360"/>
      <c r="P382" s="115"/>
      <c r="Q382" s="1029"/>
      <c r="R382" s="939"/>
      <c r="S382" s="1054"/>
      <c r="T382" s="115"/>
      <c r="U382" s="1029"/>
      <c r="V382" s="939"/>
      <c r="W382" s="1054"/>
      <c r="X382" s="115"/>
      <c r="Y382" s="1029"/>
      <c r="Z382" s="939"/>
      <c r="AA382" s="1054"/>
      <c r="AB382" s="115"/>
      <c r="AC382" s="1029"/>
      <c r="AD382" s="939"/>
      <c r="AE382" s="1030"/>
    </row>
    <row r="383" spans="2:31" customFormat="1" ht="12.75" customHeight="1" x14ac:dyDescent="0.2">
      <c r="B383" s="1351"/>
      <c r="C383" s="939"/>
      <c r="D383" s="939"/>
      <c r="E383" s="1054"/>
      <c r="F383" s="1135" t="s">
        <v>675</v>
      </c>
      <c r="G383" s="1050"/>
      <c r="H383" s="115"/>
      <c r="I383" s="1029"/>
      <c r="J383" s="939"/>
      <c r="K383" s="1054"/>
      <c r="L383" s="115"/>
      <c r="M383" s="1358"/>
      <c r="N383" s="1359"/>
      <c r="O383" s="1360"/>
      <c r="P383" s="115"/>
      <c r="Q383" s="1029"/>
      <c r="R383" s="939"/>
      <c r="S383" s="1054"/>
      <c r="T383" s="115"/>
      <c r="U383" s="1029"/>
      <c r="V383" s="939"/>
      <c r="W383" s="1054"/>
      <c r="X383" s="115"/>
      <c r="Y383" s="1029"/>
      <c r="Z383" s="939"/>
      <c r="AA383" s="1054"/>
      <c r="AB383" s="115"/>
      <c r="AC383" s="1029"/>
      <c r="AD383" s="939"/>
      <c r="AE383" s="1030"/>
    </row>
    <row r="384" spans="2:31" customFormat="1" ht="12.75" customHeight="1" x14ac:dyDescent="0.2">
      <c r="B384" s="1351"/>
      <c r="C384" s="939"/>
      <c r="D384" s="939"/>
      <c r="E384" s="1054"/>
      <c r="F384" s="1135" t="s">
        <v>689</v>
      </c>
      <c r="G384" s="1050"/>
      <c r="H384" s="115"/>
      <c r="I384" s="1029"/>
      <c r="J384" s="939"/>
      <c r="K384" s="1054"/>
      <c r="L384" s="115"/>
      <c r="M384" s="1358"/>
      <c r="N384" s="1359"/>
      <c r="O384" s="1360"/>
      <c r="P384" s="115"/>
      <c r="Q384" s="1029"/>
      <c r="R384" s="939"/>
      <c r="S384" s="1054"/>
      <c r="T384" s="115"/>
      <c r="U384" s="1029"/>
      <c r="V384" s="939"/>
      <c r="W384" s="1054"/>
      <c r="X384" s="115"/>
      <c r="Y384" s="1029"/>
      <c r="Z384" s="939"/>
      <c r="AA384" s="1054"/>
      <c r="AB384" s="115"/>
      <c r="AC384" s="1029"/>
      <c r="AD384" s="939"/>
      <c r="AE384" s="1030"/>
    </row>
    <row r="385" spans="2:31" customFormat="1" ht="12.75" customHeight="1" x14ac:dyDescent="0.2">
      <c r="B385" s="1351"/>
      <c r="C385" s="939"/>
      <c r="D385" s="939"/>
      <c r="E385" s="1054"/>
      <c r="F385" s="1135" t="s">
        <v>690</v>
      </c>
      <c r="G385" s="1050"/>
      <c r="H385" s="115"/>
      <c r="I385" s="1029"/>
      <c r="J385" s="939"/>
      <c r="K385" s="1054"/>
      <c r="L385" s="115"/>
      <c r="M385" s="1358"/>
      <c r="N385" s="1359"/>
      <c r="O385" s="1360"/>
      <c r="P385" s="115"/>
      <c r="Q385" s="1029"/>
      <c r="R385" s="939"/>
      <c r="S385" s="1054"/>
      <c r="T385" s="115"/>
      <c r="U385" s="1029"/>
      <c r="V385" s="939"/>
      <c r="W385" s="1054"/>
      <c r="X385" s="115"/>
      <c r="Y385" s="1029"/>
      <c r="Z385" s="939"/>
      <c r="AA385" s="1054"/>
      <c r="AB385" s="115"/>
      <c r="AC385" s="1029"/>
      <c r="AD385" s="939"/>
      <c r="AE385" s="1030"/>
    </row>
    <row r="386" spans="2:31" customFormat="1" ht="12.75" customHeight="1" x14ac:dyDescent="0.2">
      <c r="B386" s="1351"/>
      <c r="C386" s="939"/>
      <c r="D386" s="939"/>
      <c r="E386" s="1054"/>
      <c r="F386" s="1135" t="s">
        <v>678</v>
      </c>
      <c r="G386" s="1050"/>
      <c r="H386" s="115"/>
      <c r="I386" s="1029"/>
      <c r="J386" s="939"/>
      <c r="K386" s="1054"/>
      <c r="L386" s="115"/>
      <c r="M386" s="1358"/>
      <c r="N386" s="1359"/>
      <c r="O386" s="1360"/>
      <c r="P386" s="115"/>
      <c r="Q386" s="1029"/>
      <c r="R386" s="939"/>
      <c r="S386" s="1054"/>
      <c r="T386" s="115"/>
      <c r="U386" s="1029"/>
      <c r="V386" s="939"/>
      <c r="W386" s="1054"/>
      <c r="X386" s="115"/>
      <c r="Y386" s="1029"/>
      <c r="Z386" s="939"/>
      <c r="AA386" s="1054"/>
      <c r="AB386" s="115"/>
      <c r="AC386" s="1029"/>
      <c r="AD386" s="939"/>
      <c r="AE386" s="1030"/>
    </row>
    <row r="387" spans="2:31" customFormat="1" ht="12.75" customHeight="1" x14ac:dyDescent="0.2">
      <c r="B387" s="1351"/>
      <c r="C387" s="939"/>
      <c r="D387" s="939"/>
      <c r="E387" s="1054"/>
      <c r="F387" s="1135" t="s">
        <v>679</v>
      </c>
      <c r="G387" s="1050"/>
      <c r="H387" s="115"/>
      <c r="I387" s="1029"/>
      <c r="J387" s="939"/>
      <c r="K387" s="1054"/>
      <c r="L387" s="115"/>
      <c r="M387" s="1358"/>
      <c r="N387" s="1359"/>
      <c r="O387" s="1360"/>
      <c r="P387" s="115"/>
      <c r="Q387" s="1029"/>
      <c r="R387" s="939"/>
      <c r="S387" s="1054"/>
      <c r="T387" s="115"/>
      <c r="U387" s="1029"/>
      <c r="V387" s="939"/>
      <c r="W387" s="1054"/>
      <c r="X387" s="115"/>
      <c r="Y387" s="1029"/>
      <c r="Z387" s="939"/>
      <c r="AA387" s="1054"/>
      <c r="AB387" s="115"/>
      <c r="AC387" s="1029"/>
      <c r="AD387" s="939"/>
      <c r="AE387" s="1030"/>
    </row>
    <row r="388" spans="2:31" customFormat="1" ht="12.75" customHeight="1" x14ac:dyDescent="0.2">
      <c r="B388" s="1352"/>
      <c r="C388" s="1032"/>
      <c r="D388" s="1032"/>
      <c r="E388" s="1055"/>
      <c r="F388" s="1135" t="s">
        <v>680</v>
      </c>
      <c r="G388" s="1050"/>
      <c r="H388" s="115"/>
      <c r="I388" s="1031"/>
      <c r="J388" s="1032"/>
      <c r="K388" s="1055"/>
      <c r="L388" s="115"/>
      <c r="M388" s="1361"/>
      <c r="N388" s="1362"/>
      <c r="O388" s="1363"/>
      <c r="P388" s="115"/>
      <c r="Q388" s="1031"/>
      <c r="R388" s="1032"/>
      <c r="S388" s="1055"/>
      <c r="T388" s="115"/>
      <c r="U388" s="1031"/>
      <c r="V388" s="1032"/>
      <c r="W388" s="1055"/>
      <c r="X388" s="115"/>
      <c r="Y388" s="1031"/>
      <c r="Z388" s="1032"/>
      <c r="AA388" s="1055"/>
      <c r="AB388" s="115"/>
      <c r="AC388" s="1031"/>
      <c r="AD388" s="1032"/>
      <c r="AE388" s="1033"/>
    </row>
    <row r="389" spans="2:31" customFormat="1" ht="12.75" customHeight="1" x14ac:dyDescent="0.25">
      <c r="B389" s="463"/>
      <c r="C389" s="78"/>
      <c r="D389" s="78"/>
      <c r="E389" s="78"/>
      <c r="F389" s="78"/>
      <c r="G389" s="78"/>
      <c r="H389" s="78"/>
      <c r="I389" s="78"/>
      <c r="J389" s="78"/>
      <c r="K389" s="78"/>
      <c r="L389" s="78"/>
      <c r="M389" s="78"/>
      <c r="N389" s="78"/>
      <c r="O389" s="78"/>
      <c r="P389" s="78"/>
      <c r="Q389" s="78"/>
      <c r="R389" s="78"/>
      <c r="S389" s="78"/>
      <c r="T389" s="78"/>
      <c r="U389" s="78"/>
      <c r="V389" s="78"/>
      <c r="W389" s="78"/>
      <c r="X389" s="78"/>
      <c r="Y389" s="78"/>
      <c r="Z389" s="78"/>
      <c r="AA389" s="78"/>
      <c r="AB389" s="78"/>
      <c r="AC389" s="78"/>
      <c r="AD389" s="78"/>
      <c r="AE389" s="340"/>
    </row>
    <row r="390" spans="2:31" customFormat="1" ht="12.75" customHeight="1" x14ac:dyDescent="0.25">
      <c r="B390" s="1353" t="s">
        <v>38</v>
      </c>
      <c r="C390" s="1049"/>
      <c r="D390" s="4" t="s">
        <v>39</v>
      </c>
      <c r="E390" s="109" t="s">
        <v>424</v>
      </c>
      <c r="F390" s="1354" t="s">
        <v>673</v>
      </c>
      <c r="G390" s="1055"/>
      <c r="H390" s="1048" t="str">
        <f>$H$4</f>
        <v>BOCATOMA</v>
      </c>
      <c r="I390" s="1049"/>
      <c r="J390" s="1355"/>
      <c r="K390" s="1050"/>
      <c r="L390" s="1048" t="str">
        <f>$L$4</f>
        <v>DESARENADOR</v>
      </c>
      <c r="M390" s="1049"/>
      <c r="N390" s="1329" t="s">
        <v>1167</v>
      </c>
      <c r="O390" s="1050"/>
      <c r="P390" s="1048" t="str">
        <f>$P$4</f>
        <v>PLANTA</v>
      </c>
      <c r="Q390" s="1049"/>
      <c r="R390" s="1329"/>
      <c r="S390" s="1050"/>
      <c r="T390" s="1048" t="s">
        <v>884</v>
      </c>
      <c r="U390" s="1050"/>
      <c r="V390" s="1329" t="s">
        <v>1210</v>
      </c>
      <c r="W390" s="1050"/>
      <c r="X390" s="1048" t="s">
        <v>1414</v>
      </c>
      <c r="Y390" s="1050"/>
      <c r="Z390" s="1329"/>
      <c r="AA390" s="1050"/>
      <c r="AB390" s="1048" t="s">
        <v>1421</v>
      </c>
      <c r="AC390" s="1050"/>
      <c r="AD390" s="1329"/>
      <c r="AE390" s="1330"/>
    </row>
    <row r="391" spans="2:31" customFormat="1" ht="12.75" customHeight="1" x14ac:dyDescent="0.2">
      <c r="B391" s="1350" t="str">
        <f>+'PTO OC PLIEGO'!B90:H90</f>
        <v>TUBERÍA PVC 6" RDE 21 (INCLUYE INSTALACIÓN Y SUMINISTRO)</v>
      </c>
      <c r="C391" s="1052"/>
      <c r="D391" s="1052"/>
      <c r="E391" s="1053"/>
      <c r="F391" s="1135" t="s">
        <v>201</v>
      </c>
      <c r="G391" s="1050"/>
      <c r="H391" s="139"/>
      <c r="I391" s="1331" t="s">
        <v>885</v>
      </c>
      <c r="J391" s="1052"/>
      <c r="K391" s="1053"/>
      <c r="L391" s="139">
        <f>+L392</f>
        <v>0</v>
      </c>
      <c r="M391" s="1331" t="s">
        <v>885</v>
      </c>
      <c r="N391" s="1356"/>
      <c r="O391" s="1357"/>
      <c r="P391" s="139">
        <f>+P393</f>
        <v>2</v>
      </c>
      <c r="Q391" s="1331" t="s">
        <v>885</v>
      </c>
      <c r="R391" s="1052"/>
      <c r="S391" s="1053"/>
      <c r="T391" s="139">
        <f>+T393</f>
        <v>48.42</v>
      </c>
      <c r="U391" s="1331" t="s">
        <v>885</v>
      </c>
      <c r="V391" s="1052"/>
      <c r="W391" s="1053"/>
      <c r="X391" s="139"/>
      <c r="Y391" s="1331" t="s">
        <v>885</v>
      </c>
      <c r="Z391" s="1052"/>
      <c r="AA391" s="1053"/>
      <c r="AB391" s="139"/>
      <c r="AC391" s="1331" t="s">
        <v>885</v>
      </c>
      <c r="AD391" s="1052"/>
      <c r="AE391" s="1332"/>
    </row>
    <row r="392" spans="2:31" customFormat="1" ht="12.75" customHeight="1" x14ac:dyDescent="0.2">
      <c r="B392" s="1351"/>
      <c r="C392" s="939"/>
      <c r="D392" s="939"/>
      <c r="E392" s="1054"/>
      <c r="F392" s="1135" t="s">
        <v>132</v>
      </c>
      <c r="G392" s="1050"/>
      <c r="H392" s="115"/>
      <c r="I392" s="1029"/>
      <c r="J392" s="939"/>
      <c r="K392" s="1054"/>
      <c r="L392" s="115"/>
      <c r="M392" s="1358"/>
      <c r="N392" s="1359"/>
      <c r="O392" s="1360"/>
      <c r="P392" s="115"/>
      <c r="Q392" s="1029"/>
      <c r="R392" s="939"/>
      <c r="S392" s="1054"/>
      <c r="T392" s="115"/>
      <c r="U392" s="1029"/>
      <c r="V392" s="939"/>
      <c r="W392" s="1054"/>
      <c r="X392" s="115"/>
      <c r="Y392" s="1029"/>
      <c r="Z392" s="939"/>
      <c r="AA392" s="1054"/>
      <c r="AB392" s="115"/>
      <c r="AC392" s="1029"/>
      <c r="AD392" s="939"/>
      <c r="AE392" s="1030"/>
    </row>
    <row r="393" spans="2:31" customFormat="1" ht="12.75" customHeight="1" x14ac:dyDescent="0.2">
      <c r="B393" s="1351"/>
      <c r="C393" s="939"/>
      <c r="D393" s="939"/>
      <c r="E393" s="1054"/>
      <c r="F393" s="1135" t="s">
        <v>674</v>
      </c>
      <c r="G393" s="1050"/>
      <c r="H393" s="115"/>
      <c r="I393" s="1029"/>
      <c r="J393" s="939"/>
      <c r="K393" s="1054"/>
      <c r="L393" s="115"/>
      <c r="M393" s="1358"/>
      <c r="N393" s="1359"/>
      <c r="O393" s="1360"/>
      <c r="P393" s="115">
        <v>2</v>
      </c>
      <c r="Q393" s="1029"/>
      <c r="R393" s="939"/>
      <c r="S393" s="1054"/>
      <c r="T393" s="115">
        <v>48.42</v>
      </c>
      <c r="U393" s="1029"/>
      <c r="V393" s="939"/>
      <c r="W393" s="1054"/>
      <c r="X393" s="115"/>
      <c r="Y393" s="1029"/>
      <c r="Z393" s="939"/>
      <c r="AA393" s="1054"/>
      <c r="AB393" s="115"/>
      <c r="AC393" s="1029"/>
      <c r="AD393" s="939"/>
      <c r="AE393" s="1030"/>
    </row>
    <row r="394" spans="2:31" customFormat="1" ht="12.75" customHeight="1" x14ac:dyDescent="0.2">
      <c r="B394" s="1351"/>
      <c r="C394" s="939"/>
      <c r="D394" s="939"/>
      <c r="E394" s="1054"/>
      <c r="F394" s="1135" t="s">
        <v>687</v>
      </c>
      <c r="G394" s="1050"/>
      <c r="H394" s="115"/>
      <c r="I394" s="1029"/>
      <c r="J394" s="939"/>
      <c r="K394" s="1054"/>
      <c r="L394" s="115"/>
      <c r="M394" s="1358"/>
      <c r="N394" s="1359"/>
      <c r="O394" s="1360"/>
      <c r="P394" s="115"/>
      <c r="Q394" s="1029"/>
      <c r="R394" s="939"/>
      <c r="S394" s="1054"/>
      <c r="T394" s="115"/>
      <c r="U394" s="1029"/>
      <c r="V394" s="939"/>
      <c r="W394" s="1054"/>
      <c r="X394" s="115"/>
      <c r="Y394" s="1029"/>
      <c r="Z394" s="939"/>
      <c r="AA394" s="1054"/>
      <c r="AB394" s="115"/>
      <c r="AC394" s="1029"/>
      <c r="AD394" s="939"/>
      <c r="AE394" s="1030"/>
    </row>
    <row r="395" spans="2:31" customFormat="1" ht="12.75" customHeight="1" x14ac:dyDescent="0.2">
      <c r="B395" s="1351"/>
      <c r="C395" s="939"/>
      <c r="D395" s="939"/>
      <c r="E395" s="1054"/>
      <c r="F395" s="1135" t="s">
        <v>676</v>
      </c>
      <c r="G395" s="1050"/>
      <c r="H395" s="115"/>
      <c r="I395" s="1029"/>
      <c r="J395" s="939"/>
      <c r="K395" s="1054"/>
      <c r="L395" s="115"/>
      <c r="M395" s="1358"/>
      <c r="N395" s="1359"/>
      <c r="O395" s="1360"/>
      <c r="P395" s="115"/>
      <c r="Q395" s="1029"/>
      <c r="R395" s="939"/>
      <c r="S395" s="1054"/>
      <c r="T395" s="115"/>
      <c r="U395" s="1029"/>
      <c r="V395" s="939"/>
      <c r="W395" s="1054"/>
      <c r="X395" s="115"/>
      <c r="Y395" s="1029"/>
      <c r="Z395" s="939"/>
      <c r="AA395" s="1054"/>
      <c r="AB395" s="115"/>
      <c r="AC395" s="1029"/>
      <c r="AD395" s="939"/>
      <c r="AE395" s="1030"/>
    </row>
    <row r="396" spans="2:31" customFormat="1" ht="12.75" customHeight="1" x14ac:dyDescent="0.2">
      <c r="B396" s="1351"/>
      <c r="C396" s="939"/>
      <c r="D396" s="939"/>
      <c r="E396" s="1054"/>
      <c r="F396" s="1135" t="s">
        <v>677</v>
      </c>
      <c r="G396" s="1050"/>
      <c r="H396" s="115"/>
      <c r="I396" s="1029"/>
      <c r="J396" s="939"/>
      <c r="K396" s="1054"/>
      <c r="L396" s="115"/>
      <c r="M396" s="1358"/>
      <c r="N396" s="1359"/>
      <c r="O396" s="1360"/>
      <c r="P396" s="115"/>
      <c r="Q396" s="1029"/>
      <c r="R396" s="939"/>
      <c r="S396" s="1054"/>
      <c r="T396" s="115"/>
      <c r="U396" s="1029"/>
      <c r="V396" s="939"/>
      <c r="W396" s="1054"/>
      <c r="X396" s="115"/>
      <c r="Y396" s="1029"/>
      <c r="Z396" s="939"/>
      <c r="AA396" s="1054"/>
      <c r="AB396" s="115"/>
      <c r="AC396" s="1029"/>
      <c r="AD396" s="939"/>
      <c r="AE396" s="1030"/>
    </row>
    <row r="397" spans="2:31" customFormat="1" ht="12.75" customHeight="1" x14ac:dyDescent="0.2">
      <c r="B397" s="1351"/>
      <c r="C397" s="939"/>
      <c r="D397" s="939"/>
      <c r="E397" s="1054"/>
      <c r="F397" s="1135" t="s">
        <v>678</v>
      </c>
      <c r="G397" s="1050"/>
      <c r="H397" s="115"/>
      <c r="I397" s="1029"/>
      <c r="J397" s="939"/>
      <c r="K397" s="1054"/>
      <c r="L397" s="115"/>
      <c r="M397" s="1358"/>
      <c r="N397" s="1359"/>
      <c r="O397" s="1360"/>
      <c r="P397" s="115"/>
      <c r="Q397" s="1029"/>
      <c r="R397" s="939"/>
      <c r="S397" s="1054"/>
      <c r="T397" s="115"/>
      <c r="U397" s="1029"/>
      <c r="V397" s="939"/>
      <c r="W397" s="1054"/>
      <c r="X397" s="115"/>
      <c r="Y397" s="1029"/>
      <c r="Z397" s="939"/>
      <c r="AA397" s="1054"/>
      <c r="AB397" s="115"/>
      <c r="AC397" s="1029"/>
      <c r="AD397" s="939"/>
      <c r="AE397" s="1030"/>
    </row>
    <row r="398" spans="2:31" customFormat="1" ht="12.75" customHeight="1" x14ac:dyDescent="0.2">
      <c r="B398" s="1351"/>
      <c r="C398" s="939"/>
      <c r="D398" s="939"/>
      <c r="E398" s="1054"/>
      <c r="F398" s="1135" t="s">
        <v>679</v>
      </c>
      <c r="G398" s="1050"/>
      <c r="H398" s="115"/>
      <c r="I398" s="1029"/>
      <c r="J398" s="939"/>
      <c r="K398" s="1054"/>
      <c r="L398" s="115"/>
      <c r="M398" s="1358"/>
      <c r="N398" s="1359"/>
      <c r="O398" s="1360"/>
      <c r="P398" s="115"/>
      <c r="Q398" s="1029"/>
      <c r="R398" s="939"/>
      <c r="S398" s="1054"/>
      <c r="T398" s="115"/>
      <c r="U398" s="1029"/>
      <c r="V398" s="939"/>
      <c r="W398" s="1054"/>
      <c r="X398" s="115"/>
      <c r="Y398" s="1029"/>
      <c r="Z398" s="939"/>
      <c r="AA398" s="1054"/>
      <c r="AB398" s="115"/>
      <c r="AC398" s="1029"/>
      <c r="AD398" s="939"/>
      <c r="AE398" s="1030"/>
    </row>
    <row r="399" spans="2:31" customFormat="1" ht="12.75" customHeight="1" x14ac:dyDescent="0.2">
      <c r="B399" s="1352"/>
      <c r="C399" s="1032"/>
      <c r="D399" s="1032"/>
      <c r="E399" s="1055"/>
      <c r="F399" s="1135" t="s">
        <v>680</v>
      </c>
      <c r="G399" s="1050"/>
      <c r="H399" s="115"/>
      <c r="I399" s="1031"/>
      <c r="J399" s="1032"/>
      <c r="K399" s="1055"/>
      <c r="L399" s="115"/>
      <c r="M399" s="1361"/>
      <c r="N399" s="1362"/>
      <c r="O399" s="1363"/>
      <c r="P399" s="115"/>
      <c r="Q399" s="1031"/>
      <c r="R399" s="1032"/>
      <c r="S399" s="1055"/>
      <c r="T399" s="115"/>
      <c r="U399" s="1031"/>
      <c r="V399" s="1032"/>
      <c r="W399" s="1055"/>
      <c r="X399" s="115"/>
      <c r="Y399" s="1031"/>
      <c r="Z399" s="1032"/>
      <c r="AA399" s="1055"/>
      <c r="AB399" s="115"/>
      <c r="AC399" s="1031"/>
      <c r="AD399" s="1032"/>
      <c r="AE399" s="1033"/>
    </row>
    <row r="400" spans="2:31" customFormat="1" ht="12.75" customHeight="1" x14ac:dyDescent="0.25">
      <c r="B400" s="463"/>
      <c r="C400" s="78"/>
      <c r="D400" s="78"/>
      <c r="E400" s="78"/>
      <c r="F400" s="78"/>
      <c r="G400" s="78"/>
      <c r="H400" s="78"/>
      <c r="I400" s="78"/>
      <c r="J400" s="78"/>
      <c r="K400" s="78"/>
      <c r="L400" s="78"/>
      <c r="M400" s="78"/>
      <c r="N400" s="78"/>
      <c r="O400" s="78"/>
      <c r="P400" s="78"/>
      <c r="Q400" s="78"/>
      <c r="R400" s="78"/>
      <c r="S400" s="78"/>
      <c r="T400" s="78"/>
      <c r="U400" s="78"/>
      <c r="V400" s="78"/>
      <c r="W400" s="78"/>
      <c r="X400" s="78"/>
      <c r="Y400" s="78"/>
      <c r="Z400" s="78"/>
      <c r="AA400" s="78"/>
      <c r="AB400" s="78"/>
      <c r="AC400" s="78"/>
      <c r="AD400" s="78"/>
      <c r="AE400" s="340"/>
    </row>
    <row r="401" spans="2:31" customFormat="1" ht="12.75" customHeight="1" x14ac:dyDescent="0.25">
      <c r="B401" s="1353" t="s">
        <v>38</v>
      </c>
      <c r="C401" s="1049"/>
      <c r="D401" s="4" t="s">
        <v>39</v>
      </c>
      <c r="E401" s="109" t="s">
        <v>424</v>
      </c>
      <c r="F401" s="1354" t="s">
        <v>673</v>
      </c>
      <c r="G401" s="1055"/>
      <c r="H401" s="1048" t="str">
        <f>$H$4</f>
        <v>BOCATOMA</v>
      </c>
      <c r="I401" s="1049"/>
      <c r="J401" s="1355"/>
      <c r="K401" s="1050"/>
      <c r="L401" s="1048" t="str">
        <f>$L$4</f>
        <v>DESARENADOR</v>
      </c>
      <c r="M401" s="1049"/>
      <c r="N401" s="1329" t="s">
        <v>1168</v>
      </c>
      <c r="O401" s="1050"/>
      <c r="P401" s="1048" t="str">
        <f>$P$4</f>
        <v>PLANTA</v>
      </c>
      <c r="Q401" s="1049"/>
      <c r="R401" s="1329"/>
      <c r="S401" s="1050"/>
      <c r="T401" s="1048" t="s">
        <v>884</v>
      </c>
      <c r="U401" s="1050"/>
      <c r="V401" s="1329"/>
      <c r="W401" s="1050"/>
      <c r="X401" s="1048" t="s">
        <v>1414</v>
      </c>
      <c r="Y401" s="1050"/>
      <c r="Z401" s="1329"/>
      <c r="AA401" s="1050"/>
      <c r="AB401" s="1048" t="s">
        <v>1421</v>
      </c>
      <c r="AC401" s="1050"/>
      <c r="AD401" s="1329"/>
      <c r="AE401" s="1330"/>
    </row>
    <row r="402" spans="2:31" customFormat="1" ht="12.75" customHeight="1" x14ac:dyDescent="0.2">
      <c r="B402" s="1350" t="str">
        <f>+'PTO OC PLIEGO'!B91:H91</f>
        <v>TUBERÍA PVC 4" RDE 21 (INCLUYE INSTALACIÓN Y SUMINISTRO)</v>
      </c>
      <c r="C402" s="1052"/>
      <c r="D402" s="1052"/>
      <c r="E402" s="1053"/>
      <c r="F402" s="1135" t="s">
        <v>201</v>
      </c>
      <c r="G402" s="1050"/>
      <c r="H402" s="139"/>
      <c r="I402" s="1331" t="s">
        <v>885</v>
      </c>
      <c r="J402" s="1052"/>
      <c r="K402" s="1053"/>
      <c r="L402" s="139">
        <f>+L403</f>
        <v>0</v>
      </c>
      <c r="M402" s="1331" t="s">
        <v>885</v>
      </c>
      <c r="N402" s="1356"/>
      <c r="O402" s="1357"/>
      <c r="P402" s="139">
        <f>+P404</f>
        <v>70</v>
      </c>
      <c r="Q402" s="1331" t="s">
        <v>885</v>
      </c>
      <c r="R402" s="1052"/>
      <c r="S402" s="1053"/>
      <c r="T402" s="139">
        <f>+T404</f>
        <v>2.64</v>
      </c>
      <c r="U402" s="1331" t="s">
        <v>885</v>
      </c>
      <c r="V402" s="1052"/>
      <c r="W402" s="1053"/>
      <c r="X402" s="139"/>
      <c r="Y402" s="1331" t="s">
        <v>885</v>
      </c>
      <c r="Z402" s="1052"/>
      <c r="AA402" s="1053"/>
      <c r="AB402" s="139"/>
      <c r="AC402" s="1331" t="s">
        <v>885</v>
      </c>
      <c r="AD402" s="1052"/>
      <c r="AE402" s="1332"/>
    </row>
    <row r="403" spans="2:31" customFormat="1" ht="12.75" customHeight="1" x14ac:dyDescent="0.2">
      <c r="B403" s="1351"/>
      <c r="C403" s="939"/>
      <c r="D403" s="939"/>
      <c r="E403" s="1054"/>
      <c r="F403" s="1135" t="s">
        <v>132</v>
      </c>
      <c r="G403" s="1050"/>
      <c r="H403" s="115"/>
      <c r="I403" s="1029"/>
      <c r="J403" s="939"/>
      <c r="K403" s="1054"/>
      <c r="L403" s="115"/>
      <c r="M403" s="1358"/>
      <c r="N403" s="1359"/>
      <c r="O403" s="1360"/>
      <c r="P403" s="115"/>
      <c r="Q403" s="1029"/>
      <c r="R403" s="939"/>
      <c r="S403" s="1054"/>
      <c r="T403" s="115"/>
      <c r="U403" s="1029"/>
      <c r="V403" s="939"/>
      <c r="W403" s="1054"/>
      <c r="X403" s="115"/>
      <c r="Y403" s="1029"/>
      <c r="Z403" s="939"/>
      <c r="AA403" s="1054"/>
      <c r="AB403" s="115"/>
      <c r="AC403" s="1029"/>
      <c r="AD403" s="939"/>
      <c r="AE403" s="1030"/>
    </row>
    <row r="404" spans="2:31" customFormat="1" ht="12.75" customHeight="1" x14ac:dyDescent="0.2">
      <c r="B404" s="1351"/>
      <c r="C404" s="939"/>
      <c r="D404" s="939"/>
      <c r="E404" s="1054"/>
      <c r="F404" s="1135" t="s">
        <v>674</v>
      </c>
      <c r="G404" s="1050"/>
      <c r="H404" s="115"/>
      <c r="I404" s="1029"/>
      <c r="J404" s="939"/>
      <c r="K404" s="1054"/>
      <c r="L404" s="115"/>
      <c r="M404" s="1358"/>
      <c r="N404" s="1359"/>
      <c r="O404" s="1360"/>
      <c r="P404" s="115">
        <v>70</v>
      </c>
      <c r="Q404" s="1029"/>
      <c r="R404" s="939"/>
      <c r="S404" s="1054"/>
      <c r="T404" s="115">
        <v>2.64</v>
      </c>
      <c r="U404" s="1029"/>
      <c r="V404" s="939"/>
      <c r="W404" s="1054"/>
      <c r="X404" s="115"/>
      <c r="Y404" s="1029"/>
      <c r="Z404" s="939"/>
      <c r="AA404" s="1054"/>
      <c r="AB404" s="115"/>
      <c r="AC404" s="1029"/>
      <c r="AD404" s="939"/>
      <c r="AE404" s="1030"/>
    </row>
    <row r="405" spans="2:31" customFormat="1" ht="12.75" customHeight="1" x14ac:dyDescent="0.2">
      <c r="B405" s="1351"/>
      <c r="C405" s="939"/>
      <c r="D405" s="939"/>
      <c r="E405" s="1054"/>
      <c r="F405" s="1135" t="s">
        <v>687</v>
      </c>
      <c r="G405" s="1050"/>
      <c r="H405" s="115"/>
      <c r="I405" s="1029"/>
      <c r="J405" s="939"/>
      <c r="K405" s="1054"/>
      <c r="L405" s="115"/>
      <c r="M405" s="1358"/>
      <c r="N405" s="1359"/>
      <c r="O405" s="1360"/>
      <c r="P405" s="115"/>
      <c r="Q405" s="1029"/>
      <c r="R405" s="939"/>
      <c r="S405" s="1054"/>
      <c r="T405" s="115"/>
      <c r="U405" s="1029"/>
      <c r="V405" s="939"/>
      <c r="W405" s="1054"/>
      <c r="X405" s="115"/>
      <c r="Y405" s="1029"/>
      <c r="Z405" s="939"/>
      <c r="AA405" s="1054"/>
      <c r="AB405" s="115"/>
      <c r="AC405" s="1029"/>
      <c r="AD405" s="939"/>
      <c r="AE405" s="1030"/>
    </row>
    <row r="406" spans="2:31" customFormat="1" ht="12.75" customHeight="1" x14ac:dyDescent="0.2">
      <c r="B406" s="1351"/>
      <c r="C406" s="939"/>
      <c r="D406" s="939"/>
      <c r="E406" s="1054"/>
      <c r="F406" s="1135" t="s">
        <v>676</v>
      </c>
      <c r="G406" s="1050"/>
      <c r="H406" s="115"/>
      <c r="I406" s="1029"/>
      <c r="J406" s="939"/>
      <c r="K406" s="1054"/>
      <c r="L406" s="115"/>
      <c r="M406" s="1358"/>
      <c r="N406" s="1359"/>
      <c r="O406" s="1360"/>
      <c r="P406" s="115"/>
      <c r="Q406" s="1029"/>
      <c r="R406" s="939"/>
      <c r="S406" s="1054"/>
      <c r="T406" s="115"/>
      <c r="U406" s="1029"/>
      <c r="V406" s="939"/>
      <c r="W406" s="1054"/>
      <c r="X406" s="115"/>
      <c r="Y406" s="1029"/>
      <c r="Z406" s="939"/>
      <c r="AA406" s="1054"/>
      <c r="AB406" s="115"/>
      <c r="AC406" s="1029"/>
      <c r="AD406" s="939"/>
      <c r="AE406" s="1030"/>
    </row>
    <row r="407" spans="2:31" customFormat="1" ht="12.75" customHeight="1" x14ac:dyDescent="0.2">
      <c r="B407" s="1351"/>
      <c r="C407" s="939"/>
      <c r="D407" s="939"/>
      <c r="E407" s="1054"/>
      <c r="F407" s="1135" t="s">
        <v>677</v>
      </c>
      <c r="G407" s="1050"/>
      <c r="H407" s="115"/>
      <c r="I407" s="1029"/>
      <c r="J407" s="939"/>
      <c r="K407" s="1054"/>
      <c r="L407" s="115"/>
      <c r="M407" s="1358"/>
      <c r="N407" s="1359"/>
      <c r="O407" s="1360"/>
      <c r="P407" s="115"/>
      <c r="Q407" s="1029"/>
      <c r="R407" s="939"/>
      <c r="S407" s="1054"/>
      <c r="T407" s="115"/>
      <c r="U407" s="1029"/>
      <c r="V407" s="939"/>
      <c r="W407" s="1054"/>
      <c r="X407" s="115"/>
      <c r="Y407" s="1029"/>
      <c r="Z407" s="939"/>
      <c r="AA407" s="1054"/>
      <c r="AB407" s="115"/>
      <c r="AC407" s="1029"/>
      <c r="AD407" s="939"/>
      <c r="AE407" s="1030"/>
    </row>
    <row r="408" spans="2:31" customFormat="1" ht="12.75" customHeight="1" x14ac:dyDescent="0.2">
      <c r="B408" s="1351"/>
      <c r="C408" s="939"/>
      <c r="D408" s="939"/>
      <c r="E408" s="1054"/>
      <c r="F408" s="1135" t="s">
        <v>678</v>
      </c>
      <c r="G408" s="1050"/>
      <c r="H408" s="115"/>
      <c r="I408" s="1029"/>
      <c r="J408" s="939"/>
      <c r="K408" s="1054"/>
      <c r="L408" s="115"/>
      <c r="M408" s="1358"/>
      <c r="N408" s="1359"/>
      <c r="O408" s="1360"/>
      <c r="P408" s="115"/>
      <c r="Q408" s="1029"/>
      <c r="R408" s="939"/>
      <c r="S408" s="1054"/>
      <c r="T408" s="115"/>
      <c r="U408" s="1029"/>
      <c r="V408" s="939"/>
      <c r="W408" s="1054"/>
      <c r="X408" s="115"/>
      <c r="Y408" s="1029"/>
      <c r="Z408" s="939"/>
      <c r="AA408" s="1054"/>
      <c r="AB408" s="115"/>
      <c r="AC408" s="1029"/>
      <c r="AD408" s="939"/>
      <c r="AE408" s="1030"/>
    </row>
    <row r="409" spans="2:31" customFormat="1" ht="12.75" customHeight="1" x14ac:dyDescent="0.2">
      <c r="B409" s="1351"/>
      <c r="C409" s="939"/>
      <c r="D409" s="939"/>
      <c r="E409" s="1054"/>
      <c r="F409" s="1135" t="s">
        <v>679</v>
      </c>
      <c r="G409" s="1050"/>
      <c r="H409" s="115"/>
      <c r="I409" s="1029"/>
      <c r="J409" s="939"/>
      <c r="K409" s="1054"/>
      <c r="L409" s="115"/>
      <c r="M409" s="1358"/>
      <c r="N409" s="1359"/>
      <c r="O409" s="1360"/>
      <c r="P409" s="115"/>
      <c r="Q409" s="1029"/>
      <c r="R409" s="939"/>
      <c r="S409" s="1054"/>
      <c r="T409" s="115"/>
      <c r="U409" s="1029"/>
      <c r="V409" s="939"/>
      <c r="W409" s="1054"/>
      <c r="X409" s="115"/>
      <c r="Y409" s="1029"/>
      <c r="Z409" s="939"/>
      <c r="AA409" s="1054"/>
      <c r="AB409" s="115"/>
      <c r="AC409" s="1029"/>
      <c r="AD409" s="939"/>
      <c r="AE409" s="1030"/>
    </row>
    <row r="410" spans="2:31" customFormat="1" ht="12.75" customHeight="1" x14ac:dyDescent="0.2">
      <c r="B410" s="1352"/>
      <c r="C410" s="1032"/>
      <c r="D410" s="1032"/>
      <c r="E410" s="1055"/>
      <c r="F410" s="1135" t="s">
        <v>680</v>
      </c>
      <c r="G410" s="1050"/>
      <c r="H410" s="115"/>
      <c r="I410" s="1031"/>
      <c r="J410" s="1032"/>
      <c r="K410" s="1055"/>
      <c r="L410" s="115"/>
      <c r="M410" s="1361"/>
      <c r="N410" s="1362"/>
      <c r="O410" s="1363"/>
      <c r="P410" s="115"/>
      <c r="Q410" s="1031"/>
      <c r="R410" s="1032"/>
      <c r="S410" s="1055"/>
      <c r="T410" s="115"/>
      <c r="U410" s="1031"/>
      <c r="V410" s="1032"/>
      <c r="W410" s="1055"/>
      <c r="X410" s="115"/>
      <c r="Y410" s="1031"/>
      <c r="Z410" s="1032"/>
      <c r="AA410" s="1055"/>
      <c r="AB410" s="115"/>
      <c r="AC410" s="1031"/>
      <c r="AD410" s="1032"/>
      <c r="AE410" s="1033"/>
    </row>
    <row r="411" spans="2:31" customFormat="1" ht="12.75" customHeight="1" x14ac:dyDescent="0.25">
      <c r="B411" s="463"/>
      <c r="C411" s="78"/>
      <c r="D411" s="78"/>
      <c r="E411" s="78"/>
      <c r="F411" s="78"/>
      <c r="G411" s="78"/>
      <c r="H411" s="78"/>
      <c r="I411" s="78"/>
      <c r="J411" s="78"/>
      <c r="K411" s="78"/>
      <c r="L411" s="78"/>
      <c r="M411" s="78"/>
      <c r="N411" s="78"/>
      <c r="O411" s="78"/>
      <c r="P411" s="78"/>
      <c r="Q411" s="78"/>
      <c r="R411" s="78"/>
      <c r="S411" s="78"/>
      <c r="T411" s="78"/>
      <c r="U411" s="78"/>
      <c r="V411" s="78"/>
      <c r="W411" s="78"/>
      <c r="X411" s="78"/>
      <c r="Y411" s="78"/>
      <c r="Z411" s="78"/>
      <c r="AA411" s="78"/>
      <c r="AB411" s="78"/>
      <c r="AC411" s="78"/>
      <c r="AD411" s="78"/>
      <c r="AE411" s="340"/>
    </row>
    <row r="412" spans="2:31" customFormat="1" ht="12.75" customHeight="1" x14ac:dyDescent="0.25">
      <c r="B412" s="1353" t="s">
        <v>38</v>
      </c>
      <c r="C412" s="1049"/>
      <c r="D412" s="4" t="s">
        <v>39</v>
      </c>
      <c r="E412" s="4" t="s">
        <v>40</v>
      </c>
      <c r="F412" s="1354" t="s">
        <v>673</v>
      </c>
      <c r="G412" s="1055"/>
      <c r="H412" s="1048" t="str">
        <f>$H$4</f>
        <v>BOCATOMA</v>
      </c>
      <c r="I412" s="1049"/>
      <c r="J412" s="1355"/>
      <c r="K412" s="1050"/>
      <c r="L412" s="1048" t="str">
        <f>$L$4</f>
        <v>DESARENADOR</v>
      </c>
      <c r="M412" s="1049"/>
      <c r="N412" s="1329" t="s">
        <v>1169</v>
      </c>
      <c r="O412" s="1050"/>
      <c r="P412" s="1048" t="str">
        <f>$P$4</f>
        <v>PLANTA</v>
      </c>
      <c r="Q412" s="1049"/>
      <c r="R412" s="1329"/>
      <c r="S412" s="1050"/>
      <c r="T412" s="1048" t="s">
        <v>884</v>
      </c>
      <c r="U412" s="1050"/>
      <c r="V412" s="1329"/>
      <c r="W412" s="1050"/>
      <c r="X412" s="1048" t="s">
        <v>1414</v>
      </c>
      <c r="Y412" s="1050"/>
      <c r="Z412" s="1329"/>
      <c r="AA412" s="1050"/>
      <c r="AB412" s="1048" t="s">
        <v>1421</v>
      </c>
      <c r="AC412" s="1050"/>
      <c r="AD412" s="1329"/>
      <c r="AE412" s="1330"/>
    </row>
    <row r="413" spans="2:31" customFormat="1" ht="12.75" customHeight="1" x14ac:dyDescent="0.2">
      <c r="B413" s="1350" t="str">
        <f>+'PTO OC PLIEGO'!B104:H104</f>
        <v>VÁLVULA DE BOLA HD DE 6" (INCLUYE INSTALACIÓN Y SUMINISTRO)</v>
      </c>
      <c r="C413" s="1052"/>
      <c r="D413" s="1052"/>
      <c r="E413" s="1053"/>
      <c r="F413" s="1135" t="s">
        <v>201</v>
      </c>
      <c r="G413" s="1050"/>
      <c r="H413" s="139"/>
      <c r="I413" s="1331" t="s">
        <v>885</v>
      </c>
      <c r="J413" s="1052"/>
      <c r="K413" s="1053"/>
      <c r="L413" s="139">
        <f>+L414</f>
        <v>0</v>
      </c>
      <c r="M413" s="1331" t="s">
        <v>885</v>
      </c>
      <c r="N413" s="1052"/>
      <c r="O413" s="1053"/>
      <c r="P413" s="115"/>
      <c r="Q413" s="1331" t="s">
        <v>885</v>
      </c>
      <c r="R413" s="1052"/>
      <c r="S413" s="1053"/>
      <c r="T413" s="139">
        <f>+T414</f>
        <v>1</v>
      </c>
      <c r="U413" s="1331"/>
      <c r="V413" s="1052"/>
      <c r="W413" s="1053"/>
      <c r="X413" s="139"/>
      <c r="Y413" s="1331" t="s">
        <v>885</v>
      </c>
      <c r="Z413" s="1052"/>
      <c r="AA413" s="1053"/>
      <c r="AB413" s="139"/>
      <c r="AC413" s="1331" t="s">
        <v>885</v>
      </c>
      <c r="AD413" s="1052"/>
      <c r="AE413" s="1332"/>
    </row>
    <row r="414" spans="2:31" customFormat="1" ht="12.75" customHeight="1" x14ac:dyDescent="0.2">
      <c r="B414" s="1351"/>
      <c r="C414" s="939"/>
      <c r="D414" s="939"/>
      <c r="E414" s="1054"/>
      <c r="F414" s="1135" t="s">
        <v>132</v>
      </c>
      <c r="G414" s="1050"/>
      <c r="H414" s="115"/>
      <c r="I414" s="1029"/>
      <c r="J414" s="939"/>
      <c r="K414" s="1054"/>
      <c r="L414" s="115"/>
      <c r="M414" s="1029"/>
      <c r="N414" s="939"/>
      <c r="O414" s="1054"/>
      <c r="P414" s="115"/>
      <c r="Q414" s="1029"/>
      <c r="R414" s="939"/>
      <c r="S414" s="1054"/>
      <c r="T414" s="115">
        <v>1</v>
      </c>
      <c r="U414" s="1029"/>
      <c r="V414" s="939"/>
      <c r="W414" s="1054"/>
      <c r="X414" s="115"/>
      <c r="Y414" s="1029"/>
      <c r="Z414" s="939"/>
      <c r="AA414" s="1054"/>
      <c r="AB414" s="115"/>
      <c r="AC414" s="1029"/>
      <c r="AD414" s="939"/>
      <c r="AE414" s="1030"/>
    </row>
    <row r="415" spans="2:31" customFormat="1" ht="12.75" customHeight="1" x14ac:dyDescent="0.2">
      <c r="B415" s="1351"/>
      <c r="C415" s="939"/>
      <c r="D415" s="939"/>
      <c r="E415" s="1054"/>
      <c r="F415" s="1135" t="s">
        <v>674</v>
      </c>
      <c r="G415" s="1050"/>
      <c r="H415" s="115"/>
      <c r="I415" s="1029"/>
      <c r="J415" s="939"/>
      <c r="K415" s="1054"/>
      <c r="L415" s="115"/>
      <c r="M415" s="1029"/>
      <c r="N415" s="939"/>
      <c r="O415" s="1054"/>
      <c r="P415" s="115"/>
      <c r="Q415" s="1029"/>
      <c r="R415" s="939"/>
      <c r="S415" s="1054"/>
      <c r="T415" s="115"/>
      <c r="U415" s="1029"/>
      <c r="V415" s="939"/>
      <c r="W415" s="1054"/>
      <c r="X415" s="115"/>
      <c r="Y415" s="1029"/>
      <c r="Z415" s="939"/>
      <c r="AA415" s="1054"/>
      <c r="AB415" s="115"/>
      <c r="AC415" s="1029"/>
      <c r="AD415" s="939"/>
      <c r="AE415" s="1030"/>
    </row>
    <row r="416" spans="2:31" customFormat="1" ht="12.75" customHeight="1" x14ac:dyDescent="0.2">
      <c r="B416" s="1351"/>
      <c r="C416" s="939"/>
      <c r="D416" s="939"/>
      <c r="E416" s="1054"/>
      <c r="F416" s="1135" t="s">
        <v>687</v>
      </c>
      <c r="G416" s="1050"/>
      <c r="H416" s="115"/>
      <c r="I416" s="1029"/>
      <c r="J416" s="939"/>
      <c r="K416" s="1054"/>
      <c r="L416" s="115"/>
      <c r="M416" s="1029"/>
      <c r="N416" s="939"/>
      <c r="O416" s="1054"/>
      <c r="P416" s="115"/>
      <c r="Q416" s="1029"/>
      <c r="R416" s="939"/>
      <c r="S416" s="1054"/>
      <c r="T416" s="115"/>
      <c r="U416" s="1029"/>
      <c r="V416" s="939"/>
      <c r="W416" s="1054"/>
      <c r="X416" s="115"/>
      <c r="Y416" s="1029"/>
      <c r="Z416" s="939"/>
      <c r="AA416" s="1054"/>
      <c r="AB416" s="115"/>
      <c r="AC416" s="1029"/>
      <c r="AD416" s="939"/>
      <c r="AE416" s="1030"/>
    </row>
    <row r="417" spans="2:31" customFormat="1" ht="12.75" customHeight="1" x14ac:dyDescent="0.2">
      <c r="B417" s="1351"/>
      <c r="C417" s="939"/>
      <c r="D417" s="939"/>
      <c r="E417" s="1054"/>
      <c r="F417" s="1135" t="s">
        <v>676</v>
      </c>
      <c r="G417" s="1050"/>
      <c r="H417" s="115"/>
      <c r="I417" s="1029"/>
      <c r="J417" s="939"/>
      <c r="K417" s="1054"/>
      <c r="L417" s="115"/>
      <c r="M417" s="1029"/>
      <c r="N417" s="939"/>
      <c r="O417" s="1054"/>
      <c r="P417" s="115"/>
      <c r="Q417" s="1029"/>
      <c r="R417" s="939"/>
      <c r="S417" s="1054"/>
      <c r="T417" s="115"/>
      <c r="U417" s="1029"/>
      <c r="V417" s="939"/>
      <c r="W417" s="1054"/>
      <c r="X417" s="115"/>
      <c r="Y417" s="1029"/>
      <c r="Z417" s="939"/>
      <c r="AA417" s="1054"/>
      <c r="AB417" s="115"/>
      <c r="AC417" s="1029"/>
      <c r="AD417" s="939"/>
      <c r="AE417" s="1030"/>
    </row>
    <row r="418" spans="2:31" customFormat="1" ht="12.75" customHeight="1" x14ac:dyDescent="0.2">
      <c r="B418" s="1351"/>
      <c r="C418" s="939"/>
      <c r="D418" s="939"/>
      <c r="E418" s="1054"/>
      <c r="F418" s="1135" t="s">
        <v>677</v>
      </c>
      <c r="G418" s="1050"/>
      <c r="H418" s="115"/>
      <c r="I418" s="1029"/>
      <c r="J418" s="939"/>
      <c r="K418" s="1054"/>
      <c r="L418" s="115"/>
      <c r="M418" s="1029"/>
      <c r="N418" s="939"/>
      <c r="O418" s="1054"/>
      <c r="P418" s="115"/>
      <c r="Q418" s="1029"/>
      <c r="R418" s="939"/>
      <c r="S418" s="1054"/>
      <c r="T418" s="115"/>
      <c r="U418" s="1029"/>
      <c r="V418" s="939"/>
      <c r="W418" s="1054"/>
      <c r="X418" s="115"/>
      <c r="Y418" s="1029"/>
      <c r="Z418" s="939"/>
      <c r="AA418" s="1054"/>
      <c r="AB418" s="115"/>
      <c r="AC418" s="1029"/>
      <c r="AD418" s="939"/>
      <c r="AE418" s="1030"/>
    </row>
    <row r="419" spans="2:31" customFormat="1" ht="12.75" customHeight="1" x14ac:dyDescent="0.2">
      <c r="B419" s="1351"/>
      <c r="C419" s="939"/>
      <c r="D419" s="939"/>
      <c r="E419" s="1054"/>
      <c r="F419" s="1135" t="s">
        <v>678</v>
      </c>
      <c r="G419" s="1050"/>
      <c r="H419" s="115"/>
      <c r="I419" s="1029"/>
      <c r="J419" s="939"/>
      <c r="K419" s="1054"/>
      <c r="L419" s="115"/>
      <c r="M419" s="1029"/>
      <c r="N419" s="939"/>
      <c r="O419" s="1054"/>
      <c r="P419" s="115"/>
      <c r="Q419" s="1029"/>
      <c r="R419" s="939"/>
      <c r="S419" s="1054"/>
      <c r="T419" s="115"/>
      <c r="U419" s="1029"/>
      <c r="V419" s="939"/>
      <c r="W419" s="1054"/>
      <c r="X419" s="115"/>
      <c r="Y419" s="1029"/>
      <c r="Z419" s="939"/>
      <c r="AA419" s="1054"/>
      <c r="AB419" s="115"/>
      <c r="AC419" s="1029"/>
      <c r="AD419" s="939"/>
      <c r="AE419" s="1030"/>
    </row>
    <row r="420" spans="2:31" customFormat="1" ht="12.75" customHeight="1" x14ac:dyDescent="0.2">
      <c r="B420" s="1351"/>
      <c r="C420" s="939"/>
      <c r="D420" s="939"/>
      <c r="E420" s="1054"/>
      <c r="F420" s="1135" t="s">
        <v>679</v>
      </c>
      <c r="G420" s="1050"/>
      <c r="H420" s="115"/>
      <c r="I420" s="1029"/>
      <c r="J420" s="939"/>
      <c r="K420" s="1054"/>
      <c r="L420" s="115"/>
      <c r="M420" s="1029"/>
      <c r="N420" s="939"/>
      <c r="O420" s="1054"/>
      <c r="P420" s="115"/>
      <c r="Q420" s="1029"/>
      <c r="R420" s="939"/>
      <c r="S420" s="1054"/>
      <c r="T420" s="115"/>
      <c r="U420" s="1029"/>
      <c r="V420" s="939"/>
      <c r="W420" s="1054"/>
      <c r="X420" s="115"/>
      <c r="Y420" s="1029"/>
      <c r="Z420" s="939"/>
      <c r="AA420" s="1054"/>
      <c r="AB420" s="115"/>
      <c r="AC420" s="1029"/>
      <c r="AD420" s="939"/>
      <c r="AE420" s="1030"/>
    </row>
    <row r="421" spans="2:31" customFormat="1" ht="12.75" customHeight="1" x14ac:dyDescent="0.2">
      <c r="B421" s="1352"/>
      <c r="C421" s="1032"/>
      <c r="D421" s="1032"/>
      <c r="E421" s="1055"/>
      <c r="F421" s="1135" t="s">
        <v>680</v>
      </c>
      <c r="G421" s="1050"/>
      <c r="H421" s="115"/>
      <c r="I421" s="1031"/>
      <c r="J421" s="1032"/>
      <c r="K421" s="1055"/>
      <c r="L421" s="115"/>
      <c r="M421" s="1031"/>
      <c r="N421" s="1032"/>
      <c r="O421" s="1055"/>
      <c r="P421" s="115"/>
      <c r="Q421" s="1031"/>
      <c r="R421" s="1032"/>
      <c r="S421" s="1055"/>
      <c r="T421" s="115"/>
      <c r="U421" s="1031"/>
      <c r="V421" s="1032"/>
      <c r="W421" s="1055"/>
      <c r="X421" s="115"/>
      <c r="Y421" s="1031"/>
      <c r="Z421" s="1032"/>
      <c r="AA421" s="1055"/>
      <c r="AB421" s="115"/>
      <c r="AC421" s="1031"/>
      <c r="AD421" s="1032"/>
      <c r="AE421" s="1033"/>
    </row>
    <row r="422" spans="2:31" customFormat="1" ht="12.75" customHeight="1" x14ac:dyDescent="0.25">
      <c r="B422" s="463"/>
      <c r="C422" s="78"/>
      <c r="D422" s="78"/>
      <c r="E422" s="78"/>
      <c r="F422" s="78"/>
      <c r="G422" s="78"/>
      <c r="H422" s="78"/>
      <c r="I422" s="78"/>
      <c r="J422" s="78"/>
      <c r="K422" s="78"/>
      <c r="L422" s="78"/>
      <c r="M422" s="78"/>
      <c r="N422" s="78"/>
      <c r="O422" s="78"/>
      <c r="P422" s="78"/>
      <c r="Q422" s="78"/>
      <c r="R422" s="78"/>
      <c r="S422" s="78"/>
      <c r="T422" s="78"/>
      <c r="U422" s="78"/>
      <c r="V422" s="78"/>
      <c r="W422" s="78"/>
      <c r="X422" s="78"/>
      <c r="Y422" s="78"/>
      <c r="Z422" s="78"/>
      <c r="AA422" s="78"/>
      <c r="AB422" s="78"/>
      <c r="AC422" s="78"/>
      <c r="AD422" s="78"/>
      <c r="AE422" s="340"/>
    </row>
    <row r="423" spans="2:31" customFormat="1" ht="12.75" customHeight="1" x14ac:dyDescent="0.25">
      <c r="B423" s="1353" t="s">
        <v>38</v>
      </c>
      <c r="C423" s="1049"/>
      <c r="D423" s="4" t="s">
        <v>39</v>
      </c>
      <c r="E423" s="4" t="s">
        <v>40</v>
      </c>
      <c r="F423" s="1354" t="s">
        <v>673</v>
      </c>
      <c r="G423" s="1055"/>
      <c r="H423" s="1048" t="str">
        <f>$H$4</f>
        <v>BOCATOMA</v>
      </c>
      <c r="I423" s="1049"/>
      <c r="J423" s="1355"/>
      <c r="K423" s="1050"/>
      <c r="L423" s="1048" t="str">
        <f>$L$4</f>
        <v>DESARENADOR</v>
      </c>
      <c r="M423" s="1049"/>
      <c r="N423" s="1329"/>
      <c r="O423" s="1050"/>
      <c r="P423" s="1048" t="str">
        <f>$P$4</f>
        <v>PLANTA</v>
      </c>
      <c r="Q423" s="1049"/>
      <c r="R423" s="1329" t="s">
        <v>113</v>
      </c>
      <c r="S423" s="1050"/>
      <c r="T423" s="1048" t="s">
        <v>884</v>
      </c>
      <c r="U423" s="1050"/>
      <c r="V423" s="1329"/>
      <c r="W423" s="1050"/>
      <c r="X423" s="1048" t="s">
        <v>1414</v>
      </c>
      <c r="Y423" s="1050"/>
      <c r="Z423" s="1329"/>
      <c r="AA423" s="1050"/>
      <c r="AB423" s="1048" t="s">
        <v>1421</v>
      </c>
      <c r="AC423" s="1050"/>
      <c r="AD423" s="1329"/>
      <c r="AE423" s="1330"/>
    </row>
    <row r="424" spans="2:31" customFormat="1" ht="12.75" customHeight="1" x14ac:dyDescent="0.2">
      <c r="B424" s="1350" t="str">
        <f>+'PTO OC PLIEGO'!B106:H106</f>
        <v>CODO 90° PVC 6" (INCLUYE INSTALACIÓN Y SUMINISTRO)</v>
      </c>
      <c r="C424" s="1052"/>
      <c r="D424" s="1052"/>
      <c r="E424" s="1053"/>
      <c r="F424" s="1135" t="s">
        <v>201</v>
      </c>
      <c r="G424" s="1050"/>
      <c r="H424" s="139"/>
      <c r="I424" s="1331" t="s">
        <v>885</v>
      </c>
      <c r="J424" s="1052"/>
      <c r="K424" s="1053"/>
      <c r="L424" s="139"/>
      <c r="M424" s="1331" t="s">
        <v>885</v>
      </c>
      <c r="N424" s="1052"/>
      <c r="O424" s="1053"/>
      <c r="P424" s="139">
        <f>+P425</f>
        <v>0</v>
      </c>
      <c r="Q424" s="1331" t="s">
        <v>885</v>
      </c>
      <c r="R424" s="1052"/>
      <c r="S424" s="1053"/>
      <c r="T424" s="139">
        <f>+T425</f>
        <v>5</v>
      </c>
      <c r="U424" s="1331"/>
      <c r="V424" s="1052"/>
      <c r="W424" s="1053"/>
      <c r="X424" s="139"/>
      <c r="Y424" s="1331" t="s">
        <v>885</v>
      </c>
      <c r="Z424" s="1052"/>
      <c r="AA424" s="1053"/>
      <c r="AB424" s="139"/>
      <c r="AC424" s="1331" t="s">
        <v>885</v>
      </c>
      <c r="AD424" s="1052"/>
      <c r="AE424" s="1332"/>
    </row>
    <row r="425" spans="2:31" customFormat="1" ht="12.75" customHeight="1" x14ac:dyDescent="0.2">
      <c r="B425" s="1351"/>
      <c r="C425" s="939"/>
      <c r="D425" s="939"/>
      <c r="E425" s="1054"/>
      <c r="F425" s="1135" t="s">
        <v>132</v>
      </c>
      <c r="G425" s="1050"/>
      <c r="H425" s="115"/>
      <c r="I425" s="1029"/>
      <c r="J425" s="939"/>
      <c r="K425" s="1054"/>
      <c r="L425" s="115"/>
      <c r="M425" s="1029"/>
      <c r="N425" s="939"/>
      <c r="O425" s="1054"/>
      <c r="P425" s="115"/>
      <c r="Q425" s="1029"/>
      <c r="R425" s="939"/>
      <c r="S425" s="1054"/>
      <c r="T425" s="115">
        <v>5</v>
      </c>
      <c r="U425" s="1029"/>
      <c r="V425" s="939"/>
      <c r="W425" s="1054"/>
      <c r="X425" s="115"/>
      <c r="Y425" s="1029"/>
      <c r="Z425" s="939"/>
      <c r="AA425" s="1054"/>
      <c r="AB425" s="115"/>
      <c r="AC425" s="1029"/>
      <c r="AD425" s="939"/>
      <c r="AE425" s="1030"/>
    </row>
    <row r="426" spans="2:31" customFormat="1" ht="12.75" customHeight="1" x14ac:dyDescent="0.2">
      <c r="B426" s="1351"/>
      <c r="C426" s="939"/>
      <c r="D426" s="939"/>
      <c r="E426" s="1054"/>
      <c r="F426" s="1135" t="s">
        <v>674</v>
      </c>
      <c r="G426" s="1050"/>
      <c r="H426" s="115"/>
      <c r="I426" s="1029"/>
      <c r="J426" s="939"/>
      <c r="K426" s="1054"/>
      <c r="L426" s="115"/>
      <c r="M426" s="1029"/>
      <c r="N426" s="939"/>
      <c r="O426" s="1054"/>
      <c r="P426" s="115"/>
      <c r="Q426" s="1029"/>
      <c r="R426" s="939"/>
      <c r="S426" s="1054"/>
      <c r="T426" s="115"/>
      <c r="U426" s="1029"/>
      <c r="V426" s="939"/>
      <c r="W426" s="1054"/>
      <c r="X426" s="115"/>
      <c r="Y426" s="1029"/>
      <c r="Z426" s="939"/>
      <c r="AA426" s="1054"/>
      <c r="AB426" s="115"/>
      <c r="AC426" s="1029"/>
      <c r="AD426" s="939"/>
      <c r="AE426" s="1030"/>
    </row>
    <row r="427" spans="2:31" customFormat="1" ht="12.75" customHeight="1" x14ac:dyDescent="0.2">
      <c r="B427" s="1351"/>
      <c r="C427" s="939"/>
      <c r="D427" s="939"/>
      <c r="E427" s="1054"/>
      <c r="F427" s="1135" t="s">
        <v>675</v>
      </c>
      <c r="G427" s="1050"/>
      <c r="H427" s="115"/>
      <c r="I427" s="1029"/>
      <c r="J427" s="939"/>
      <c r="K427" s="1054"/>
      <c r="L427" s="115"/>
      <c r="M427" s="1029"/>
      <c r="N427" s="939"/>
      <c r="O427" s="1054"/>
      <c r="P427" s="115"/>
      <c r="Q427" s="1029"/>
      <c r="R427" s="939"/>
      <c r="S427" s="1054"/>
      <c r="T427" s="115"/>
      <c r="U427" s="1029"/>
      <c r="V427" s="939"/>
      <c r="W427" s="1054"/>
      <c r="X427" s="115"/>
      <c r="Y427" s="1029"/>
      <c r="Z427" s="939"/>
      <c r="AA427" s="1054"/>
      <c r="AB427" s="115"/>
      <c r="AC427" s="1029"/>
      <c r="AD427" s="939"/>
      <c r="AE427" s="1030"/>
    </row>
    <row r="428" spans="2:31" customFormat="1" ht="12.75" customHeight="1" x14ac:dyDescent="0.2">
      <c r="B428" s="1351"/>
      <c r="C428" s="939"/>
      <c r="D428" s="939"/>
      <c r="E428" s="1054"/>
      <c r="F428" s="1135" t="s">
        <v>676</v>
      </c>
      <c r="G428" s="1050"/>
      <c r="H428" s="115"/>
      <c r="I428" s="1029"/>
      <c r="J428" s="939"/>
      <c r="K428" s="1054"/>
      <c r="L428" s="115"/>
      <c r="M428" s="1029"/>
      <c r="N428" s="939"/>
      <c r="O428" s="1054"/>
      <c r="P428" s="115"/>
      <c r="Q428" s="1029"/>
      <c r="R428" s="939"/>
      <c r="S428" s="1054"/>
      <c r="T428" s="115"/>
      <c r="U428" s="1029"/>
      <c r="V428" s="939"/>
      <c r="W428" s="1054"/>
      <c r="X428" s="115"/>
      <c r="Y428" s="1029"/>
      <c r="Z428" s="939"/>
      <c r="AA428" s="1054"/>
      <c r="AB428" s="115"/>
      <c r="AC428" s="1029"/>
      <c r="AD428" s="939"/>
      <c r="AE428" s="1030"/>
    </row>
    <row r="429" spans="2:31" customFormat="1" ht="12.75" customHeight="1" x14ac:dyDescent="0.2">
      <c r="B429" s="1351"/>
      <c r="C429" s="939"/>
      <c r="D429" s="939"/>
      <c r="E429" s="1054"/>
      <c r="F429" s="1135" t="s">
        <v>677</v>
      </c>
      <c r="G429" s="1050"/>
      <c r="H429" s="115"/>
      <c r="I429" s="1029"/>
      <c r="J429" s="939"/>
      <c r="K429" s="1054"/>
      <c r="L429" s="115"/>
      <c r="M429" s="1029"/>
      <c r="N429" s="939"/>
      <c r="O429" s="1054"/>
      <c r="P429" s="115"/>
      <c r="Q429" s="1029"/>
      <c r="R429" s="939"/>
      <c r="S429" s="1054"/>
      <c r="T429" s="115"/>
      <c r="U429" s="1029"/>
      <c r="V429" s="939"/>
      <c r="W429" s="1054"/>
      <c r="X429" s="115"/>
      <c r="Y429" s="1029"/>
      <c r="Z429" s="939"/>
      <c r="AA429" s="1054"/>
      <c r="AB429" s="115"/>
      <c r="AC429" s="1029"/>
      <c r="AD429" s="939"/>
      <c r="AE429" s="1030"/>
    </row>
    <row r="430" spans="2:31" customFormat="1" ht="12.75" customHeight="1" x14ac:dyDescent="0.2">
      <c r="B430" s="1351"/>
      <c r="C430" s="939"/>
      <c r="D430" s="939"/>
      <c r="E430" s="1054"/>
      <c r="F430" s="1135" t="s">
        <v>678</v>
      </c>
      <c r="G430" s="1050"/>
      <c r="H430" s="115"/>
      <c r="I430" s="1029"/>
      <c r="J430" s="939"/>
      <c r="K430" s="1054"/>
      <c r="L430" s="115"/>
      <c r="M430" s="1029"/>
      <c r="N430" s="939"/>
      <c r="O430" s="1054"/>
      <c r="P430" s="115"/>
      <c r="Q430" s="1029"/>
      <c r="R430" s="939"/>
      <c r="S430" s="1054"/>
      <c r="T430" s="115"/>
      <c r="U430" s="1029"/>
      <c r="V430" s="939"/>
      <c r="W430" s="1054"/>
      <c r="X430" s="115"/>
      <c r="Y430" s="1029"/>
      <c r="Z430" s="939"/>
      <c r="AA430" s="1054"/>
      <c r="AB430" s="115"/>
      <c r="AC430" s="1029"/>
      <c r="AD430" s="939"/>
      <c r="AE430" s="1030"/>
    </row>
    <row r="431" spans="2:31" customFormat="1" ht="12.75" customHeight="1" x14ac:dyDescent="0.2">
      <c r="B431" s="1351"/>
      <c r="C431" s="939"/>
      <c r="D431" s="939"/>
      <c r="E431" s="1054"/>
      <c r="F431" s="1135" t="s">
        <v>679</v>
      </c>
      <c r="G431" s="1050"/>
      <c r="H431" s="115"/>
      <c r="I431" s="1029"/>
      <c r="J431" s="939"/>
      <c r="K431" s="1054"/>
      <c r="L431" s="115"/>
      <c r="M431" s="1029"/>
      <c r="N431" s="939"/>
      <c r="O431" s="1054"/>
      <c r="P431" s="115"/>
      <c r="Q431" s="1029"/>
      <c r="R431" s="939"/>
      <c r="S431" s="1054"/>
      <c r="T431" s="115"/>
      <c r="U431" s="1029"/>
      <c r="V431" s="939"/>
      <c r="W431" s="1054"/>
      <c r="X431" s="115"/>
      <c r="Y431" s="1029"/>
      <c r="Z431" s="939"/>
      <c r="AA431" s="1054"/>
      <c r="AB431" s="115"/>
      <c r="AC431" s="1029"/>
      <c r="AD431" s="939"/>
      <c r="AE431" s="1030"/>
    </row>
    <row r="432" spans="2:31" customFormat="1" ht="12.75" customHeight="1" x14ac:dyDescent="0.2">
      <c r="B432" s="1352"/>
      <c r="C432" s="1032"/>
      <c r="D432" s="1032"/>
      <c r="E432" s="1055"/>
      <c r="F432" s="1135" t="s">
        <v>680</v>
      </c>
      <c r="G432" s="1050"/>
      <c r="H432" s="115"/>
      <c r="I432" s="1031"/>
      <c r="J432" s="1032"/>
      <c r="K432" s="1055"/>
      <c r="L432" s="115"/>
      <c r="M432" s="1031"/>
      <c r="N432" s="1032"/>
      <c r="O432" s="1055"/>
      <c r="P432" s="115"/>
      <c r="Q432" s="1031"/>
      <c r="R432" s="1032"/>
      <c r="S432" s="1055"/>
      <c r="T432" s="115"/>
      <c r="U432" s="1031"/>
      <c r="V432" s="1032"/>
      <c r="W432" s="1055"/>
      <c r="X432" s="115"/>
      <c r="Y432" s="1031"/>
      <c r="Z432" s="1032"/>
      <c r="AA432" s="1055"/>
      <c r="AB432" s="115"/>
      <c r="AC432" s="1031"/>
      <c r="AD432" s="1032"/>
      <c r="AE432" s="1033"/>
    </row>
    <row r="433" spans="2:31" customFormat="1" ht="12.75" customHeight="1" x14ac:dyDescent="0.25">
      <c r="B433" s="463"/>
      <c r="C433" s="78"/>
      <c r="D433" s="78"/>
      <c r="E433" s="78"/>
      <c r="F433" s="78"/>
      <c r="G433" s="78"/>
      <c r="H433" s="78"/>
      <c r="I433" s="78"/>
      <c r="J433" s="78"/>
      <c r="K433" s="78"/>
      <c r="L433" s="78"/>
      <c r="M433" s="78"/>
      <c r="N433" s="78"/>
      <c r="O433" s="78"/>
      <c r="P433" s="78"/>
      <c r="Q433" s="78"/>
      <c r="R433" s="78"/>
      <c r="S433" s="78"/>
      <c r="T433" s="78"/>
      <c r="U433" s="78"/>
      <c r="V433" s="78"/>
      <c r="W433" s="78"/>
      <c r="X433" s="78"/>
      <c r="Y433" s="78"/>
      <c r="Z433" s="78"/>
      <c r="AA433" s="78"/>
      <c r="AB433" s="78"/>
      <c r="AC433" s="78"/>
      <c r="AD433" s="78"/>
      <c r="AE433" s="340"/>
    </row>
    <row r="434" spans="2:31" customFormat="1" ht="12.75" customHeight="1" x14ac:dyDescent="0.25">
      <c r="B434" s="1353" t="s">
        <v>38</v>
      </c>
      <c r="C434" s="1049"/>
      <c r="D434" s="4" t="s">
        <v>39</v>
      </c>
      <c r="E434" s="109" t="s">
        <v>424</v>
      </c>
      <c r="F434" s="1354" t="s">
        <v>673</v>
      </c>
      <c r="G434" s="1055"/>
      <c r="H434" s="1048" t="str">
        <f>$H$4</f>
        <v>BOCATOMA</v>
      </c>
      <c r="I434" s="1049"/>
      <c r="J434" s="1355"/>
      <c r="K434" s="1050"/>
      <c r="L434" s="1048" t="str">
        <f>$L$4</f>
        <v>DESARENADOR</v>
      </c>
      <c r="M434" s="1049"/>
      <c r="N434" s="1329"/>
      <c r="O434" s="1050"/>
      <c r="P434" s="1048" t="str">
        <f>$P$4</f>
        <v>PLANTA</v>
      </c>
      <c r="Q434" s="1049"/>
      <c r="R434" s="1329" t="s">
        <v>114</v>
      </c>
      <c r="S434" s="1050"/>
      <c r="T434" s="1048" t="s">
        <v>884</v>
      </c>
      <c r="U434" s="1050"/>
      <c r="V434" s="1329"/>
      <c r="W434" s="1050"/>
      <c r="X434" s="1048" t="s">
        <v>1414</v>
      </c>
      <c r="Y434" s="1050"/>
      <c r="Z434" s="1329"/>
      <c r="AA434" s="1050"/>
      <c r="AB434" s="1048" t="s">
        <v>1421</v>
      </c>
      <c r="AC434" s="1050"/>
      <c r="AD434" s="1329"/>
      <c r="AE434" s="1330"/>
    </row>
    <row r="435" spans="2:31" customFormat="1" ht="12.75" customHeight="1" x14ac:dyDescent="0.2">
      <c r="B435" s="1350" t="str">
        <f>+'PTO OC PLIEGO'!B107:H107</f>
        <v>VALVULA FLOTADOR TIPO DIAFRAGMA 2" (INCLUYE INSTALACIÓN Y SUMINISTRO)</v>
      </c>
      <c r="C435" s="1052"/>
      <c r="D435" s="1052"/>
      <c r="E435" s="1053"/>
      <c r="F435" s="1135" t="s">
        <v>201</v>
      </c>
      <c r="G435" s="1050"/>
      <c r="H435" s="139"/>
      <c r="I435" s="1331" t="s">
        <v>885</v>
      </c>
      <c r="J435" s="1052"/>
      <c r="K435" s="1053"/>
      <c r="L435" s="139"/>
      <c r="M435" s="1331" t="s">
        <v>885</v>
      </c>
      <c r="N435" s="1052"/>
      <c r="O435" s="1053"/>
      <c r="P435" s="139">
        <f>+P436</f>
        <v>0</v>
      </c>
      <c r="Q435" s="1331" t="s">
        <v>885</v>
      </c>
      <c r="R435" s="1052"/>
      <c r="S435" s="1053"/>
      <c r="T435" s="139">
        <f>+T436</f>
        <v>1</v>
      </c>
      <c r="U435" s="1331"/>
      <c r="V435" s="1052"/>
      <c r="W435" s="1053"/>
      <c r="X435" s="139"/>
      <c r="Y435" s="1331" t="s">
        <v>885</v>
      </c>
      <c r="Z435" s="1052"/>
      <c r="AA435" s="1053"/>
      <c r="AB435" s="139"/>
      <c r="AC435" s="1331" t="s">
        <v>885</v>
      </c>
      <c r="AD435" s="1052"/>
      <c r="AE435" s="1332"/>
    </row>
    <row r="436" spans="2:31" customFormat="1" ht="12.75" customHeight="1" x14ac:dyDescent="0.2">
      <c r="B436" s="1351"/>
      <c r="C436" s="939"/>
      <c r="D436" s="939"/>
      <c r="E436" s="1054"/>
      <c r="F436" s="1135" t="s">
        <v>132</v>
      </c>
      <c r="G436" s="1050"/>
      <c r="H436" s="115"/>
      <c r="I436" s="1029"/>
      <c r="J436" s="939"/>
      <c r="K436" s="1054"/>
      <c r="L436" s="115"/>
      <c r="M436" s="1029"/>
      <c r="N436" s="939"/>
      <c r="O436" s="1054"/>
      <c r="P436" s="115"/>
      <c r="Q436" s="1029"/>
      <c r="R436" s="939"/>
      <c r="S436" s="1054"/>
      <c r="T436" s="115">
        <v>1</v>
      </c>
      <c r="U436" s="1029"/>
      <c r="V436" s="939"/>
      <c r="W436" s="1054"/>
      <c r="X436" s="115"/>
      <c r="Y436" s="1029"/>
      <c r="Z436" s="939"/>
      <c r="AA436" s="1054"/>
      <c r="AB436" s="115"/>
      <c r="AC436" s="1029"/>
      <c r="AD436" s="939"/>
      <c r="AE436" s="1030"/>
    </row>
    <row r="437" spans="2:31" customFormat="1" ht="12.75" customHeight="1" x14ac:dyDescent="0.2">
      <c r="B437" s="1351"/>
      <c r="C437" s="939"/>
      <c r="D437" s="939"/>
      <c r="E437" s="1054"/>
      <c r="F437" s="1135" t="s">
        <v>674</v>
      </c>
      <c r="G437" s="1050"/>
      <c r="H437" s="115"/>
      <c r="I437" s="1029"/>
      <c r="J437" s="939"/>
      <c r="K437" s="1054"/>
      <c r="L437" s="115"/>
      <c r="M437" s="1029"/>
      <c r="N437" s="939"/>
      <c r="O437" s="1054"/>
      <c r="P437" s="115"/>
      <c r="Q437" s="1029"/>
      <c r="R437" s="939"/>
      <c r="S437" s="1054"/>
      <c r="T437" s="115"/>
      <c r="U437" s="1029"/>
      <c r="V437" s="939"/>
      <c r="W437" s="1054"/>
      <c r="X437" s="115"/>
      <c r="Y437" s="1029"/>
      <c r="Z437" s="939"/>
      <c r="AA437" s="1054"/>
      <c r="AB437" s="115"/>
      <c r="AC437" s="1029"/>
      <c r="AD437" s="939"/>
      <c r="AE437" s="1030"/>
    </row>
    <row r="438" spans="2:31" customFormat="1" ht="12.75" customHeight="1" x14ac:dyDescent="0.2">
      <c r="B438" s="1351"/>
      <c r="C438" s="939"/>
      <c r="D438" s="939"/>
      <c r="E438" s="1054"/>
      <c r="F438" s="1135" t="s">
        <v>675</v>
      </c>
      <c r="G438" s="1050"/>
      <c r="H438" s="115"/>
      <c r="I438" s="1029"/>
      <c r="J438" s="939"/>
      <c r="K438" s="1054"/>
      <c r="L438" s="115"/>
      <c r="M438" s="1029"/>
      <c r="N438" s="939"/>
      <c r="O438" s="1054"/>
      <c r="P438" s="115"/>
      <c r="Q438" s="1029"/>
      <c r="R438" s="939"/>
      <c r="S438" s="1054"/>
      <c r="T438" s="115"/>
      <c r="U438" s="1029"/>
      <c r="V438" s="939"/>
      <c r="W438" s="1054"/>
      <c r="X438" s="115"/>
      <c r="Y438" s="1029"/>
      <c r="Z438" s="939"/>
      <c r="AA438" s="1054"/>
      <c r="AB438" s="115"/>
      <c r="AC438" s="1029"/>
      <c r="AD438" s="939"/>
      <c r="AE438" s="1030"/>
    </row>
    <row r="439" spans="2:31" customFormat="1" ht="12.75" customHeight="1" x14ac:dyDescent="0.2">
      <c r="B439" s="1351"/>
      <c r="C439" s="939"/>
      <c r="D439" s="939"/>
      <c r="E439" s="1054"/>
      <c r="F439" s="1135" t="s">
        <v>676</v>
      </c>
      <c r="G439" s="1050"/>
      <c r="H439" s="115"/>
      <c r="I439" s="1029"/>
      <c r="J439" s="939"/>
      <c r="K439" s="1054"/>
      <c r="L439" s="115"/>
      <c r="M439" s="1029"/>
      <c r="N439" s="939"/>
      <c r="O439" s="1054"/>
      <c r="P439" s="115"/>
      <c r="Q439" s="1029"/>
      <c r="R439" s="939"/>
      <c r="S439" s="1054"/>
      <c r="T439" s="115"/>
      <c r="U439" s="1029"/>
      <c r="V439" s="939"/>
      <c r="W439" s="1054"/>
      <c r="X439" s="115"/>
      <c r="Y439" s="1029"/>
      <c r="Z439" s="939"/>
      <c r="AA439" s="1054"/>
      <c r="AB439" s="115"/>
      <c r="AC439" s="1029"/>
      <c r="AD439" s="939"/>
      <c r="AE439" s="1030"/>
    </row>
    <row r="440" spans="2:31" customFormat="1" ht="12.75" customHeight="1" x14ac:dyDescent="0.2">
      <c r="B440" s="1351"/>
      <c r="C440" s="939"/>
      <c r="D440" s="939"/>
      <c r="E440" s="1054"/>
      <c r="F440" s="1135" t="s">
        <v>677</v>
      </c>
      <c r="G440" s="1050"/>
      <c r="H440" s="115"/>
      <c r="I440" s="1029"/>
      <c r="J440" s="939"/>
      <c r="K440" s="1054"/>
      <c r="L440" s="115"/>
      <c r="M440" s="1029"/>
      <c r="N440" s="939"/>
      <c r="O440" s="1054"/>
      <c r="P440" s="115"/>
      <c r="Q440" s="1029"/>
      <c r="R440" s="939"/>
      <c r="S440" s="1054"/>
      <c r="T440" s="115"/>
      <c r="U440" s="1029"/>
      <c r="V440" s="939"/>
      <c r="W440" s="1054"/>
      <c r="X440" s="115"/>
      <c r="Y440" s="1029"/>
      <c r="Z440" s="939"/>
      <c r="AA440" s="1054"/>
      <c r="AB440" s="115"/>
      <c r="AC440" s="1029"/>
      <c r="AD440" s="939"/>
      <c r="AE440" s="1030"/>
    </row>
    <row r="441" spans="2:31" customFormat="1" ht="12.75" customHeight="1" x14ac:dyDescent="0.2">
      <c r="B441" s="1351"/>
      <c r="C441" s="939"/>
      <c r="D441" s="939"/>
      <c r="E441" s="1054"/>
      <c r="F441" s="1135" t="s">
        <v>678</v>
      </c>
      <c r="G441" s="1050"/>
      <c r="H441" s="115"/>
      <c r="I441" s="1029"/>
      <c r="J441" s="939"/>
      <c r="K441" s="1054"/>
      <c r="L441" s="115"/>
      <c r="M441" s="1029"/>
      <c r="N441" s="939"/>
      <c r="O441" s="1054"/>
      <c r="P441" s="115"/>
      <c r="Q441" s="1029"/>
      <c r="R441" s="939"/>
      <c r="S441" s="1054"/>
      <c r="T441" s="115"/>
      <c r="U441" s="1029"/>
      <c r="V441" s="939"/>
      <c r="W441" s="1054"/>
      <c r="X441" s="115"/>
      <c r="Y441" s="1029"/>
      <c r="Z441" s="939"/>
      <c r="AA441" s="1054"/>
      <c r="AB441" s="115"/>
      <c r="AC441" s="1029"/>
      <c r="AD441" s="939"/>
      <c r="AE441" s="1030"/>
    </row>
    <row r="442" spans="2:31" customFormat="1" ht="12.75" customHeight="1" x14ac:dyDescent="0.2">
      <c r="B442" s="1351"/>
      <c r="C442" s="939"/>
      <c r="D442" s="939"/>
      <c r="E442" s="1054"/>
      <c r="F442" s="1135" t="s">
        <v>679</v>
      </c>
      <c r="G442" s="1050"/>
      <c r="H442" s="115"/>
      <c r="I442" s="1029"/>
      <c r="J442" s="939"/>
      <c r="K442" s="1054"/>
      <c r="L442" s="115"/>
      <c r="M442" s="1029"/>
      <c r="N442" s="939"/>
      <c r="O442" s="1054"/>
      <c r="P442" s="115"/>
      <c r="Q442" s="1029"/>
      <c r="R442" s="939"/>
      <c r="S442" s="1054"/>
      <c r="T442" s="115"/>
      <c r="U442" s="1029"/>
      <c r="V442" s="939"/>
      <c r="W442" s="1054"/>
      <c r="X442" s="115"/>
      <c r="Y442" s="1029"/>
      <c r="Z442" s="939"/>
      <c r="AA442" s="1054"/>
      <c r="AB442" s="115"/>
      <c r="AC442" s="1029"/>
      <c r="AD442" s="939"/>
      <c r="AE442" s="1030"/>
    </row>
    <row r="443" spans="2:31" customFormat="1" ht="12.75" customHeight="1" x14ac:dyDescent="0.2">
      <c r="B443" s="1352"/>
      <c r="C443" s="1032"/>
      <c r="D443" s="1032"/>
      <c r="E443" s="1055"/>
      <c r="F443" s="1135" t="s">
        <v>680</v>
      </c>
      <c r="G443" s="1050"/>
      <c r="H443" s="115"/>
      <c r="I443" s="1031"/>
      <c r="J443" s="1032"/>
      <c r="K443" s="1055"/>
      <c r="L443" s="115"/>
      <c r="M443" s="1031"/>
      <c r="N443" s="1032"/>
      <c r="O443" s="1055"/>
      <c r="P443" s="115"/>
      <c r="Q443" s="1031"/>
      <c r="R443" s="1032"/>
      <c r="S443" s="1055"/>
      <c r="T443" s="115"/>
      <c r="U443" s="1031"/>
      <c r="V443" s="1032"/>
      <c r="W443" s="1055"/>
      <c r="X443" s="115"/>
      <c r="Y443" s="1031"/>
      <c r="Z443" s="1032"/>
      <c r="AA443" s="1055"/>
      <c r="AB443" s="115"/>
      <c r="AC443" s="1031"/>
      <c r="AD443" s="1032"/>
      <c r="AE443" s="1033"/>
    </row>
    <row r="444" spans="2:31" customFormat="1" ht="12.75" customHeight="1" x14ac:dyDescent="0.25">
      <c r="B444" s="463"/>
      <c r="C444" s="78"/>
      <c r="D444" s="78"/>
      <c r="E444" s="78"/>
      <c r="F444" s="78"/>
      <c r="G444" s="78"/>
      <c r="H444" s="78"/>
      <c r="I444" s="78"/>
      <c r="J444" s="78"/>
      <c r="K444" s="78"/>
      <c r="L444" s="78"/>
      <c r="M444" s="78"/>
      <c r="N444" s="78"/>
      <c r="O444" s="78"/>
      <c r="P444" s="78"/>
      <c r="Q444" s="78"/>
      <c r="R444" s="78"/>
      <c r="S444" s="78"/>
      <c r="T444" s="78"/>
      <c r="U444" s="78"/>
      <c r="V444" s="78"/>
      <c r="W444" s="78"/>
      <c r="X444" s="78"/>
      <c r="Y444" s="78"/>
      <c r="Z444" s="78"/>
      <c r="AA444" s="78"/>
      <c r="AB444" s="78"/>
      <c r="AC444" s="78"/>
      <c r="AD444" s="78"/>
      <c r="AE444" s="340"/>
    </row>
    <row r="445" spans="2:31" customFormat="1" ht="12.75" customHeight="1" x14ac:dyDescent="0.25">
      <c r="B445" s="1353" t="s">
        <v>38</v>
      </c>
      <c r="C445" s="1049"/>
      <c r="D445" s="4" t="s">
        <v>39</v>
      </c>
      <c r="E445" s="109" t="s">
        <v>424</v>
      </c>
      <c r="F445" s="1354" t="s">
        <v>673</v>
      </c>
      <c r="G445" s="1055"/>
      <c r="H445" s="1048" t="str">
        <f>$H$4</f>
        <v>BOCATOMA</v>
      </c>
      <c r="I445" s="1049"/>
      <c r="J445" s="1355"/>
      <c r="K445" s="1050"/>
      <c r="L445" s="1048" t="str">
        <f>$L$4</f>
        <v>DESARENADOR</v>
      </c>
      <c r="M445" s="1049"/>
      <c r="N445" s="1329"/>
      <c r="O445" s="1050"/>
      <c r="P445" s="1048" t="str">
        <f>$P$4</f>
        <v>PLANTA</v>
      </c>
      <c r="Q445" s="1049"/>
      <c r="R445" s="1329"/>
      <c r="S445" s="1050"/>
      <c r="T445" s="1048" t="s">
        <v>884</v>
      </c>
      <c r="U445" s="1050"/>
      <c r="V445" s="1329" t="s">
        <v>1211</v>
      </c>
      <c r="W445" s="1050"/>
      <c r="X445" s="1048" t="s">
        <v>1414</v>
      </c>
      <c r="Y445" s="1050"/>
      <c r="Z445" s="1329"/>
      <c r="AA445" s="1050"/>
      <c r="AB445" s="1048" t="s">
        <v>1421</v>
      </c>
      <c r="AC445" s="1050"/>
      <c r="AD445" s="1329"/>
      <c r="AE445" s="1330"/>
    </row>
    <row r="446" spans="2:31" customFormat="1" ht="12.75" customHeight="1" x14ac:dyDescent="0.2">
      <c r="B446" s="1350" t="str">
        <f>+'PTO OC PLIEGO'!B108:H108</f>
        <v>VÁLVULA DE CONTROL HIDRÁULICO CIERRE Y APERTURA (INCLUYE INSTALACIÓN Y SUMINISTRO)</v>
      </c>
      <c r="C446" s="1052"/>
      <c r="D446" s="1052"/>
      <c r="E446" s="1053"/>
      <c r="F446" s="1135" t="s">
        <v>201</v>
      </c>
      <c r="G446" s="1050"/>
      <c r="H446" s="139"/>
      <c r="I446" s="1331" t="s">
        <v>885</v>
      </c>
      <c r="J446" s="1052"/>
      <c r="K446" s="1053"/>
      <c r="L446" s="139"/>
      <c r="M446" s="1331" t="s">
        <v>885</v>
      </c>
      <c r="N446" s="1052"/>
      <c r="O446" s="1053"/>
      <c r="P446" s="139"/>
      <c r="Q446" s="1331" t="s">
        <v>885</v>
      </c>
      <c r="R446" s="1052"/>
      <c r="S446" s="1053"/>
      <c r="T446" s="139">
        <f>+T447</f>
        <v>1</v>
      </c>
      <c r="U446" s="1331"/>
      <c r="V446" s="1052"/>
      <c r="W446" s="1053"/>
      <c r="X446" s="139"/>
      <c r="Y446" s="1331" t="s">
        <v>885</v>
      </c>
      <c r="Z446" s="1052"/>
      <c r="AA446" s="1053"/>
      <c r="AB446" s="139"/>
      <c r="AC446" s="1331" t="s">
        <v>885</v>
      </c>
      <c r="AD446" s="1052"/>
      <c r="AE446" s="1332"/>
    </row>
    <row r="447" spans="2:31" customFormat="1" ht="12.75" customHeight="1" x14ac:dyDescent="0.2">
      <c r="B447" s="1351"/>
      <c r="C447" s="939"/>
      <c r="D447" s="939"/>
      <c r="E447" s="1054"/>
      <c r="F447" s="1135" t="s">
        <v>132</v>
      </c>
      <c r="G447" s="1050"/>
      <c r="H447" s="115"/>
      <c r="I447" s="1029"/>
      <c r="J447" s="939"/>
      <c r="K447" s="1054"/>
      <c r="L447" s="115"/>
      <c r="M447" s="1029"/>
      <c r="N447" s="939"/>
      <c r="O447" s="1054"/>
      <c r="P447" s="115"/>
      <c r="Q447" s="1029"/>
      <c r="R447" s="939"/>
      <c r="S447" s="1054"/>
      <c r="T447" s="115">
        <v>1</v>
      </c>
      <c r="U447" s="1029"/>
      <c r="V447" s="939"/>
      <c r="W447" s="1054"/>
      <c r="X447" s="115"/>
      <c r="Y447" s="1029"/>
      <c r="Z447" s="939"/>
      <c r="AA447" s="1054"/>
      <c r="AB447" s="115"/>
      <c r="AC447" s="1029"/>
      <c r="AD447" s="939"/>
      <c r="AE447" s="1030"/>
    </row>
    <row r="448" spans="2:31" customFormat="1" ht="12.75" customHeight="1" x14ac:dyDescent="0.2">
      <c r="B448" s="1351"/>
      <c r="C448" s="939"/>
      <c r="D448" s="939"/>
      <c r="E448" s="1054"/>
      <c r="F448" s="1135" t="s">
        <v>674</v>
      </c>
      <c r="G448" s="1050"/>
      <c r="H448" s="115"/>
      <c r="I448" s="1029"/>
      <c r="J448" s="939"/>
      <c r="K448" s="1054"/>
      <c r="L448" s="115"/>
      <c r="M448" s="1029"/>
      <c r="N448" s="939"/>
      <c r="O448" s="1054"/>
      <c r="P448" s="115"/>
      <c r="Q448" s="1029"/>
      <c r="R448" s="939"/>
      <c r="S448" s="1054"/>
      <c r="T448" s="115"/>
      <c r="U448" s="1029"/>
      <c r="V448" s="939"/>
      <c r="W448" s="1054"/>
      <c r="X448" s="115"/>
      <c r="Y448" s="1029"/>
      <c r="Z448" s="939"/>
      <c r="AA448" s="1054"/>
      <c r="AB448" s="115"/>
      <c r="AC448" s="1029"/>
      <c r="AD448" s="939"/>
      <c r="AE448" s="1030"/>
    </row>
    <row r="449" spans="2:31" customFormat="1" ht="12.75" customHeight="1" x14ac:dyDescent="0.2">
      <c r="B449" s="1351"/>
      <c r="C449" s="939"/>
      <c r="D449" s="939"/>
      <c r="E449" s="1054"/>
      <c r="F449" s="1135" t="s">
        <v>675</v>
      </c>
      <c r="G449" s="1050"/>
      <c r="H449" s="115"/>
      <c r="I449" s="1029"/>
      <c r="J449" s="939"/>
      <c r="K449" s="1054"/>
      <c r="L449" s="115"/>
      <c r="M449" s="1029"/>
      <c r="N449" s="939"/>
      <c r="O449" s="1054"/>
      <c r="P449" s="115"/>
      <c r="Q449" s="1029"/>
      <c r="R449" s="939"/>
      <c r="S449" s="1054"/>
      <c r="T449" s="115"/>
      <c r="U449" s="1029"/>
      <c r="V449" s="939"/>
      <c r="W449" s="1054"/>
      <c r="X449" s="115"/>
      <c r="Y449" s="1029"/>
      <c r="Z449" s="939"/>
      <c r="AA449" s="1054"/>
      <c r="AB449" s="115"/>
      <c r="AC449" s="1029"/>
      <c r="AD449" s="939"/>
      <c r="AE449" s="1030"/>
    </row>
    <row r="450" spans="2:31" customFormat="1" ht="12.75" customHeight="1" x14ac:dyDescent="0.2">
      <c r="B450" s="1351"/>
      <c r="C450" s="939"/>
      <c r="D450" s="939"/>
      <c r="E450" s="1054"/>
      <c r="F450" s="1135" t="s">
        <v>676</v>
      </c>
      <c r="G450" s="1050"/>
      <c r="H450" s="115"/>
      <c r="I450" s="1029"/>
      <c r="J450" s="939"/>
      <c r="K450" s="1054"/>
      <c r="L450" s="115"/>
      <c r="M450" s="1029"/>
      <c r="N450" s="939"/>
      <c r="O450" s="1054"/>
      <c r="P450" s="115"/>
      <c r="Q450" s="1029"/>
      <c r="R450" s="939"/>
      <c r="S450" s="1054"/>
      <c r="T450" s="115"/>
      <c r="U450" s="1029"/>
      <c r="V450" s="939"/>
      <c r="W450" s="1054"/>
      <c r="X450" s="115"/>
      <c r="Y450" s="1029"/>
      <c r="Z450" s="939"/>
      <c r="AA450" s="1054"/>
      <c r="AB450" s="115"/>
      <c r="AC450" s="1029"/>
      <c r="AD450" s="939"/>
      <c r="AE450" s="1030"/>
    </row>
    <row r="451" spans="2:31" customFormat="1" ht="12.75" customHeight="1" x14ac:dyDescent="0.2">
      <c r="B451" s="1351"/>
      <c r="C451" s="939"/>
      <c r="D451" s="939"/>
      <c r="E451" s="1054"/>
      <c r="F451" s="1135" t="s">
        <v>677</v>
      </c>
      <c r="G451" s="1050"/>
      <c r="H451" s="115"/>
      <c r="I451" s="1029"/>
      <c r="J451" s="939"/>
      <c r="K451" s="1054"/>
      <c r="L451" s="115"/>
      <c r="M451" s="1029"/>
      <c r="N451" s="939"/>
      <c r="O451" s="1054"/>
      <c r="P451" s="115"/>
      <c r="Q451" s="1029"/>
      <c r="R451" s="939"/>
      <c r="S451" s="1054"/>
      <c r="T451" s="115"/>
      <c r="U451" s="1029"/>
      <c r="V451" s="939"/>
      <c r="W451" s="1054"/>
      <c r="X451" s="115"/>
      <c r="Y451" s="1029"/>
      <c r="Z451" s="939"/>
      <c r="AA451" s="1054"/>
      <c r="AB451" s="115"/>
      <c r="AC451" s="1029"/>
      <c r="AD451" s="939"/>
      <c r="AE451" s="1030"/>
    </row>
    <row r="452" spans="2:31" customFormat="1" ht="12.75" customHeight="1" x14ac:dyDescent="0.2">
      <c r="B452" s="1351"/>
      <c r="C452" s="939"/>
      <c r="D452" s="939"/>
      <c r="E452" s="1054"/>
      <c r="F452" s="1135" t="s">
        <v>678</v>
      </c>
      <c r="G452" s="1050"/>
      <c r="H452" s="115"/>
      <c r="I452" s="1029"/>
      <c r="J452" s="939"/>
      <c r="K452" s="1054"/>
      <c r="L452" s="115"/>
      <c r="M452" s="1029"/>
      <c r="N452" s="939"/>
      <c r="O452" s="1054"/>
      <c r="P452" s="115"/>
      <c r="Q452" s="1029"/>
      <c r="R452" s="939"/>
      <c r="S452" s="1054"/>
      <c r="T452" s="115"/>
      <c r="U452" s="1029"/>
      <c r="V452" s="939"/>
      <c r="W452" s="1054"/>
      <c r="X452" s="115"/>
      <c r="Y452" s="1029"/>
      <c r="Z452" s="939"/>
      <c r="AA452" s="1054"/>
      <c r="AB452" s="115"/>
      <c r="AC452" s="1029"/>
      <c r="AD452" s="939"/>
      <c r="AE452" s="1030"/>
    </row>
    <row r="453" spans="2:31" customFormat="1" ht="12.75" customHeight="1" x14ac:dyDescent="0.2">
      <c r="B453" s="1351"/>
      <c r="C453" s="939"/>
      <c r="D453" s="939"/>
      <c r="E453" s="1054"/>
      <c r="F453" s="1135" t="s">
        <v>679</v>
      </c>
      <c r="G453" s="1050"/>
      <c r="H453" s="115"/>
      <c r="I453" s="1029"/>
      <c r="J453" s="939"/>
      <c r="K453" s="1054"/>
      <c r="L453" s="115"/>
      <c r="M453" s="1029"/>
      <c r="N453" s="939"/>
      <c r="O453" s="1054"/>
      <c r="P453" s="115"/>
      <c r="Q453" s="1029"/>
      <c r="R453" s="939"/>
      <c r="S453" s="1054"/>
      <c r="T453" s="115"/>
      <c r="U453" s="1029"/>
      <c r="V453" s="939"/>
      <c r="W453" s="1054"/>
      <c r="X453" s="115"/>
      <c r="Y453" s="1029"/>
      <c r="Z453" s="939"/>
      <c r="AA453" s="1054"/>
      <c r="AB453" s="115"/>
      <c r="AC453" s="1029"/>
      <c r="AD453" s="939"/>
      <c r="AE453" s="1030"/>
    </row>
    <row r="454" spans="2:31" customFormat="1" ht="12.75" customHeight="1" x14ac:dyDescent="0.2">
      <c r="B454" s="1352"/>
      <c r="C454" s="1032"/>
      <c r="D454" s="1032"/>
      <c r="E454" s="1055"/>
      <c r="F454" s="1135" t="s">
        <v>680</v>
      </c>
      <c r="G454" s="1050"/>
      <c r="H454" s="115"/>
      <c r="I454" s="1031"/>
      <c r="J454" s="1032"/>
      <c r="K454" s="1055"/>
      <c r="L454" s="115"/>
      <c r="M454" s="1031"/>
      <c r="N454" s="1032"/>
      <c r="O454" s="1055"/>
      <c r="P454" s="115"/>
      <c r="Q454" s="1031"/>
      <c r="R454" s="1032"/>
      <c r="S454" s="1055"/>
      <c r="T454" s="115"/>
      <c r="U454" s="1031"/>
      <c r="V454" s="1032"/>
      <c r="W454" s="1055"/>
      <c r="X454" s="115"/>
      <c r="Y454" s="1031"/>
      <c r="Z454" s="1032"/>
      <c r="AA454" s="1055"/>
      <c r="AB454" s="115"/>
      <c r="AC454" s="1031"/>
      <c r="AD454" s="1032"/>
      <c r="AE454" s="1033"/>
    </row>
    <row r="455" spans="2:31" customFormat="1" ht="12.75" customHeight="1" x14ac:dyDescent="0.25">
      <c r="B455" s="463"/>
      <c r="C455" s="78"/>
      <c r="D455" s="78"/>
      <c r="E455" s="78"/>
      <c r="F455" s="78"/>
      <c r="G455" s="78"/>
      <c r="H455" s="78"/>
      <c r="I455" s="78"/>
      <c r="J455" s="78"/>
      <c r="K455" s="78"/>
      <c r="L455" s="78"/>
      <c r="M455" s="78"/>
      <c r="N455" s="78"/>
      <c r="O455" s="78"/>
      <c r="P455" s="78"/>
      <c r="Q455" s="78"/>
      <c r="R455" s="78"/>
      <c r="S455" s="78"/>
      <c r="T455" s="78"/>
      <c r="U455" s="78"/>
      <c r="V455" s="78"/>
      <c r="W455" s="78"/>
      <c r="X455" s="78"/>
      <c r="Y455" s="78"/>
      <c r="Z455" s="78"/>
      <c r="AA455" s="78"/>
      <c r="AB455" s="78"/>
      <c r="AC455" s="78"/>
      <c r="AD455" s="78"/>
      <c r="AE455" s="340"/>
    </row>
    <row r="456" spans="2:31" customFormat="1" ht="12.75" customHeight="1" x14ac:dyDescent="0.25">
      <c r="B456" s="1353" t="s">
        <v>38</v>
      </c>
      <c r="C456" s="1049"/>
      <c r="D456" s="4" t="s">
        <v>39</v>
      </c>
      <c r="E456" s="109" t="s">
        <v>424</v>
      </c>
      <c r="F456" s="1354" t="s">
        <v>673</v>
      </c>
      <c r="G456" s="1055"/>
      <c r="H456" s="1048" t="str">
        <f>$H$4</f>
        <v>BOCATOMA</v>
      </c>
      <c r="I456" s="1049"/>
      <c r="J456" s="1355"/>
      <c r="K456" s="1050"/>
      <c r="L456" s="1048" t="str">
        <f>$L$4</f>
        <v>DESARENADOR</v>
      </c>
      <c r="M456" s="1049"/>
      <c r="N456" s="1329"/>
      <c r="O456" s="1050"/>
      <c r="P456" s="1048" t="str">
        <f>$P$4</f>
        <v>PLANTA</v>
      </c>
      <c r="Q456" s="1049"/>
      <c r="R456" s="1329"/>
      <c r="S456" s="1050"/>
      <c r="T456" s="1048" t="s">
        <v>884</v>
      </c>
      <c r="U456" s="1050"/>
      <c r="V456" s="1329" t="s">
        <v>1212</v>
      </c>
      <c r="W456" s="1050"/>
      <c r="X456" s="1048" t="s">
        <v>1414</v>
      </c>
      <c r="Y456" s="1050"/>
      <c r="Z456" s="1329"/>
      <c r="AA456" s="1050"/>
      <c r="AB456" s="1048" t="s">
        <v>1421</v>
      </c>
      <c r="AC456" s="1050"/>
      <c r="AD456" s="1329"/>
      <c r="AE456" s="1330"/>
    </row>
    <row r="457" spans="2:31" customFormat="1" ht="12.75" customHeight="1" x14ac:dyDescent="0.2">
      <c r="B457" s="1350" t="str">
        <f>+'PTO OC PLIEGO'!B109:H109</f>
        <v>VÁLVULA AQT COMPUERTA ELÁSTICA BRIDADA DE 6" (INCLUYE INSTALACIÓN Y SUMINISTRO)</v>
      </c>
      <c r="C457" s="1052"/>
      <c r="D457" s="1052"/>
      <c r="E457" s="1053"/>
      <c r="F457" s="1135" t="s">
        <v>201</v>
      </c>
      <c r="G457" s="1050"/>
      <c r="H457" s="139"/>
      <c r="I457" s="1331" t="s">
        <v>885</v>
      </c>
      <c r="J457" s="1052"/>
      <c r="K457" s="1053"/>
      <c r="L457" s="139"/>
      <c r="M457" s="1331" t="s">
        <v>885</v>
      </c>
      <c r="N457" s="1052"/>
      <c r="O457" s="1053"/>
      <c r="P457" s="139"/>
      <c r="Q457" s="1331" t="s">
        <v>885</v>
      </c>
      <c r="R457" s="1052"/>
      <c r="S457" s="1053"/>
      <c r="T457" s="139">
        <f>+T458</f>
        <v>3</v>
      </c>
      <c r="U457" s="1331" t="s">
        <v>885</v>
      </c>
      <c r="V457" s="1052"/>
      <c r="W457" s="1053"/>
      <c r="X457" s="139"/>
      <c r="Y457" s="1331" t="s">
        <v>885</v>
      </c>
      <c r="Z457" s="1052"/>
      <c r="AA457" s="1053"/>
      <c r="AB457" s="139"/>
      <c r="AC457" s="1331" t="s">
        <v>885</v>
      </c>
      <c r="AD457" s="1052"/>
      <c r="AE457" s="1332"/>
    </row>
    <row r="458" spans="2:31" customFormat="1" ht="12.75" customHeight="1" x14ac:dyDescent="0.2">
      <c r="B458" s="1351"/>
      <c r="C458" s="939"/>
      <c r="D458" s="939"/>
      <c r="E458" s="1054"/>
      <c r="F458" s="1135" t="s">
        <v>132</v>
      </c>
      <c r="G458" s="1050"/>
      <c r="H458" s="115"/>
      <c r="I458" s="1029"/>
      <c r="J458" s="939"/>
      <c r="K458" s="1054"/>
      <c r="L458" s="115"/>
      <c r="M458" s="1029"/>
      <c r="N458" s="939"/>
      <c r="O458" s="1054"/>
      <c r="P458" s="115"/>
      <c r="Q458" s="1029"/>
      <c r="R458" s="939"/>
      <c r="S458" s="1054"/>
      <c r="T458" s="115">
        <v>3</v>
      </c>
      <c r="U458" s="1029"/>
      <c r="V458" s="939"/>
      <c r="W458" s="1054"/>
      <c r="X458" s="115"/>
      <c r="Y458" s="1029"/>
      <c r="Z458" s="939"/>
      <c r="AA458" s="1054"/>
      <c r="AB458" s="115"/>
      <c r="AC458" s="1029"/>
      <c r="AD458" s="939"/>
      <c r="AE458" s="1030"/>
    </row>
    <row r="459" spans="2:31" customFormat="1" ht="12.75" customHeight="1" x14ac:dyDescent="0.2">
      <c r="B459" s="1351"/>
      <c r="C459" s="939"/>
      <c r="D459" s="939"/>
      <c r="E459" s="1054"/>
      <c r="F459" s="1135" t="s">
        <v>674</v>
      </c>
      <c r="G459" s="1050"/>
      <c r="H459" s="115"/>
      <c r="I459" s="1029"/>
      <c r="J459" s="939"/>
      <c r="K459" s="1054"/>
      <c r="L459" s="115"/>
      <c r="M459" s="1029"/>
      <c r="N459" s="939"/>
      <c r="O459" s="1054"/>
      <c r="P459" s="115"/>
      <c r="Q459" s="1029"/>
      <c r="R459" s="939"/>
      <c r="S459" s="1054"/>
      <c r="T459" s="115"/>
      <c r="U459" s="1029"/>
      <c r="V459" s="939"/>
      <c r="W459" s="1054"/>
      <c r="X459" s="115"/>
      <c r="Y459" s="1029"/>
      <c r="Z459" s="939"/>
      <c r="AA459" s="1054"/>
      <c r="AB459" s="115"/>
      <c r="AC459" s="1029"/>
      <c r="AD459" s="939"/>
      <c r="AE459" s="1030"/>
    </row>
    <row r="460" spans="2:31" customFormat="1" ht="12.75" customHeight="1" x14ac:dyDescent="0.2">
      <c r="B460" s="1351"/>
      <c r="C460" s="939"/>
      <c r="D460" s="939"/>
      <c r="E460" s="1054"/>
      <c r="F460" s="1135" t="s">
        <v>675</v>
      </c>
      <c r="G460" s="1050"/>
      <c r="H460" s="115"/>
      <c r="I460" s="1029"/>
      <c r="J460" s="939"/>
      <c r="K460" s="1054"/>
      <c r="L460" s="115"/>
      <c r="M460" s="1029"/>
      <c r="N460" s="939"/>
      <c r="O460" s="1054"/>
      <c r="P460" s="115"/>
      <c r="Q460" s="1029"/>
      <c r="R460" s="939"/>
      <c r="S460" s="1054"/>
      <c r="T460" s="115"/>
      <c r="U460" s="1029"/>
      <c r="V460" s="939"/>
      <c r="W460" s="1054"/>
      <c r="X460" s="115"/>
      <c r="Y460" s="1029"/>
      <c r="Z460" s="939"/>
      <c r="AA460" s="1054"/>
      <c r="AB460" s="115"/>
      <c r="AC460" s="1029"/>
      <c r="AD460" s="939"/>
      <c r="AE460" s="1030"/>
    </row>
    <row r="461" spans="2:31" customFormat="1" ht="12.75" customHeight="1" x14ac:dyDescent="0.2">
      <c r="B461" s="1351"/>
      <c r="C461" s="939"/>
      <c r="D461" s="939"/>
      <c r="E461" s="1054"/>
      <c r="F461" s="1135" t="s">
        <v>676</v>
      </c>
      <c r="G461" s="1050"/>
      <c r="H461" s="115"/>
      <c r="I461" s="1029"/>
      <c r="J461" s="939"/>
      <c r="K461" s="1054"/>
      <c r="L461" s="115"/>
      <c r="M461" s="1029"/>
      <c r="N461" s="939"/>
      <c r="O461" s="1054"/>
      <c r="P461" s="115"/>
      <c r="Q461" s="1029"/>
      <c r="R461" s="939"/>
      <c r="S461" s="1054"/>
      <c r="T461" s="115"/>
      <c r="U461" s="1029"/>
      <c r="V461" s="939"/>
      <c r="W461" s="1054"/>
      <c r="X461" s="115"/>
      <c r="Y461" s="1029"/>
      <c r="Z461" s="939"/>
      <c r="AA461" s="1054"/>
      <c r="AB461" s="115"/>
      <c r="AC461" s="1029"/>
      <c r="AD461" s="939"/>
      <c r="AE461" s="1030"/>
    </row>
    <row r="462" spans="2:31" customFormat="1" ht="12.75" customHeight="1" x14ac:dyDescent="0.2">
      <c r="B462" s="1351"/>
      <c r="C462" s="939"/>
      <c r="D462" s="939"/>
      <c r="E462" s="1054"/>
      <c r="F462" s="1135" t="s">
        <v>677</v>
      </c>
      <c r="G462" s="1050"/>
      <c r="H462" s="115"/>
      <c r="I462" s="1029"/>
      <c r="J462" s="939"/>
      <c r="K462" s="1054"/>
      <c r="L462" s="115"/>
      <c r="M462" s="1029"/>
      <c r="N462" s="939"/>
      <c r="O462" s="1054"/>
      <c r="P462" s="115"/>
      <c r="Q462" s="1029"/>
      <c r="R462" s="939"/>
      <c r="S462" s="1054"/>
      <c r="T462" s="115"/>
      <c r="U462" s="1029"/>
      <c r="V462" s="939"/>
      <c r="W462" s="1054"/>
      <c r="X462" s="115"/>
      <c r="Y462" s="1029"/>
      <c r="Z462" s="939"/>
      <c r="AA462" s="1054"/>
      <c r="AB462" s="115"/>
      <c r="AC462" s="1029"/>
      <c r="AD462" s="939"/>
      <c r="AE462" s="1030"/>
    </row>
    <row r="463" spans="2:31" customFormat="1" ht="12.75" customHeight="1" x14ac:dyDescent="0.2">
      <c r="B463" s="1351"/>
      <c r="C463" s="939"/>
      <c r="D463" s="939"/>
      <c r="E463" s="1054"/>
      <c r="F463" s="1135" t="s">
        <v>678</v>
      </c>
      <c r="G463" s="1050"/>
      <c r="H463" s="115"/>
      <c r="I463" s="1029"/>
      <c r="J463" s="939"/>
      <c r="K463" s="1054"/>
      <c r="L463" s="115"/>
      <c r="M463" s="1029"/>
      <c r="N463" s="939"/>
      <c r="O463" s="1054"/>
      <c r="P463" s="115"/>
      <c r="Q463" s="1029"/>
      <c r="R463" s="939"/>
      <c r="S463" s="1054"/>
      <c r="T463" s="115"/>
      <c r="U463" s="1029"/>
      <c r="V463" s="939"/>
      <c r="W463" s="1054"/>
      <c r="X463" s="115"/>
      <c r="Y463" s="1029"/>
      <c r="Z463" s="939"/>
      <c r="AA463" s="1054"/>
      <c r="AB463" s="115"/>
      <c r="AC463" s="1029"/>
      <c r="AD463" s="939"/>
      <c r="AE463" s="1030"/>
    </row>
    <row r="464" spans="2:31" customFormat="1" ht="12.75" customHeight="1" x14ac:dyDescent="0.2">
      <c r="B464" s="1351"/>
      <c r="C464" s="939"/>
      <c r="D464" s="939"/>
      <c r="E464" s="1054"/>
      <c r="F464" s="1135" t="s">
        <v>679</v>
      </c>
      <c r="G464" s="1050"/>
      <c r="H464" s="115"/>
      <c r="I464" s="1029"/>
      <c r="J464" s="939"/>
      <c r="K464" s="1054"/>
      <c r="L464" s="115"/>
      <c r="M464" s="1029"/>
      <c r="N464" s="939"/>
      <c r="O464" s="1054"/>
      <c r="P464" s="115"/>
      <c r="Q464" s="1029"/>
      <c r="R464" s="939"/>
      <c r="S464" s="1054"/>
      <c r="T464" s="115"/>
      <c r="U464" s="1029"/>
      <c r="V464" s="939"/>
      <c r="W464" s="1054"/>
      <c r="X464" s="115"/>
      <c r="Y464" s="1029"/>
      <c r="Z464" s="939"/>
      <c r="AA464" s="1054"/>
      <c r="AB464" s="115"/>
      <c r="AC464" s="1029"/>
      <c r="AD464" s="939"/>
      <c r="AE464" s="1030"/>
    </row>
    <row r="465" spans="2:31" customFormat="1" ht="12.75" customHeight="1" x14ac:dyDescent="0.2">
      <c r="B465" s="1352"/>
      <c r="C465" s="1032"/>
      <c r="D465" s="1032"/>
      <c r="E465" s="1055"/>
      <c r="F465" s="1135" t="s">
        <v>680</v>
      </c>
      <c r="G465" s="1050"/>
      <c r="H465" s="115"/>
      <c r="I465" s="1031"/>
      <c r="J465" s="1032"/>
      <c r="K465" s="1055"/>
      <c r="L465" s="115"/>
      <c r="M465" s="1031"/>
      <c r="N465" s="1032"/>
      <c r="O465" s="1055"/>
      <c r="P465" s="115"/>
      <c r="Q465" s="1031"/>
      <c r="R465" s="1032"/>
      <c r="S465" s="1055"/>
      <c r="T465" s="115"/>
      <c r="U465" s="1031"/>
      <c r="V465" s="1032"/>
      <c r="W465" s="1055"/>
      <c r="X465" s="115"/>
      <c r="Y465" s="1031"/>
      <c r="Z465" s="1032"/>
      <c r="AA465" s="1055"/>
      <c r="AB465" s="115"/>
      <c r="AC465" s="1031"/>
      <c r="AD465" s="1032"/>
      <c r="AE465" s="1033"/>
    </row>
    <row r="466" spans="2:31" customFormat="1" ht="12.75" customHeight="1" x14ac:dyDescent="0.25">
      <c r="B466" s="463"/>
      <c r="C466" s="78"/>
      <c r="D466" s="78"/>
      <c r="E466" s="78"/>
      <c r="F466" s="78"/>
      <c r="G466" s="78"/>
      <c r="H466" s="78"/>
      <c r="I466" s="78"/>
      <c r="J466" s="78"/>
      <c r="K466" s="78"/>
      <c r="L466" s="78"/>
      <c r="M466" s="78"/>
      <c r="N466" s="78"/>
      <c r="O466" s="78"/>
      <c r="P466" s="78"/>
      <c r="Q466" s="78"/>
      <c r="R466" s="78"/>
      <c r="S466" s="78"/>
      <c r="T466" s="78"/>
      <c r="U466" s="78"/>
      <c r="V466" s="78"/>
      <c r="W466" s="78"/>
      <c r="X466" s="78"/>
      <c r="Y466" s="78"/>
      <c r="Z466" s="78"/>
      <c r="AA466" s="78"/>
      <c r="AB466" s="78"/>
      <c r="AC466" s="78"/>
      <c r="AD466" s="78"/>
      <c r="AE466" s="340"/>
    </row>
    <row r="467" spans="2:31" customFormat="1" ht="12.75" customHeight="1" x14ac:dyDescent="0.25">
      <c r="B467" s="1353" t="s">
        <v>38</v>
      </c>
      <c r="C467" s="1049"/>
      <c r="D467" s="4" t="s">
        <v>39</v>
      </c>
      <c r="E467" s="109" t="s">
        <v>424</v>
      </c>
      <c r="F467" s="1354" t="s">
        <v>673</v>
      </c>
      <c r="G467" s="1055"/>
      <c r="H467" s="1048" t="str">
        <f>$H$4</f>
        <v>BOCATOMA</v>
      </c>
      <c r="I467" s="1049"/>
      <c r="J467" s="1355"/>
      <c r="K467" s="1050"/>
      <c r="L467" s="1048" t="str">
        <f>$L$4</f>
        <v>DESARENADOR</v>
      </c>
      <c r="M467" s="1049"/>
      <c r="N467" s="1329"/>
      <c r="O467" s="1050"/>
      <c r="P467" s="1048" t="str">
        <f>$P$4</f>
        <v>PLANTA</v>
      </c>
      <c r="Q467" s="1049"/>
      <c r="R467" s="1329"/>
      <c r="S467" s="1050"/>
      <c r="T467" s="1048" t="s">
        <v>884</v>
      </c>
      <c r="U467" s="1050"/>
      <c r="V467" s="1329" t="s">
        <v>1213</v>
      </c>
      <c r="W467" s="1050"/>
      <c r="X467" s="1048" t="s">
        <v>1414</v>
      </c>
      <c r="Y467" s="1050"/>
      <c r="Z467" s="1329"/>
      <c r="AA467" s="1050"/>
      <c r="AB467" s="1048" t="s">
        <v>1421</v>
      </c>
      <c r="AC467" s="1050"/>
      <c r="AD467" s="1329"/>
      <c r="AE467" s="1330"/>
    </row>
    <row r="468" spans="2:31" customFormat="1" ht="12.75" customHeight="1" x14ac:dyDescent="0.2">
      <c r="B468" s="1350" t="str">
        <f>+'PTO OC PLIEGO'!B110:H110</f>
        <v>PASAMURO EN HD 6" E.L*E.L L=0.35m (INCLUYE INSTALACIÓN Y SUMINISTRO)</v>
      </c>
      <c r="C468" s="1052"/>
      <c r="D468" s="1052"/>
      <c r="E468" s="1053"/>
      <c r="F468" s="1135" t="s">
        <v>201</v>
      </c>
      <c r="G468" s="1050"/>
      <c r="H468" s="139"/>
      <c r="I468" s="1331" t="s">
        <v>885</v>
      </c>
      <c r="J468" s="1052"/>
      <c r="K468" s="1053"/>
      <c r="L468" s="139"/>
      <c r="M468" s="1331" t="s">
        <v>885</v>
      </c>
      <c r="N468" s="1052"/>
      <c r="O468" s="1053"/>
      <c r="P468" s="139"/>
      <c r="Q468" s="1331" t="s">
        <v>885</v>
      </c>
      <c r="R468" s="1052"/>
      <c r="S468" s="1053"/>
      <c r="T468" s="139">
        <f>+T469</f>
        <v>8</v>
      </c>
      <c r="U468" s="1331" t="s">
        <v>885</v>
      </c>
      <c r="V468" s="1052"/>
      <c r="W468" s="1053"/>
      <c r="X468" s="139"/>
      <c r="Y468" s="1331" t="s">
        <v>885</v>
      </c>
      <c r="Z468" s="1052"/>
      <c r="AA468" s="1053"/>
      <c r="AB468" s="139"/>
      <c r="AC468" s="1331" t="s">
        <v>885</v>
      </c>
      <c r="AD468" s="1052"/>
      <c r="AE468" s="1332"/>
    </row>
    <row r="469" spans="2:31" customFormat="1" ht="12.75" customHeight="1" x14ac:dyDescent="0.2">
      <c r="B469" s="1351"/>
      <c r="C469" s="939"/>
      <c r="D469" s="939"/>
      <c r="E469" s="1054"/>
      <c r="F469" s="1135" t="s">
        <v>132</v>
      </c>
      <c r="G469" s="1050"/>
      <c r="H469" s="115"/>
      <c r="I469" s="1029"/>
      <c r="J469" s="939"/>
      <c r="K469" s="1054"/>
      <c r="L469" s="115"/>
      <c r="M469" s="1029"/>
      <c r="N469" s="939"/>
      <c r="O469" s="1054"/>
      <c r="P469" s="115"/>
      <c r="Q469" s="1029"/>
      <c r="R469" s="939"/>
      <c r="S469" s="1054"/>
      <c r="T469" s="115">
        <v>8</v>
      </c>
      <c r="U469" s="1029"/>
      <c r="V469" s="939"/>
      <c r="W469" s="1054"/>
      <c r="X469" s="115"/>
      <c r="Y469" s="1029"/>
      <c r="Z469" s="939"/>
      <c r="AA469" s="1054"/>
      <c r="AB469" s="115"/>
      <c r="AC469" s="1029"/>
      <c r="AD469" s="939"/>
      <c r="AE469" s="1030"/>
    </row>
    <row r="470" spans="2:31" customFormat="1" ht="12.75" customHeight="1" x14ac:dyDescent="0.2">
      <c r="B470" s="1351"/>
      <c r="C470" s="939"/>
      <c r="D470" s="939"/>
      <c r="E470" s="1054"/>
      <c r="F470" s="1135" t="s">
        <v>674</v>
      </c>
      <c r="G470" s="1050"/>
      <c r="H470" s="115"/>
      <c r="I470" s="1029"/>
      <c r="J470" s="939"/>
      <c r="K470" s="1054"/>
      <c r="L470" s="115"/>
      <c r="M470" s="1029"/>
      <c r="N470" s="939"/>
      <c r="O470" s="1054"/>
      <c r="P470" s="115"/>
      <c r="Q470" s="1029"/>
      <c r="R470" s="939"/>
      <c r="S470" s="1054"/>
      <c r="T470" s="115"/>
      <c r="U470" s="1029"/>
      <c r="V470" s="939"/>
      <c r="W470" s="1054"/>
      <c r="X470" s="115"/>
      <c r="Y470" s="1029"/>
      <c r="Z470" s="939"/>
      <c r="AA470" s="1054"/>
      <c r="AB470" s="115"/>
      <c r="AC470" s="1029"/>
      <c r="AD470" s="939"/>
      <c r="AE470" s="1030"/>
    </row>
    <row r="471" spans="2:31" customFormat="1" ht="12.75" customHeight="1" x14ac:dyDescent="0.2">
      <c r="B471" s="1351"/>
      <c r="C471" s="939"/>
      <c r="D471" s="939"/>
      <c r="E471" s="1054"/>
      <c r="F471" s="1135" t="s">
        <v>675</v>
      </c>
      <c r="G471" s="1050"/>
      <c r="H471" s="115"/>
      <c r="I471" s="1029"/>
      <c r="J471" s="939"/>
      <c r="K471" s="1054"/>
      <c r="L471" s="115"/>
      <c r="M471" s="1029"/>
      <c r="N471" s="939"/>
      <c r="O471" s="1054"/>
      <c r="P471" s="115"/>
      <c r="Q471" s="1029"/>
      <c r="R471" s="939"/>
      <c r="S471" s="1054"/>
      <c r="T471" s="115"/>
      <c r="U471" s="1029"/>
      <c r="V471" s="939"/>
      <c r="W471" s="1054"/>
      <c r="X471" s="115"/>
      <c r="Y471" s="1029"/>
      <c r="Z471" s="939"/>
      <c r="AA471" s="1054"/>
      <c r="AB471" s="115"/>
      <c r="AC471" s="1029"/>
      <c r="AD471" s="939"/>
      <c r="AE471" s="1030"/>
    </row>
    <row r="472" spans="2:31" customFormat="1" ht="12.75" customHeight="1" x14ac:dyDescent="0.2">
      <c r="B472" s="1351"/>
      <c r="C472" s="939"/>
      <c r="D472" s="939"/>
      <c r="E472" s="1054"/>
      <c r="F472" s="1135" t="s">
        <v>676</v>
      </c>
      <c r="G472" s="1050"/>
      <c r="H472" s="115"/>
      <c r="I472" s="1029"/>
      <c r="J472" s="939"/>
      <c r="K472" s="1054"/>
      <c r="L472" s="115"/>
      <c r="M472" s="1029"/>
      <c r="N472" s="939"/>
      <c r="O472" s="1054"/>
      <c r="P472" s="115"/>
      <c r="Q472" s="1029"/>
      <c r="R472" s="939"/>
      <c r="S472" s="1054"/>
      <c r="T472" s="115"/>
      <c r="U472" s="1029"/>
      <c r="V472" s="939"/>
      <c r="W472" s="1054"/>
      <c r="X472" s="115"/>
      <c r="Y472" s="1029"/>
      <c r="Z472" s="939"/>
      <c r="AA472" s="1054"/>
      <c r="AB472" s="115"/>
      <c r="AC472" s="1029"/>
      <c r="AD472" s="939"/>
      <c r="AE472" s="1030"/>
    </row>
    <row r="473" spans="2:31" customFormat="1" ht="12.75" customHeight="1" x14ac:dyDescent="0.2">
      <c r="B473" s="1351"/>
      <c r="C473" s="939"/>
      <c r="D473" s="939"/>
      <c r="E473" s="1054"/>
      <c r="F473" s="1135" t="s">
        <v>677</v>
      </c>
      <c r="G473" s="1050"/>
      <c r="H473" s="115"/>
      <c r="I473" s="1029"/>
      <c r="J473" s="939"/>
      <c r="K473" s="1054"/>
      <c r="L473" s="115"/>
      <c r="M473" s="1029"/>
      <c r="N473" s="939"/>
      <c r="O473" s="1054"/>
      <c r="P473" s="115"/>
      <c r="Q473" s="1029"/>
      <c r="R473" s="939"/>
      <c r="S473" s="1054"/>
      <c r="T473" s="115"/>
      <c r="U473" s="1029"/>
      <c r="V473" s="939"/>
      <c r="W473" s="1054"/>
      <c r="X473" s="115"/>
      <c r="Y473" s="1029"/>
      <c r="Z473" s="939"/>
      <c r="AA473" s="1054"/>
      <c r="AB473" s="115"/>
      <c r="AC473" s="1029"/>
      <c r="AD473" s="939"/>
      <c r="AE473" s="1030"/>
    </row>
    <row r="474" spans="2:31" customFormat="1" ht="12.75" customHeight="1" x14ac:dyDescent="0.2">
      <c r="B474" s="1351"/>
      <c r="C474" s="939"/>
      <c r="D474" s="939"/>
      <c r="E474" s="1054"/>
      <c r="F474" s="1135" t="s">
        <v>678</v>
      </c>
      <c r="G474" s="1050"/>
      <c r="H474" s="115"/>
      <c r="I474" s="1029"/>
      <c r="J474" s="939"/>
      <c r="K474" s="1054"/>
      <c r="L474" s="115"/>
      <c r="M474" s="1029"/>
      <c r="N474" s="939"/>
      <c r="O474" s="1054"/>
      <c r="P474" s="115"/>
      <c r="Q474" s="1029"/>
      <c r="R474" s="939"/>
      <c r="S474" s="1054"/>
      <c r="T474" s="115"/>
      <c r="U474" s="1029"/>
      <c r="V474" s="939"/>
      <c r="W474" s="1054"/>
      <c r="X474" s="115"/>
      <c r="Y474" s="1029"/>
      <c r="Z474" s="939"/>
      <c r="AA474" s="1054"/>
      <c r="AB474" s="115"/>
      <c r="AC474" s="1029"/>
      <c r="AD474" s="939"/>
      <c r="AE474" s="1030"/>
    </row>
    <row r="475" spans="2:31" customFormat="1" ht="12.75" customHeight="1" x14ac:dyDescent="0.2">
      <c r="B475" s="1351"/>
      <c r="C475" s="939"/>
      <c r="D475" s="939"/>
      <c r="E475" s="1054"/>
      <c r="F475" s="1135" t="s">
        <v>679</v>
      </c>
      <c r="G475" s="1050"/>
      <c r="H475" s="115"/>
      <c r="I475" s="1029"/>
      <c r="J475" s="939"/>
      <c r="K475" s="1054"/>
      <c r="L475" s="115"/>
      <c r="M475" s="1029"/>
      <c r="N475" s="939"/>
      <c r="O475" s="1054"/>
      <c r="P475" s="115"/>
      <c r="Q475" s="1029"/>
      <c r="R475" s="939"/>
      <c r="S475" s="1054"/>
      <c r="T475" s="115"/>
      <c r="U475" s="1029"/>
      <c r="V475" s="939"/>
      <c r="W475" s="1054"/>
      <c r="X475" s="115"/>
      <c r="Y475" s="1029"/>
      <c r="Z475" s="939"/>
      <c r="AA475" s="1054"/>
      <c r="AB475" s="115"/>
      <c r="AC475" s="1029"/>
      <c r="AD475" s="939"/>
      <c r="AE475" s="1030"/>
    </row>
    <row r="476" spans="2:31" customFormat="1" ht="12.75" customHeight="1" x14ac:dyDescent="0.2">
      <c r="B476" s="1352"/>
      <c r="C476" s="1032"/>
      <c r="D476" s="1032"/>
      <c r="E476" s="1055"/>
      <c r="F476" s="1135" t="s">
        <v>680</v>
      </c>
      <c r="G476" s="1050"/>
      <c r="H476" s="115"/>
      <c r="I476" s="1031"/>
      <c r="J476" s="1032"/>
      <c r="K476" s="1055"/>
      <c r="L476" s="115"/>
      <c r="M476" s="1031"/>
      <c r="N476" s="1032"/>
      <c r="O476" s="1055"/>
      <c r="P476" s="115"/>
      <c r="Q476" s="1031"/>
      <c r="R476" s="1032"/>
      <c r="S476" s="1055"/>
      <c r="T476" s="115"/>
      <c r="U476" s="1031"/>
      <c r="V476" s="1032"/>
      <c r="W476" s="1055"/>
      <c r="X476" s="115"/>
      <c r="Y476" s="1031"/>
      <c r="Z476" s="1032"/>
      <c r="AA476" s="1055"/>
      <c r="AB476" s="115"/>
      <c r="AC476" s="1031"/>
      <c r="AD476" s="1032"/>
      <c r="AE476" s="1033"/>
    </row>
    <row r="477" spans="2:31" customFormat="1" ht="12.75" customHeight="1" x14ac:dyDescent="0.25">
      <c r="B477" s="463"/>
      <c r="C477" s="78"/>
      <c r="D477" s="78"/>
      <c r="E477" s="78"/>
      <c r="F477" s="78"/>
      <c r="G477" s="78"/>
      <c r="H477" s="78"/>
      <c r="I477" s="78"/>
      <c r="J477" s="78"/>
      <c r="K477" s="78"/>
      <c r="L477" s="78"/>
      <c r="M477" s="78"/>
      <c r="N477" s="78"/>
      <c r="O477" s="78"/>
      <c r="P477" s="78"/>
      <c r="Q477" s="78"/>
      <c r="R477" s="78"/>
      <c r="S477" s="78"/>
      <c r="T477" s="78"/>
      <c r="U477" s="78"/>
      <c r="V477" s="78"/>
      <c r="W477" s="78"/>
      <c r="X477" s="78"/>
      <c r="Y477" s="78"/>
      <c r="Z477" s="78"/>
      <c r="AA477" s="78"/>
      <c r="AB477" s="78"/>
      <c r="AC477" s="78"/>
      <c r="AD477" s="78"/>
      <c r="AE477" s="340"/>
    </row>
    <row r="478" spans="2:31" customFormat="1" ht="12.75" customHeight="1" x14ac:dyDescent="0.25">
      <c r="B478" s="1353" t="s">
        <v>38</v>
      </c>
      <c r="C478" s="1049"/>
      <c r="D478" s="4" t="s">
        <v>39</v>
      </c>
      <c r="E478" s="109" t="s">
        <v>424</v>
      </c>
      <c r="F478" s="1354" t="s">
        <v>673</v>
      </c>
      <c r="G478" s="1055"/>
      <c r="H478" s="1048" t="str">
        <f>$H$4</f>
        <v>BOCATOMA</v>
      </c>
      <c r="I478" s="1049"/>
      <c r="J478" s="1355"/>
      <c r="K478" s="1050"/>
      <c r="L478" s="1048" t="str">
        <f>$L$4</f>
        <v>DESARENADOR</v>
      </c>
      <c r="M478" s="1049"/>
      <c r="N478" s="1329"/>
      <c r="O478" s="1050"/>
      <c r="P478" s="1048" t="str">
        <f>$P$4</f>
        <v>PLANTA</v>
      </c>
      <c r="Q478" s="1049"/>
      <c r="R478" s="1329"/>
      <c r="S478" s="1050"/>
      <c r="T478" s="1048" t="s">
        <v>884</v>
      </c>
      <c r="U478" s="1050"/>
      <c r="V478" s="1329" t="s">
        <v>1214</v>
      </c>
      <c r="W478" s="1050"/>
      <c r="X478" s="1048" t="s">
        <v>1414</v>
      </c>
      <c r="Y478" s="1050"/>
      <c r="Z478" s="1329"/>
      <c r="AA478" s="1050"/>
      <c r="AB478" s="1048" t="s">
        <v>1421</v>
      </c>
      <c r="AC478" s="1050"/>
      <c r="AD478" s="1329"/>
      <c r="AE478" s="1330"/>
    </row>
    <row r="479" spans="2:31" customFormat="1" ht="12.75" customHeight="1" x14ac:dyDescent="0.2">
      <c r="B479" s="1350" t="str">
        <f>+'PTO OC PLIEGO'!B111:H111</f>
        <v>TEE PVC 6" (INCLUYE INSTALACIÓN Y SUMINISTRO)</v>
      </c>
      <c r="C479" s="1052"/>
      <c r="D479" s="1052"/>
      <c r="E479" s="1053"/>
      <c r="F479" s="1135" t="s">
        <v>201</v>
      </c>
      <c r="G479" s="1050"/>
      <c r="H479" s="139"/>
      <c r="I479" s="1331" t="s">
        <v>885</v>
      </c>
      <c r="J479" s="1052"/>
      <c r="K479" s="1053"/>
      <c r="L479" s="139"/>
      <c r="M479" s="1331" t="s">
        <v>885</v>
      </c>
      <c r="N479" s="1052"/>
      <c r="O479" s="1053"/>
      <c r="P479" s="139"/>
      <c r="Q479" s="1331" t="s">
        <v>885</v>
      </c>
      <c r="R479" s="1052"/>
      <c r="S479" s="1053"/>
      <c r="T479" s="139">
        <f>+T480</f>
        <v>3</v>
      </c>
      <c r="U479" s="1331" t="s">
        <v>885</v>
      </c>
      <c r="V479" s="1052"/>
      <c r="W479" s="1053"/>
      <c r="X479" s="139"/>
      <c r="Y479" s="1331" t="s">
        <v>885</v>
      </c>
      <c r="Z479" s="1052"/>
      <c r="AA479" s="1053"/>
      <c r="AB479" s="139"/>
      <c r="AC479" s="1331" t="s">
        <v>885</v>
      </c>
      <c r="AD479" s="1052"/>
      <c r="AE479" s="1332"/>
    </row>
    <row r="480" spans="2:31" customFormat="1" ht="12.75" customHeight="1" x14ac:dyDescent="0.2">
      <c r="B480" s="1351"/>
      <c r="C480" s="939"/>
      <c r="D480" s="939"/>
      <c r="E480" s="1054"/>
      <c r="F480" s="1135" t="s">
        <v>132</v>
      </c>
      <c r="G480" s="1050"/>
      <c r="H480" s="115"/>
      <c r="I480" s="1029"/>
      <c r="J480" s="939"/>
      <c r="K480" s="1054"/>
      <c r="L480" s="115"/>
      <c r="M480" s="1029"/>
      <c r="N480" s="939"/>
      <c r="O480" s="1054"/>
      <c r="P480" s="115"/>
      <c r="Q480" s="1029"/>
      <c r="R480" s="939"/>
      <c r="S480" s="1054"/>
      <c r="T480" s="115">
        <v>3</v>
      </c>
      <c r="U480" s="1029"/>
      <c r="V480" s="939"/>
      <c r="W480" s="1054"/>
      <c r="X480" s="115"/>
      <c r="Y480" s="1029"/>
      <c r="Z480" s="939"/>
      <c r="AA480" s="1054"/>
      <c r="AB480" s="115"/>
      <c r="AC480" s="1029"/>
      <c r="AD480" s="939"/>
      <c r="AE480" s="1030"/>
    </row>
    <row r="481" spans="2:31" customFormat="1" ht="12.75" customHeight="1" x14ac:dyDescent="0.2">
      <c r="B481" s="1351"/>
      <c r="C481" s="939"/>
      <c r="D481" s="939"/>
      <c r="E481" s="1054"/>
      <c r="F481" s="1135" t="s">
        <v>674</v>
      </c>
      <c r="G481" s="1050"/>
      <c r="H481" s="115"/>
      <c r="I481" s="1029"/>
      <c r="J481" s="939"/>
      <c r="K481" s="1054"/>
      <c r="L481" s="115"/>
      <c r="M481" s="1029"/>
      <c r="N481" s="939"/>
      <c r="O481" s="1054"/>
      <c r="P481" s="115"/>
      <c r="Q481" s="1029"/>
      <c r="R481" s="939"/>
      <c r="S481" s="1054"/>
      <c r="T481" s="115"/>
      <c r="U481" s="1029"/>
      <c r="V481" s="939"/>
      <c r="W481" s="1054"/>
      <c r="X481" s="115"/>
      <c r="Y481" s="1029"/>
      <c r="Z481" s="939"/>
      <c r="AA481" s="1054"/>
      <c r="AB481" s="115"/>
      <c r="AC481" s="1029"/>
      <c r="AD481" s="939"/>
      <c r="AE481" s="1030"/>
    </row>
    <row r="482" spans="2:31" customFormat="1" ht="12.75" customHeight="1" x14ac:dyDescent="0.2">
      <c r="B482" s="1351"/>
      <c r="C482" s="939"/>
      <c r="D482" s="939"/>
      <c r="E482" s="1054"/>
      <c r="F482" s="1135" t="s">
        <v>675</v>
      </c>
      <c r="G482" s="1050"/>
      <c r="H482" s="115"/>
      <c r="I482" s="1029"/>
      <c r="J482" s="939"/>
      <c r="K482" s="1054"/>
      <c r="L482" s="115"/>
      <c r="M482" s="1029"/>
      <c r="N482" s="939"/>
      <c r="O482" s="1054"/>
      <c r="P482" s="115"/>
      <c r="Q482" s="1029"/>
      <c r="R482" s="939"/>
      <c r="S482" s="1054"/>
      <c r="T482" s="115"/>
      <c r="U482" s="1029"/>
      <c r="V482" s="939"/>
      <c r="W482" s="1054"/>
      <c r="X482" s="115"/>
      <c r="Y482" s="1029"/>
      <c r="Z482" s="939"/>
      <c r="AA482" s="1054"/>
      <c r="AB482" s="115"/>
      <c r="AC482" s="1029"/>
      <c r="AD482" s="939"/>
      <c r="AE482" s="1030"/>
    </row>
    <row r="483" spans="2:31" customFormat="1" ht="12.75" customHeight="1" x14ac:dyDescent="0.2">
      <c r="B483" s="1351"/>
      <c r="C483" s="939"/>
      <c r="D483" s="939"/>
      <c r="E483" s="1054"/>
      <c r="F483" s="1135" t="s">
        <v>676</v>
      </c>
      <c r="G483" s="1050"/>
      <c r="H483" s="115"/>
      <c r="I483" s="1029"/>
      <c r="J483" s="939"/>
      <c r="K483" s="1054"/>
      <c r="L483" s="115"/>
      <c r="M483" s="1029"/>
      <c r="N483" s="939"/>
      <c r="O483" s="1054"/>
      <c r="P483" s="115"/>
      <c r="Q483" s="1029"/>
      <c r="R483" s="939"/>
      <c r="S483" s="1054"/>
      <c r="T483" s="115"/>
      <c r="U483" s="1029"/>
      <c r="V483" s="939"/>
      <c r="W483" s="1054"/>
      <c r="X483" s="115"/>
      <c r="Y483" s="1029"/>
      <c r="Z483" s="939"/>
      <c r="AA483" s="1054"/>
      <c r="AB483" s="115"/>
      <c r="AC483" s="1029"/>
      <c r="AD483" s="939"/>
      <c r="AE483" s="1030"/>
    </row>
    <row r="484" spans="2:31" customFormat="1" ht="12.75" customHeight="1" x14ac:dyDescent="0.2">
      <c r="B484" s="1351"/>
      <c r="C484" s="939"/>
      <c r="D484" s="939"/>
      <c r="E484" s="1054"/>
      <c r="F484" s="1135" t="s">
        <v>677</v>
      </c>
      <c r="G484" s="1050"/>
      <c r="H484" s="115"/>
      <c r="I484" s="1029"/>
      <c r="J484" s="939"/>
      <c r="K484" s="1054"/>
      <c r="L484" s="115"/>
      <c r="M484" s="1029"/>
      <c r="N484" s="939"/>
      <c r="O484" s="1054"/>
      <c r="P484" s="115"/>
      <c r="Q484" s="1029"/>
      <c r="R484" s="939"/>
      <c r="S484" s="1054"/>
      <c r="T484" s="115"/>
      <c r="U484" s="1029"/>
      <c r="V484" s="939"/>
      <c r="W484" s="1054"/>
      <c r="X484" s="115"/>
      <c r="Y484" s="1029"/>
      <c r="Z484" s="939"/>
      <c r="AA484" s="1054"/>
      <c r="AB484" s="115"/>
      <c r="AC484" s="1029"/>
      <c r="AD484" s="939"/>
      <c r="AE484" s="1030"/>
    </row>
    <row r="485" spans="2:31" customFormat="1" ht="12.75" customHeight="1" x14ac:dyDescent="0.2">
      <c r="B485" s="1351"/>
      <c r="C485" s="939"/>
      <c r="D485" s="939"/>
      <c r="E485" s="1054"/>
      <c r="F485" s="1135" t="s">
        <v>678</v>
      </c>
      <c r="G485" s="1050"/>
      <c r="H485" s="115"/>
      <c r="I485" s="1029"/>
      <c r="J485" s="939"/>
      <c r="K485" s="1054"/>
      <c r="L485" s="115"/>
      <c r="M485" s="1029"/>
      <c r="N485" s="939"/>
      <c r="O485" s="1054"/>
      <c r="P485" s="115"/>
      <c r="Q485" s="1029"/>
      <c r="R485" s="939"/>
      <c r="S485" s="1054"/>
      <c r="T485" s="115"/>
      <c r="U485" s="1029"/>
      <c r="V485" s="939"/>
      <c r="W485" s="1054"/>
      <c r="X485" s="115"/>
      <c r="Y485" s="1029"/>
      <c r="Z485" s="939"/>
      <c r="AA485" s="1054"/>
      <c r="AB485" s="115"/>
      <c r="AC485" s="1029"/>
      <c r="AD485" s="939"/>
      <c r="AE485" s="1030"/>
    </row>
    <row r="486" spans="2:31" customFormat="1" ht="12.75" customHeight="1" x14ac:dyDescent="0.2">
      <c r="B486" s="1351"/>
      <c r="C486" s="939"/>
      <c r="D486" s="939"/>
      <c r="E486" s="1054"/>
      <c r="F486" s="1135" t="s">
        <v>679</v>
      </c>
      <c r="G486" s="1050"/>
      <c r="H486" s="115"/>
      <c r="I486" s="1029"/>
      <c r="J486" s="939"/>
      <c r="K486" s="1054"/>
      <c r="L486" s="115"/>
      <c r="M486" s="1029"/>
      <c r="N486" s="939"/>
      <c r="O486" s="1054"/>
      <c r="P486" s="115"/>
      <c r="Q486" s="1029"/>
      <c r="R486" s="939"/>
      <c r="S486" s="1054"/>
      <c r="T486" s="115"/>
      <c r="U486" s="1029"/>
      <c r="V486" s="939"/>
      <c r="W486" s="1054"/>
      <c r="X486" s="115"/>
      <c r="Y486" s="1029"/>
      <c r="Z486" s="939"/>
      <c r="AA486" s="1054"/>
      <c r="AB486" s="115"/>
      <c r="AC486" s="1029"/>
      <c r="AD486" s="939"/>
      <c r="AE486" s="1030"/>
    </row>
    <row r="487" spans="2:31" customFormat="1" ht="12.75" customHeight="1" x14ac:dyDescent="0.2">
      <c r="B487" s="1352"/>
      <c r="C487" s="1032"/>
      <c r="D487" s="1032"/>
      <c r="E487" s="1055"/>
      <c r="F487" s="1135" t="s">
        <v>680</v>
      </c>
      <c r="G487" s="1050"/>
      <c r="H487" s="115"/>
      <c r="I487" s="1031"/>
      <c r="J487" s="1032"/>
      <c r="K487" s="1055"/>
      <c r="L487" s="115"/>
      <c r="M487" s="1031"/>
      <c r="N487" s="1032"/>
      <c r="O487" s="1055"/>
      <c r="P487" s="115"/>
      <c r="Q487" s="1031"/>
      <c r="R487" s="1032"/>
      <c r="S487" s="1055"/>
      <c r="T487" s="115"/>
      <c r="U487" s="1031"/>
      <c r="V487" s="1032"/>
      <c r="W487" s="1055"/>
      <c r="X487" s="115"/>
      <c r="Y487" s="1031"/>
      <c r="Z487" s="1032"/>
      <c r="AA487" s="1055"/>
      <c r="AB487" s="115"/>
      <c r="AC487" s="1031"/>
      <c r="AD487" s="1032"/>
      <c r="AE487" s="1033"/>
    </row>
    <row r="488" spans="2:31" customFormat="1" ht="12.75" customHeight="1" x14ac:dyDescent="0.25">
      <c r="B488" s="463"/>
      <c r="C488" s="78"/>
      <c r="D488" s="78"/>
      <c r="E488" s="78"/>
      <c r="F488" s="78"/>
      <c r="G488" s="78"/>
      <c r="H488" s="78"/>
      <c r="I488" s="78"/>
      <c r="J488" s="78"/>
      <c r="K488" s="78"/>
      <c r="L488" s="78"/>
      <c r="M488" s="78"/>
      <c r="N488" s="78"/>
      <c r="O488" s="78"/>
      <c r="P488" s="78"/>
      <c r="Q488" s="78"/>
      <c r="R488" s="78"/>
      <c r="S488" s="78"/>
      <c r="T488" s="78"/>
      <c r="U488" s="78"/>
      <c r="V488" s="78"/>
      <c r="W488" s="78"/>
      <c r="X488" s="78"/>
      <c r="Y488" s="78"/>
      <c r="Z488" s="78"/>
      <c r="AA488" s="78"/>
      <c r="AB488" s="78"/>
      <c r="AC488" s="78"/>
      <c r="AD488" s="78"/>
      <c r="AE488" s="340"/>
    </row>
    <row r="489" spans="2:31" customFormat="1" ht="12.75" customHeight="1" x14ac:dyDescent="0.25">
      <c r="B489" s="1353" t="s">
        <v>38</v>
      </c>
      <c r="C489" s="1049"/>
      <c r="D489" s="4" t="s">
        <v>39</v>
      </c>
      <c r="E489" s="109" t="s">
        <v>424</v>
      </c>
      <c r="F489" s="1354" t="s">
        <v>673</v>
      </c>
      <c r="G489" s="1055"/>
      <c r="H489" s="1048" t="str">
        <f>$H$4</f>
        <v>BOCATOMA</v>
      </c>
      <c r="I489" s="1049"/>
      <c r="J489" s="1355"/>
      <c r="K489" s="1050"/>
      <c r="L489" s="1048" t="str">
        <f>$L$4</f>
        <v>DESARENADOR</v>
      </c>
      <c r="M489" s="1049"/>
      <c r="N489" s="1329"/>
      <c r="O489" s="1050"/>
      <c r="P489" s="1048" t="str">
        <f>$P$4</f>
        <v>PLANTA</v>
      </c>
      <c r="Q489" s="1049"/>
      <c r="R489" s="1329"/>
      <c r="S489" s="1050"/>
      <c r="T489" s="1048" t="s">
        <v>884</v>
      </c>
      <c r="U489" s="1050"/>
      <c r="V489" s="1329" t="s">
        <v>1215</v>
      </c>
      <c r="W489" s="1050"/>
      <c r="X489" s="1048" t="s">
        <v>1414</v>
      </c>
      <c r="Y489" s="1050"/>
      <c r="Z489" s="1329"/>
      <c r="AA489" s="1050"/>
      <c r="AB489" s="1048" t="s">
        <v>1421</v>
      </c>
      <c r="AC489" s="1050"/>
      <c r="AD489" s="1329"/>
      <c r="AE489" s="1330"/>
    </row>
    <row r="490" spans="2:31" customFormat="1" ht="12.75" customHeight="1" x14ac:dyDescent="0.2">
      <c r="B490" s="1350" t="str">
        <f>+'PTO OC PLIEGO'!B112:H112</f>
        <v>MANGUERA 1" (INCLUYE INSTALACION Y SUMINISTRO)</v>
      </c>
      <c r="C490" s="1052"/>
      <c r="D490" s="1052"/>
      <c r="E490" s="1053"/>
      <c r="F490" s="1135" t="s">
        <v>201</v>
      </c>
      <c r="G490" s="1050"/>
      <c r="H490" s="139"/>
      <c r="I490" s="1331" t="s">
        <v>885</v>
      </c>
      <c r="J490" s="1052"/>
      <c r="K490" s="1053"/>
      <c r="L490" s="139"/>
      <c r="M490" s="1331" t="s">
        <v>885</v>
      </c>
      <c r="N490" s="1052"/>
      <c r="O490" s="1053"/>
      <c r="P490" s="139"/>
      <c r="Q490" s="1331" t="s">
        <v>885</v>
      </c>
      <c r="R490" s="1052"/>
      <c r="S490" s="1053"/>
      <c r="T490" s="139">
        <f>+T491</f>
        <v>0.4</v>
      </c>
      <c r="U490" s="1331"/>
      <c r="V490" s="1052"/>
      <c r="W490" s="1053"/>
      <c r="X490" s="139"/>
      <c r="Y490" s="1331" t="s">
        <v>885</v>
      </c>
      <c r="Z490" s="1052"/>
      <c r="AA490" s="1053"/>
      <c r="AB490" s="139"/>
      <c r="AC490" s="1331" t="s">
        <v>885</v>
      </c>
      <c r="AD490" s="1052"/>
      <c r="AE490" s="1332"/>
    </row>
    <row r="491" spans="2:31" customFormat="1" ht="12.75" customHeight="1" x14ac:dyDescent="0.2">
      <c r="B491" s="1351"/>
      <c r="C491" s="939"/>
      <c r="D491" s="939"/>
      <c r="E491" s="1054"/>
      <c r="F491" s="1135" t="s">
        <v>132</v>
      </c>
      <c r="G491" s="1050"/>
      <c r="H491" s="115"/>
      <c r="I491" s="1029"/>
      <c r="J491" s="939"/>
      <c r="K491" s="1054"/>
      <c r="L491" s="115"/>
      <c r="M491" s="1029"/>
      <c r="N491" s="939"/>
      <c r="O491" s="1054"/>
      <c r="P491" s="115"/>
      <c r="Q491" s="1029"/>
      <c r="R491" s="939"/>
      <c r="S491" s="1054"/>
      <c r="T491" s="115">
        <v>0.4</v>
      </c>
      <c r="U491" s="1029"/>
      <c r="V491" s="939"/>
      <c r="W491" s="1054"/>
      <c r="X491" s="115"/>
      <c r="Y491" s="1029"/>
      <c r="Z491" s="939"/>
      <c r="AA491" s="1054"/>
      <c r="AB491" s="115"/>
      <c r="AC491" s="1029"/>
      <c r="AD491" s="939"/>
      <c r="AE491" s="1030"/>
    </row>
    <row r="492" spans="2:31" customFormat="1" ht="12.75" customHeight="1" x14ac:dyDescent="0.2">
      <c r="B492" s="1351"/>
      <c r="C492" s="939"/>
      <c r="D492" s="939"/>
      <c r="E492" s="1054"/>
      <c r="F492" s="1135" t="s">
        <v>674</v>
      </c>
      <c r="G492" s="1050"/>
      <c r="H492" s="115"/>
      <c r="I492" s="1029"/>
      <c r="J492" s="939"/>
      <c r="K492" s="1054"/>
      <c r="L492" s="115"/>
      <c r="M492" s="1029"/>
      <c r="N492" s="939"/>
      <c r="O492" s="1054"/>
      <c r="P492" s="115"/>
      <c r="Q492" s="1029"/>
      <c r="R492" s="939"/>
      <c r="S492" s="1054"/>
      <c r="T492" s="115"/>
      <c r="U492" s="1029"/>
      <c r="V492" s="939"/>
      <c r="W492" s="1054"/>
      <c r="X492" s="115"/>
      <c r="Y492" s="1029"/>
      <c r="Z492" s="939"/>
      <c r="AA492" s="1054"/>
      <c r="AB492" s="115"/>
      <c r="AC492" s="1029"/>
      <c r="AD492" s="939"/>
      <c r="AE492" s="1030"/>
    </row>
    <row r="493" spans="2:31" customFormat="1" ht="12.75" customHeight="1" x14ac:dyDescent="0.2">
      <c r="B493" s="1351"/>
      <c r="C493" s="939"/>
      <c r="D493" s="939"/>
      <c r="E493" s="1054"/>
      <c r="F493" s="1135" t="s">
        <v>675</v>
      </c>
      <c r="G493" s="1050"/>
      <c r="H493" s="115"/>
      <c r="I493" s="1029"/>
      <c r="J493" s="939"/>
      <c r="K493" s="1054"/>
      <c r="L493" s="115"/>
      <c r="M493" s="1029"/>
      <c r="N493" s="939"/>
      <c r="O493" s="1054"/>
      <c r="P493" s="115"/>
      <c r="Q493" s="1029"/>
      <c r="R493" s="939"/>
      <c r="S493" s="1054"/>
      <c r="T493" s="115"/>
      <c r="U493" s="1029"/>
      <c r="V493" s="939"/>
      <c r="W493" s="1054"/>
      <c r="X493" s="115"/>
      <c r="Y493" s="1029"/>
      <c r="Z493" s="939"/>
      <c r="AA493" s="1054"/>
      <c r="AB493" s="115"/>
      <c r="AC493" s="1029"/>
      <c r="AD493" s="939"/>
      <c r="AE493" s="1030"/>
    </row>
    <row r="494" spans="2:31" customFormat="1" ht="12.75" customHeight="1" x14ac:dyDescent="0.2">
      <c r="B494" s="1351"/>
      <c r="C494" s="939"/>
      <c r="D494" s="939"/>
      <c r="E494" s="1054"/>
      <c r="F494" s="1135" t="s">
        <v>676</v>
      </c>
      <c r="G494" s="1050"/>
      <c r="H494" s="115"/>
      <c r="I494" s="1029"/>
      <c r="J494" s="939"/>
      <c r="K494" s="1054"/>
      <c r="L494" s="115"/>
      <c r="M494" s="1029"/>
      <c r="N494" s="939"/>
      <c r="O494" s="1054"/>
      <c r="P494" s="115"/>
      <c r="Q494" s="1029"/>
      <c r="R494" s="939"/>
      <c r="S494" s="1054"/>
      <c r="T494" s="115"/>
      <c r="U494" s="1029"/>
      <c r="V494" s="939"/>
      <c r="W494" s="1054"/>
      <c r="X494" s="115"/>
      <c r="Y494" s="1029"/>
      <c r="Z494" s="939"/>
      <c r="AA494" s="1054"/>
      <c r="AB494" s="115"/>
      <c r="AC494" s="1029"/>
      <c r="AD494" s="939"/>
      <c r="AE494" s="1030"/>
    </row>
    <row r="495" spans="2:31" customFormat="1" ht="12.75" customHeight="1" x14ac:dyDescent="0.2">
      <c r="B495" s="1351"/>
      <c r="C495" s="939"/>
      <c r="D495" s="939"/>
      <c r="E495" s="1054"/>
      <c r="F495" s="1135" t="s">
        <v>677</v>
      </c>
      <c r="G495" s="1050"/>
      <c r="H495" s="115"/>
      <c r="I495" s="1029"/>
      <c r="J495" s="939"/>
      <c r="K495" s="1054"/>
      <c r="L495" s="115"/>
      <c r="M495" s="1029"/>
      <c r="N495" s="939"/>
      <c r="O495" s="1054"/>
      <c r="P495" s="115"/>
      <c r="Q495" s="1029"/>
      <c r="R495" s="939"/>
      <c r="S495" s="1054"/>
      <c r="T495" s="115"/>
      <c r="U495" s="1029"/>
      <c r="V495" s="939"/>
      <c r="W495" s="1054"/>
      <c r="X495" s="115"/>
      <c r="Y495" s="1029"/>
      <c r="Z495" s="939"/>
      <c r="AA495" s="1054"/>
      <c r="AB495" s="115"/>
      <c r="AC495" s="1029"/>
      <c r="AD495" s="939"/>
      <c r="AE495" s="1030"/>
    </row>
    <row r="496" spans="2:31" customFormat="1" ht="12.75" customHeight="1" x14ac:dyDescent="0.2">
      <c r="B496" s="1351"/>
      <c r="C496" s="939"/>
      <c r="D496" s="939"/>
      <c r="E496" s="1054"/>
      <c r="F496" s="1135" t="s">
        <v>678</v>
      </c>
      <c r="G496" s="1050"/>
      <c r="H496" s="115"/>
      <c r="I496" s="1029"/>
      <c r="J496" s="939"/>
      <c r="K496" s="1054"/>
      <c r="L496" s="115"/>
      <c r="M496" s="1029"/>
      <c r="N496" s="939"/>
      <c r="O496" s="1054"/>
      <c r="P496" s="115"/>
      <c r="Q496" s="1029"/>
      <c r="R496" s="939"/>
      <c r="S496" s="1054"/>
      <c r="T496" s="115"/>
      <c r="U496" s="1029"/>
      <c r="V496" s="939"/>
      <c r="W496" s="1054"/>
      <c r="X496" s="115"/>
      <c r="Y496" s="1029"/>
      <c r="Z496" s="939"/>
      <c r="AA496" s="1054"/>
      <c r="AB496" s="115"/>
      <c r="AC496" s="1029"/>
      <c r="AD496" s="939"/>
      <c r="AE496" s="1030"/>
    </row>
    <row r="497" spans="2:31" customFormat="1" ht="12.75" customHeight="1" x14ac:dyDescent="0.2">
      <c r="B497" s="1351"/>
      <c r="C497" s="939"/>
      <c r="D497" s="939"/>
      <c r="E497" s="1054"/>
      <c r="F497" s="1135" t="s">
        <v>679</v>
      </c>
      <c r="G497" s="1050"/>
      <c r="H497" s="115"/>
      <c r="I497" s="1029"/>
      <c r="J497" s="939"/>
      <c r="K497" s="1054"/>
      <c r="L497" s="115"/>
      <c r="M497" s="1029"/>
      <c r="N497" s="939"/>
      <c r="O497" s="1054"/>
      <c r="P497" s="115"/>
      <c r="Q497" s="1029"/>
      <c r="R497" s="939"/>
      <c r="S497" s="1054"/>
      <c r="T497" s="115"/>
      <c r="U497" s="1029"/>
      <c r="V497" s="939"/>
      <c r="W497" s="1054"/>
      <c r="X497" s="115"/>
      <c r="Y497" s="1029"/>
      <c r="Z497" s="939"/>
      <c r="AA497" s="1054"/>
      <c r="AB497" s="115"/>
      <c r="AC497" s="1029"/>
      <c r="AD497" s="939"/>
      <c r="AE497" s="1030"/>
    </row>
    <row r="498" spans="2:31" customFormat="1" ht="12.75" customHeight="1" x14ac:dyDescent="0.2">
      <c r="B498" s="1352"/>
      <c r="C498" s="1032"/>
      <c r="D498" s="1032"/>
      <c r="E498" s="1055"/>
      <c r="F498" s="1135" t="s">
        <v>680</v>
      </c>
      <c r="G498" s="1050"/>
      <c r="H498" s="115"/>
      <c r="I498" s="1031"/>
      <c r="J498" s="1032"/>
      <c r="K498" s="1055"/>
      <c r="L498" s="115"/>
      <c r="M498" s="1031"/>
      <c r="N498" s="1032"/>
      <c r="O498" s="1055"/>
      <c r="P498" s="115"/>
      <c r="Q498" s="1031"/>
      <c r="R498" s="1032"/>
      <c r="S498" s="1055"/>
      <c r="T498" s="115"/>
      <c r="U498" s="1031"/>
      <c r="V498" s="1032"/>
      <c r="W498" s="1055"/>
      <c r="X498" s="115"/>
      <c r="Y498" s="1031"/>
      <c r="Z498" s="1032"/>
      <c r="AA498" s="1055"/>
      <c r="AB498" s="115"/>
      <c r="AC498" s="1031"/>
      <c r="AD498" s="1032"/>
      <c r="AE498" s="1033"/>
    </row>
    <row r="499" spans="2:31" customFormat="1" ht="12.75" customHeight="1" x14ac:dyDescent="0.25">
      <c r="B499" s="463"/>
      <c r="C499" s="78"/>
      <c r="D499" s="78"/>
      <c r="E499" s="78"/>
      <c r="F499" s="78"/>
      <c r="G499" s="78"/>
      <c r="H499" s="78"/>
      <c r="I499" s="78"/>
      <c r="J499" s="78"/>
      <c r="K499" s="78"/>
      <c r="L499" s="78"/>
      <c r="M499" s="78"/>
      <c r="N499" s="78"/>
      <c r="O499" s="78"/>
      <c r="P499" s="78"/>
      <c r="Q499" s="78"/>
      <c r="R499" s="78"/>
      <c r="S499" s="78"/>
      <c r="T499" s="78"/>
      <c r="U499" s="78"/>
      <c r="V499" s="78"/>
      <c r="W499" s="78"/>
      <c r="X499" s="78"/>
      <c r="Y499" s="78"/>
      <c r="Z499" s="78"/>
      <c r="AA499" s="78"/>
      <c r="AB499" s="78"/>
      <c r="AC499" s="78"/>
      <c r="AD499" s="78"/>
      <c r="AE499" s="340"/>
    </row>
    <row r="500" spans="2:31" ht="12.75" customHeight="1" x14ac:dyDescent="0.25">
      <c r="B500" s="463"/>
      <c r="C500" s="78"/>
      <c r="D500" s="78"/>
      <c r="E500" s="78"/>
      <c r="F500" s="78"/>
      <c r="G500" s="78"/>
      <c r="H500" s="78"/>
      <c r="I500" s="78"/>
      <c r="J500" s="78"/>
      <c r="K500" s="78"/>
      <c r="L500" s="78"/>
      <c r="M500" s="78"/>
      <c r="N500" s="78"/>
      <c r="O500" s="78"/>
      <c r="P500" s="78"/>
      <c r="Q500" s="78"/>
      <c r="R500" s="78"/>
      <c r="S500" s="78"/>
      <c r="T500" s="78"/>
      <c r="U500" s="78"/>
      <c r="V500" s="78"/>
      <c r="W500" s="78"/>
      <c r="X500" s="78"/>
      <c r="Y500" s="78"/>
      <c r="Z500" s="78"/>
      <c r="AA500" s="78"/>
      <c r="AB500" s="78"/>
      <c r="AC500" s="78"/>
      <c r="AD500" s="78"/>
      <c r="AE500" s="340"/>
    </row>
    <row r="501" spans="2:31" ht="12.75" customHeight="1" x14ac:dyDescent="0.25">
      <c r="B501" s="463"/>
      <c r="C501" s="78"/>
      <c r="D501" s="78"/>
      <c r="E501" s="78"/>
      <c r="F501" s="78"/>
      <c r="G501" s="78"/>
      <c r="H501" s="78"/>
      <c r="I501" s="78"/>
      <c r="J501" s="78"/>
      <c r="K501" s="78"/>
      <c r="L501" s="78"/>
      <c r="M501" s="78"/>
      <c r="N501" s="78"/>
      <c r="O501" s="78"/>
      <c r="P501" s="78"/>
      <c r="Q501" s="78"/>
      <c r="R501" s="78"/>
      <c r="S501" s="78"/>
      <c r="T501" s="78"/>
      <c r="U501" s="78"/>
      <c r="V501" s="78"/>
      <c r="W501" s="78"/>
      <c r="X501" s="78"/>
      <c r="Y501" s="78"/>
      <c r="Z501" s="78"/>
      <c r="AA501" s="78"/>
      <c r="AB501" s="78"/>
      <c r="AC501" s="78"/>
      <c r="AD501" s="78"/>
      <c r="AE501" s="340"/>
    </row>
    <row r="502" spans="2:31" ht="30" customHeight="1" x14ac:dyDescent="0.25">
      <c r="B502" s="463"/>
      <c r="C502" s="78"/>
      <c r="D502" s="78"/>
      <c r="E502" s="78"/>
      <c r="F502" s="78"/>
      <c r="G502" s="78"/>
      <c r="H502" s="78"/>
      <c r="I502" s="78"/>
      <c r="J502" s="78"/>
      <c r="K502" s="78"/>
      <c r="L502" s="78"/>
      <c r="M502" s="78"/>
      <c r="N502" s="78"/>
      <c r="O502" s="78"/>
      <c r="P502" s="78"/>
      <c r="Q502" s="78"/>
      <c r="R502" s="78"/>
      <c r="S502" s="78"/>
      <c r="T502" s="78"/>
      <c r="U502" s="78"/>
      <c r="V502" s="78"/>
      <c r="W502" s="78"/>
      <c r="X502" s="78"/>
      <c r="Y502" s="78"/>
      <c r="Z502" s="78"/>
      <c r="AA502" s="78"/>
      <c r="AB502" s="78"/>
      <c r="AC502" s="78"/>
      <c r="AD502" s="78"/>
      <c r="AE502" s="340"/>
    </row>
    <row r="503" spans="2:31" ht="36" customHeight="1" x14ac:dyDescent="0.25">
      <c r="B503" s="463"/>
      <c r="C503" s="78"/>
      <c r="D503" s="78"/>
      <c r="E503" s="78"/>
      <c r="F503" s="78"/>
      <c r="G503" s="78"/>
      <c r="H503" s="78"/>
      <c r="I503" s="78"/>
      <c r="J503" s="78"/>
      <c r="K503" s="78"/>
      <c r="L503" s="78"/>
      <c r="M503" s="78"/>
      <c r="N503" s="78"/>
      <c r="O503" s="78"/>
      <c r="P503" s="78"/>
      <c r="Q503" s="78"/>
      <c r="R503" s="78"/>
      <c r="S503" s="78"/>
      <c r="T503" s="78"/>
      <c r="U503" s="78"/>
      <c r="V503" s="78"/>
      <c r="W503" s="78"/>
      <c r="X503" s="78"/>
      <c r="Y503" s="78"/>
      <c r="Z503" s="78"/>
      <c r="AA503" s="78"/>
      <c r="AB503" s="78"/>
      <c r="AC503" s="78"/>
      <c r="AD503" s="78"/>
      <c r="AE503" s="340"/>
    </row>
    <row r="504" spans="2:31" ht="58.15" customHeight="1" thickBot="1" x14ac:dyDescent="0.3">
      <c r="B504" s="463"/>
      <c r="C504" s="78"/>
      <c r="D504" s="78"/>
      <c r="E504" s="78"/>
      <c r="F504" s="78"/>
      <c r="G504" s="78"/>
      <c r="H504" s="78"/>
      <c r="I504" s="78"/>
      <c r="J504" s="467"/>
      <c r="K504" s="467"/>
      <c r="L504" s="467"/>
      <c r="M504" s="467"/>
      <c r="N504" s="467"/>
      <c r="O504" s="78"/>
      <c r="P504" s="78"/>
      <c r="Q504" s="78"/>
      <c r="R504" s="78"/>
      <c r="S504" s="78"/>
      <c r="T504" s="78"/>
      <c r="U504" s="78"/>
      <c r="V504" s="78"/>
      <c r="W504" s="78"/>
      <c r="X504" s="78"/>
      <c r="Y504" s="78"/>
      <c r="Z504" s="78"/>
      <c r="AA504" s="78"/>
      <c r="AB504" s="78"/>
      <c r="AC504" s="78"/>
      <c r="AD504" s="78"/>
      <c r="AE504" s="340"/>
    </row>
    <row r="505" spans="2:31" ht="15.75" x14ac:dyDescent="0.25">
      <c r="B505" s="463"/>
      <c r="C505" s="78"/>
      <c r="D505" s="78"/>
      <c r="E505" s="78"/>
      <c r="F505" s="78"/>
      <c r="G505" s="78"/>
      <c r="H505" s="78"/>
      <c r="I505" s="76"/>
      <c r="J505" s="1333" t="s">
        <v>1961</v>
      </c>
      <c r="K505" s="1333"/>
      <c r="L505" s="1333"/>
      <c r="M505" s="1333"/>
      <c r="N505" s="1333"/>
      <c r="O505" s="470"/>
      <c r="P505" s="471"/>
      <c r="Q505" s="471"/>
      <c r="R505" s="471"/>
      <c r="S505" s="471"/>
      <c r="T505" s="472"/>
      <c r="U505" s="1334" t="s">
        <v>1964</v>
      </c>
      <c r="V505" s="1334"/>
      <c r="W505" s="1334"/>
      <c r="X505" s="1334"/>
      <c r="Y505" s="1334"/>
      <c r="Z505" s="78"/>
      <c r="AA505" s="78"/>
      <c r="AB505" s="78"/>
      <c r="AC505" s="78"/>
      <c r="AD505" s="78"/>
      <c r="AE505" s="340"/>
    </row>
    <row r="506" spans="2:31" ht="15.75" x14ac:dyDescent="0.25">
      <c r="B506" s="463"/>
      <c r="C506" s="78"/>
      <c r="D506" s="78"/>
      <c r="E506" s="78"/>
      <c r="F506" s="78"/>
      <c r="G506" s="78"/>
      <c r="H506" s="78"/>
      <c r="I506" s="76"/>
      <c r="J506" s="1333" t="s">
        <v>1962</v>
      </c>
      <c r="K506" s="1333"/>
      <c r="L506" s="1333"/>
      <c r="M506" s="1333"/>
      <c r="N506" s="1333"/>
      <c r="O506" s="470"/>
      <c r="P506" s="471"/>
      <c r="Q506" s="471"/>
      <c r="R506" s="471"/>
      <c r="S506" s="471"/>
      <c r="T506" s="472"/>
      <c r="U506" s="1335" t="s">
        <v>1965</v>
      </c>
      <c r="V506" s="1335"/>
      <c r="W506" s="1335"/>
      <c r="X506" s="1335"/>
      <c r="Y506" s="1335"/>
      <c r="Z506" s="78"/>
      <c r="AA506" s="78"/>
      <c r="AB506" s="78"/>
      <c r="AC506" s="78"/>
      <c r="AD506" s="78"/>
      <c r="AE506" s="340"/>
    </row>
    <row r="507" spans="2:31" ht="15.75" x14ac:dyDescent="0.25">
      <c r="B507" s="463"/>
      <c r="C507" s="78"/>
      <c r="D507" s="78"/>
      <c r="E507" s="78"/>
      <c r="F507" s="78"/>
      <c r="G507" s="78"/>
      <c r="H507" s="78"/>
      <c r="I507" s="76"/>
      <c r="J507" s="1333" t="s">
        <v>1963</v>
      </c>
      <c r="K507" s="1333"/>
      <c r="L507" s="1333"/>
      <c r="M507" s="1333"/>
      <c r="N507" s="1333"/>
      <c r="O507" s="470"/>
      <c r="P507" s="471"/>
      <c r="Q507" s="471"/>
      <c r="R507" s="471"/>
      <c r="S507" s="471"/>
      <c r="T507" s="472"/>
      <c r="U507" s="1335" t="s">
        <v>1966</v>
      </c>
      <c r="V507" s="1335"/>
      <c r="W507" s="1335"/>
      <c r="X507" s="1335"/>
      <c r="Y507" s="1335"/>
      <c r="Z507" s="78"/>
      <c r="AA507" s="78"/>
      <c r="AB507" s="78"/>
      <c r="AC507" s="78"/>
      <c r="AD507" s="78"/>
      <c r="AE507" s="340"/>
    </row>
    <row r="508" spans="2:31" ht="12.75" customHeight="1" x14ac:dyDescent="0.3">
      <c r="B508" s="463"/>
      <c r="C508" s="78"/>
      <c r="D508" s="78"/>
      <c r="E508" s="78"/>
      <c r="F508" s="78"/>
      <c r="G508" s="78"/>
      <c r="H508" s="78"/>
      <c r="I508" s="78"/>
      <c r="J508" s="469"/>
      <c r="K508" s="469"/>
      <c r="L508" s="469"/>
      <c r="M508" s="469"/>
      <c r="N508" s="469"/>
      <c r="O508" s="469"/>
      <c r="P508" s="469"/>
      <c r="Q508" s="469"/>
      <c r="R508" s="469"/>
      <c r="S508" s="469"/>
      <c r="T508" s="469"/>
      <c r="U508" s="469"/>
      <c r="V508" s="469"/>
      <c r="W508" s="469"/>
      <c r="X508" s="469"/>
      <c r="Y508" s="78"/>
      <c r="Z508" s="78"/>
      <c r="AA508" s="78"/>
      <c r="AB508" s="78"/>
      <c r="AC508" s="78"/>
      <c r="AD508" s="78"/>
      <c r="AE508" s="340"/>
    </row>
    <row r="509" spans="2:31" ht="12.75" customHeight="1" x14ac:dyDescent="0.25">
      <c r="B509" s="463"/>
      <c r="C509" s="78"/>
      <c r="D509" s="78"/>
      <c r="E509" s="78"/>
      <c r="F509" s="78"/>
      <c r="G509" s="78"/>
      <c r="H509" s="78"/>
      <c r="I509" s="78"/>
      <c r="J509" s="78"/>
      <c r="K509" s="78"/>
      <c r="L509" s="78"/>
      <c r="M509" s="78"/>
      <c r="N509" s="78"/>
      <c r="O509" s="78"/>
      <c r="P509" s="78"/>
      <c r="Q509" s="78"/>
      <c r="R509" s="78"/>
      <c r="S509" s="78"/>
      <c r="T509" s="78"/>
      <c r="U509" s="78"/>
      <c r="V509" s="78"/>
      <c r="W509" s="78"/>
      <c r="X509" s="78"/>
      <c r="Y509" s="78"/>
      <c r="Z509" s="78"/>
      <c r="AA509" s="78"/>
      <c r="AB509" s="78"/>
      <c r="AC509" s="78"/>
      <c r="AD509" s="78"/>
      <c r="AE509" s="340"/>
    </row>
    <row r="510" spans="2:31" ht="12.75" customHeight="1" x14ac:dyDescent="0.25">
      <c r="B510" s="463"/>
      <c r="C510" s="78"/>
      <c r="D510" s="78"/>
      <c r="E510" s="78"/>
      <c r="F510" s="78"/>
      <c r="G510" s="78"/>
      <c r="H510" s="78"/>
      <c r="I510" s="78"/>
      <c r="J510" s="78"/>
      <c r="K510" s="78"/>
      <c r="L510" s="78"/>
      <c r="M510" s="78"/>
      <c r="N510" s="78"/>
      <c r="O510" s="78"/>
      <c r="P510" s="78"/>
      <c r="Q510" s="78"/>
      <c r="R510" s="78"/>
      <c r="S510" s="78"/>
      <c r="T510" s="78"/>
      <c r="U510" s="78"/>
      <c r="V510" s="78"/>
      <c r="W510" s="78"/>
      <c r="X510" s="78"/>
      <c r="Y510" s="78"/>
      <c r="Z510" s="78"/>
      <c r="AA510" s="78"/>
      <c r="AB510" s="78"/>
      <c r="AC510" s="78"/>
      <c r="AD510" s="78"/>
      <c r="AE510" s="340"/>
    </row>
    <row r="511" spans="2:31" ht="12.75" customHeight="1" x14ac:dyDescent="0.25">
      <c r="B511" s="463"/>
      <c r="C511" s="78"/>
      <c r="D511" s="78"/>
      <c r="E511" s="78"/>
      <c r="F511" s="78"/>
      <c r="G511" s="78"/>
      <c r="H511" s="78"/>
      <c r="I511" s="78"/>
      <c r="J511" s="78"/>
      <c r="K511" s="78"/>
      <c r="L511" s="78"/>
      <c r="M511" s="78"/>
      <c r="N511" s="78"/>
      <c r="O511" s="78"/>
      <c r="P511" s="78"/>
      <c r="Q511" s="78"/>
      <c r="R511" s="78"/>
      <c r="S511" s="78"/>
      <c r="T511" s="78"/>
      <c r="U511" s="78"/>
      <c r="V511" s="78"/>
      <c r="W511" s="78"/>
      <c r="X511" s="78"/>
      <c r="Y511" s="78"/>
      <c r="Z511" s="78"/>
      <c r="AA511" s="78"/>
      <c r="AB511" s="78"/>
      <c r="AC511" s="78"/>
      <c r="AD511" s="78"/>
      <c r="AE511" s="340"/>
    </row>
    <row r="512" spans="2:31" ht="12.75" customHeight="1" thickBot="1" x14ac:dyDescent="0.3">
      <c r="B512" s="466"/>
      <c r="C512" s="467"/>
      <c r="D512" s="467"/>
      <c r="E512" s="467"/>
      <c r="F512" s="467"/>
      <c r="G512" s="467"/>
      <c r="H512" s="467"/>
      <c r="I512" s="467"/>
      <c r="J512" s="467"/>
      <c r="K512" s="467"/>
      <c r="L512" s="467"/>
      <c r="M512" s="467"/>
      <c r="N512" s="467"/>
      <c r="O512" s="467"/>
      <c r="P512" s="467"/>
      <c r="Q512" s="467"/>
      <c r="R512" s="467"/>
      <c r="S512" s="467"/>
      <c r="T512" s="467"/>
      <c r="U512" s="467"/>
      <c r="V512" s="467"/>
      <c r="W512" s="467"/>
      <c r="X512" s="467"/>
      <c r="Y512" s="467"/>
      <c r="Z512" s="467"/>
      <c r="AA512" s="467"/>
      <c r="AB512" s="467"/>
      <c r="AC512" s="467"/>
      <c r="AD512" s="467"/>
      <c r="AE512" s="468"/>
    </row>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row r="891" ht="12.75" customHeight="1" x14ac:dyDescent="0.25"/>
    <row r="892" ht="12.75" customHeight="1" x14ac:dyDescent="0.25"/>
    <row r="893" ht="12.75" customHeight="1" x14ac:dyDescent="0.25"/>
    <row r="894" ht="12.75" customHeight="1" x14ac:dyDescent="0.25"/>
    <row r="895" ht="12.75" customHeight="1" x14ac:dyDescent="0.25"/>
    <row r="896" ht="12.75" customHeight="1" x14ac:dyDescent="0.25"/>
    <row r="897" ht="12.75" customHeight="1" x14ac:dyDescent="0.25"/>
    <row r="898" ht="12.75" customHeight="1" x14ac:dyDescent="0.25"/>
    <row r="899" ht="12.75" customHeight="1" x14ac:dyDescent="0.25"/>
    <row r="900" ht="12.75" customHeight="1" x14ac:dyDescent="0.25"/>
    <row r="901" ht="12.75" customHeight="1" x14ac:dyDescent="0.25"/>
    <row r="902" ht="12.75" customHeight="1" x14ac:dyDescent="0.25"/>
    <row r="903" ht="12.75" customHeight="1" x14ac:dyDescent="0.25"/>
    <row r="904" ht="12.75" customHeight="1" x14ac:dyDescent="0.25"/>
    <row r="905" ht="12.75" customHeight="1" x14ac:dyDescent="0.25"/>
    <row r="906" ht="12.75" customHeight="1" x14ac:dyDescent="0.25"/>
    <row r="907" ht="12.75" customHeight="1" x14ac:dyDescent="0.25"/>
    <row r="908" ht="12.75" customHeight="1" x14ac:dyDescent="0.25"/>
    <row r="909" ht="12.75" customHeight="1" x14ac:dyDescent="0.25"/>
    <row r="910" ht="12.75" customHeight="1" x14ac:dyDescent="0.25"/>
    <row r="911" ht="12.75" customHeight="1" x14ac:dyDescent="0.25"/>
    <row r="912" ht="12.75" customHeight="1" x14ac:dyDescent="0.25"/>
    <row r="913" ht="12.75" customHeight="1" x14ac:dyDescent="0.25"/>
    <row r="914" ht="12.75" customHeight="1" x14ac:dyDescent="0.25"/>
    <row r="915" ht="12.75" customHeight="1" x14ac:dyDescent="0.25"/>
    <row r="916" ht="12.75" customHeight="1" x14ac:dyDescent="0.25"/>
    <row r="917" ht="12.75" customHeight="1" x14ac:dyDescent="0.25"/>
    <row r="918" ht="12.75" customHeight="1" x14ac:dyDescent="0.25"/>
    <row r="919" ht="12.75" customHeight="1" x14ac:dyDescent="0.25"/>
    <row r="920" ht="12.75" customHeight="1" x14ac:dyDescent="0.25"/>
    <row r="921" ht="12.75" customHeight="1" x14ac:dyDescent="0.25"/>
    <row r="922" ht="12.75" customHeight="1" x14ac:dyDescent="0.25"/>
    <row r="923" ht="12.75" customHeight="1" x14ac:dyDescent="0.25"/>
    <row r="924" ht="12.75" customHeight="1" x14ac:dyDescent="0.25"/>
    <row r="925" ht="12.75" customHeight="1" x14ac:dyDescent="0.25"/>
    <row r="926" ht="12.75" customHeight="1" x14ac:dyDescent="0.25"/>
    <row r="927" ht="12.75" customHeight="1" x14ac:dyDescent="0.25"/>
    <row r="928" ht="12.75" customHeight="1" x14ac:dyDescent="0.25"/>
    <row r="929" ht="12.75" customHeight="1" x14ac:dyDescent="0.25"/>
    <row r="930" ht="12.75" customHeight="1" x14ac:dyDescent="0.25"/>
    <row r="931" ht="12.75" customHeight="1" x14ac:dyDescent="0.25"/>
    <row r="932" ht="12.75" customHeight="1" x14ac:dyDescent="0.25"/>
    <row r="933" ht="12.75" customHeight="1" x14ac:dyDescent="0.25"/>
    <row r="934" ht="12.75" customHeight="1" x14ac:dyDescent="0.25"/>
    <row r="935" ht="12.75" customHeight="1" x14ac:dyDescent="0.25"/>
    <row r="936" ht="12.75" customHeight="1" x14ac:dyDescent="0.25"/>
    <row r="937" ht="12.75" customHeight="1" x14ac:dyDescent="0.25"/>
    <row r="938" ht="12.75" customHeight="1" x14ac:dyDescent="0.25"/>
    <row r="939" ht="12.75" customHeight="1" x14ac:dyDescent="0.25"/>
    <row r="940" ht="12.75" customHeight="1" x14ac:dyDescent="0.25"/>
    <row r="941" ht="12.75" customHeight="1" x14ac:dyDescent="0.25"/>
    <row r="942" ht="12.75" customHeight="1" x14ac:dyDescent="0.25"/>
    <row r="943" ht="12.75" customHeight="1" x14ac:dyDescent="0.25"/>
    <row r="944" ht="12.75" customHeight="1" x14ac:dyDescent="0.25"/>
    <row r="945" ht="12.75" customHeight="1" x14ac:dyDescent="0.25"/>
    <row r="946" ht="12.75" customHeight="1" x14ac:dyDescent="0.25"/>
    <row r="947" ht="12.75" customHeight="1" x14ac:dyDescent="0.25"/>
    <row r="948" ht="12.75" customHeight="1" x14ac:dyDescent="0.25"/>
    <row r="949" ht="12.75" customHeight="1" x14ac:dyDescent="0.25"/>
    <row r="950" ht="12.75" customHeight="1" x14ac:dyDescent="0.25"/>
    <row r="951" ht="12.75" customHeight="1" x14ac:dyDescent="0.25"/>
    <row r="952" ht="12.75" customHeight="1" x14ac:dyDescent="0.25"/>
    <row r="953" ht="12.75" customHeight="1" x14ac:dyDescent="0.25"/>
    <row r="954" ht="12.75" customHeight="1" x14ac:dyDescent="0.25"/>
    <row r="955" ht="12.75" customHeight="1" x14ac:dyDescent="0.25"/>
    <row r="956" ht="12.75" customHeight="1" x14ac:dyDescent="0.25"/>
    <row r="957" ht="12.75" customHeight="1" x14ac:dyDescent="0.25"/>
    <row r="958" ht="12.75" customHeight="1" x14ac:dyDescent="0.25"/>
    <row r="959" ht="12.75" customHeight="1" x14ac:dyDescent="0.25"/>
    <row r="960" ht="12.75" customHeight="1" x14ac:dyDescent="0.25"/>
    <row r="961" ht="12.75" customHeight="1" x14ac:dyDescent="0.25"/>
    <row r="962" ht="12.75" customHeight="1" x14ac:dyDescent="0.25"/>
    <row r="963" ht="12.75" customHeight="1" x14ac:dyDescent="0.25"/>
    <row r="964" ht="12.75" customHeight="1" x14ac:dyDescent="0.25"/>
    <row r="965" ht="12.75" customHeight="1" x14ac:dyDescent="0.25"/>
    <row r="966" ht="12.75" customHeight="1" x14ac:dyDescent="0.25"/>
    <row r="967" ht="12.75" customHeight="1" x14ac:dyDescent="0.25"/>
    <row r="968" ht="12.75" customHeight="1" x14ac:dyDescent="0.25"/>
    <row r="969" ht="12.75" customHeight="1" x14ac:dyDescent="0.25"/>
    <row r="970" ht="12.75" customHeight="1" x14ac:dyDescent="0.25"/>
    <row r="971" ht="12.75" customHeight="1" x14ac:dyDescent="0.25"/>
    <row r="972" ht="12.75" customHeight="1" x14ac:dyDescent="0.25"/>
    <row r="973" ht="12.75" customHeight="1" x14ac:dyDescent="0.25"/>
    <row r="974" ht="12.75" customHeight="1" x14ac:dyDescent="0.25"/>
    <row r="975" ht="12.75" customHeight="1" x14ac:dyDescent="0.25"/>
    <row r="976" ht="12.75" customHeight="1" x14ac:dyDescent="0.25"/>
    <row r="977" ht="12.75" customHeight="1" x14ac:dyDescent="0.25"/>
    <row r="978" ht="12.75" customHeight="1" x14ac:dyDescent="0.25"/>
    <row r="979" ht="12.75" customHeight="1" x14ac:dyDescent="0.25"/>
    <row r="980" ht="12.75" customHeight="1" x14ac:dyDescent="0.25"/>
    <row r="981" ht="12.75" customHeight="1" x14ac:dyDescent="0.25"/>
    <row r="982" ht="12.75" customHeight="1" x14ac:dyDescent="0.25"/>
    <row r="983" ht="12.75" customHeight="1" x14ac:dyDescent="0.25"/>
    <row r="984" ht="12.75" customHeight="1" x14ac:dyDescent="0.25"/>
    <row r="985" ht="12.75" customHeight="1" x14ac:dyDescent="0.25"/>
    <row r="986" ht="12.75" customHeight="1" x14ac:dyDescent="0.25"/>
    <row r="987" ht="12.75" customHeight="1" x14ac:dyDescent="0.25"/>
    <row r="988" ht="12.75" customHeight="1" x14ac:dyDescent="0.25"/>
    <row r="989" ht="12.75" customHeight="1" x14ac:dyDescent="0.25"/>
    <row r="990" ht="12.75" customHeight="1" x14ac:dyDescent="0.25"/>
    <row r="991" ht="12.75" customHeight="1" x14ac:dyDescent="0.25"/>
    <row r="992" ht="12.75" customHeight="1" x14ac:dyDescent="0.25"/>
    <row r="993" ht="12.75" customHeight="1" x14ac:dyDescent="0.25"/>
    <row r="994" ht="12.75" customHeight="1" x14ac:dyDescent="0.25"/>
    <row r="995" ht="12.75" customHeight="1" x14ac:dyDescent="0.25"/>
    <row r="996" ht="12.75" customHeight="1" x14ac:dyDescent="0.25"/>
    <row r="997" ht="12.75" customHeight="1" x14ac:dyDescent="0.25"/>
    <row r="998" ht="12.75" customHeight="1" x14ac:dyDescent="0.25"/>
    <row r="999" ht="12.75" customHeight="1" x14ac:dyDescent="0.25"/>
    <row r="1000" ht="12.75" customHeight="1" x14ac:dyDescent="0.25"/>
    <row r="1001" ht="12.75" customHeight="1" x14ac:dyDescent="0.25"/>
    <row r="1002" ht="12.75" customHeight="1" x14ac:dyDescent="0.25"/>
    <row r="1003" ht="12.75" customHeight="1" x14ac:dyDescent="0.25"/>
    <row r="1004" ht="12.75" customHeight="1" x14ac:dyDescent="0.25"/>
    <row r="1005" ht="12.75" customHeight="1" x14ac:dyDescent="0.25"/>
    <row r="1006" ht="12.75" customHeight="1" x14ac:dyDescent="0.25"/>
    <row r="1007" ht="12.75" customHeight="1" x14ac:dyDescent="0.25"/>
    <row r="1008" ht="12.75" customHeight="1" x14ac:dyDescent="0.25"/>
    <row r="1009" ht="12.75" customHeight="1" x14ac:dyDescent="0.25"/>
    <row r="1010" ht="12.75" customHeight="1" x14ac:dyDescent="0.25"/>
    <row r="1011" ht="12.75" customHeight="1" x14ac:dyDescent="0.25"/>
    <row r="1012" ht="12.75" customHeight="1" x14ac:dyDescent="0.25"/>
    <row r="1013" ht="12.75" customHeight="1" x14ac:dyDescent="0.25"/>
    <row r="1014" ht="12.75" customHeight="1" x14ac:dyDescent="0.25"/>
    <row r="1015" ht="12.75" customHeight="1" x14ac:dyDescent="0.25"/>
    <row r="1016" ht="12.75" customHeight="1" x14ac:dyDescent="0.25"/>
    <row r="1017" ht="12.75" customHeight="1" x14ac:dyDescent="0.25"/>
    <row r="1018" ht="12.75" customHeight="1" x14ac:dyDescent="0.25"/>
    <row r="1019" ht="12.75" customHeight="1" x14ac:dyDescent="0.25"/>
    <row r="1020" ht="12.75" customHeight="1" x14ac:dyDescent="0.25"/>
    <row r="1021" ht="12.75" customHeight="1" x14ac:dyDescent="0.25"/>
    <row r="1022" ht="12.75" customHeight="1" x14ac:dyDescent="0.25"/>
    <row r="1023" ht="12.75" customHeight="1" x14ac:dyDescent="0.25"/>
    <row r="1024" ht="12.75" customHeight="1" x14ac:dyDescent="0.25"/>
    <row r="1025" ht="12.75" customHeight="1" x14ac:dyDescent="0.25"/>
    <row r="1026" ht="12.75" customHeight="1" x14ac:dyDescent="0.25"/>
    <row r="1027" ht="12.75" customHeight="1" x14ac:dyDescent="0.25"/>
    <row r="1028" ht="12.75" customHeight="1" x14ac:dyDescent="0.25"/>
    <row r="1029" ht="12.75" customHeight="1" x14ac:dyDescent="0.25"/>
    <row r="1030" ht="12.75" customHeight="1" x14ac:dyDescent="0.25"/>
    <row r="1031" ht="12.75" customHeight="1" x14ac:dyDescent="0.25"/>
    <row r="1032" ht="12.75" customHeight="1" x14ac:dyDescent="0.25"/>
    <row r="1033" ht="12.75" customHeight="1" x14ac:dyDescent="0.25"/>
    <row r="1034" ht="12.75" customHeight="1" x14ac:dyDescent="0.25"/>
    <row r="1035" ht="12.75" customHeight="1" x14ac:dyDescent="0.25"/>
    <row r="1036" ht="12.75" customHeight="1" x14ac:dyDescent="0.25"/>
    <row r="1037" ht="12.75" customHeight="1" x14ac:dyDescent="0.25"/>
    <row r="1038" ht="12.75" customHeight="1" x14ac:dyDescent="0.25"/>
    <row r="1039" ht="12.75" customHeight="1" x14ac:dyDescent="0.25"/>
    <row r="1040" ht="12.75" customHeight="1" x14ac:dyDescent="0.25"/>
    <row r="1041" ht="12.75" customHeight="1" x14ac:dyDescent="0.25"/>
    <row r="1042" ht="12.75" customHeight="1" x14ac:dyDescent="0.25"/>
    <row r="1043" ht="12.75" customHeight="1" x14ac:dyDescent="0.25"/>
    <row r="1044" ht="12.75" customHeight="1" x14ac:dyDescent="0.25"/>
    <row r="1045" ht="12.75" customHeight="1" x14ac:dyDescent="0.25"/>
    <row r="1046" ht="12.75" customHeight="1" x14ac:dyDescent="0.25"/>
    <row r="1047" ht="12.75" customHeight="1" x14ac:dyDescent="0.25"/>
    <row r="1048" ht="12.75" customHeight="1" x14ac:dyDescent="0.25"/>
    <row r="1049" ht="12.75" customHeight="1" x14ac:dyDescent="0.25"/>
    <row r="1050" ht="12.75" customHeight="1" x14ac:dyDescent="0.25"/>
    <row r="1051" ht="12.75" customHeight="1" x14ac:dyDescent="0.25"/>
    <row r="1052" ht="12.75" customHeight="1" x14ac:dyDescent="0.25"/>
    <row r="1053" ht="12.75" customHeight="1" x14ac:dyDescent="0.25"/>
    <row r="1054" ht="12.75" customHeight="1" x14ac:dyDescent="0.25"/>
    <row r="1055" ht="12.75" customHeight="1" x14ac:dyDescent="0.25"/>
    <row r="1056" ht="12.75" customHeight="1" x14ac:dyDescent="0.25"/>
    <row r="1057" ht="12.75" customHeight="1" x14ac:dyDescent="0.25"/>
    <row r="1058" ht="12.75" customHeight="1" x14ac:dyDescent="0.25"/>
    <row r="1059" ht="12.75" customHeight="1" x14ac:dyDescent="0.25"/>
    <row r="1060" ht="12.75" customHeight="1" x14ac:dyDescent="0.25"/>
    <row r="1061" ht="12.75" customHeight="1" x14ac:dyDescent="0.25"/>
    <row r="1062" ht="12.75" customHeight="1" x14ac:dyDescent="0.25"/>
    <row r="1063" ht="12.75" customHeight="1" x14ac:dyDescent="0.25"/>
    <row r="1064" ht="12.75" customHeight="1" x14ac:dyDescent="0.25"/>
    <row r="1065" ht="12.75" customHeight="1" x14ac:dyDescent="0.25"/>
    <row r="1066" ht="12.75" customHeight="1" x14ac:dyDescent="0.25"/>
    <row r="1067" ht="12.75" customHeight="1" x14ac:dyDescent="0.25"/>
    <row r="1068" ht="12.75" customHeight="1" x14ac:dyDescent="0.25"/>
    <row r="1069" ht="12.75" customHeight="1" x14ac:dyDescent="0.25"/>
    <row r="1070" ht="12.75" customHeight="1" x14ac:dyDescent="0.25"/>
    <row r="1071" ht="12.75" customHeight="1" x14ac:dyDescent="0.25"/>
    <row r="1072" ht="12.75" customHeight="1" x14ac:dyDescent="0.25"/>
    <row r="1073" ht="12.75" customHeight="1" x14ac:dyDescent="0.25"/>
    <row r="1074" ht="12.75" customHeight="1" x14ac:dyDescent="0.25"/>
    <row r="1075" ht="12.75" customHeight="1" x14ac:dyDescent="0.25"/>
    <row r="1076" ht="12.75" customHeight="1" x14ac:dyDescent="0.25"/>
    <row r="1077" ht="12.75" customHeight="1" x14ac:dyDescent="0.25"/>
    <row r="1078" ht="12.75" customHeight="1" x14ac:dyDescent="0.25"/>
    <row r="1079" ht="12.75" customHeight="1" x14ac:dyDescent="0.25"/>
    <row r="1080" ht="12.75" customHeight="1" x14ac:dyDescent="0.25"/>
    <row r="1081" ht="12.75" customHeight="1" x14ac:dyDescent="0.25"/>
    <row r="1082" ht="12.75" customHeight="1" x14ac:dyDescent="0.25"/>
    <row r="1083" ht="12.75" customHeight="1" x14ac:dyDescent="0.25"/>
    <row r="1084" ht="12.75" customHeight="1" x14ac:dyDescent="0.25"/>
    <row r="1085" ht="12.75" customHeight="1" x14ac:dyDescent="0.25"/>
    <row r="1086" ht="12.75" customHeight="1" x14ac:dyDescent="0.25"/>
    <row r="1087" ht="12.75" customHeight="1" x14ac:dyDescent="0.25"/>
    <row r="1088" ht="12.75" customHeight="1" x14ac:dyDescent="0.25"/>
    <row r="1089" ht="12.75" customHeight="1" x14ac:dyDescent="0.25"/>
    <row r="1090" ht="12.75" customHeight="1" x14ac:dyDescent="0.25"/>
    <row r="1091" ht="12.75" customHeight="1" x14ac:dyDescent="0.25"/>
    <row r="1092" ht="12.75" customHeight="1" x14ac:dyDescent="0.25"/>
    <row r="1093" ht="12.75" customHeight="1" x14ac:dyDescent="0.25"/>
    <row r="1094" ht="12.75" customHeight="1" x14ac:dyDescent="0.25"/>
    <row r="1095" ht="12.75" customHeight="1" x14ac:dyDescent="0.25"/>
    <row r="1096" ht="12.75" customHeight="1" x14ac:dyDescent="0.25"/>
    <row r="1097" ht="12.75" customHeight="1" x14ac:dyDescent="0.25"/>
    <row r="1098" ht="12.75" customHeight="1" x14ac:dyDescent="0.25"/>
    <row r="1099" ht="12.75" customHeight="1" x14ac:dyDescent="0.25"/>
    <row r="1100" ht="12.75" customHeight="1" x14ac:dyDescent="0.25"/>
    <row r="1101" ht="12.75" customHeight="1" x14ac:dyDescent="0.25"/>
    <row r="1102" ht="12.75" customHeight="1" x14ac:dyDescent="0.25"/>
    <row r="1103" ht="12.75" customHeight="1" x14ac:dyDescent="0.25"/>
    <row r="1104" ht="12.75" customHeight="1" x14ac:dyDescent="0.25"/>
    <row r="1105" ht="12.75" customHeight="1" x14ac:dyDescent="0.25"/>
    <row r="1106" ht="12.75" customHeight="1" x14ac:dyDescent="0.25"/>
    <row r="1107" ht="12.75" customHeight="1" x14ac:dyDescent="0.25"/>
    <row r="1108" ht="12.75" customHeight="1" x14ac:dyDescent="0.25"/>
    <row r="1109" ht="12.75" customHeight="1" x14ac:dyDescent="0.25"/>
    <row r="1110" ht="12.75" customHeight="1" x14ac:dyDescent="0.25"/>
    <row r="1111" ht="12.75" customHeight="1" x14ac:dyDescent="0.25"/>
    <row r="1112" ht="12.75" customHeight="1" x14ac:dyDescent="0.25"/>
    <row r="1113" ht="12.75" customHeight="1" x14ac:dyDescent="0.25"/>
    <row r="1114" ht="12.75" customHeight="1" x14ac:dyDescent="0.25"/>
    <row r="1115" ht="12.75" customHeight="1" x14ac:dyDescent="0.25"/>
    <row r="1116" ht="12.75" customHeight="1" x14ac:dyDescent="0.25"/>
    <row r="1117" ht="12.75" customHeight="1" x14ac:dyDescent="0.25"/>
    <row r="1118" ht="12.75" customHeight="1" x14ac:dyDescent="0.25"/>
    <row r="1119" ht="12.75" customHeight="1" x14ac:dyDescent="0.25"/>
    <row r="1120" ht="12.75" customHeight="1" x14ac:dyDescent="0.25"/>
    <row r="1121" ht="12.75" customHeight="1" x14ac:dyDescent="0.25"/>
    <row r="1122" ht="12.75" customHeight="1" x14ac:dyDescent="0.25"/>
    <row r="1123" ht="12.75" customHeight="1" x14ac:dyDescent="0.25"/>
    <row r="1124" ht="12.75" customHeight="1" x14ac:dyDescent="0.25"/>
    <row r="1125" ht="12.75" customHeight="1" x14ac:dyDescent="0.25"/>
    <row r="1126" ht="12.75" customHeight="1" x14ac:dyDescent="0.25"/>
    <row r="1127" ht="12.75" customHeight="1" x14ac:dyDescent="0.25"/>
    <row r="1128" ht="12.75" customHeight="1" x14ac:dyDescent="0.25"/>
    <row r="1129" ht="12.75" customHeight="1" x14ac:dyDescent="0.25"/>
    <row r="1130" ht="12.75" customHeight="1" x14ac:dyDescent="0.25"/>
    <row r="1131" ht="12.75" customHeight="1" x14ac:dyDescent="0.25"/>
    <row r="1132" ht="12.75" customHeight="1" x14ac:dyDescent="0.25"/>
    <row r="1133" ht="12.75" customHeight="1" x14ac:dyDescent="0.25"/>
    <row r="1134" ht="12.75" customHeight="1" x14ac:dyDescent="0.25"/>
    <row r="1135" ht="12.75" customHeight="1" x14ac:dyDescent="0.25"/>
    <row r="1136" ht="12.75" customHeight="1" x14ac:dyDescent="0.25"/>
    <row r="1137" ht="12.75" customHeight="1" x14ac:dyDescent="0.25"/>
    <row r="1138" ht="12.75" customHeight="1" x14ac:dyDescent="0.25"/>
    <row r="1139" ht="12.75" customHeight="1" x14ac:dyDescent="0.25"/>
    <row r="1140" ht="12.75" customHeight="1" x14ac:dyDescent="0.25"/>
    <row r="1141" ht="12.75" customHeight="1" x14ac:dyDescent="0.25"/>
    <row r="1142" ht="12.75" customHeight="1" x14ac:dyDescent="0.25"/>
    <row r="1143" ht="12.75" customHeight="1" x14ac:dyDescent="0.25"/>
    <row r="1144" ht="12.75" customHeight="1" x14ac:dyDescent="0.25"/>
    <row r="1145" ht="12.75" customHeight="1" x14ac:dyDescent="0.25"/>
    <row r="1146" ht="12.75" customHeight="1" x14ac:dyDescent="0.25"/>
    <row r="1147" ht="12.75" customHeight="1" x14ac:dyDescent="0.25"/>
    <row r="1148" ht="12.75" customHeight="1" x14ac:dyDescent="0.25"/>
    <row r="1149" ht="12.75" customHeight="1" x14ac:dyDescent="0.25"/>
    <row r="1150" ht="12.75" customHeight="1" x14ac:dyDescent="0.25"/>
    <row r="1151" ht="12.75" customHeight="1" x14ac:dyDescent="0.25"/>
    <row r="1152" ht="12.75" customHeight="1" x14ac:dyDescent="0.25"/>
    <row r="1153" ht="12.75" customHeight="1" x14ac:dyDescent="0.25"/>
    <row r="1154" ht="12.75" customHeight="1" x14ac:dyDescent="0.25"/>
    <row r="1155" ht="12.75" customHeight="1" x14ac:dyDescent="0.25"/>
    <row r="1156" ht="12.75" customHeight="1" x14ac:dyDescent="0.25"/>
    <row r="1157" ht="12.75" customHeight="1" x14ac:dyDescent="0.25"/>
    <row r="1158" ht="12.75" customHeight="1" x14ac:dyDescent="0.25"/>
    <row r="1159" ht="12.75" customHeight="1" x14ac:dyDescent="0.25"/>
    <row r="1160" ht="12.75" customHeight="1" x14ac:dyDescent="0.25"/>
    <row r="1161" ht="12.75" customHeight="1" x14ac:dyDescent="0.25"/>
    <row r="1162" ht="12.75" customHeight="1" x14ac:dyDescent="0.25"/>
    <row r="1163" ht="12.75" customHeight="1" x14ac:dyDescent="0.25"/>
    <row r="1164" ht="12.75" customHeight="1" x14ac:dyDescent="0.25"/>
    <row r="1165" ht="12.75" customHeight="1" x14ac:dyDescent="0.25"/>
    <row r="1166" ht="12.75" customHeight="1" x14ac:dyDescent="0.25"/>
    <row r="1167" ht="12.75" customHeight="1" x14ac:dyDescent="0.25"/>
    <row r="1168" ht="12.75" customHeight="1" x14ac:dyDescent="0.25"/>
    <row r="1169" ht="12.75" customHeight="1" x14ac:dyDescent="0.25"/>
    <row r="1170" ht="12.75" customHeight="1" x14ac:dyDescent="0.25"/>
    <row r="1171" ht="12.75" customHeight="1" x14ac:dyDescent="0.25"/>
    <row r="1172" ht="12.75" customHeight="1" x14ac:dyDescent="0.25"/>
    <row r="1173" ht="12.75" customHeight="1" x14ac:dyDescent="0.25"/>
    <row r="1174" ht="12.75" customHeight="1" x14ac:dyDescent="0.25"/>
    <row r="1175" ht="12.75" customHeight="1" x14ac:dyDescent="0.25"/>
    <row r="1176" ht="12.75" customHeight="1" x14ac:dyDescent="0.25"/>
    <row r="1177" ht="12.75" customHeight="1" x14ac:dyDescent="0.25"/>
    <row r="1178" ht="12.75" customHeight="1" x14ac:dyDescent="0.25"/>
    <row r="1179" ht="12.75" customHeight="1" x14ac:dyDescent="0.25"/>
    <row r="1180" ht="12.75" customHeight="1" x14ac:dyDescent="0.25"/>
    <row r="1181" ht="12.75" customHeight="1" x14ac:dyDescent="0.25"/>
    <row r="1182" ht="12.75" customHeight="1" x14ac:dyDescent="0.25"/>
    <row r="1183" ht="12.75" customHeight="1" x14ac:dyDescent="0.25"/>
    <row r="1184" ht="12.75" customHeight="1" x14ac:dyDescent="0.25"/>
    <row r="1185" ht="12.75" customHeight="1" x14ac:dyDescent="0.25"/>
    <row r="1186" ht="12.75" customHeight="1" x14ac:dyDescent="0.25"/>
    <row r="1187" ht="12.75" customHeight="1" x14ac:dyDescent="0.25"/>
    <row r="1188" ht="12.75" customHeight="1" x14ac:dyDescent="0.25"/>
    <row r="1189" ht="12.75" customHeight="1" x14ac:dyDescent="0.25"/>
    <row r="1190" ht="12.75" customHeight="1" x14ac:dyDescent="0.25"/>
    <row r="1191" ht="12.75" customHeight="1" x14ac:dyDescent="0.25"/>
    <row r="1192" ht="12.75" customHeight="1" x14ac:dyDescent="0.25"/>
    <row r="1193" ht="12.75" customHeight="1" x14ac:dyDescent="0.25"/>
    <row r="1194" ht="12.75" customHeight="1" x14ac:dyDescent="0.25"/>
    <row r="1195" ht="12.75" customHeight="1" x14ac:dyDescent="0.25"/>
    <row r="1196" ht="12.75" customHeight="1" x14ac:dyDescent="0.25"/>
    <row r="1197" ht="12.75" customHeight="1" x14ac:dyDescent="0.25"/>
    <row r="1198" ht="12.75" customHeight="1" x14ac:dyDescent="0.25"/>
    <row r="1199" ht="12.75" customHeight="1" x14ac:dyDescent="0.25"/>
    <row r="1200" ht="12.75" customHeight="1" x14ac:dyDescent="0.25"/>
    <row r="1201" ht="12.75" customHeight="1" x14ac:dyDescent="0.25"/>
    <row r="1202" ht="12.75" customHeight="1" x14ac:dyDescent="0.25"/>
    <row r="1203" ht="12.75" customHeight="1" x14ac:dyDescent="0.25"/>
    <row r="1204" ht="12.75" customHeight="1" x14ac:dyDescent="0.25"/>
    <row r="1205" ht="12.75" customHeight="1" x14ac:dyDescent="0.25"/>
    <row r="1206" ht="12.75" customHeight="1" x14ac:dyDescent="0.25"/>
    <row r="1207" ht="12.75" customHeight="1" x14ac:dyDescent="0.25"/>
    <row r="1208" ht="12.75" customHeight="1" x14ac:dyDescent="0.25"/>
    <row r="1209" ht="12.75" customHeight="1" x14ac:dyDescent="0.25"/>
    <row r="1210" ht="12.75" customHeight="1" x14ac:dyDescent="0.25"/>
    <row r="1211" ht="12.75" customHeight="1" x14ac:dyDescent="0.25"/>
    <row r="1212" ht="12.75" customHeight="1" x14ac:dyDescent="0.25"/>
    <row r="1213" ht="12.75" customHeight="1" x14ac:dyDescent="0.25"/>
    <row r="1214" ht="12.75" customHeight="1" x14ac:dyDescent="0.25"/>
    <row r="1215" ht="12.75" customHeight="1" x14ac:dyDescent="0.25"/>
    <row r="1216" ht="12.75" customHeight="1" x14ac:dyDescent="0.25"/>
    <row r="1217" ht="12.75" customHeight="1" x14ac:dyDescent="0.25"/>
    <row r="1218" ht="12.75" customHeight="1" x14ac:dyDescent="0.25"/>
    <row r="1219" ht="12.75" customHeight="1" x14ac:dyDescent="0.25"/>
    <row r="1220" ht="12.75" customHeight="1" x14ac:dyDescent="0.25"/>
    <row r="1221" ht="12.75" customHeight="1" x14ac:dyDescent="0.25"/>
    <row r="1222" ht="12.75" customHeight="1" x14ac:dyDescent="0.25"/>
    <row r="1223" ht="12.75" customHeight="1" x14ac:dyDescent="0.25"/>
    <row r="1224" ht="12.75" customHeight="1" x14ac:dyDescent="0.25"/>
    <row r="1225" ht="12.75" customHeight="1" x14ac:dyDescent="0.25"/>
    <row r="1226" ht="12.75" customHeight="1" x14ac:dyDescent="0.25"/>
    <row r="1227" ht="12.75" customHeight="1" x14ac:dyDescent="0.25"/>
    <row r="1228" ht="12.75" customHeight="1" x14ac:dyDescent="0.25"/>
    <row r="1229" ht="12.75" customHeight="1" x14ac:dyDescent="0.25"/>
    <row r="1230" ht="12.75" customHeight="1" x14ac:dyDescent="0.25"/>
    <row r="1231" ht="12.75" customHeight="1" x14ac:dyDescent="0.25"/>
    <row r="1232" ht="12.75" customHeight="1" x14ac:dyDescent="0.25"/>
    <row r="1233" ht="12.75" customHeight="1" x14ac:dyDescent="0.25"/>
    <row r="1234" ht="12.75" customHeight="1" x14ac:dyDescent="0.25"/>
    <row r="1235" ht="12.75" customHeight="1" x14ac:dyDescent="0.25"/>
    <row r="1236" ht="12.75" customHeight="1" x14ac:dyDescent="0.25"/>
    <row r="1237" ht="12.75" customHeight="1" x14ac:dyDescent="0.25"/>
    <row r="1238" ht="12.75" customHeight="1" x14ac:dyDescent="0.25"/>
    <row r="1239" ht="12.75" customHeight="1" x14ac:dyDescent="0.25"/>
    <row r="1240" ht="12.75" customHeight="1" x14ac:dyDescent="0.25"/>
    <row r="1241" ht="12.75" customHeight="1" x14ac:dyDescent="0.25"/>
    <row r="1242" ht="12.75" customHeight="1" x14ac:dyDescent="0.25"/>
    <row r="1243" ht="12.75" customHeight="1" x14ac:dyDescent="0.25"/>
    <row r="1244" ht="12.75" customHeight="1" x14ac:dyDescent="0.25"/>
    <row r="1245" ht="12.75" customHeight="1" x14ac:dyDescent="0.25"/>
    <row r="1246" ht="12.75" customHeight="1" x14ac:dyDescent="0.25"/>
    <row r="1247" ht="12.75" customHeight="1" x14ac:dyDescent="0.25"/>
    <row r="1248" ht="12.75" customHeight="1" x14ac:dyDescent="0.25"/>
    <row r="1249" ht="12.75" customHeight="1" x14ac:dyDescent="0.25"/>
    <row r="1250" ht="12.75" customHeight="1" x14ac:dyDescent="0.25"/>
    <row r="1251" ht="12.75" customHeight="1" x14ac:dyDescent="0.25"/>
    <row r="1252" ht="12.75" customHeight="1" x14ac:dyDescent="0.25"/>
    <row r="1253" ht="12.75" customHeight="1" x14ac:dyDescent="0.25"/>
    <row r="1254" ht="12.75" customHeight="1" x14ac:dyDescent="0.25"/>
    <row r="1255" ht="12.75" customHeight="1" x14ac:dyDescent="0.25"/>
    <row r="1256" ht="12.75" customHeight="1" x14ac:dyDescent="0.25"/>
    <row r="1257" ht="12.75" customHeight="1" x14ac:dyDescent="0.25"/>
    <row r="1258" ht="12.75" customHeight="1" x14ac:dyDescent="0.25"/>
    <row r="1259" ht="12.75" customHeight="1" x14ac:dyDescent="0.25"/>
    <row r="1260" ht="12.75" customHeight="1" x14ac:dyDescent="0.25"/>
    <row r="1261" ht="12.75" customHeight="1" x14ac:dyDescent="0.25"/>
    <row r="1262" ht="12.75" customHeight="1" x14ac:dyDescent="0.25"/>
    <row r="1263" ht="12.75" customHeight="1" x14ac:dyDescent="0.25"/>
    <row r="1264" ht="12.75" customHeight="1" x14ac:dyDescent="0.25"/>
    <row r="1265" ht="12.75" customHeight="1" x14ac:dyDescent="0.25"/>
    <row r="1266" ht="12.75" customHeight="1" x14ac:dyDescent="0.25"/>
    <row r="1267" ht="12.75" customHeight="1" x14ac:dyDescent="0.25"/>
    <row r="1268" ht="12.75" customHeight="1" x14ac:dyDescent="0.25"/>
    <row r="1269" ht="12.75" customHeight="1" x14ac:dyDescent="0.25"/>
    <row r="1270" ht="12.75" customHeight="1" x14ac:dyDescent="0.25"/>
    <row r="1271" ht="12.75" customHeight="1" x14ac:dyDescent="0.25"/>
    <row r="1272" ht="12.75" customHeight="1" x14ac:dyDescent="0.25"/>
    <row r="1273" ht="12.75" customHeight="1" x14ac:dyDescent="0.25"/>
    <row r="1274" ht="12.75" customHeight="1" x14ac:dyDescent="0.25"/>
    <row r="1275" ht="12.75" customHeight="1" x14ac:dyDescent="0.25"/>
    <row r="1276" ht="12.75" customHeight="1" x14ac:dyDescent="0.25"/>
    <row r="1277" ht="12.75" customHeight="1" x14ac:dyDescent="0.25"/>
    <row r="1278" ht="12.75" customHeight="1" x14ac:dyDescent="0.25"/>
    <row r="1279" ht="12.75" customHeight="1" x14ac:dyDescent="0.25"/>
    <row r="1280" ht="12.75" customHeight="1" x14ac:dyDescent="0.25"/>
    <row r="1281" ht="12.75" customHeight="1" x14ac:dyDescent="0.25"/>
    <row r="1282" ht="12.75" customHeight="1" x14ac:dyDescent="0.25"/>
    <row r="1283" ht="12.75" customHeight="1" x14ac:dyDescent="0.25"/>
    <row r="1284" ht="12.75" customHeight="1" x14ac:dyDescent="0.25"/>
    <row r="1285" ht="12.75" customHeight="1" x14ac:dyDescent="0.25"/>
    <row r="1286" ht="12.75" customHeight="1" x14ac:dyDescent="0.25"/>
    <row r="1287" ht="12.75" customHeight="1" x14ac:dyDescent="0.25"/>
    <row r="1288" ht="12.75" customHeight="1" x14ac:dyDescent="0.25"/>
    <row r="1289" ht="12.75" customHeight="1" x14ac:dyDescent="0.25"/>
    <row r="1290" ht="12.75" customHeight="1" x14ac:dyDescent="0.25"/>
    <row r="1291" ht="12.75" customHeight="1" x14ac:dyDescent="0.25"/>
    <row r="1292" ht="12.75" customHeight="1" x14ac:dyDescent="0.25"/>
    <row r="1293" ht="12.75" customHeight="1" x14ac:dyDescent="0.25"/>
    <row r="1294" ht="12.75" customHeight="1" x14ac:dyDescent="0.25"/>
    <row r="1295" ht="12.75" customHeight="1" x14ac:dyDescent="0.25"/>
    <row r="1296" ht="12.75" customHeight="1" x14ac:dyDescent="0.25"/>
    <row r="1297" ht="12.75" customHeight="1" x14ac:dyDescent="0.25"/>
    <row r="1298" ht="12.75" customHeight="1" x14ac:dyDescent="0.25"/>
    <row r="1299" ht="12.75" customHeight="1" x14ac:dyDescent="0.25"/>
    <row r="1300" ht="12.75" customHeight="1" x14ac:dyDescent="0.25"/>
    <row r="1301" ht="12.75" customHeight="1" x14ac:dyDescent="0.25"/>
    <row r="1302" ht="12.75" customHeight="1" x14ac:dyDescent="0.25"/>
    <row r="1303" ht="12.75" customHeight="1" x14ac:dyDescent="0.25"/>
    <row r="1304" ht="12.75" customHeight="1" x14ac:dyDescent="0.25"/>
    <row r="1305" ht="12.75" customHeight="1" x14ac:dyDescent="0.25"/>
    <row r="1306" ht="12.75" customHeight="1" x14ac:dyDescent="0.25"/>
    <row r="1307" ht="12.75" customHeight="1" x14ac:dyDescent="0.25"/>
    <row r="1308" ht="12.75" customHeight="1" x14ac:dyDescent="0.25"/>
    <row r="1309" ht="12.75" customHeight="1" x14ac:dyDescent="0.25"/>
    <row r="1310" ht="12.75" customHeight="1" x14ac:dyDescent="0.25"/>
    <row r="1311" ht="12.75" customHeight="1" x14ac:dyDescent="0.25"/>
    <row r="1312" ht="12.75" customHeight="1" x14ac:dyDescent="0.25"/>
    <row r="1313" ht="12.75" customHeight="1" x14ac:dyDescent="0.25"/>
    <row r="1314" ht="12.75" customHeight="1" x14ac:dyDescent="0.25"/>
    <row r="1315" ht="12.75" customHeight="1" x14ac:dyDescent="0.25"/>
    <row r="1316" ht="12.75" customHeight="1" x14ac:dyDescent="0.25"/>
    <row r="1317" ht="12.75" customHeight="1" x14ac:dyDescent="0.25"/>
    <row r="1318" ht="12.75" customHeight="1" x14ac:dyDescent="0.25"/>
    <row r="1319" ht="12.75" customHeight="1" x14ac:dyDescent="0.25"/>
    <row r="1320" ht="12.75" customHeight="1" x14ac:dyDescent="0.25"/>
    <row r="1321" ht="12.75" customHeight="1" x14ac:dyDescent="0.25"/>
    <row r="1322" ht="12.75" customHeight="1" x14ac:dyDescent="0.25"/>
    <row r="1323" ht="12.75" customHeight="1" x14ac:dyDescent="0.25"/>
    <row r="1324" ht="12.75" customHeight="1" x14ac:dyDescent="0.25"/>
    <row r="1325" ht="12.75" customHeight="1" x14ac:dyDescent="0.25"/>
    <row r="1326" ht="12.75" customHeight="1" x14ac:dyDescent="0.25"/>
    <row r="1327" ht="12.75" customHeight="1" x14ac:dyDescent="0.25"/>
    <row r="1328" ht="12.75" customHeight="1" x14ac:dyDescent="0.25"/>
    <row r="1329" ht="12.75" customHeight="1" x14ac:dyDescent="0.25"/>
    <row r="1330" ht="12.75" customHeight="1" x14ac:dyDescent="0.25"/>
    <row r="1331" ht="12.75" customHeight="1" x14ac:dyDescent="0.25"/>
    <row r="1332" ht="12.75" customHeight="1" x14ac:dyDescent="0.25"/>
    <row r="1333" ht="12.75" customHeight="1" x14ac:dyDescent="0.25"/>
    <row r="1334" ht="12.75" customHeight="1" x14ac:dyDescent="0.25"/>
    <row r="1335" ht="12.75" customHeight="1" x14ac:dyDescent="0.25"/>
    <row r="1336" ht="12.75" customHeight="1" x14ac:dyDescent="0.25"/>
    <row r="1337" ht="12.75" customHeight="1" x14ac:dyDescent="0.25"/>
    <row r="1338" ht="12.75" customHeight="1" x14ac:dyDescent="0.25"/>
    <row r="1339" ht="12.75" customHeight="1" x14ac:dyDescent="0.25"/>
    <row r="1340" ht="12.75" customHeight="1" x14ac:dyDescent="0.25"/>
    <row r="1341" ht="12.75" customHeight="1" x14ac:dyDescent="0.25"/>
    <row r="1342" ht="12.75" customHeight="1" x14ac:dyDescent="0.25"/>
    <row r="1343" ht="12.75" customHeight="1" x14ac:dyDescent="0.25"/>
    <row r="1344" ht="12.75" customHeight="1" x14ac:dyDescent="0.25"/>
    <row r="1345" ht="12.75" customHeight="1" x14ac:dyDescent="0.25"/>
    <row r="1346" ht="12.75" customHeight="1" x14ac:dyDescent="0.25"/>
    <row r="1347" ht="12.75" customHeight="1" x14ac:dyDescent="0.25"/>
    <row r="1348" ht="12.75" customHeight="1" x14ac:dyDescent="0.25"/>
    <row r="1349" ht="12.75" customHeight="1" x14ac:dyDescent="0.25"/>
    <row r="1350" ht="12.75" customHeight="1" x14ac:dyDescent="0.25"/>
    <row r="1351" ht="12.75" customHeight="1" x14ac:dyDescent="0.25"/>
    <row r="1352" ht="12.75" customHeight="1" x14ac:dyDescent="0.25"/>
    <row r="1353" ht="12.75" customHeight="1" x14ac:dyDescent="0.25"/>
    <row r="1354" ht="12.75" customHeight="1" x14ac:dyDescent="0.25"/>
    <row r="1355" ht="12.75" customHeight="1" x14ac:dyDescent="0.25"/>
    <row r="1356" ht="12.75" customHeight="1" x14ac:dyDescent="0.25"/>
    <row r="1357" ht="12.75" customHeight="1" x14ac:dyDescent="0.25"/>
    <row r="1358" ht="12.75" customHeight="1" x14ac:dyDescent="0.25"/>
    <row r="1359" ht="12.75" customHeight="1" x14ac:dyDescent="0.25"/>
    <row r="1360" ht="12.75" customHeight="1" x14ac:dyDescent="0.25"/>
    <row r="1361" ht="12.75" customHeight="1" x14ac:dyDescent="0.25"/>
    <row r="1362" ht="12.75" customHeight="1" x14ac:dyDescent="0.25"/>
    <row r="1363" ht="12.75" customHeight="1" x14ac:dyDescent="0.25"/>
    <row r="1364" ht="12.75" customHeight="1" x14ac:dyDescent="0.25"/>
    <row r="1365" ht="12.75" customHeight="1" x14ac:dyDescent="0.25"/>
    <row r="1366" ht="12.75" customHeight="1" x14ac:dyDescent="0.25"/>
    <row r="1367" ht="12.75" customHeight="1" x14ac:dyDescent="0.25"/>
    <row r="1368" ht="12.75" customHeight="1" x14ac:dyDescent="0.25"/>
    <row r="1369" ht="12.75" customHeight="1" x14ac:dyDescent="0.25"/>
    <row r="1370" ht="12.75" customHeight="1" x14ac:dyDescent="0.25"/>
    <row r="1371" ht="12.75" customHeight="1" x14ac:dyDescent="0.25"/>
    <row r="1372" ht="12.75" customHeight="1" x14ac:dyDescent="0.25"/>
    <row r="1373" ht="12.75" customHeight="1" x14ac:dyDescent="0.25"/>
    <row r="1374" ht="12.75" customHeight="1" x14ac:dyDescent="0.25"/>
    <row r="1375" ht="12.75" customHeight="1" x14ac:dyDescent="0.25"/>
    <row r="1376" ht="12.75" customHeight="1" x14ac:dyDescent="0.25"/>
    <row r="1377" ht="12.75" customHeight="1" x14ac:dyDescent="0.25"/>
    <row r="1378" ht="12.75" customHeight="1" x14ac:dyDescent="0.25"/>
    <row r="1379" ht="12.75" customHeight="1" x14ac:dyDescent="0.25"/>
    <row r="1380" ht="12.75" customHeight="1" x14ac:dyDescent="0.25"/>
    <row r="1381" ht="12.75" customHeight="1" x14ac:dyDescent="0.25"/>
    <row r="1382" ht="12.75" customHeight="1" x14ac:dyDescent="0.25"/>
    <row r="1383" ht="12.75" customHeight="1" x14ac:dyDescent="0.25"/>
    <row r="1384" ht="12.75" customHeight="1" x14ac:dyDescent="0.25"/>
    <row r="1385" ht="12.75" customHeight="1" x14ac:dyDescent="0.25"/>
    <row r="1386" ht="12.75" customHeight="1" x14ac:dyDescent="0.25"/>
    <row r="1387" ht="12.75" customHeight="1" x14ac:dyDescent="0.25"/>
    <row r="1388" ht="12.75" customHeight="1" x14ac:dyDescent="0.25"/>
    <row r="1389" ht="12.75" customHeight="1" x14ac:dyDescent="0.25"/>
    <row r="1390" ht="12.75" customHeight="1" x14ac:dyDescent="0.25"/>
    <row r="1391" ht="12.75" customHeight="1" x14ac:dyDescent="0.25"/>
    <row r="1392" ht="12.75" customHeight="1" x14ac:dyDescent="0.25"/>
    <row r="1393" ht="12.75" customHeight="1" x14ac:dyDescent="0.25"/>
    <row r="1394" ht="12.75" customHeight="1" x14ac:dyDescent="0.25"/>
    <row r="1395" ht="12.75" customHeight="1" x14ac:dyDescent="0.25"/>
    <row r="1396" ht="12.75" customHeight="1" x14ac:dyDescent="0.25"/>
    <row r="1397" ht="12.75" customHeight="1" x14ac:dyDescent="0.25"/>
    <row r="1398" ht="12.75" customHeight="1" x14ac:dyDescent="0.25"/>
    <row r="1399" ht="12.75" customHeight="1" x14ac:dyDescent="0.25"/>
    <row r="1400" ht="12.75" customHeight="1" x14ac:dyDescent="0.25"/>
    <row r="1401" ht="12.75" customHeight="1" x14ac:dyDescent="0.25"/>
    <row r="1402" ht="12.75" customHeight="1" x14ac:dyDescent="0.25"/>
    <row r="1403" ht="12.75" customHeight="1" x14ac:dyDescent="0.25"/>
    <row r="1404" ht="12.75" customHeight="1" x14ac:dyDescent="0.25"/>
    <row r="1405" ht="12.75" customHeight="1" x14ac:dyDescent="0.25"/>
    <row r="1406" ht="12.75" customHeight="1" x14ac:dyDescent="0.25"/>
    <row r="1407" ht="12.75" customHeight="1" x14ac:dyDescent="0.25"/>
    <row r="1408" ht="12.75" customHeight="1" x14ac:dyDescent="0.25"/>
    <row r="1409" ht="12.75" customHeight="1" x14ac:dyDescent="0.25"/>
    <row r="1410" ht="12.75" customHeight="1" x14ac:dyDescent="0.25"/>
    <row r="1411" ht="12.75" customHeight="1" x14ac:dyDescent="0.25"/>
    <row r="1412" ht="12.75" customHeight="1" x14ac:dyDescent="0.25"/>
    <row r="1413" ht="12.75" customHeight="1" x14ac:dyDescent="0.25"/>
    <row r="1414" ht="12.75" customHeight="1" x14ac:dyDescent="0.25"/>
    <row r="1415" ht="12.75" customHeight="1" x14ac:dyDescent="0.25"/>
    <row r="1416" ht="12.75" customHeight="1" x14ac:dyDescent="0.25"/>
    <row r="1417" ht="12.75" customHeight="1" x14ac:dyDescent="0.25"/>
    <row r="1418" ht="12.75" customHeight="1" x14ac:dyDescent="0.25"/>
    <row r="1419" ht="12.75" customHeight="1" x14ac:dyDescent="0.25"/>
    <row r="1420" ht="12.75" customHeight="1" x14ac:dyDescent="0.25"/>
    <row r="1421" ht="12.75" customHeight="1" x14ac:dyDescent="0.25"/>
    <row r="1422" ht="12.75" customHeight="1" x14ac:dyDescent="0.25"/>
    <row r="1423" ht="12.75" customHeight="1" x14ac:dyDescent="0.25"/>
    <row r="1424" ht="12.75" customHeight="1" x14ac:dyDescent="0.25"/>
    <row r="1425" ht="12.75" customHeight="1" x14ac:dyDescent="0.25"/>
    <row r="1426" ht="12.75" customHeight="1" x14ac:dyDescent="0.25"/>
    <row r="1427" ht="12.75" customHeight="1" x14ac:dyDescent="0.25"/>
    <row r="1428" ht="12.75" customHeight="1" x14ac:dyDescent="0.25"/>
    <row r="1429" ht="12.75" customHeight="1" x14ac:dyDescent="0.25"/>
    <row r="1430" ht="12.75" customHeight="1" x14ac:dyDescent="0.25"/>
    <row r="1431" ht="12.75" customHeight="1" x14ac:dyDescent="0.25"/>
    <row r="1432" ht="12.75" customHeight="1" x14ac:dyDescent="0.25"/>
    <row r="1433" ht="12.75" customHeight="1" x14ac:dyDescent="0.25"/>
    <row r="1434" ht="12.75" customHeight="1" x14ac:dyDescent="0.25"/>
    <row r="1435" ht="12.75" customHeight="1" x14ac:dyDescent="0.25"/>
    <row r="1436" ht="12.75" customHeight="1" x14ac:dyDescent="0.25"/>
    <row r="1437" ht="12.75" customHeight="1" x14ac:dyDescent="0.25"/>
    <row r="1438" ht="12.75" customHeight="1" x14ac:dyDescent="0.25"/>
    <row r="1439" ht="12.75" customHeight="1" x14ac:dyDescent="0.25"/>
    <row r="1440" ht="12.75" customHeight="1" x14ac:dyDescent="0.25"/>
    <row r="1441" ht="12.75" customHeight="1" x14ac:dyDescent="0.25"/>
    <row r="1442" ht="12.75" customHeight="1" x14ac:dyDescent="0.25"/>
    <row r="1443" ht="12.75" customHeight="1" x14ac:dyDescent="0.25"/>
    <row r="1444" ht="12.75" customHeight="1" x14ac:dyDescent="0.25"/>
    <row r="1445" ht="12.75" customHeight="1" x14ac:dyDescent="0.25"/>
    <row r="1446" ht="12.75" customHeight="1" x14ac:dyDescent="0.25"/>
    <row r="1447" ht="12.75" customHeight="1" x14ac:dyDescent="0.25"/>
    <row r="1448" ht="12.75" customHeight="1" x14ac:dyDescent="0.25"/>
    <row r="1449" ht="12.75" customHeight="1" x14ac:dyDescent="0.25"/>
    <row r="1450" ht="12.75" customHeight="1" x14ac:dyDescent="0.25"/>
    <row r="1451" ht="12.75" customHeight="1" x14ac:dyDescent="0.25"/>
    <row r="1452" ht="12.75" customHeight="1" x14ac:dyDescent="0.25"/>
    <row r="1453" ht="12.75" customHeight="1" x14ac:dyDescent="0.25"/>
    <row r="1454" ht="12.75" customHeight="1" x14ac:dyDescent="0.25"/>
    <row r="1455" ht="12.75" customHeight="1" x14ac:dyDescent="0.25"/>
    <row r="1456" ht="12.75" customHeight="1" x14ac:dyDescent="0.25"/>
    <row r="1457" ht="12.75" customHeight="1" x14ac:dyDescent="0.25"/>
    <row r="1458" ht="12.75" customHeight="1" x14ac:dyDescent="0.25"/>
    <row r="1459" ht="12.75" customHeight="1" x14ac:dyDescent="0.25"/>
    <row r="1460" ht="12.75" customHeight="1" x14ac:dyDescent="0.25"/>
    <row r="1461" ht="12.75" customHeight="1" x14ac:dyDescent="0.25"/>
    <row r="1462" ht="12.75" customHeight="1" x14ac:dyDescent="0.25"/>
    <row r="1463" ht="12.75" customHeight="1" x14ac:dyDescent="0.25"/>
    <row r="1464" ht="12.75" customHeight="1" x14ac:dyDescent="0.25"/>
    <row r="1465" ht="12.75" customHeight="1" x14ac:dyDescent="0.25"/>
    <row r="1466" ht="12.75" customHeight="1" x14ac:dyDescent="0.25"/>
    <row r="1467" ht="12.75" customHeight="1" x14ac:dyDescent="0.25"/>
    <row r="1468" ht="12.75" customHeight="1" x14ac:dyDescent="0.25"/>
    <row r="1469" ht="12.75" customHeight="1" x14ac:dyDescent="0.25"/>
    <row r="1470" ht="12.75" customHeight="1" x14ac:dyDescent="0.25"/>
    <row r="1471" ht="12.75" customHeight="1" x14ac:dyDescent="0.25"/>
    <row r="1472" ht="12.75" customHeight="1" x14ac:dyDescent="0.25"/>
    <row r="1473" ht="12.75" customHeight="1" x14ac:dyDescent="0.25"/>
    <row r="1474" ht="12.75" customHeight="1" x14ac:dyDescent="0.25"/>
    <row r="1475" ht="12.75" customHeight="1" x14ac:dyDescent="0.25"/>
    <row r="1476" ht="12.75" customHeight="1" x14ac:dyDescent="0.25"/>
    <row r="1477" ht="12.75" customHeight="1" x14ac:dyDescent="0.25"/>
    <row r="1478" ht="12.75" customHeight="1" x14ac:dyDescent="0.25"/>
    <row r="1479" ht="12.75" customHeight="1" x14ac:dyDescent="0.25"/>
    <row r="1480" ht="12.75" customHeight="1" x14ac:dyDescent="0.25"/>
    <row r="1481" ht="12.75" customHeight="1" x14ac:dyDescent="0.25"/>
    <row r="1482" ht="12.75" customHeight="1" x14ac:dyDescent="0.25"/>
    <row r="1483" ht="12.75" customHeight="1" x14ac:dyDescent="0.25"/>
  </sheetData>
  <mergeCells count="1357">
    <mergeCell ref="J507:N507"/>
    <mergeCell ref="B334:C334"/>
    <mergeCell ref="F334:G334"/>
    <mergeCell ref="H334:I334"/>
    <mergeCell ref="J334:K334"/>
    <mergeCell ref="L334:M334"/>
    <mergeCell ref="N334:O334"/>
    <mergeCell ref="P334:Q334"/>
    <mergeCell ref="R334:S334"/>
    <mergeCell ref="T334:U334"/>
    <mergeCell ref="V334:W334"/>
    <mergeCell ref="B335:E343"/>
    <mergeCell ref="F335:G335"/>
    <mergeCell ref="I335:K343"/>
    <mergeCell ref="M335:O343"/>
    <mergeCell ref="Q335:S343"/>
    <mergeCell ref="U335:W343"/>
    <mergeCell ref="F336:G336"/>
    <mergeCell ref="F337:G337"/>
    <mergeCell ref="F338:G338"/>
    <mergeCell ref="F339:G339"/>
    <mergeCell ref="F340:G340"/>
    <mergeCell ref="F341:G341"/>
    <mergeCell ref="F342:G342"/>
    <mergeCell ref="F343:G343"/>
    <mergeCell ref="B346:C346"/>
    <mergeCell ref="F346:G346"/>
    <mergeCell ref="H346:I346"/>
    <mergeCell ref="J346:K346"/>
    <mergeCell ref="L346:M346"/>
    <mergeCell ref="N346:O346"/>
    <mergeCell ref="P346:Q346"/>
    <mergeCell ref="B323:C323"/>
    <mergeCell ref="F323:G323"/>
    <mergeCell ref="H323:I323"/>
    <mergeCell ref="J323:K323"/>
    <mergeCell ref="L323:M323"/>
    <mergeCell ref="N323:O323"/>
    <mergeCell ref="P323:Q323"/>
    <mergeCell ref="R323:S323"/>
    <mergeCell ref="T323:U323"/>
    <mergeCell ref="V323:W323"/>
    <mergeCell ref="B324:E332"/>
    <mergeCell ref="F324:G324"/>
    <mergeCell ref="I324:K332"/>
    <mergeCell ref="M324:O332"/>
    <mergeCell ref="Q324:S332"/>
    <mergeCell ref="U324:W332"/>
    <mergeCell ref="F325:G325"/>
    <mergeCell ref="F326:G326"/>
    <mergeCell ref="F327:G327"/>
    <mergeCell ref="F328:G328"/>
    <mergeCell ref="F329:G329"/>
    <mergeCell ref="F330:G330"/>
    <mergeCell ref="F331:G331"/>
    <mergeCell ref="F332:G332"/>
    <mergeCell ref="R346:S346"/>
    <mergeCell ref="T346:U346"/>
    <mergeCell ref="V346:W346"/>
    <mergeCell ref="B347:E355"/>
    <mergeCell ref="F347:G347"/>
    <mergeCell ref="I347:K355"/>
    <mergeCell ref="M347:O355"/>
    <mergeCell ref="Q347:S355"/>
    <mergeCell ref="U347:W355"/>
    <mergeCell ref="F348:G348"/>
    <mergeCell ref="F349:G349"/>
    <mergeCell ref="F350:G350"/>
    <mergeCell ref="F351:G351"/>
    <mergeCell ref="F352:G352"/>
    <mergeCell ref="F353:G353"/>
    <mergeCell ref="F354:G354"/>
    <mergeCell ref="F355:G355"/>
    <mergeCell ref="U137:W145"/>
    <mergeCell ref="T136:U136"/>
    <mergeCell ref="V136:W136"/>
    <mergeCell ref="T147:U147"/>
    <mergeCell ref="V147:W147"/>
    <mergeCell ref="U148:W156"/>
    <mergeCell ref="T158:U158"/>
    <mergeCell ref="V158:W158"/>
    <mergeCell ref="U159:W167"/>
    <mergeCell ref="U170:W178"/>
    <mergeCell ref="T169:U169"/>
    <mergeCell ref="V169:W169"/>
    <mergeCell ref="T180:U180"/>
    <mergeCell ref="V180:W180"/>
    <mergeCell ref="U181:W189"/>
    <mergeCell ref="T191:U191"/>
    <mergeCell ref="V191:W191"/>
    <mergeCell ref="Q170:S178"/>
    <mergeCell ref="P180:Q180"/>
    <mergeCell ref="R180:S180"/>
    <mergeCell ref="Q181:S189"/>
    <mergeCell ref="P191:Q191"/>
    <mergeCell ref="R191:S191"/>
    <mergeCell ref="Q192:S200"/>
    <mergeCell ref="T312:U312"/>
    <mergeCell ref="V312:W312"/>
    <mergeCell ref="U313:W321"/>
    <mergeCell ref="U192:W200"/>
    <mergeCell ref="T202:U202"/>
    <mergeCell ref="V202:W202"/>
    <mergeCell ref="U203:W211"/>
    <mergeCell ref="T213:U213"/>
    <mergeCell ref="V213:W213"/>
    <mergeCell ref="U214:W222"/>
    <mergeCell ref="P301:Q301"/>
    <mergeCell ref="R301:S301"/>
    <mergeCell ref="Q302:S310"/>
    <mergeCell ref="U291:W299"/>
    <mergeCell ref="T301:U301"/>
    <mergeCell ref="V301:W301"/>
    <mergeCell ref="Q313:S321"/>
    <mergeCell ref="P224:Q224"/>
    <mergeCell ref="R224:S224"/>
    <mergeCell ref="Q225:S233"/>
    <mergeCell ref="P235:Q235"/>
    <mergeCell ref="R235:S235"/>
    <mergeCell ref="Q236:S244"/>
    <mergeCell ref="P246:Q246"/>
    <mergeCell ref="U302:W310"/>
    <mergeCell ref="Q49:S57"/>
    <mergeCell ref="Q71:S79"/>
    <mergeCell ref="Q93:S101"/>
    <mergeCell ref="Q115:S123"/>
    <mergeCell ref="P125:Q125"/>
    <mergeCell ref="R125:S125"/>
    <mergeCell ref="Q126:S134"/>
    <mergeCell ref="P136:Q136"/>
    <mergeCell ref="R136:S136"/>
    <mergeCell ref="Q137:S145"/>
    <mergeCell ref="P147:Q147"/>
    <mergeCell ref="R147:S147"/>
    <mergeCell ref="Q148:S156"/>
    <mergeCell ref="P158:Q158"/>
    <mergeCell ref="R158:S158"/>
    <mergeCell ref="Q159:S167"/>
    <mergeCell ref="P169:Q169"/>
    <mergeCell ref="R169:S169"/>
    <mergeCell ref="P70:Q70"/>
    <mergeCell ref="R70:S70"/>
    <mergeCell ref="P81:Q81"/>
    <mergeCell ref="P92:Q92"/>
    <mergeCell ref="R92:S92"/>
    <mergeCell ref="P114:Q114"/>
    <mergeCell ref="R114:S114"/>
    <mergeCell ref="P202:Q202"/>
    <mergeCell ref="B313:E321"/>
    <mergeCell ref="H312:I312"/>
    <mergeCell ref="J312:K312"/>
    <mergeCell ref="M247:O255"/>
    <mergeCell ref="B269:E277"/>
    <mergeCell ref="H268:I268"/>
    <mergeCell ref="J268:K268"/>
    <mergeCell ref="H279:I279"/>
    <mergeCell ref="J279:K279"/>
    <mergeCell ref="B280:E288"/>
    <mergeCell ref="B291:E299"/>
    <mergeCell ref="H290:I290"/>
    <mergeCell ref="J290:K290"/>
    <mergeCell ref="F244:G244"/>
    <mergeCell ref="L246:M246"/>
    <mergeCell ref="N246:O246"/>
    <mergeCell ref="L257:M257"/>
    <mergeCell ref="N257:O257"/>
    <mergeCell ref="L301:M301"/>
    <mergeCell ref="N301:O301"/>
    <mergeCell ref="M291:O299"/>
    <mergeCell ref="M236:O244"/>
    <mergeCell ref="L224:M224"/>
    <mergeCell ref="Q291:S299"/>
    <mergeCell ref="P312:Q312"/>
    <mergeCell ref="R312:S312"/>
    <mergeCell ref="R202:S202"/>
    <mergeCell ref="Q203:S211"/>
    <mergeCell ref="P213:Q213"/>
    <mergeCell ref="R213:S213"/>
    <mergeCell ref="Q214:S222"/>
    <mergeCell ref="B302:E310"/>
    <mergeCell ref="H301:I301"/>
    <mergeCell ref="B246:C246"/>
    <mergeCell ref="B257:C257"/>
    <mergeCell ref="J301:K301"/>
    <mergeCell ref="M302:O310"/>
    <mergeCell ref="L312:M312"/>
    <mergeCell ref="N312:O312"/>
    <mergeCell ref="M313:O321"/>
    <mergeCell ref="F265:G265"/>
    <mergeCell ref="F266:G266"/>
    <mergeCell ref="F268:G268"/>
    <mergeCell ref="F276:G276"/>
    <mergeCell ref="F277:G277"/>
    <mergeCell ref="F269:G269"/>
    <mergeCell ref="F270:G270"/>
    <mergeCell ref="F259:G259"/>
    <mergeCell ref="F260:G260"/>
    <mergeCell ref="F261:G261"/>
    <mergeCell ref="B312:C312"/>
    <mergeCell ref="B290:C290"/>
    <mergeCell ref="B301:C301"/>
    <mergeCell ref="F310:G310"/>
    <mergeCell ref="F314:G314"/>
    <mergeCell ref="F315:G315"/>
    <mergeCell ref="F316:G316"/>
    <mergeCell ref="F317:G317"/>
    <mergeCell ref="I313:K321"/>
    <mergeCell ref="F280:G280"/>
    <mergeCell ref="I280:K288"/>
    <mergeCell ref="F281:G281"/>
    <mergeCell ref="F288:G288"/>
    <mergeCell ref="T290:U290"/>
    <mergeCell ref="V290:W290"/>
    <mergeCell ref="F237:G237"/>
    <mergeCell ref="F238:G238"/>
    <mergeCell ref="F239:G239"/>
    <mergeCell ref="F240:G240"/>
    <mergeCell ref="P268:Q268"/>
    <mergeCell ref="R268:S268"/>
    <mergeCell ref="Q269:S277"/>
    <mergeCell ref="P279:Q279"/>
    <mergeCell ref="R279:S279"/>
    <mergeCell ref="H257:I257"/>
    <mergeCell ref="J257:K257"/>
    <mergeCell ref="F284:G284"/>
    <mergeCell ref="F285:G285"/>
    <mergeCell ref="F286:G286"/>
    <mergeCell ref="F287:G287"/>
    <mergeCell ref="F290:G290"/>
    <mergeCell ref="F264:G264"/>
    <mergeCell ref="R246:S246"/>
    <mergeCell ref="Q247:S255"/>
    <mergeCell ref="P257:Q257"/>
    <mergeCell ref="R257:S257"/>
    <mergeCell ref="Q258:S266"/>
    <mergeCell ref="F248:G248"/>
    <mergeCell ref="I269:K277"/>
    <mergeCell ref="F250:G250"/>
    <mergeCell ref="F251:G251"/>
    <mergeCell ref="F252:G252"/>
    <mergeCell ref="F255:G255"/>
    <mergeCell ref="F257:G257"/>
    <mergeCell ref="F258:G258"/>
    <mergeCell ref="V224:W224"/>
    <mergeCell ref="U225:W233"/>
    <mergeCell ref="T235:U235"/>
    <mergeCell ref="V235:W235"/>
    <mergeCell ref="I258:K266"/>
    <mergeCell ref="M258:O266"/>
    <mergeCell ref="L268:M268"/>
    <mergeCell ref="N268:O268"/>
    <mergeCell ref="M269:O277"/>
    <mergeCell ref="L279:M279"/>
    <mergeCell ref="N279:O279"/>
    <mergeCell ref="M280:O288"/>
    <mergeCell ref="L290:M290"/>
    <mergeCell ref="N290:O290"/>
    <mergeCell ref="Q280:S288"/>
    <mergeCell ref="P290:Q290"/>
    <mergeCell ref="R290:S290"/>
    <mergeCell ref="J224:K224"/>
    <mergeCell ref="T224:U224"/>
    <mergeCell ref="U236:W244"/>
    <mergeCell ref="T246:U246"/>
    <mergeCell ref="V246:W246"/>
    <mergeCell ref="U247:W255"/>
    <mergeCell ref="T257:U257"/>
    <mergeCell ref="V257:W257"/>
    <mergeCell ref="U258:W266"/>
    <mergeCell ref="T268:U268"/>
    <mergeCell ref="V268:W268"/>
    <mergeCell ref="U269:W277"/>
    <mergeCell ref="T279:U279"/>
    <mergeCell ref="V279:W279"/>
    <mergeCell ref="U280:W288"/>
    <mergeCell ref="H235:I235"/>
    <mergeCell ref="J235:K235"/>
    <mergeCell ref="L235:M235"/>
    <mergeCell ref="N235:O235"/>
    <mergeCell ref="F224:G224"/>
    <mergeCell ref="F225:G225"/>
    <mergeCell ref="M214:O222"/>
    <mergeCell ref="F199:G199"/>
    <mergeCell ref="F189:G189"/>
    <mergeCell ref="B191:C191"/>
    <mergeCell ref="F191:G191"/>
    <mergeCell ref="H191:I191"/>
    <mergeCell ref="N224:O224"/>
    <mergeCell ref="M225:O233"/>
    <mergeCell ref="F230:G230"/>
    <mergeCell ref="F231:G231"/>
    <mergeCell ref="F232:G232"/>
    <mergeCell ref="F221:G221"/>
    <mergeCell ref="F226:G226"/>
    <mergeCell ref="B213:C213"/>
    <mergeCell ref="B224:C224"/>
    <mergeCell ref="B214:E222"/>
    <mergeCell ref="B225:E233"/>
    <mergeCell ref="I192:K200"/>
    <mergeCell ref="B181:E189"/>
    <mergeCell ref="M181:O189"/>
    <mergeCell ref="F182:G182"/>
    <mergeCell ref="F222:G222"/>
    <mergeCell ref="I214:K222"/>
    <mergeCell ref="H224:I224"/>
    <mergeCell ref="I203:K211"/>
    <mergeCell ref="M203:O211"/>
    <mergeCell ref="L213:M213"/>
    <mergeCell ref="N213:O213"/>
    <mergeCell ref="F216:G216"/>
    <mergeCell ref="F217:G217"/>
    <mergeCell ref="F218:G218"/>
    <mergeCell ref="F219:G219"/>
    <mergeCell ref="F220:G220"/>
    <mergeCell ref="M148:O156"/>
    <mergeCell ref="L158:M158"/>
    <mergeCell ref="N158:O158"/>
    <mergeCell ref="M159:O167"/>
    <mergeCell ref="L169:M169"/>
    <mergeCell ref="N169:O169"/>
    <mergeCell ref="M170:O178"/>
    <mergeCell ref="F200:G200"/>
    <mergeCell ref="F206:G206"/>
    <mergeCell ref="F151:G151"/>
    <mergeCell ref="F152:G152"/>
    <mergeCell ref="F169:G169"/>
    <mergeCell ref="F170:G170"/>
    <mergeCell ref="F194:G194"/>
    <mergeCell ref="F180:G180"/>
    <mergeCell ref="H180:I180"/>
    <mergeCell ref="J180:K180"/>
    <mergeCell ref="L180:M180"/>
    <mergeCell ref="N180:O180"/>
    <mergeCell ref="F186:G186"/>
    <mergeCell ref="F187:G187"/>
    <mergeCell ref="F193:G193"/>
    <mergeCell ref="B203:E211"/>
    <mergeCell ref="J191:K191"/>
    <mergeCell ref="L191:M191"/>
    <mergeCell ref="N191:O191"/>
    <mergeCell ref="F174:G174"/>
    <mergeCell ref="F162:G162"/>
    <mergeCell ref="F148:G148"/>
    <mergeCell ref="F149:G149"/>
    <mergeCell ref="F150:G150"/>
    <mergeCell ref="F175:G175"/>
    <mergeCell ref="F207:G207"/>
    <mergeCell ref="F208:G208"/>
    <mergeCell ref="F209:G209"/>
    <mergeCell ref="F210:G210"/>
    <mergeCell ref="F211:G211"/>
    <mergeCell ref="M192:O200"/>
    <mergeCell ref="F153:G153"/>
    <mergeCell ref="F154:G154"/>
    <mergeCell ref="F155:G155"/>
    <mergeCell ref="F156:G156"/>
    <mergeCell ref="F158:G158"/>
    <mergeCell ref="F159:G159"/>
    <mergeCell ref="F188:G188"/>
    <mergeCell ref="F204:G204"/>
    <mergeCell ref="F205:G205"/>
    <mergeCell ref="F195:G195"/>
    <mergeCell ref="F196:G196"/>
    <mergeCell ref="F197:G197"/>
    <mergeCell ref="F198:G198"/>
    <mergeCell ref="B170:E178"/>
    <mergeCell ref="L147:M147"/>
    <mergeCell ref="B147:C147"/>
    <mergeCell ref="B158:C158"/>
    <mergeCell ref="B169:C169"/>
    <mergeCell ref="F163:G163"/>
    <mergeCell ref="F164:G164"/>
    <mergeCell ref="F165:G165"/>
    <mergeCell ref="F166:G166"/>
    <mergeCell ref="F202:G202"/>
    <mergeCell ref="H202:I202"/>
    <mergeCell ref="J202:K202"/>
    <mergeCell ref="L202:M202"/>
    <mergeCell ref="N202:O202"/>
    <mergeCell ref="F203:G203"/>
    <mergeCell ref="F171:G171"/>
    <mergeCell ref="F172:G172"/>
    <mergeCell ref="F173:G173"/>
    <mergeCell ref="J147:K147"/>
    <mergeCell ref="B148:E156"/>
    <mergeCell ref="H158:I158"/>
    <mergeCell ref="J158:K158"/>
    <mergeCell ref="B159:E167"/>
    <mergeCell ref="H169:I169"/>
    <mergeCell ref="J169:K169"/>
    <mergeCell ref="I170:K178"/>
    <mergeCell ref="F183:G183"/>
    <mergeCell ref="F184:G184"/>
    <mergeCell ref="F185:G185"/>
    <mergeCell ref="N147:O147"/>
    <mergeCell ref="F176:G176"/>
    <mergeCell ref="F177:G177"/>
    <mergeCell ref="F160:G160"/>
    <mergeCell ref="M126:O134"/>
    <mergeCell ref="B136:C136"/>
    <mergeCell ref="F136:G136"/>
    <mergeCell ref="H136:I136"/>
    <mergeCell ref="J136:K136"/>
    <mergeCell ref="L136:M136"/>
    <mergeCell ref="N136:O136"/>
    <mergeCell ref="B137:E145"/>
    <mergeCell ref="F137:G137"/>
    <mergeCell ref="I137:K145"/>
    <mergeCell ref="M137:O145"/>
    <mergeCell ref="F138:G138"/>
    <mergeCell ref="F139:G139"/>
    <mergeCell ref="F140:G140"/>
    <mergeCell ref="F141:G141"/>
    <mergeCell ref="F142:G142"/>
    <mergeCell ref="F143:G143"/>
    <mergeCell ref="B126:E134"/>
    <mergeCell ref="I126:K134"/>
    <mergeCell ref="F128:G128"/>
    <mergeCell ref="F129:G129"/>
    <mergeCell ref="T125:U125"/>
    <mergeCell ref="V125:W125"/>
    <mergeCell ref="I115:K123"/>
    <mergeCell ref="M93:O101"/>
    <mergeCell ref="H125:I125"/>
    <mergeCell ref="J125:K125"/>
    <mergeCell ref="J92:K92"/>
    <mergeCell ref="V114:W114"/>
    <mergeCell ref="B103:C103"/>
    <mergeCell ref="F103:G103"/>
    <mergeCell ref="H103:I103"/>
    <mergeCell ref="J103:K103"/>
    <mergeCell ref="L103:M103"/>
    <mergeCell ref="N103:O103"/>
    <mergeCell ref="P103:Q103"/>
    <mergeCell ref="R103:S103"/>
    <mergeCell ref="M104:O112"/>
    <mergeCell ref="Q104:S112"/>
    <mergeCell ref="B114:C114"/>
    <mergeCell ref="F105:G105"/>
    <mergeCell ref="F106:G106"/>
    <mergeCell ref="F107:G107"/>
    <mergeCell ref="F108:G108"/>
    <mergeCell ref="M115:O123"/>
    <mergeCell ref="L125:M125"/>
    <mergeCell ref="N125:O125"/>
    <mergeCell ref="L37:M37"/>
    <mergeCell ref="N37:O37"/>
    <mergeCell ref="P37:Q37"/>
    <mergeCell ref="B93:E101"/>
    <mergeCell ref="B115:E123"/>
    <mergeCell ref="R37:S37"/>
    <mergeCell ref="T37:U37"/>
    <mergeCell ref="V37:W37"/>
    <mergeCell ref="M38:O46"/>
    <mergeCell ref="Q38:S46"/>
    <mergeCell ref="U38:W46"/>
    <mergeCell ref="M49:O57"/>
    <mergeCell ref="H59:I59"/>
    <mergeCell ref="J59:K59"/>
    <mergeCell ref="L59:M59"/>
    <mergeCell ref="N59:O59"/>
    <mergeCell ref="P59:Q59"/>
    <mergeCell ref="R59:S59"/>
    <mergeCell ref="T59:U59"/>
    <mergeCell ref="V59:W59"/>
    <mergeCell ref="H114:I114"/>
    <mergeCell ref="J114:K114"/>
    <mergeCell ref="T103:U103"/>
    <mergeCell ref="V103:W103"/>
    <mergeCell ref="L92:M92"/>
    <mergeCell ref="N92:O92"/>
    <mergeCell ref="T92:U92"/>
    <mergeCell ref="V92:W92"/>
    <mergeCell ref="B92:C92"/>
    <mergeCell ref="H92:I92"/>
    <mergeCell ref="U115:W123"/>
    <mergeCell ref="B81:C81"/>
    <mergeCell ref="F81:G81"/>
    <mergeCell ref="L26:M26"/>
    <mergeCell ref="N26:O26"/>
    <mergeCell ref="T26:U26"/>
    <mergeCell ref="V26:W26"/>
    <mergeCell ref="I60:K68"/>
    <mergeCell ref="H70:I70"/>
    <mergeCell ref="J70:K70"/>
    <mergeCell ref="L70:M70"/>
    <mergeCell ref="N70:O70"/>
    <mergeCell ref="M71:O79"/>
    <mergeCell ref="R81:S81"/>
    <mergeCell ref="T81:U81"/>
    <mergeCell ref="V81:W81"/>
    <mergeCell ref="T70:U70"/>
    <mergeCell ref="V70:W70"/>
    <mergeCell ref="F72:G72"/>
    <mergeCell ref="F73:G73"/>
    <mergeCell ref="F74:G74"/>
    <mergeCell ref="M60:O68"/>
    <mergeCell ref="Q60:S68"/>
    <mergeCell ref="U60:W68"/>
    <mergeCell ref="H81:I81"/>
    <mergeCell ref="J81:K81"/>
    <mergeCell ref="L81:M81"/>
    <mergeCell ref="N81:O81"/>
    <mergeCell ref="F40:G40"/>
    <mergeCell ref="F38:G38"/>
    <mergeCell ref="I49:K57"/>
    <mergeCell ref="F50:G50"/>
    <mergeCell ref="F57:G57"/>
    <mergeCell ref="I71:K79"/>
    <mergeCell ref="B38:E46"/>
    <mergeCell ref="I38:K46"/>
    <mergeCell ref="F39:G39"/>
    <mergeCell ref="F49:G49"/>
    <mergeCell ref="M82:O90"/>
    <mergeCell ref="Q82:S90"/>
    <mergeCell ref="U82:W90"/>
    <mergeCell ref="M5:O13"/>
    <mergeCell ref="I236:K244"/>
    <mergeCell ref="F101:G101"/>
    <mergeCell ref="F116:G116"/>
    <mergeCell ref="F117:G117"/>
    <mergeCell ref="F118:G118"/>
    <mergeCell ref="F119:G119"/>
    <mergeCell ref="F134:G134"/>
    <mergeCell ref="F127:G127"/>
    <mergeCell ref="F298:G298"/>
    <mergeCell ref="F296:G296"/>
    <mergeCell ref="F297:G297"/>
    <mergeCell ref="F131:G131"/>
    <mergeCell ref="F132:G132"/>
    <mergeCell ref="F83:G83"/>
    <mergeCell ref="F84:G84"/>
    <mergeCell ref="F85:G85"/>
    <mergeCell ref="F86:G86"/>
    <mergeCell ref="F87:G87"/>
    <mergeCell ref="F88:G88"/>
    <mergeCell ref="F89:G89"/>
    <mergeCell ref="F90:G90"/>
    <mergeCell ref="F51:G51"/>
    <mergeCell ref="F52:G52"/>
    <mergeCell ref="U104:W112"/>
    <mergeCell ref="F246:G246"/>
    <mergeCell ref="F144:G144"/>
    <mergeCell ref="F249:G249"/>
    <mergeCell ref="F133:G133"/>
    <mergeCell ref="F147:G147"/>
    <mergeCell ref="B82:E90"/>
    <mergeCell ref="F82:G82"/>
    <mergeCell ref="I82:K90"/>
    <mergeCell ref="B192:E200"/>
    <mergeCell ref="B125:C125"/>
    <mergeCell ref="F109:G109"/>
    <mergeCell ref="F110:G110"/>
    <mergeCell ref="F111:G111"/>
    <mergeCell ref="F112:G112"/>
    <mergeCell ref="F181:G181"/>
    <mergeCell ref="I181:K189"/>
    <mergeCell ref="F242:G242"/>
    <mergeCell ref="F243:G243"/>
    <mergeCell ref="I247:K255"/>
    <mergeCell ref="H246:I246"/>
    <mergeCell ref="J246:K246"/>
    <mergeCell ref="B235:C235"/>
    <mergeCell ref="F235:G235"/>
    <mergeCell ref="F214:G214"/>
    <mergeCell ref="H147:I147"/>
    <mergeCell ref="F161:G161"/>
    <mergeCell ref="H213:I213"/>
    <mergeCell ref="F178:G178"/>
    <mergeCell ref="F241:G241"/>
    <mergeCell ref="I148:K156"/>
    <mergeCell ref="I159:K167"/>
    <mergeCell ref="B180:C180"/>
    <mergeCell ref="F75:G75"/>
    <mergeCell ref="F28:G28"/>
    <mergeCell ref="F29:G29"/>
    <mergeCell ref="F30:G30"/>
    <mergeCell ref="F31:G31"/>
    <mergeCell ref="F32:G32"/>
    <mergeCell ref="F33:G33"/>
    <mergeCell ref="F34:G34"/>
    <mergeCell ref="F35:G35"/>
    <mergeCell ref="I27:K35"/>
    <mergeCell ref="H37:I37"/>
    <mergeCell ref="J37:K37"/>
    <mergeCell ref="F41:G41"/>
    <mergeCell ref="F42:G42"/>
    <mergeCell ref="F27:G27"/>
    <mergeCell ref="F43:G43"/>
    <mergeCell ref="J4:K4"/>
    <mergeCell ref="I5:K13"/>
    <mergeCell ref="F6:G6"/>
    <mergeCell ref="F7:G7"/>
    <mergeCell ref="F8:G8"/>
    <mergeCell ref="F9:G9"/>
    <mergeCell ref="F10:G10"/>
    <mergeCell ref="F11:G11"/>
    <mergeCell ref="F16:G16"/>
    <mergeCell ref="F17:G17"/>
    <mergeCell ref="F18:G18"/>
    <mergeCell ref="B15:C15"/>
    <mergeCell ref="F15:G15"/>
    <mergeCell ref="I16:K24"/>
    <mergeCell ref="F24:G24"/>
    <mergeCell ref="F19:G19"/>
    <mergeCell ref="F20:G20"/>
    <mergeCell ref="F21:G21"/>
    <mergeCell ref="F22:G22"/>
    <mergeCell ref="F23:G23"/>
    <mergeCell ref="B5:E13"/>
    <mergeCell ref="B16:E24"/>
    <mergeCell ref="H15:I15"/>
    <mergeCell ref="J15:K15"/>
    <mergeCell ref="B4:C4"/>
    <mergeCell ref="F4:G4"/>
    <mergeCell ref="F5:G5"/>
    <mergeCell ref="F12:G12"/>
    <mergeCell ref="F13:G13"/>
    <mergeCell ref="H4:I4"/>
    <mergeCell ref="B279:C279"/>
    <mergeCell ref="F279:G279"/>
    <mergeCell ref="B71:E79"/>
    <mergeCell ref="F78:G78"/>
    <mergeCell ref="F79:G79"/>
    <mergeCell ref="F97:G97"/>
    <mergeCell ref="F98:G98"/>
    <mergeCell ref="F99:G99"/>
    <mergeCell ref="F100:G100"/>
    <mergeCell ref="F114:G114"/>
    <mergeCell ref="F247:G247"/>
    <mergeCell ref="F262:G262"/>
    <mergeCell ref="F263:G263"/>
    <mergeCell ref="B70:C70"/>
    <mergeCell ref="F53:G53"/>
    <mergeCell ref="F54:G54"/>
    <mergeCell ref="F55:G55"/>
    <mergeCell ref="F56:G56"/>
    <mergeCell ref="F59:G59"/>
    <mergeCell ref="F122:G122"/>
    <mergeCell ref="F123:G123"/>
    <mergeCell ref="F125:G125"/>
    <mergeCell ref="F126:G126"/>
    <mergeCell ref="B202:C202"/>
    <mergeCell ref="B268:C268"/>
    <mergeCell ref="F115:G115"/>
    <mergeCell ref="F92:G92"/>
    <mergeCell ref="F61:G61"/>
    <mergeCell ref="F62:G62"/>
    <mergeCell ref="B49:E57"/>
    <mergeCell ref="F121:G121"/>
    <mergeCell ref="B247:E255"/>
    <mergeCell ref="F271:G271"/>
    <mergeCell ref="F272:G272"/>
    <mergeCell ref="F273:G273"/>
    <mergeCell ref="F274:G274"/>
    <mergeCell ref="F275:G275"/>
    <mergeCell ref="B59:C59"/>
    <mergeCell ref="B48:C48"/>
    <mergeCell ref="B104:E112"/>
    <mergeCell ref="F104:G104"/>
    <mergeCell ref="I104:K112"/>
    <mergeCell ref="J213:K213"/>
    <mergeCell ref="F233:G233"/>
    <mergeCell ref="I225:K233"/>
    <mergeCell ref="F77:G77"/>
    <mergeCell ref="F215:G215"/>
    <mergeCell ref="F227:G227"/>
    <mergeCell ref="F228:G228"/>
    <mergeCell ref="F229:G229"/>
    <mergeCell ref="F48:G48"/>
    <mergeCell ref="B258:E266"/>
    <mergeCell ref="B236:E244"/>
    <mergeCell ref="F253:G253"/>
    <mergeCell ref="F254:G254"/>
    <mergeCell ref="F145:G145"/>
    <mergeCell ref="F236:G236"/>
    <mergeCell ref="F70:G70"/>
    <mergeCell ref="F71:G71"/>
    <mergeCell ref="F76:G76"/>
    <mergeCell ref="F130:G130"/>
    <mergeCell ref="F192:G192"/>
    <mergeCell ref="F167:G167"/>
    <mergeCell ref="F213:G213"/>
    <mergeCell ref="I291:K299"/>
    <mergeCell ref="F292:G292"/>
    <mergeCell ref="F293:G293"/>
    <mergeCell ref="F294:G294"/>
    <mergeCell ref="F295:G295"/>
    <mergeCell ref="I302:K310"/>
    <mergeCell ref="F306:G306"/>
    <mergeCell ref="F307:G307"/>
    <mergeCell ref="F308:G308"/>
    <mergeCell ref="F309:G309"/>
    <mergeCell ref="F312:G312"/>
    <mergeCell ref="F313:G313"/>
    <mergeCell ref="F301:G301"/>
    <mergeCell ref="F302:G302"/>
    <mergeCell ref="F303:G303"/>
    <mergeCell ref="F304:G304"/>
    <mergeCell ref="F305:G305"/>
    <mergeCell ref="F299:G299"/>
    <mergeCell ref="F282:G282"/>
    <mergeCell ref="F283:G283"/>
    <mergeCell ref="F291:G291"/>
    <mergeCell ref="P4:Q4"/>
    <mergeCell ref="R4:S4"/>
    <mergeCell ref="Q5:S13"/>
    <mergeCell ref="P15:Q15"/>
    <mergeCell ref="R15:S15"/>
    <mergeCell ref="Q16:S24"/>
    <mergeCell ref="P26:Q26"/>
    <mergeCell ref="R26:S26"/>
    <mergeCell ref="Q27:S35"/>
    <mergeCell ref="P48:Q48"/>
    <mergeCell ref="R48:S48"/>
    <mergeCell ref="L114:M114"/>
    <mergeCell ref="N114:O114"/>
    <mergeCell ref="T114:U114"/>
    <mergeCell ref="U5:W13"/>
    <mergeCell ref="M16:O24"/>
    <mergeCell ref="U16:W24"/>
    <mergeCell ref="M27:O35"/>
    <mergeCell ref="L4:M4"/>
    <mergeCell ref="N4:O4"/>
    <mergeCell ref="T4:U4"/>
    <mergeCell ref="V4:W4"/>
    <mergeCell ref="L15:M15"/>
    <mergeCell ref="N15:O15"/>
    <mergeCell ref="T15:U15"/>
    <mergeCell ref="V15:W15"/>
    <mergeCell ref="L48:M48"/>
    <mergeCell ref="N48:O48"/>
    <mergeCell ref="T48:U48"/>
    <mergeCell ref="V48:W48"/>
    <mergeCell ref="U27:W35"/>
    <mergeCell ref="B26:C26"/>
    <mergeCell ref="F26:G26"/>
    <mergeCell ref="H26:I26"/>
    <mergeCell ref="F44:G44"/>
    <mergeCell ref="F45:G45"/>
    <mergeCell ref="F46:G46"/>
    <mergeCell ref="U93:W101"/>
    <mergeCell ref="B27:E35"/>
    <mergeCell ref="B60:E68"/>
    <mergeCell ref="U126:W134"/>
    <mergeCell ref="F60:G60"/>
    <mergeCell ref="F93:G93"/>
    <mergeCell ref="I93:K101"/>
    <mergeCell ref="F94:G94"/>
    <mergeCell ref="F95:G95"/>
    <mergeCell ref="H48:I48"/>
    <mergeCell ref="J48:K48"/>
    <mergeCell ref="J26:K26"/>
    <mergeCell ref="U49:W57"/>
    <mergeCell ref="U71:W79"/>
    <mergeCell ref="F63:G63"/>
    <mergeCell ref="F64:G64"/>
    <mergeCell ref="F65:G65"/>
    <mergeCell ref="F66:G66"/>
    <mergeCell ref="F67:G67"/>
    <mergeCell ref="F68:G68"/>
    <mergeCell ref="F96:G96"/>
    <mergeCell ref="F120:G120"/>
    <mergeCell ref="B37:C37"/>
    <mergeCell ref="F37:G37"/>
    <mergeCell ref="X4:Y4"/>
    <mergeCell ref="Z4:AA4"/>
    <mergeCell ref="Y5:AA13"/>
    <mergeCell ref="X15:Y15"/>
    <mergeCell ref="Z15:AA15"/>
    <mergeCell ref="Y16:AA24"/>
    <mergeCell ref="X26:Y26"/>
    <mergeCell ref="Z26:AA26"/>
    <mergeCell ref="Y27:AA35"/>
    <mergeCell ref="X37:Y37"/>
    <mergeCell ref="Z37:AA37"/>
    <mergeCell ref="Y38:AA46"/>
    <mergeCell ref="X48:Y48"/>
    <mergeCell ref="Z48:AA48"/>
    <mergeCell ref="Y49:AA57"/>
    <mergeCell ref="X59:Y59"/>
    <mergeCell ref="Z59:AA59"/>
    <mergeCell ref="Y60:AA68"/>
    <mergeCell ref="X70:Y70"/>
    <mergeCell ref="Z70:AA70"/>
    <mergeCell ref="Y71:AA79"/>
    <mergeCell ref="X81:Y81"/>
    <mergeCell ref="Z81:AA81"/>
    <mergeCell ref="Y82:AA90"/>
    <mergeCell ref="X92:Y92"/>
    <mergeCell ref="Z92:AA92"/>
    <mergeCell ref="Y93:AA101"/>
    <mergeCell ref="X103:Y103"/>
    <mergeCell ref="Z103:AA103"/>
    <mergeCell ref="Y104:AA112"/>
    <mergeCell ref="X114:Y114"/>
    <mergeCell ref="Z114:AA114"/>
    <mergeCell ref="Y115:AA123"/>
    <mergeCell ref="X125:Y125"/>
    <mergeCell ref="Z125:AA125"/>
    <mergeCell ref="Y126:AA134"/>
    <mergeCell ref="X136:Y136"/>
    <mergeCell ref="Z136:AA136"/>
    <mergeCell ref="Y137:AA145"/>
    <mergeCell ref="B357:C357"/>
    <mergeCell ref="F357:G357"/>
    <mergeCell ref="H357:I357"/>
    <mergeCell ref="J357:K357"/>
    <mergeCell ref="L357:M357"/>
    <mergeCell ref="N357:O357"/>
    <mergeCell ref="P357:Q357"/>
    <mergeCell ref="R357:S357"/>
    <mergeCell ref="T357:U357"/>
    <mergeCell ref="V357:W357"/>
    <mergeCell ref="B358:E366"/>
    <mergeCell ref="F358:G358"/>
    <mergeCell ref="I358:K366"/>
    <mergeCell ref="M358:O366"/>
    <mergeCell ref="Q358:S366"/>
    <mergeCell ref="U358:W366"/>
    <mergeCell ref="F359:G359"/>
    <mergeCell ref="F360:G360"/>
    <mergeCell ref="F361:G361"/>
    <mergeCell ref="F362:G362"/>
    <mergeCell ref="F363:G363"/>
    <mergeCell ref="F364:G364"/>
    <mergeCell ref="F365:G365"/>
    <mergeCell ref="F366:G366"/>
    <mergeCell ref="F318:G318"/>
    <mergeCell ref="F319:G319"/>
    <mergeCell ref="F320:G320"/>
    <mergeCell ref="F321:G321"/>
    <mergeCell ref="B368:C368"/>
    <mergeCell ref="F368:G368"/>
    <mergeCell ref="H368:I368"/>
    <mergeCell ref="J368:K368"/>
    <mergeCell ref="L368:M368"/>
    <mergeCell ref="N368:O368"/>
    <mergeCell ref="P368:Q368"/>
    <mergeCell ref="R368:S368"/>
    <mergeCell ref="T368:U368"/>
    <mergeCell ref="V368:W368"/>
    <mergeCell ref="B369:E377"/>
    <mergeCell ref="F369:G369"/>
    <mergeCell ref="I369:K377"/>
    <mergeCell ref="M369:O377"/>
    <mergeCell ref="Q369:S377"/>
    <mergeCell ref="U369:W377"/>
    <mergeCell ref="F370:G370"/>
    <mergeCell ref="F371:G371"/>
    <mergeCell ref="F372:G372"/>
    <mergeCell ref="F373:G373"/>
    <mergeCell ref="F374:G374"/>
    <mergeCell ref="F375:G375"/>
    <mergeCell ref="F376:G376"/>
    <mergeCell ref="F377:G377"/>
    <mergeCell ref="B379:C379"/>
    <mergeCell ref="F379:G379"/>
    <mergeCell ref="H379:I379"/>
    <mergeCell ref="J379:K379"/>
    <mergeCell ref="L379:M379"/>
    <mergeCell ref="N379:O379"/>
    <mergeCell ref="P379:Q379"/>
    <mergeCell ref="R379:S379"/>
    <mergeCell ref="T379:U379"/>
    <mergeCell ref="V379:W379"/>
    <mergeCell ref="B380:E388"/>
    <mergeCell ref="F380:G380"/>
    <mergeCell ref="I380:K388"/>
    <mergeCell ref="M380:O388"/>
    <mergeCell ref="Q380:S388"/>
    <mergeCell ref="U380:W388"/>
    <mergeCell ref="F381:G381"/>
    <mergeCell ref="F382:G382"/>
    <mergeCell ref="F383:G383"/>
    <mergeCell ref="F384:G384"/>
    <mergeCell ref="F385:G385"/>
    <mergeCell ref="F386:G386"/>
    <mergeCell ref="F387:G387"/>
    <mergeCell ref="F388:G388"/>
    <mergeCell ref="B390:C390"/>
    <mergeCell ref="F390:G390"/>
    <mergeCell ref="H390:I390"/>
    <mergeCell ref="J390:K390"/>
    <mergeCell ref="L390:M390"/>
    <mergeCell ref="N390:O390"/>
    <mergeCell ref="P390:Q390"/>
    <mergeCell ref="R390:S390"/>
    <mergeCell ref="T390:U390"/>
    <mergeCell ref="V390:W390"/>
    <mergeCell ref="B391:E399"/>
    <mergeCell ref="F391:G391"/>
    <mergeCell ref="I391:K399"/>
    <mergeCell ref="M391:O399"/>
    <mergeCell ref="Q391:S399"/>
    <mergeCell ref="U391:W399"/>
    <mergeCell ref="F392:G392"/>
    <mergeCell ref="F393:G393"/>
    <mergeCell ref="F394:G394"/>
    <mergeCell ref="F395:G395"/>
    <mergeCell ref="F396:G396"/>
    <mergeCell ref="F397:G397"/>
    <mergeCell ref="F398:G398"/>
    <mergeCell ref="F399:G399"/>
    <mergeCell ref="B401:C401"/>
    <mergeCell ref="F401:G401"/>
    <mergeCell ref="H401:I401"/>
    <mergeCell ref="J401:K401"/>
    <mergeCell ref="L401:M401"/>
    <mergeCell ref="N401:O401"/>
    <mergeCell ref="P401:Q401"/>
    <mergeCell ref="R401:S401"/>
    <mergeCell ref="T401:U401"/>
    <mergeCell ref="V401:W401"/>
    <mergeCell ref="B402:E410"/>
    <mergeCell ref="F402:G402"/>
    <mergeCell ref="I402:K410"/>
    <mergeCell ref="M402:O410"/>
    <mergeCell ref="Q402:S410"/>
    <mergeCell ref="U402:W410"/>
    <mergeCell ref="F403:G403"/>
    <mergeCell ref="F404:G404"/>
    <mergeCell ref="F405:G405"/>
    <mergeCell ref="F406:G406"/>
    <mergeCell ref="F407:G407"/>
    <mergeCell ref="F408:G408"/>
    <mergeCell ref="F409:G409"/>
    <mergeCell ref="F410:G410"/>
    <mergeCell ref="B412:C412"/>
    <mergeCell ref="F412:G412"/>
    <mergeCell ref="H412:I412"/>
    <mergeCell ref="J412:K412"/>
    <mergeCell ref="L412:M412"/>
    <mergeCell ref="N412:O412"/>
    <mergeCell ref="P412:Q412"/>
    <mergeCell ref="R412:S412"/>
    <mergeCell ref="T412:U412"/>
    <mergeCell ref="V412:W412"/>
    <mergeCell ref="B413:E421"/>
    <mergeCell ref="F413:G413"/>
    <mergeCell ref="I413:K421"/>
    <mergeCell ref="M413:O421"/>
    <mergeCell ref="Q413:S421"/>
    <mergeCell ref="U413:W421"/>
    <mergeCell ref="F414:G414"/>
    <mergeCell ref="F415:G415"/>
    <mergeCell ref="F416:G416"/>
    <mergeCell ref="F417:G417"/>
    <mergeCell ref="F418:G418"/>
    <mergeCell ref="F419:G419"/>
    <mergeCell ref="F420:G420"/>
    <mergeCell ref="F421:G421"/>
    <mergeCell ref="B423:C423"/>
    <mergeCell ref="F423:G423"/>
    <mergeCell ref="H423:I423"/>
    <mergeCell ref="J423:K423"/>
    <mergeCell ref="L423:M423"/>
    <mergeCell ref="N423:O423"/>
    <mergeCell ref="P423:Q423"/>
    <mergeCell ref="R423:S423"/>
    <mergeCell ref="T423:U423"/>
    <mergeCell ref="V423:W423"/>
    <mergeCell ref="B424:E432"/>
    <mergeCell ref="F424:G424"/>
    <mergeCell ref="I424:K432"/>
    <mergeCell ref="M424:O432"/>
    <mergeCell ref="Q424:S432"/>
    <mergeCell ref="U424:W432"/>
    <mergeCell ref="F425:G425"/>
    <mergeCell ref="F426:G426"/>
    <mergeCell ref="F427:G427"/>
    <mergeCell ref="F428:G428"/>
    <mergeCell ref="F429:G429"/>
    <mergeCell ref="F430:G430"/>
    <mergeCell ref="F431:G431"/>
    <mergeCell ref="F432:G432"/>
    <mergeCell ref="B434:C434"/>
    <mergeCell ref="F434:G434"/>
    <mergeCell ref="H434:I434"/>
    <mergeCell ref="J434:K434"/>
    <mergeCell ref="L434:M434"/>
    <mergeCell ref="N434:O434"/>
    <mergeCell ref="P434:Q434"/>
    <mergeCell ref="R434:S434"/>
    <mergeCell ref="T434:U434"/>
    <mergeCell ref="V434:W434"/>
    <mergeCell ref="B435:E443"/>
    <mergeCell ref="F435:G435"/>
    <mergeCell ref="I435:K443"/>
    <mergeCell ref="M435:O443"/>
    <mergeCell ref="Q435:S443"/>
    <mergeCell ref="U435:W443"/>
    <mergeCell ref="F436:G436"/>
    <mergeCell ref="F437:G437"/>
    <mergeCell ref="F438:G438"/>
    <mergeCell ref="F439:G439"/>
    <mergeCell ref="F440:G440"/>
    <mergeCell ref="F441:G441"/>
    <mergeCell ref="F442:G442"/>
    <mergeCell ref="F443:G443"/>
    <mergeCell ref="B445:C445"/>
    <mergeCell ref="F445:G445"/>
    <mergeCell ref="H445:I445"/>
    <mergeCell ref="J445:K445"/>
    <mergeCell ref="L445:M445"/>
    <mergeCell ref="N445:O445"/>
    <mergeCell ref="P445:Q445"/>
    <mergeCell ref="R445:S445"/>
    <mergeCell ref="T445:U445"/>
    <mergeCell ref="V445:W445"/>
    <mergeCell ref="B446:E454"/>
    <mergeCell ref="F446:G446"/>
    <mergeCell ref="I446:K454"/>
    <mergeCell ref="M446:O454"/>
    <mergeCell ref="Q446:S454"/>
    <mergeCell ref="U446:W454"/>
    <mergeCell ref="F447:G447"/>
    <mergeCell ref="F448:G448"/>
    <mergeCell ref="F449:G449"/>
    <mergeCell ref="F450:G450"/>
    <mergeCell ref="F451:G451"/>
    <mergeCell ref="F452:G452"/>
    <mergeCell ref="F453:G453"/>
    <mergeCell ref="F454:G454"/>
    <mergeCell ref="B456:C456"/>
    <mergeCell ref="F456:G456"/>
    <mergeCell ref="H456:I456"/>
    <mergeCell ref="J456:K456"/>
    <mergeCell ref="L456:M456"/>
    <mergeCell ref="N456:O456"/>
    <mergeCell ref="P456:Q456"/>
    <mergeCell ref="R456:S456"/>
    <mergeCell ref="T456:U456"/>
    <mergeCell ref="V456:W456"/>
    <mergeCell ref="B457:E465"/>
    <mergeCell ref="F457:G457"/>
    <mergeCell ref="I457:K465"/>
    <mergeCell ref="M457:O465"/>
    <mergeCell ref="Q457:S465"/>
    <mergeCell ref="U457:W465"/>
    <mergeCell ref="F458:G458"/>
    <mergeCell ref="F459:G459"/>
    <mergeCell ref="F460:G460"/>
    <mergeCell ref="F461:G461"/>
    <mergeCell ref="F462:G462"/>
    <mergeCell ref="F463:G463"/>
    <mergeCell ref="F464:G464"/>
    <mergeCell ref="F465:G465"/>
    <mergeCell ref="B467:C467"/>
    <mergeCell ref="F467:G467"/>
    <mergeCell ref="H467:I467"/>
    <mergeCell ref="J467:K467"/>
    <mergeCell ref="L467:M467"/>
    <mergeCell ref="N467:O467"/>
    <mergeCell ref="P467:Q467"/>
    <mergeCell ref="R467:S467"/>
    <mergeCell ref="T467:U467"/>
    <mergeCell ref="V467:W467"/>
    <mergeCell ref="B468:E476"/>
    <mergeCell ref="F468:G468"/>
    <mergeCell ref="I468:K476"/>
    <mergeCell ref="M468:O476"/>
    <mergeCell ref="Q468:S476"/>
    <mergeCell ref="U468:W476"/>
    <mergeCell ref="F469:G469"/>
    <mergeCell ref="F470:G470"/>
    <mergeCell ref="F471:G471"/>
    <mergeCell ref="F472:G472"/>
    <mergeCell ref="F473:G473"/>
    <mergeCell ref="F474:G474"/>
    <mergeCell ref="F475:G475"/>
    <mergeCell ref="F476:G476"/>
    <mergeCell ref="F496:G496"/>
    <mergeCell ref="F497:G497"/>
    <mergeCell ref="F498:G498"/>
    <mergeCell ref="B478:C478"/>
    <mergeCell ref="F478:G478"/>
    <mergeCell ref="H478:I478"/>
    <mergeCell ref="J478:K478"/>
    <mergeCell ref="L478:M478"/>
    <mergeCell ref="N478:O478"/>
    <mergeCell ref="P478:Q478"/>
    <mergeCell ref="R478:S478"/>
    <mergeCell ref="T478:U478"/>
    <mergeCell ref="V478:W478"/>
    <mergeCell ref="B479:E487"/>
    <mergeCell ref="F479:G479"/>
    <mergeCell ref="I479:K487"/>
    <mergeCell ref="M479:O487"/>
    <mergeCell ref="Q479:S487"/>
    <mergeCell ref="U479:W487"/>
    <mergeCell ref="F480:G480"/>
    <mergeCell ref="F481:G481"/>
    <mergeCell ref="F482:G482"/>
    <mergeCell ref="F483:G483"/>
    <mergeCell ref="F484:G484"/>
    <mergeCell ref="F485:G485"/>
    <mergeCell ref="F486:G486"/>
    <mergeCell ref="F487:G487"/>
    <mergeCell ref="B489:C489"/>
    <mergeCell ref="F489:G489"/>
    <mergeCell ref="H489:I489"/>
    <mergeCell ref="J489:K489"/>
    <mergeCell ref="L489:M489"/>
    <mergeCell ref="N489:O489"/>
    <mergeCell ref="P489:Q489"/>
    <mergeCell ref="R489:S489"/>
    <mergeCell ref="T489:U489"/>
    <mergeCell ref="V489:W489"/>
    <mergeCell ref="B490:E498"/>
    <mergeCell ref="F490:G490"/>
    <mergeCell ref="I490:K498"/>
    <mergeCell ref="M490:O498"/>
    <mergeCell ref="Q490:S498"/>
    <mergeCell ref="U490:W498"/>
    <mergeCell ref="F491:G491"/>
    <mergeCell ref="F492:G492"/>
    <mergeCell ref="F493:G493"/>
    <mergeCell ref="F494:G494"/>
    <mergeCell ref="F495:G495"/>
    <mergeCell ref="X147:Y147"/>
    <mergeCell ref="Y424:AA432"/>
    <mergeCell ref="X434:Y434"/>
    <mergeCell ref="Z434:AA434"/>
    <mergeCell ref="Y435:AA443"/>
    <mergeCell ref="X445:Y445"/>
    <mergeCell ref="X323:Y323"/>
    <mergeCell ref="Z323:AA323"/>
    <mergeCell ref="Z445:AA445"/>
    <mergeCell ref="Y446:AA454"/>
    <mergeCell ref="X456:Y456"/>
    <mergeCell ref="Z456:AA456"/>
    <mergeCell ref="Y457:AA465"/>
    <mergeCell ref="X467:Y467"/>
    <mergeCell ref="Z467:AA467"/>
    <mergeCell ref="Y468:AA476"/>
    <mergeCell ref="Z147:AA147"/>
    <mergeCell ref="Y148:AA156"/>
    <mergeCell ref="X235:Y235"/>
    <mergeCell ref="Z235:AA235"/>
    <mergeCell ref="Y236:AA244"/>
    <mergeCell ref="X257:Y257"/>
    <mergeCell ref="Z257:AA257"/>
    <mergeCell ref="Y258:AA266"/>
    <mergeCell ref="B1:AE2"/>
    <mergeCell ref="X489:Y489"/>
    <mergeCell ref="Z489:AA489"/>
    <mergeCell ref="Y490:AA498"/>
    <mergeCell ref="X357:Y357"/>
    <mergeCell ref="Z357:AA357"/>
    <mergeCell ref="Y358:AA366"/>
    <mergeCell ref="X368:Y368"/>
    <mergeCell ref="Z368:AA368"/>
    <mergeCell ref="Y369:AA377"/>
    <mergeCell ref="X379:Y379"/>
    <mergeCell ref="Z379:AA379"/>
    <mergeCell ref="Y380:AA388"/>
    <mergeCell ref="X390:Y390"/>
    <mergeCell ref="Z390:AA390"/>
    <mergeCell ref="Y391:AA399"/>
    <mergeCell ref="X401:Y401"/>
    <mergeCell ref="Z401:AA401"/>
    <mergeCell ref="Y402:AA410"/>
    <mergeCell ref="X412:Y412"/>
    <mergeCell ref="Z412:AA412"/>
    <mergeCell ref="Y413:AA421"/>
    <mergeCell ref="X423:Y423"/>
    <mergeCell ref="Z423:AA423"/>
    <mergeCell ref="X478:Y478"/>
    <mergeCell ref="Z478:AA478"/>
    <mergeCell ref="Y479:AA487"/>
    <mergeCell ref="X346:Y346"/>
    <mergeCell ref="Z346:AA346"/>
    <mergeCell ref="Y347:AA355"/>
    <mergeCell ref="X334:Y334"/>
    <mergeCell ref="Z334:AA334"/>
    <mergeCell ref="Y335:AA343"/>
    <mergeCell ref="Z213:AA213"/>
    <mergeCell ref="Y214:AA222"/>
    <mergeCell ref="X268:Y268"/>
    <mergeCell ref="Z268:AA268"/>
    <mergeCell ref="Y269:AA277"/>
    <mergeCell ref="X279:Y279"/>
    <mergeCell ref="Z279:AA279"/>
    <mergeCell ref="Y280:AA288"/>
    <mergeCell ref="X290:Y290"/>
    <mergeCell ref="Z290:AA290"/>
    <mergeCell ref="Y291:AA299"/>
    <mergeCell ref="X301:Y301"/>
    <mergeCell ref="Z301:AA301"/>
    <mergeCell ref="Y302:AA310"/>
    <mergeCell ref="X312:Y312"/>
    <mergeCell ref="Z312:AA312"/>
    <mergeCell ref="Y313:AA321"/>
    <mergeCell ref="Y324:AA332"/>
    <mergeCell ref="X246:Y246"/>
    <mergeCell ref="Z246:AA246"/>
    <mergeCell ref="Y247:AA255"/>
    <mergeCell ref="X224:Y224"/>
    <mergeCell ref="Z224:AA224"/>
    <mergeCell ref="Y225:AA233"/>
    <mergeCell ref="X158:Y158"/>
    <mergeCell ref="Z158:AA158"/>
    <mergeCell ref="Y159:AA167"/>
    <mergeCell ref="X169:Y169"/>
    <mergeCell ref="Z169:AA169"/>
    <mergeCell ref="Y170:AA178"/>
    <mergeCell ref="X180:Y180"/>
    <mergeCell ref="Z180:AA180"/>
    <mergeCell ref="Y181:AA189"/>
    <mergeCell ref="X191:Y191"/>
    <mergeCell ref="Z191:AA191"/>
    <mergeCell ref="Y192:AA200"/>
    <mergeCell ref="X202:Y202"/>
    <mergeCell ref="Z202:AA202"/>
    <mergeCell ref="Y203:AA211"/>
    <mergeCell ref="X213:Y213"/>
    <mergeCell ref="AB379:AC379"/>
    <mergeCell ref="AD379:AE379"/>
    <mergeCell ref="AC380:AE388"/>
    <mergeCell ref="AB390:AC390"/>
    <mergeCell ref="AD390:AE390"/>
    <mergeCell ref="AC391:AE399"/>
    <mergeCell ref="AB401:AC401"/>
    <mergeCell ref="AD401:AE401"/>
    <mergeCell ref="AC402:AE410"/>
    <mergeCell ref="AB412:AC412"/>
    <mergeCell ref="AD412:AE412"/>
    <mergeCell ref="AC413:AE421"/>
    <mergeCell ref="AB423:AC423"/>
    <mergeCell ref="AD423:AE423"/>
    <mergeCell ref="AC424:AE432"/>
    <mergeCell ref="AB434:AC434"/>
    <mergeCell ref="AD434:AE434"/>
    <mergeCell ref="AC369:AE377"/>
    <mergeCell ref="AB467:AC467"/>
    <mergeCell ref="AD467:AE467"/>
    <mergeCell ref="AC468:AE476"/>
    <mergeCell ref="AB478:AC478"/>
    <mergeCell ref="AD478:AE478"/>
    <mergeCell ref="AC479:AE487"/>
    <mergeCell ref="AB489:AC489"/>
    <mergeCell ref="AD489:AE489"/>
    <mergeCell ref="AC490:AE498"/>
    <mergeCell ref="AB334:AC334"/>
    <mergeCell ref="AD334:AE334"/>
    <mergeCell ref="AC335:AE343"/>
    <mergeCell ref="AB4:AC4"/>
    <mergeCell ref="AD4:AE4"/>
    <mergeCell ref="AC5:AE13"/>
    <mergeCell ref="AB15:AC15"/>
    <mergeCell ref="AD15:AE15"/>
    <mergeCell ref="AC16:AE24"/>
    <mergeCell ref="AB26:AC26"/>
    <mergeCell ref="AD26:AE26"/>
    <mergeCell ref="AC27:AE35"/>
    <mergeCell ref="AB37:AC37"/>
    <mergeCell ref="AD37:AE37"/>
    <mergeCell ref="AC38:AE46"/>
    <mergeCell ref="AB48:AC48"/>
    <mergeCell ref="AD48:AE48"/>
    <mergeCell ref="AC49:AE57"/>
    <mergeCell ref="AB59:AC59"/>
    <mergeCell ref="AD59:AE59"/>
    <mergeCell ref="AC60:AE68"/>
    <mergeCell ref="AB70:AC70"/>
    <mergeCell ref="AC225:AE233"/>
    <mergeCell ref="AB235:AC235"/>
    <mergeCell ref="AD235:AE235"/>
    <mergeCell ref="AC236:AE244"/>
    <mergeCell ref="AC435:AE443"/>
    <mergeCell ref="AB445:AC445"/>
    <mergeCell ref="AD445:AE445"/>
    <mergeCell ref="AC446:AE454"/>
    <mergeCell ref="AB456:AC456"/>
    <mergeCell ref="AD456:AE456"/>
    <mergeCell ref="AC457:AE465"/>
    <mergeCell ref="AD70:AE70"/>
    <mergeCell ref="AC71:AE79"/>
    <mergeCell ref="AB81:AC81"/>
    <mergeCell ref="AD81:AE81"/>
    <mergeCell ref="AC82:AE90"/>
    <mergeCell ref="AB92:AC92"/>
    <mergeCell ref="AD92:AE92"/>
    <mergeCell ref="AC93:AE101"/>
    <mergeCell ref="AB103:AC103"/>
    <mergeCell ref="AD103:AE103"/>
    <mergeCell ref="AC104:AE112"/>
    <mergeCell ref="AB114:AC114"/>
    <mergeCell ref="AD114:AE114"/>
    <mergeCell ref="AC115:AE123"/>
    <mergeCell ref="AB125:AC125"/>
    <mergeCell ref="AD125:AE125"/>
    <mergeCell ref="AB346:AC346"/>
    <mergeCell ref="AD346:AE346"/>
    <mergeCell ref="AC347:AE355"/>
    <mergeCell ref="AB357:AC357"/>
    <mergeCell ref="AD357:AE357"/>
    <mergeCell ref="AC126:AE134"/>
    <mergeCell ref="AB136:AC136"/>
    <mergeCell ref="AD136:AE136"/>
    <mergeCell ref="AC137:AE145"/>
    <mergeCell ref="AB147:AC147"/>
    <mergeCell ref="AD147:AE147"/>
    <mergeCell ref="AC148:AE156"/>
    <mergeCell ref="AB158:AC158"/>
    <mergeCell ref="AD158:AE158"/>
    <mergeCell ref="AB202:AC202"/>
    <mergeCell ref="AD202:AE202"/>
    <mergeCell ref="AC203:AE211"/>
    <mergeCell ref="AB213:AC213"/>
    <mergeCell ref="AD213:AE213"/>
    <mergeCell ref="AC214:AE222"/>
    <mergeCell ref="AB224:AC224"/>
    <mergeCell ref="AD224:AE224"/>
    <mergeCell ref="AB169:AC169"/>
    <mergeCell ref="AD169:AE169"/>
    <mergeCell ref="AC170:AE178"/>
    <mergeCell ref="AB180:AC180"/>
    <mergeCell ref="AD180:AE180"/>
    <mergeCell ref="AC181:AE189"/>
    <mergeCell ref="AB191:AC191"/>
    <mergeCell ref="AD191:AE191"/>
    <mergeCell ref="AC192:AE200"/>
    <mergeCell ref="AC159:AE167"/>
    <mergeCell ref="AB246:AC246"/>
    <mergeCell ref="AD246:AE246"/>
    <mergeCell ref="AC247:AE255"/>
    <mergeCell ref="AB257:AC257"/>
    <mergeCell ref="AD257:AE257"/>
    <mergeCell ref="AC324:AE332"/>
    <mergeCell ref="J505:N505"/>
    <mergeCell ref="J506:N506"/>
    <mergeCell ref="U505:Y505"/>
    <mergeCell ref="U506:Y506"/>
    <mergeCell ref="U507:Y507"/>
    <mergeCell ref="AC258:AE266"/>
    <mergeCell ref="AB268:AC268"/>
    <mergeCell ref="AD268:AE268"/>
    <mergeCell ref="AC269:AE277"/>
    <mergeCell ref="AB279:AC279"/>
    <mergeCell ref="AD279:AE279"/>
    <mergeCell ref="AC280:AE288"/>
    <mergeCell ref="AB290:AC290"/>
    <mergeCell ref="AD290:AE290"/>
    <mergeCell ref="AC291:AE299"/>
    <mergeCell ref="AB301:AC301"/>
    <mergeCell ref="AD301:AE301"/>
    <mergeCell ref="AC302:AE310"/>
    <mergeCell ref="AB312:AC312"/>
    <mergeCell ref="AD312:AE312"/>
    <mergeCell ref="AC313:AE321"/>
    <mergeCell ref="AB323:AC323"/>
    <mergeCell ref="AD323:AE323"/>
    <mergeCell ref="AC358:AE366"/>
    <mergeCell ref="AB368:AC368"/>
    <mergeCell ref="AD368:AE368"/>
  </mergeCells>
  <conditionalFormatting sqref="G130:G134 G306:G310">
    <cfRule type="cellIs" dxfId="1394" priority="1470" operator="lessThan">
      <formula>0.1</formula>
    </cfRule>
  </conditionalFormatting>
  <conditionalFormatting sqref="H17:H19">
    <cfRule type="cellIs" dxfId="1393" priority="1471" operator="lessThan">
      <formula>0.1</formula>
    </cfRule>
  </conditionalFormatting>
  <conditionalFormatting sqref="G9:G13">
    <cfRule type="cellIs" dxfId="1392" priority="1472" operator="lessThan">
      <formula>0.1</formula>
    </cfRule>
  </conditionalFormatting>
  <conditionalFormatting sqref="H9:H13">
    <cfRule type="cellIs" dxfId="1391" priority="1473" operator="lessThan">
      <formula>0.1</formula>
    </cfRule>
  </conditionalFormatting>
  <conditionalFormatting sqref="H6:H8">
    <cfRule type="cellIs" dxfId="1390" priority="1474" operator="lessThan">
      <formula>0.1</formula>
    </cfRule>
  </conditionalFormatting>
  <conditionalFormatting sqref="L17:L19">
    <cfRule type="cellIs" dxfId="1389" priority="1465" operator="lessThan">
      <formula>0.1</formula>
    </cfRule>
  </conditionalFormatting>
  <conditionalFormatting sqref="G20:G24">
    <cfRule type="cellIs" dxfId="1388" priority="1476" operator="lessThan">
      <formula>0.1</formula>
    </cfRule>
  </conditionalFormatting>
  <conditionalFormatting sqref="H20:H24">
    <cfRule type="cellIs" dxfId="1387" priority="1477" operator="lessThan">
      <formula>0.1</formula>
    </cfRule>
  </conditionalFormatting>
  <conditionalFormatting sqref="H71">
    <cfRule type="cellIs" dxfId="1386" priority="1433" operator="lessThan">
      <formula>0.1</formula>
    </cfRule>
  </conditionalFormatting>
  <conditionalFormatting sqref="G97:G101">
    <cfRule type="cellIs" dxfId="1385" priority="1479" operator="lessThan">
      <formula>0.1</formula>
    </cfRule>
  </conditionalFormatting>
  <conditionalFormatting sqref="H98:H101">
    <cfRule type="cellIs" dxfId="1384" priority="1480" operator="lessThan">
      <formula>0.1</formula>
    </cfRule>
  </conditionalFormatting>
  <conditionalFormatting sqref="H94">
    <cfRule type="cellIs" dxfId="1383" priority="1482" operator="lessThan">
      <formula>0.1</formula>
    </cfRule>
  </conditionalFormatting>
  <conditionalFormatting sqref="P16">
    <cfRule type="cellIs" dxfId="1382" priority="1447" operator="lessThan">
      <formula>0.1</formula>
    </cfRule>
  </conditionalFormatting>
  <conditionalFormatting sqref="P5">
    <cfRule type="cellIs" dxfId="1381" priority="1450" operator="lessThan">
      <formula>0.1</formula>
    </cfRule>
  </conditionalFormatting>
  <conditionalFormatting sqref="H97">
    <cfRule type="cellIs" dxfId="1380" priority="1488" operator="lessThan">
      <formula>0.1</formula>
    </cfRule>
  </conditionalFormatting>
  <conditionalFormatting sqref="L31 L33:L34">
    <cfRule type="cellIs" dxfId="1379" priority="1454" operator="lessThan">
      <formula>0.1</formula>
    </cfRule>
  </conditionalFormatting>
  <conditionalFormatting sqref="H95:H96">
    <cfRule type="cellIs" dxfId="1378" priority="1491" operator="lessThan">
      <formula>0.1</formula>
    </cfRule>
  </conditionalFormatting>
  <conditionalFormatting sqref="H306">
    <cfRule type="cellIs" dxfId="1377" priority="1494" operator="lessThan">
      <formula>0.1</formula>
    </cfRule>
  </conditionalFormatting>
  <conditionalFormatting sqref="H299">
    <cfRule type="cellIs" dxfId="1376" priority="1495" operator="lessThan">
      <formula>0.1</formula>
    </cfRule>
  </conditionalFormatting>
  <conditionalFormatting sqref="H307:H308">
    <cfRule type="cellIs" dxfId="1375" priority="1496" operator="lessThan">
      <formula>0.1</formula>
    </cfRule>
  </conditionalFormatting>
  <conditionalFormatting sqref="G295:G296 G298:G299">
    <cfRule type="cellIs" dxfId="1374" priority="1497" operator="lessThan">
      <formula>0.1</formula>
    </cfRule>
  </conditionalFormatting>
  <conditionalFormatting sqref="H309:H310">
    <cfRule type="cellIs" dxfId="1373" priority="1498" operator="lessThan">
      <formula>0.1</formula>
    </cfRule>
  </conditionalFormatting>
  <conditionalFormatting sqref="H172:H178">
    <cfRule type="cellIs" dxfId="1372" priority="1417" operator="lessThan">
      <formula>0.1</formula>
    </cfRule>
  </conditionalFormatting>
  <conditionalFormatting sqref="H304:H305">
    <cfRule type="cellIs" dxfId="1371" priority="1501" operator="lessThan">
      <formula>0.1</formula>
    </cfRule>
  </conditionalFormatting>
  <conditionalFormatting sqref="T28:T30">
    <cfRule type="cellIs" dxfId="1370" priority="1452" operator="lessThan">
      <formula>0.1</formula>
    </cfRule>
  </conditionalFormatting>
  <conditionalFormatting sqref="H296:H297">
    <cfRule type="cellIs" dxfId="1369" priority="1503" operator="lessThan">
      <formula>0.1</formula>
    </cfRule>
  </conditionalFormatting>
  <conditionalFormatting sqref="H295">
    <cfRule type="cellIs" dxfId="1368" priority="1505" operator="lessThan">
      <formula>0.1</formula>
    </cfRule>
  </conditionalFormatting>
  <conditionalFormatting sqref="H298">
    <cfRule type="cellIs" dxfId="1367" priority="1506" operator="lessThan">
      <formula>0.1</formula>
    </cfRule>
  </conditionalFormatting>
  <conditionalFormatting sqref="G297">
    <cfRule type="cellIs" dxfId="1366" priority="1507" operator="lessThan">
      <formula>0.1</formula>
    </cfRule>
  </conditionalFormatting>
  <conditionalFormatting sqref="H31:H35">
    <cfRule type="cellIs" dxfId="1365" priority="1459" operator="lessThan">
      <formula>0.1</formula>
    </cfRule>
  </conditionalFormatting>
  <conditionalFormatting sqref="H293:H294">
    <cfRule type="cellIs" dxfId="1364" priority="1511" operator="lessThan">
      <formula>0.1</formula>
    </cfRule>
  </conditionalFormatting>
  <conditionalFormatting sqref="H50:H52">
    <cfRule type="cellIs" dxfId="1363" priority="1438" operator="lessThan">
      <formula>0.1</formula>
    </cfRule>
  </conditionalFormatting>
  <conditionalFormatting sqref="H130">
    <cfRule type="cellIs" dxfId="1362" priority="1430" operator="lessThan">
      <formula>0.1</formula>
    </cfRule>
  </conditionalFormatting>
  <conditionalFormatting sqref="G53 G55:G57">
    <cfRule type="cellIs" dxfId="1361" priority="1440" operator="lessThan">
      <formula>0.1</formula>
    </cfRule>
  </conditionalFormatting>
  <conditionalFormatting sqref="T17:T19">
    <cfRule type="cellIs" dxfId="1360" priority="1462" operator="lessThan">
      <formula>0.1</formula>
    </cfRule>
  </conditionalFormatting>
  <conditionalFormatting sqref="H291">
    <cfRule type="cellIs" dxfId="1359" priority="1394" operator="lessThan">
      <formula>0.1</formula>
    </cfRule>
  </conditionalFormatting>
  <conditionalFormatting sqref="L20:L24">
    <cfRule type="cellIs" dxfId="1358" priority="1464" operator="lessThan">
      <formula>0.1</formula>
    </cfRule>
  </conditionalFormatting>
  <conditionalFormatting sqref="L9:L13">
    <cfRule type="cellIs" dxfId="1357" priority="1519" operator="lessThan">
      <formula>0.1</formula>
    </cfRule>
  </conditionalFormatting>
  <conditionalFormatting sqref="L6:L8">
    <cfRule type="cellIs" dxfId="1356" priority="1524" operator="lessThan">
      <formula>0.1</formula>
    </cfRule>
  </conditionalFormatting>
  <conditionalFormatting sqref="H284:H288">
    <cfRule type="cellIs" dxfId="1355" priority="1566" operator="lessThan">
      <formula>0.1</formula>
    </cfRule>
  </conditionalFormatting>
  <conditionalFormatting sqref="H282:H283">
    <cfRule type="cellIs" dxfId="1354" priority="1567" operator="lessThan">
      <formula>0.1</formula>
    </cfRule>
  </conditionalFormatting>
  <conditionalFormatting sqref="G284:G288">
    <cfRule type="cellIs" dxfId="1353" priority="1568" operator="lessThan">
      <formula>0.1</formula>
    </cfRule>
  </conditionalFormatting>
  <conditionalFormatting sqref="H221:H222">
    <cfRule type="cellIs" dxfId="1352" priority="1571" operator="lessThan">
      <formula>0.1</formula>
    </cfRule>
  </conditionalFormatting>
  <conditionalFormatting sqref="H215">
    <cfRule type="cellIs" dxfId="1351" priority="1572" operator="lessThan">
      <formula>0.1</formula>
    </cfRule>
  </conditionalFormatting>
  <conditionalFormatting sqref="H226">
    <cfRule type="cellIs" dxfId="1350" priority="1575" operator="lessThan">
      <formula>0.1</formula>
    </cfRule>
  </conditionalFormatting>
  <conditionalFormatting sqref="H219:H220">
    <cfRule type="cellIs" dxfId="1349" priority="1576" operator="lessThan">
      <formula>0.1</formula>
    </cfRule>
  </conditionalFormatting>
  <conditionalFormatting sqref="H216:H217">
    <cfRule type="cellIs" dxfId="1348" priority="1579" operator="lessThan">
      <formula>0.1</formula>
    </cfRule>
  </conditionalFormatting>
  <conditionalFormatting sqref="H230:H231">
    <cfRule type="cellIs" dxfId="1347" priority="1581" operator="lessThan">
      <formula>0.1</formula>
    </cfRule>
  </conditionalFormatting>
  <conditionalFormatting sqref="H229">
    <cfRule type="cellIs" dxfId="1346" priority="1582" operator="lessThan">
      <formula>0.1</formula>
    </cfRule>
  </conditionalFormatting>
  <conditionalFormatting sqref="H232:H233">
    <cfRule type="cellIs" dxfId="1345" priority="1583" operator="lessThan">
      <formula>0.1</formula>
    </cfRule>
  </conditionalFormatting>
  <conditionalFormatting sqref="H227:H228">
    <cfRule type="cellIs" dxfId="1344" priority="1585" operator="lessThan">
      <formula>0.1</formula>
    </cfRule>
  </conditionalFormatting>
  <conditionalFormatting sqref="H248">
    <cfRule type="cellIs" dxfId="1343" priority="1589" operator="lessThan">
      <formula>0.1</formula>
    </cfRule>
  </conditionalFormatting>
  <conditionalFormatting sqref="H252:H253">
    <cfRule type="cellIs" dxfId="1342" priority="1591" operator="lessThan">
      <formula>0.1</formula>
    </cfRule>
  </conditionalFormatting>
  <conditionalFormatting sqref="H251">
    <cfRule type="cellIs" dxfId="1341" priority="1592" operator="lessThan">
      <formula>0.1</formula>
    </cfRule>
  </conditionalFormatting>
  <conditionalFormatting sqref="H254:H255">
    <cfRule type="cellIs" dxfId="1340" priority="1593" operator="lessThan">
      <formula>0.1</formula>
    </cfRule>
  </conditionalFormatting>
  <conditionalFormatting sqref="H249:H250">
    <cfRule type="cellIs" dxfId="1339" priority="1594" operator="lessThan">
      <formula>0.1</formula>
    </cfRule>
  </conditionalFormatting>
  <conditionalFormatting sqref="H266">
    <cfRule type="cellIs" dxfId="1338" priority="1595" operator="lessThan">
      <formula>0.1</formula>
    </cfRule>
  </conditionalFormatting>
  <conditionalFormatting sqref="H259">
    <cfRule type="cellIs" dxfId="1337" priority="1596" operator="lessThan">
      <formula>0.1</formula>
    </cfRule>
  </conditionalFormatting>
  <conditionalFormatting sqref="H264">
    <cfRule type="cellIs" dxfId="1336" priority="1598" operator="lessThan">
      <formula>0.1</formula>
    </cfRule>
  </conditionalFormatting>
  <conditionalFormatting sqref="H262">
    <cfRule type="cellIs" dxfId="1335" priority="1599" operator="lessThan">
      <formula>0.1</formula>
    </cfRule>
  </conditionalFormatting>
  <conditionalFormatting sqref="H265">
    <cfRule type="cellIs" dxfId="1334" priority="1600" operator="lessThan">
      <formula>0.1</formula>
    </cfRule>
  </conditionalFormatting>
  <conditionalFormatting sqref="H260:H261">
    <cfRule type="cellIs" dxfId="1333" priority="1601" operator="lessThan">
      <formula>0.1</formula>
    </cfRule>
  </conditionalFormatting>
  <conditionalFormatting sqref="H149">
    <cfRule type="cellIs" dxfId="1332" priority="1605" operator="lessThan">
      <formula>0.1</formula>
    </cfRule>
  </conditionalFormatting>
  <conditionalFormatting sqref="H153:H154">
    <cfRule type="cellIs" dxfId="1331" priority="1607" operator="lessThan">
      <formula>0.1</formula>
    </cfRule>
  </conditionalFormatting>
  <conditionalFormatting sqref="H155">
    <cfRule type="cellIs" dxfId="1330" priority="1609" operator="lessThan">
      <formula>0.1</formula>
    </cfRule>
  </conditionalFormatting>
  <conditionalFormatting sqref="H150:H151">
    <cfRule type="cellIs" dxfId="1329" priority="1610" operator="lessThan">
      <formula>0.1</formula>
    </cfRule>
  </conditionalFormatting>
  <conditionalFormatting sqref="H160">
    <cfRule type="cellIs" dxfId="1328" priority="1614" operator="lessThan">
      <formula>0.1</formula>
    </cfRule>
  </conditionalFormatting>
  <conditionalFormatting sqref="H273">
    <cfRule type="cellIs" dxfId="1327" priority="1620" operator="lessThan">
      <formula>0.1</formula>
    </cfRule>
  </conditionalFormatting>
  <conditionalFormatting sqref="H274:H275">
    <cfRule type="cellIs" dxfId="1326" priority="1621" operator="lessThan">
      <formula>0.1</formula>
    </cfRule>
  </conditionalFormatting>
  <conditionalFormatting sqref="H276:H277">
    <cfRule type="cellIs" dxfId="1325" priority="1622" operator="lessThan">
      <formula>0.1</formula>
    </cfRule>
  </conditionalFormatting>
  <conditionalFormatting sqref="H271:H272">
    <cfRule type="cellIs" dxfId="1324" priority="1624" operator="lessThan">
      <formula>0.1</formula>
    </cfRule>
  </conditionalFormatting>
  <conditionalFormatting sqref="H270">
    <cfRule type="cellIs" dxfId="1323" priority="1625" operator="lessThan">
      <formula>0.1</formula>
    </cfRule>
  </conditionalFormatting>
  <conditionalFormatting sqref="H171">
    <cfRule type="cellIs" dxfId="1322" priority="1629" operator="lessThan">
      <formula>0.1</formula>
    </cfRule>
  </conditionalFormatting>
  <conditionalFormatting sqref="G317:G321">
    <cfRule type="cellIs" dxfId="1321" priority="1635" operator="lessThan">
      <formula>0.1</formula>
    </cfRule>
  </conditionalFormatting>
  <conditionalFormatting sqref="H317">
    <cfRule type="cellIs" dxfId="1320" priority="1636" operator="lessThan">
      <formula>0.1</formula>
    </cfRule>
  </conditionalFormatting>
  <conditionalFormatting sqref="H318:H319">
    <cfRule type="cellIs" dxfId="1319" priority="1637" operator="lessThan">
      <formula>0.1</formula>
    </cfRule>
  </conditionalFormatting>
  <conditionalFormatting sqref="H320:H321">
    <cfRule type="cellIs" dxfId="1318" priority="1638" operator="lessThan">
      <formula>0.1</formula>
    </cfRule>
  </conditionalFormatting>
  <conditionalFormatting sqref="H315:H316">
    <cfRule type="cellIs" dxfId="1317" priority="1639" operator="lessThan">
      <formula>0.1</formula>
    </cfRule>
  </conditionalFormatting>
  <conditionalFormatting sqref="G122:G123">
    <cfRule type="cellIs" dxfId="1316" priority="1788" operator="lessThan">
      <formula>0.1</formula>
    </cfRule>
  </conditionalFormatting>
  <conditionalFormatting sqref="H116">
    <cfRule type="cellIs" dxfId="1315" priority="1789" operator="lessThan">
      <formula>0.1</formula>
    </cfRule>
  </conditionalFormatting>
  <conditionalFormatting sqref="H117:H118">
    <cfRule type="cellIs" dxfId="1314" priority="1790" operator="lessThan">
      <formula>0.1</formula>
    </cfRule>
  </conditionalFormatting>
  <conditionalFormatting sqref="H120:H123">
    <cfRule type="cellIs" dxfId="1313" priority="1791" operator="lessThan">
      <formula>0.1</formula>
    </cfRule>
  </conditionalFormatting>
  <conditionalFormatting sqref="H119">
    <cfRule type="cellIs" dxfId="1312" priority="1792" operator="lessThan">
      <formula>0.1</formula>
    </cfRule>
  </conditionalFormatting>
  <conditionalFormatting sqref="H5">
    <cfRule type="cellIs" dxfId="1311" priority="1972" operator="lessThan">
      <formula>0.1</formula>
    </cfRule>
  </conditionalFormatting>
  <conditionalFormatting sqref="L5">
    <cfRule type="cellIs" dxfId="1310" priority="1973" operator="lessThan">
      <formula>0.1</formula>
    </cfRule>
  </conditionalFormatting>
  <conditionalFormatting sqref="T9:T13">
    <cfRule type="cellIs" dxfId="1309" priority="1467" operator="lessThan">
      <formula>0.1</formula>
    </cfRule>
  </conditionalFormatting>
  <conditionalFormatting sqref="T6:T8">
    <cfRule type="cellIs" dxfId="1308" priority="1468" operator="lessThan">
      <formula>0.1</formula>
    </cfRule>
  </conditionalFormatting>
  <conditionalFormatting sqref="T5">
    <cfRule type="cellIs" dxfId="1307" priority="1469" operator="lessThan">
      <formula>0.1</formula>
    </cfRule>
  </conditionalFormatting>
  <conditionalFormatting sqref="H93">
    <cfRule type="cellIs" dxfId="1306" priority="1432" operator="lessThan">
      <formula>0.1</formula>
    </cfRule>
  </conditionalFormatting>
  <conditionalFormatting sqref="T20:T24">
    <cfRule type="cellIs" dxfId="1305" priority="1461" operator="lessThan">
      <formula>0.1</formula>
    </cfRule>
  </conditionalFormatting>
  <conditionalFormatting sqref="P20:P24">
    <cfRule type="cellIs" dxfId="1304" priority="1445" operator="lessThan">
      <formula>0.1</formula>
    </cfRule>
  </conditionalFormatting>
  <conditionalFormatting sqref="P17:P19">
    <cfRule type="cellIs" dxfId="1303" priority="1446" operator="lessThan">
      <formula>0.1</formula>
    </cfRule>
  </conditionalFormatting>
  <conditionalFormatting sqref="H28:H30">
    <cfRule type="cellIs" dxfId="1302" priority="1457" operator="lessThan">
      <formula>0.1</formula>
    </cfRule>
  </conditionalFormatting>
  <conditionalFormatting sqref="G31:G35">
    <cfRule type="cellIs" dxfId="1301" priority="1458" operator="lessThan">
      <formula>0.1</formula>
    </cfRule>
  </conditionalFormatting>
  <conditionalFormatting sqref="H115">
    <cfRule type="cellIs" dxfId="1300" priority="1426" operator="lessThan">
      <formula>0.1</formula>
    </cfRule>
  </conditionalFormatting>
  <conditionalFormatting sqref="T31:T34">
    <cfRule type="cellIs" dxfId="1299" priority="1451" operator="lessThan">
      <formula>0.1</formula>
    </cfRule>
  </conditionalFormatting>
  <conditionalFormatting sqref="G163:G167">
    <cfRule type="cellIs" dxfId="1298" priority="1421" operator="lessThan">
      <formula>0.1</formula>
    </cfRule>
  </conditionalFormatting>
  <conditionalFormatting sqref="L28:L30">
    <cfRule type="cellIs" dxfId="1297" priority="1455" operator="lessThan">
      <formula>0.1</formula>
    </cfRule>
  </conditionalFormatting>
  <conditionalFormatting sqref="H269">
    <cfRule type="cellIs" dxfId="1296" priority="1399" operator="lessThan">
      <formula>0.1</formula>
    </cfRule>
  </conditionalFormatting>
  <conditionalFormatting sqref="P6:P8">
    <cfRule type="cellIs" dxfId="1295" priority="1449" operator="lessThan">
      <formula>0.1</formula>
    </cfRule>
  </conditionalFormatting>
  <conditionalFormatting sqref="H49">
    <cfRule type="cellIs" dxfId="1294" priority="1437" operator="lessThan">
      <formula>0.1</formula>
    </cfRule>
  </conditionalFormatting>
  <conditionalFormatting sqref="P9:P13">
    <cfRule type="cellIs" dxfId="1293" priority="1448" operator="lessThan">
      <formula>0.1</formula>
    </cfRule>
  </conditionalFormatting>
  <conditionalFormatting sqref="G174:G178">
    <cfRule type="cellIs" dxfId="1292" priority="1418" operator="lessThan">
      <formula>0.1</formula>
    </cfRule>
  </conditionalFormatting>
  <conditionalFormatting sqref="P28:P30">
    <cfRule type="cellIs" dxfId="1291" priority="1443" operator="lessThan">
      <formula>0.1</formula>
    </cfRule>
  </conditionalFormatting>
  <conditionalFormatting sqref="H128:H129">
    <cfRule type="cellIs" dxfId="1290" priority="1431" operator="lessThan">
      <formula>0.1</formula>
    </cfRule>
  </conditionalFormatting>
  <conditionalFormatting sqref="H281">
    <cfRule type="cellIs" dxfId="1289" priority="1397" operator="lessThan">
      <formula>0.1</formula>
    </cfRule>
  </conditionalFormatting>
  <conditionalFormatting sqref="P31:P35">
    <cfRule type="cellIs" dxfId="1288" priority="1442" operator="lessThan">
      <formula>0.1</formula>
    </cfRule>
  </conditionalFormatting>
  <conditionalFormatting sqref="H126">
    <cfRule type="cellIs" dxfId="1287" priority="1427" operator="lessThan">
      <formula>0.1</formula>
    </cfRule>
  </conditionalFormatting>
  <conditionalFormatting sqref="H27">
    <cfRule type="cellIs" dxfId="1286" priority="1441" operator="lessThan">
      <formula>0.1</formula>
    </cfRule>
  </conditionalFormatting>
  <conditionalFormatting sqref="G262:G266">
    <cfRule type="cellIs" dxfId="1285" priority="1404" operator="lessThan">
      <formula>0.1</formula>
    </cfRule>
  </conditionalFormatting>
  <conditionalFormatting sqref="H53:H57">
    <cfRule type="cellIs" dxfId="1284" priority="1439" operator="lessThan">
      <formula>0.1</formula>
    </cfRule>
  </conditionalFormatting>
  <conditionalFormatting sqref="H148">
    <cfRule type="cellIs" dxfId="1283" priority="1422" operator="lessThan">
      <formula>0.1</formula>
    </cfRule>
  </conditionalFormatting>
  <conditionalFormatting sqref="G75:G79">
    <cfRule type="cellIs" dxfId="1282" priority="1436" operator="lessThan">
      <formula>0.1</formula>
    </cfRule>
  </conditionalFormatting>
  <conditionalFormatting sqref="H72:H74">
    <cfRule type="cellIs" dxfId="1281" priority="1434" operator="lessThan">
      <formula>0.1</formula>
    </cfRule>
  </conditionalFormatting>
  <conditionalFormatting sqref="H75:H79">
    <cfRule type="cellIs" dxfId="1280" priority="1435" operator="lessThan">
      <formula>0.1</formula>
    </cfRule>
  </conditionalFormatting>
  <conditionalFormatting sqref="H170">
    <cfRule type="cellIs" dxfId="1279" priority="1416" operator="lessThan">
      <formula>0.1</formula>
    </cfRule>
  </conditionalFormatting>
  <conditionalFormatting sqref="H214">
    <cfRule type="cellIs" dxfId="1278" priority="1414" operator="lessThan">
      <formula>0.1</formula>
    </cfRule>
  </conditionalFormatting>
  <conditionalFormatting sqref="H131:H134">
    <cfRule type="cellIs" dxfId="1277" priority="1428" operator="lessThan">
      <formula>0.1</formula>
    </cfRule>
  </conditionalFormatting>
  <conditionalFormatting sqref="H127">
    <cfRule type="cellIs" dxfId="1276" priority="1429" operator="lessThan">
      <formula>0.1</formula>
    </cfRule>
  </conditionalFormatting>
  <conditionalFormatting sqref="G218:G222">
    <cfRule type="cellIs" dxfId="1275" priority="1415" operator="lessThan">
      <formula>0.1</formula>
    </cfRule>
  </conditionalFormatting>
  <conditionalFormatting sqref="L49">
    <cfRule type="cellIs" dxfId="1274" priority="1362" operator="lessThan">
      <formula>0.1</formula>
    </cfRule>
  </conditionalFormatting>
  <conditionalFormatting sqref="G251:G255">
    <cfRule type="cellIs" dxfId="1273" priority="1412" operator="lessThan">
      <formula>0.1</formula>
    </cfRule>
  </conditionalFormatting>
  <conditionalFormatting sqref="H313">
    <cfRule type="cellIs" dxfId="1272" priority="1390" operator="lessThan">
      <formula>0.1</formula>
    </cfRule>
  </conditionalFormatting>
  <conditionalFormatting sqref="G152:G156">
    <cfRule type="cellIs" dxfId="1271" priority="1425" operator="lessThan">
      <formula>0.1</formula>
    </cfRule>
  </conditionalFormatting>
  <conditionalFormatting sqref="H152">
    <cfRule type="cellIs" dxfId="1270" priority="1424" operator="lessThan">
      <formula>0.1</formula>
    </cfRule>
  </conditionalFormatting>
  <conditionalFormatting sqref="H156">
    <cfRule type="cellIs" dxfId="1269" priority="1423" operator="lessThan">
      <formula>0.1</formula>
    </cfRule>
  </conditionalFormatting>
  <conditionalFormatting sqref="G117:G120">
    <cfRule type="cellIs" dxfId="1268" priority="1389" operator="lessThan">
      <formula>0.1</formula>
    </cfRule>
  </conditionalFormatting>
  <conditionalFormatting sqref="H161:H167">
    <cfRule type="cellIs" dxfId="1267" priority="1420" operator="lessThan">
      <formula>0.1</formula>
    </cfRule>
  </conditionalFormatting>
  <conditionalFormatting sqref="H159">
    <cfRule type="cellIs" dxfId="1266" priority="1419" operator="lessThan">
      <formula>0.1</formula>
    </cfRule>
  </conditionalFormatting>
  <conditionalFormatting sqref="L27">
    <cfRule type="cellIs" dxfId="1265" priority="1385" operator="lessThan">
      <formula>0.1</formula>
    </cfRule>
  </conditionalFormatting>
  <conditionalFormatting sqref="L39:L41">
    <cfRule type="cellIs" dxfId="1264" priority="1381" operator="lessThan">
      <formula>0.1</formula>
    </cfRule>
  </conditionalFormatting>
  <conditionalFormatting sqref="H258">
    <cfRule type="cellIs" dxfId="1263" priority="1401" operator="lessThan">
      <formula>0.1</formula>
    </cfRule>
  </conditionalFormatting>
  <conditionalFormatting sqref="G229:G233">
    <cfRule type="cellIs" dxfId="1262" priority="1413" operator="lessThan">
      <formula>0.1</formula>
    </cfRule>
  </conditionalFormatting>
  <conditionalFormatting sqref="L65">
    <cfRule type="cellIs" dxfId="1261" priority="1349" operator="lessThan">
      <formula>0.1</formula>
    </cfRule>
  </conditionalFormatting>
  <conditionalFormatting sqref="H225">
    <cfRule type="cellIs" dxfId="1260" priority="1411" operator="lessThan">
      <formula>0.1</formula>
    </cfRule>
  </conditionalFormatting>
  <conditionalFormatting sqref="H247">
    <cfRule type="cellIs" dxfId="1259" priority="1410" operator="lessThan">
      <formula>0.1</formula>
    </cfRule>
  </conditionalFormatting>
  <conditionalFormatting sqref="H218">
    <cfRule type="cellIs" dxfId="1258" priority="1400" operator="lessThan">
      <formula>0.1</formula>
    </cfRule>
  </conditionalFormatting>
  <conditionalFormatting sqref="H263">
    <cfRule type="cellIs" dxfId="1257" priority="1408" operator="lessThan">
      <formula>0.1</formula>
    </cfRule>
  </conditionalFormatting>
  <conditionalFormatting sqref="H292">
    <cfRule type="cellIs" dxfId="1256" priority="1395" operator="lessThan">
      <formula>0.1</formula>
    </cfRule>
  </conditionalFormatting>
  <conditionalFormatting sqref="H280">
    <cfRule type="cellIs" dxfId="1255" priority="1396" operator="lessThan">
      <formula>0.1</formula>
    </cfRule>
  </conditionalFormatting>
  <conditionalFormatting sqref="L72:L74">
    <cfRule type="cellIs" dxfId="1254" priority="1343" operator="lessThan">
      <formula>0.1</formula>
    </cfRule>
  </conditionalFormatting>
  <conditionalFormatting sqref="G273:G277">
    <cfRule type="cellIs" dxfId="1253" priority="1403" operator="lessThan">
      <formula>0.1</formula>
    </cfRule>
  </conditionalFormatting>
  <conditionalFormatting sqref="H39:H41">
    <cfRule type="cellIs" dxfId="1252" priority="1368" operator="lessThan">
      <formula>0.1</formula>
    </cfRule>
  </conditionalFormatting>
  <conditionalFormatting sqref="L57">
    <cfRule type="cellIs" dxfId="1251" priority="1363" operator="lessThan">
      <formula>0.1</formula>
    </cfRule>
  </conditionalFormatting>
  <conditionalFormatting sqref="H303">
    <cfRule type="cellIs" dxfId="1250" priority="1393" operator="lessThan">
      <formula>0.1</formula>
    </cfRule>
  </conditionalFormatting>
  <conditionalFormatting sqref="H302">
    <cfRule type="cellIs" dxfId="1249" priority="1392" operator="lessThan">
      <formula>0.1</formula>
    </cfRule>
  </conditionalFormatting>
  <conditionalFormatting sqref="H314">
    <cfRule type="cellIs" dxfId="1248" priority="1391" operator="lessThan">
      <formula>0.1</formula>
    </cfRule>
  </conditionalFormatting>
  <conditionalFormatting sqref="G121">
    <cfRule type="cellIs" dxfId="1247" priority="1388" operator="lessThan">
      <formula>0.1</formula>
    </cfRule>
  </conditionalFormatting>
  <conditionalFormatting sqref="L32">
    <cfRule type="cellIs" dxfId="1246" priority="1387" operator="lessThan">
      <formula>0.1</formula>
    </cfRule>
  </conditionalFormatting>
  <conditionalFormatting sqref="L35">
    <cfRule type="cellIs" dxfId="1245" priority="1386" operator="lessThan">
      <formula>0.1</formula>
    </cfRule>
  </conditionalFormatting>
  <conditionalFormatting sqref="P42:P46">
    <cfRule type="cellIs" dxfId="1244" priority="1374" operator="lessThan">
      <formula>0.1</formula>
    </cfRule>
  </conditionalFormatting>
  <conditionalFormatting sqref="G42:G46">
    <cfRule type="cellIs" dxfId="1243" priority="1383" operator="lessThan">
      <formula>0.1</formula>
    </cfRule>
  </conditionalFormatting>
  <conditionalFormatting sqref="T42 T44:T46">
    <cfRule type="cellIs" dxfId="1242" priority="1377" operator="lessThan">
      <formula>0.1</formula>
    </cfRule>
  </conditionalFormatting>
  <conditionalFormatting sqref="L42 L44:L45">
    <cfRule type="cellIs" dxfId="1241" priority="1380" operator="lessThan">
      <formula>0.1</formula>
    </cfRule>
  </conditionalFormatting>
  <conditionalFormatting sqref="T39:T41">
    <cfRule type="cellIs" dxfId="1240" priority="1378" operator="lessThan">
      <formula>0.1</formula>
    </cfRule>
  </conditionalFormatting>
  <conditionalFormatting sqref="G64:G68">
    <cfRule type="cellIs" dxfId="1239" priority="1358" operator="lessThan">
      <formula>0.1</formula>
    </cfRule>
  </conditionalFormatting>
  <conditionalFormatting sqref="L64 L66:L67">
    <cfRule type="cellIs" dxfId="1238" priority="1356" operator="lessThan">
      <formula>0.1</formula>
    </cfRule>
  </conditionalFormatting>
  <conditionalFormatting sqref="P39:P41">
    <cfRule type="cellIs" dxfId="1237" priority="1375" operator="lessThan">
      <formula>0.1</formula>
    </cfRule>
  </conditionalFormatting>
  <conditionalFormatting sqref="L53 L55:L56">
    <cfRule type="cellIs" dxfId="1236" priority="1365" operator="lessThan">
      <formula>0.1</formula>
    </cfRule>
  </conditionalFormatting>
  <conditionalFormatting sqref="L43">
    <cfRule type="cellIs" dxfId="1235" priority="1372" operator="lessThan">
      <formula>0.1</formula>
    </cfRule>
  </conditionalFormatting>
  <conditionalFormatting sqref="L46">
    <cfRule type="cellIs" dxfId="1234" priority="1371" operator="lessThan">
      <formula>0.1</formula>
    </cfRule>
  </conditionalFormatting>
  <conditionalFormatting sqref="L38">
    <cfRule type="cellIs" dxfId="1233" priority="1370" operator="lessThan">
      <formula>0.1</formula>
    </cfRule>
  </conditionalFormatting>
  <conditionalFormatting sqref="L119">
    <cfRule type="cellIs" dxfId="1232" priority="1297" operator="lessThan">
      <formula>0.1</formula>
    </cfRule>
  </conditionalFormatting>
  <conditionalFormatting sqref="H42:H46">
    <cfRule type="cellIs" dxfId="1231" priority="1367" operator="lessThan">
      <formula>0.1</formula>
    </cfRule>
  </conditionalFormatting>
  <conditionalFormatting sqref="H64:H68">
    <cfRule type="cellIs" dxfId="1230" priority="1344" operator="lessThan">
      <formula>0.1</formula>
    </cfRule>
  </conditionalFormatting>
  <conditionalFormatting sqref="L60">
    <cfRule type="cellIs" dxfId="1229" priority="1347" operator="lessThan">
      <formula>0.1</formula>
    </cfRule>
  </conditionalFormatting>
  <conditionalFormatting sqref="L50:L52">
    <cfRule type="cellIs" dxfId="1228" priority="1366" operator="lessThan">
      <formula>0.1</formula>
    </cfRule>
  </conditionalFormatting>
  <conditionalFormatting sqref="L54">
    <cfRule type="cellIs" dxfId="1227" priority="1364" operator="lessThan">
      <formula>0.1</formula>
    </cfRule>
  </conditionalFormatting>
  <conditionalFormatting sqref="L76">
    <cfRule type="cellIs" dxfId="1226" priority="1341" operator="lessThan">
      <formula>0.1</formula>
    </cfRule>
  </conditionalFormatting>
  <conditionalFormatting sqref="L75 L77:L78">
    <cfRule type="cellIs" dxfId="1225" priority="1342" operator="lessThan">
      <formula>0.1</formula>
    </cfRule>
  </conditionalFormatting>
  <conditionalFormatting sqref="L97 L99:L100">
    <cfRule type="cellIs" dxfId="1224" priority="1319" operator="lessThan">
      <formula>0.1</formula>
    </cfRule>
  </conditionalFormatting>
  <conditionalFormatting sqref="L71">
    <cfRule type="cellIs" dxfId="1223" priority="1339" operator="lessThan">
      <formula>0.1</formula>
    </cfRule>
  </conditionalFormatting>
  <conditionalFormatting sqref="L61:L63">
    <cfRule type="cellIs" dxfId="1222" priority="1357" operator="lessThan">
      <formula>0.1</formula>
    </cfRule>
  </conditionalFormatting>
  <conditionalFormatting sqref="L94:L96">
    <cfRule type="cellIs" dxfId="1221" priority="1320" operator="lessThan">
      <formula>0.1</formula>
    </cfRule>
  </conditionalFormatting>
  <conditionalFormatting sqref="L68">
    <cfRule type="cellIs" dxfId="1220" priority="1348" operator="lessThan">
      <formula>0.1</formula>
    </cfRule>
  </conditionalFormatting>
  <conditionalFormatting sqref="H61:H63">
    <cfRule type="cellIs" dxfId="1219" priority="1345" operator="lessThan">
      <formula>0.1</formula>
    </cfRule>
  </conditionalFormatting>
  <conditionalFormatting sqref="L82">
    <cfRule type="cellIs" dxfId="1218" priority="1324" operator="lessThan">
      <formula>0.1</formula>
    </cfRule>
  </conditionalFormatting>
  <conditionalFormatting sqref="L79">
    <cfRule type="cellIs" dxfId="1217" priority="1340" operator="lessThan">
      <formula>0.1</formula>
    </cfRule>
  </conditionalFormatting>
  <conditionalFormatting sqref="G86:G90">
    <cfRule type="cellIs" dxfId="1216" priority="1335" operator="lessThan">
      <formula>0.1</formula>
    </cfRule>
  </conditionalFormatting>
  <conditionalFormatting sqref="L86 L88:L89">
    <cfRule type="cellIs" dxfId="1215" priority="1333" operator="lessThan">
      <formula>0.1</formula>
    </cfRule>
  </conditionalFormatting>
  <conditionalFormatting sqref="H86:H90">
    <cfRule type="cellIs" dxfId="1214" priority="1321" operator="lessThan">
      <formula>0.1</formula>
    </cfRule>
  </conditionalFormatting>
  <conditionalFormatting sqref="L115">
    <cfRule type="cellIs" dxfId="1213" priority="1291" operator="lessThan">
      <formula>0.1</formula>
    </cfRule>
  </conditionalFormatting>
  <conditionalFormatting sqref="L98">
    <cfRule type="cellIs" dxfId="1212" priority="1318" operator="lessThan">
      <formula>0.1</formula>
    </cfRule>
  </conditionalFormatting>
  <conditionalFormatting sqref="H83:H85">
    <cfRule type="cellIs" dxfId="1211" priority="1322" operator="lessThan">
      <formula>0.1</formula>
    </cfRule>
  </conditionalFormatting>
  <conditionalFormatting sqref="L130">
    <cfRule type="cellIs" dxfId="1210" priority="1289" operator="lessThan">
      <formula>0.1</formula>
    </cfRule>
  </conditionalFormatting>
  <conditionalFormatting sqref="L117:L118">
    <cfRule type="cellIs" dxfId="1209" priority="1295" operator="lessThan">
      <formula>0.1</formula>
    </cfRule>
  </conditionalFormatting>
  <conditionalFormatting sqref="L83:L85">
    <cfRule type="cellIs" dxfId="1208" priority="1334" operator="lessThan">
      <formula>0.1</formula>
    </cfRule>
  </conditionalFormatting>
  <conditionalFormatting sqref="L120:L122">
    <cfRule type="cellIs" dxfId="1207" priority="1296" operator="lessThan">
      <formula>0.1</formula>
    </cfRule>
  </conditionalFormatting>
  <conditionalFormatting sqref="L87">
    <cfRule type="cellIs" dxfId="1206" priority="1326" operator="lessThan">
      <formula>0.1</formula>
    </cfRule>
  </conditionalFormatting>
  <conditionalFormatting sqref="L90">
    <cfRule type="cellIs" dxfId="1205" priority="1325" operator="lessThan">
      <formula>0.1</formula>
    </cfRule>
  </conditionalFormatting>
  <conditionalFormatting sqref="T108:T112">
    <cfRule type="cellIs" dxfId="1204" priority="1307" operator="lessThan">
      <formula>0.1</formula>
    </cfRule>
  </conditionalFormatting>
  <conditionalFormatting sqref="L128:L129">
    <cfRule type="cellIs" dxfId="1203" priority="1290" operator="lessThan">
      <formula>0.1</formula>
    </cfRule>
  </conditionalFormatting>
  <conditionalFormatting sqref="L93">
    <cfRule type="cellIs" dxfId="1202" priority="1316" operator="lessThan">
      <formula>0.1</formula>
    </cfRule>
  </conditionalFormatting>
  <conditionalFormatting sqref="L101">
    <cfRule type="cellIs" dxfId="1201" priority="1317" operator="lessThan">
      <formula>0.1</formula>
    </cfRule>
  </conditionalFormatting>
  <conditionalFormatting sqref="G108:G112">
    <cfRule type="cellIs" dxfId="1200" priority="1312" operator="lessThan">
      <formula>0.1</formula>
    </cfRule>
  </conditionalFormatting>
  <conditionalFormatting sqref="L108 L110:L111">
    <cfRule type="cellIs" dxfId="1199" priority="1310" operator="lessThan">
      <formula>0.1</formula>
    </cfRule>
  </conditionalFormatting>
  <conditionalFormatting sqref="H108:H112">
    <cfRule type="cellIs" dxfId="1198" priority="1298" operator="lessThan">
      <formula>0.1</formula>
    </cfRule>
  </conditionalFormatting>
  <conditionalFormatting sqref="L104">
    <cfRule type="cellIs" dxfId="1197" priority="1301" operator="lessThan">
      <formula>0.1</formula>
    </cfRule>
  </conditionalFormatting>
  <conditionalFormatting sqref="L156">
    <cfRule type="cellIs" dxfId="1196" priority="1253" operator="lessThan">
      <formula>0.1</formula>
    </cfRule>
  </conditionalFormatting>
  <conditionalFormatting sqref="L149">
    <cfRule type="cellIs" dxfId="1195" priority="1255" operator="lessThan">
      <formula>0.1</formula>
    </cfRule>
  </conditionalFormatting>
  <conditionalFormatting sqref="G141:G145">
    <cfRule type="cellIs" dxfId="1194" priority="1274" operator="lessThan">
      <formula>0.1</formula>
    </cfRule>
  </conditionalFormatting>
  <conditionalFormatting sqref="L105:L107">
    <cfRule type="cellIs" dxfId="1193" priority="1311" operator="lessThan">
      <formula>0.1</formula>
    </cfRule>
  </conditionalFormatting>
  <conditionalFormatting sqref="T105:T107">
    <cfRule type="cellIs" dxfId="1192" priority="1308" operator="lessThan">
      <formula>0.1</formula>
    </cfRule>
  </conditionalFormatting>
  <conditionalFormatting sqref="L152">
    <cfRule type="cellIs" dxfId="1191" priority="1254" operator="lessThan">
      <formula>0.1</formula>
    </cfRule>
  </conditionalFormatting>
  <conditionalFormatting sqref="L109">
    <cfRule type="cellIs" dxfId="1190" priority="1303" operator="lessThan">
      <formula>0.1</formula>
    </cfRule>
  </conditionalFormatting>
  <conditionalFormatting sqref="L112">
    <cfRule type="cellIs" dxfId="1189" priority="1302" operator="lessThan">
      <formula>0.1</formula>
    </cfRule>
  </conditionalFormatting>
  <conditionalFormatting sqref="H105:H107">
    <cfRule type="cellIs" dxfId="1188" priority="1299" operator="lessThan">
      <formula>0.1</formula>
    </cfRule>
  </conditionalFormatting>
  <conditionalFormatting sqref="H104">
    <cfRule type="cellIs" dxfId="1187" priority="1300" operator="lessThan">
      <formula>0.1</formula>
    </cfRule>
  </conditionalFormatting>
  <conditionalFormatting sqref="L116">
    <cfRule type="cellIs" dxfId="1186" priority="1294" operator="lessThan">
      <formula>0.1</formula>
    </cfRule>
  </conditionalFormatting>
  <conditionalFormatting sqref="L134">
    <cfRule type="cellIs" dxfId="1185" priority="1285" operator="lessThan">
      <formula>0.1</formula>
    </cfRule>
  </conditionalFormatting>
  <conditionalFormatting sqref="L123">
    <cfRule type="cellIs" dxfId="1184" priority="1292" operator="lessThan">
      <formula>0.1</formula>
    </cfRule>
  </conditionalFormatting>
  <conditionalFormatting sqref="L150:L151">
    <cfRule type="cellIs" dxfId="1183" priority="1258" operator="lessThan">
      <formula>0.1</formula>
    </cfRule>
  </conditionalFormatting>
  <conditionalFormatting sqref="L131:L133">
    <cfRule type="cellIs" dxfId="1182" priority="1287" operator="lessThan">
      <formula>0.1</formula>
    </cfRule>
  </conditionalFormatting>
  <conditionalFormatting sqref="L127">
    <cfRule type="cellIs" dxfId="1181" priority="1288" operator="lessThan">
      <formula>0.1</formula>
    </cfRule>
  </conditionalFormatting>
  <conditionalFormatting sqref="L153:L154">
    <cfRule type="cellIs" dxfId="1180" priority="1256" operator="lessThan">
      <formula>0.1</formula>
    </cfRule>
  </conditionalFormatting>
  <conditionalFormatting sqref="L155">
    <cfRule type="cellIs" dxfId="1179" priority="1257" operator="lessThan">
      <formula>0.1</formula>
    </cfRule>
  </conditionalFormatting>
  <conditionalFormatting sqref="H141:H145">
    <cfRule type="cellIs" dxfId="1178" priority="1260" operator="lessThan">
      <formula>0.1</formula>
    </cfRule>
  </conditionalFormatting>
  <conditionalFormatting sqref="L216:L222">
    <cfRule type="cellIs" dxfId="1177" priority="1243" operator="lessThan">
      <formula>0.1</formula>
    </cfRule>
  </conditionalFormatting>
  <conditionalFormatting sqref="L126">
    <cfRule type="cellIs" dxfId="1176" priority="1284" operator="lessThan">
      <formula>0.1</formula>
    </cfRule>
  </conditionalFormatting>
  <conditionalFormatting sqref="L137">
    <cfRule type="cellIs" dxfId="1175" priority="1259" operator="lessThan">
      <formula>0.1</formula>
    </cfRule>
  </conditionalFormatting>
  <conditionalFormatting sqref="H138:H140">
    <cfRule type="cellIs" dxfId="1174" priority="1261" operator="lessThan">
      <formula>0.1</formula>
    </cfRule>
  </conditionalFormatting>
  <conditionalFormatting sqref="H137">
    <cfRule type="cellIs" dxfId="1173" priority="1262" operator="lessThan">
      <formula>0.1</formula>
    </cfRule>
  </conditionalFormatting>
  <conditionalFormatting sqref="L145">
    <cfRule type="cellIs" dxfId="1172" priority="1264" operator="lessThan">
      <formula>0.1</formula>
    </cfRule>
  </conditionalFormatting>
  <conditionalFormatting sqref="L142:L144">
    <cfRule type="cellIs" dxfId="1171" priority="1265" operator="lessThan">
      <formula>0.1</formula>
    </cfRule>
  </conditionalFormatting>
  <conditionalFormatting sqref="L138">
    <cfRule type="cellIs" dxfId="1170" priority="1266" operator="lessThan">
      <formula>0.1</formula>
    </cfRule>
  </conditionalFormatting>
  <conditionalFormatting sqref="L141">
    <cfRule type="cellIs" dxfId="1169" priority="1267" operator="lessThan">
      <formula>0.1</formula>
    </cfRule>
  </conditionalFormatting>
  <conditionalFormatting sqref="L139:L140">
    <cfRule type="cellIs" dxfId="1168" priority="1268" operator="lessThan">
      <formula>0.1</formula>
    </cfRule>
  </conditionalFormatting>
  <conditionalFormatting sqref="L159">
    <cfRule type="cellIs" dxfId="1167" priority="1248" operator="lessThan">
      <formula>0.1</formula>
    </cfRule>
  </conditionalFormatting>
  <conditionalFormatting sqref="L161:L167">
    <cfRule type="cellIs" dxfId="1166" priority="1249" operator="lessThan">
      <formula>0.1</formula>
    </cfRule>
  </conditionalFormatting>
  <conditionalFormatting sqref="L160">
    <cfRule type="cellIs" dxfId="1165" priority="1250" operator="lessThan">
      <formula>0.1</formula>
    </cfRule>
  </conditionalFormatting>
  <conditionalFormatting sqref="L148">
    <cfRule type="cellIs" dxfId="1164" priority="1251" operator="lessThan">
      <formula>0.1</formula>
    </cfRule>
  </conditionalFormatting>
  <conditionalFormatting sqref="L183:L189">
    <cfRule type="cellIs" dxfId="1163" priority="1222" operator="lessThan">
      <formula>0.1</formula>
    </cfRule>
  </conditionalFormatting>
  <conditionalFormatting sqref="L170">
    <cfRule type="cellIs" dxfId="1162" priority="1245" operator="lessThan">
      <formula>0.1</formula>
    </cfRule>
  </conditionalFormatting>
  <conditionalFormatting sqref="L193">
    <cfRule type="cellIs" dxfId="1161" priority="1202" operator="lessThan">
      <formula>0.1</formula>
    </cfRule>
  </conditionalFormatting>
  <conditionalFormatting sqref="L181">
    <cfRule type="cellIs" dxfId="1160" priority="1221" operator="lessThan">
      <formula>0.1</formula>
    </cfRule>
  </conditionalFormatting>
  <conditionalFormatting sqref="L214">
    <cfRule type="cellIs" dxfId="1159" priority="1242" operator="lessThan">
      <formula>0.1</formula>
    </cfRule>
  </conditionalFormatting>
  <conditionalFormatting sqref="H183:H184">
    <cfRule type="cellIs" dxfId="1158" priority="1230" operator="lessThan">
      <formula>0.1</formula>
    </cfRule>
  </conditionalFormatting>
  <conditionalFormatting sqref="H186:H187">
    <cfRule type="cellIs" dxfId="1157" priority="1229" operator="lessThan">
      <formula>0.1</formula>
    </cfRule>
  </conditionalFormatting>
  <conditionalFormatting sqref="H182">
    <cfRule type="cellIs" dxfId="1156" priority="1228" operator="lessThan">
      <formula>0.1</formula>
    </cfRule>
  </conditionalFormatting>
  <conditionalFormatting sqref="H188:H189">
    <cfRule type="cellIs" dxfId="1155" priority="1227" operator="lessThan">
      <formula>0.1</formula>
    </cfRule>
  </conditionalFormatting>
  <conditionalFormatting sqref="L171">
    <cfRule type="cellIs" dxfId="1154" priority="1247" operator="lessThan">
      <formula>0.1</formula>
    </cfRule>
  </conditionalFormatting>
  <conditionalFormatting sqref="L172:L178">
    <cfRule type="cellIs" dxfId="1153" priority="1246" operator="lessThan">
      <formula>0.1</formula>
    </cfRule>
  </conditionalFormatting>
  <conditionalFormatting sqref="H185">
    <cfRule type="cellIs" dxfId="1152" priority="1224" operator="lessThan">
      <formula>0.1</formula>
    </cfRule>
  </conditionalFormatting>
  <conditionalFormatting sqref="L215">
    <cfRule type="cellIs" dxfId="1151" priority="1244" operator="lessThan">
      <formula>0.1</formula>
    </cfRule>
  </conditionalFormatting>
  <conditionalFormatting sqref="L194:L200">
    <cfRule type="cellIs" dxfId="1150" priority="1201" operator="lessThan">
      <formula>0.1</formula>
    </cfRule>
  </conditionalFormatting>
  <conditionalFormatting sqref="H199:H200">
    <cfRule type="cellIs" dxfId="1149" priority="1206" operator="lessThan">
      <formula>0.1</formula>
    </cfRule>
  </conditionalFormatting>
  <conditionalFormatting sqref="H193">
    <cfRule type="cellIs" dxfId="1148" priority="1207" operator="lessThan">
      <formula>0.1</formula>
    </cfRule>
  </conditionalFormatting>
  <conditionalFormatting sqref="H197:H198">
    <cfRule type="cellIs" dxfId="1147" priority="1208" operator="lessThan">
      <formula>0.1</formula>
    </cfRule>
  </conditionalFormatting>
  <conditionalFormatting sqref="H194:H195">
    <cfRule type="cellIs" dxfId="1146" priority="1209" operator="lessThan">
      <formula>0.1</formula>
    </cfRule>
  </conditionalFormatting>
  <conditionalFormatting sqref="L182">
    <cfRule type="cellIs" dxfId="1145" priority="1223" operator="lessThan">
      <formula>0.1</formula>
    </cfRule>
  </conditionalFormatting>
  <conditionalFormatting sqref="H181">
    <cfRule type="cellIs" dxfId="1144" priority="1225" operator="lessThan">
      <formula>0.1</formula>
    </cfRule>
  </conditionalFormatting>
  <conditionalFormatting sqref="G185:G189">
    <cfRule type="cellIs" dxfId="1143" priority="1226" operator="lessThan">
      <formula>0.1</formula>
    </cfRule>
  </conditionalFormatting>
  <conditionalFormatting sqref="H196">
    <cfRule type="cellIs" dxfId="1142" priority="1203" operator="lessThan">
      <formula>0.1</formula>
    </cfRule>
  </conditionalFormatting>
  <conditionalFormatting sqref="L205:L211">
    <cfRule type="cellIs" dxfId="1141" priority="1180" operator="lessThan">
      <formula>0.1</formula>
    </cfRule>
  </conditionalFormatting>
  <conditionalFormatting sqref="L192">
    <cfRule type="cellIs" dxfId="1140" priority="1200" operator="lessThan">
      <formula>0.1</formula>
    </cfRule>
  </conditionalFormatting>
  <conditionalFormatting sqref="L227:L233">
    <cfRule type="cellIs" dxfId="1139" priority="1177" operator="lessThan">
      <formula>0.1</formula>
    </cfRule>
  </conditionalFormatting>
  <conditionalFormatting sqref="H205:H206">
    <cfRule type="cellIs" dxfId="1138" priority="1188" operator="lessThan">
      <formula>0.1</formula>
    </cfRule>
  </conditionalFormatting>
  <conditionalFormatting sqref="H208:H209">
    <cfRule type="cellIs" dxfId="1137" priority="1187" operator="lessThan">
      <formula>0.1</formula>
    </cfRule>
  </conditionalFormatting>
  <conditionalFormatting sqref="H204">
    <cfRule type="cellIs" dxfId="1136" priority="1186" operator="lessThan">
      <formula>0.1</formula>
    </cfRule>
  </conditionalFormatting>
  <conditionalFormatting sqref="H210:H211">
    <cfRule type="cellIs" dxfId="1135" priority="1185" operator="lessThan">
      <formula>0.1</formula>
    </cfRule>
  </conditionalFormatting>
  <conditionalFormatting sqref="H207">
    <cfRule type="cellIs" dxfId="1134" priority="1182" operator="lessThan">
      <formula>0.1</formula>
    </cfRule>
  </conditionalFormatting>
  <conditionalFormatting sqref="L203">
    <cfRule type="cellIs" dxfId="1133" priority="1179" operator="lessThan">
      <formula>0.1</formula>
    </cfRule>
  </conditionalFormatting>
  <conditionalFormatting sqref="H192">
    <cfRule type="cellIs" dxfId="1132" priority="1204" operator="lessThan">
      <formula>0.1</formula>
    </cfRule>
  </conditionalFormatting>
  <conditionalFormatting sqref="G196:G200">
    <cfRule type="cellIs" dxfId="1131" priority="1205" operator="lessThan">
      <formula>0.1</formula>
    </cfRule>
  </conditionalFormatting>
  <conditionalFormatting sqref="L248">
    <cfRule type="cellIs" dxfId="1130" priority="1151" operator="lessThan">
      <formula>0.1</formula>
    </cfRule>
  </conditionalFormatting>
  <conditionalFormatting sqref="L236">
    <cfRule type="cellIs" dxfId="1129" priority="1156" operator="lessThan">
      <formula>0.1</formula>
    </cfRule>
  </conditionalFormatting>
  <conditionalFormatting sqref="H203">
    <cfRule type="cellIs" dxfId="1128" priority="1183" operator="lessThan">
      <formula>0.1</formula>
    </cfRule>
  </conditionalFormatting>
  <conditionalFormatting sqref="G207:G211">
    <cfRule type="cellIs" dxfId="1127" priority="1184" operator="lessThan">
      <formula>0.1</formula>
    </cfRule>
  </conditionalFormatting>
  <conditionalFormatting sqref="H236">
    <cfRule type="cellIs" dxfId="1126" priority="1159" operator="lessThan">
      <formula>0.1</formula>
    </cfRule>
  </conditionalFormatting>
  <conditionalFormatting sqref="G240:G244">
    <cfRule type="cellIs" dxfId="1125" priority="1160" operator="lessThan">
      <formula>0.1</formula>
    </cfRule>
  </conditionalFormatting>
  <conditionalFormatting sqref="L251">
    <cfRule type="cellIs" dxfId="1124" priority="1153" operator="lessThan">
      <formula>0.1</formula>
    </cfRule>
  </conditionalFormatting>
  <conditionalFormatting sqref="L225">
    <cfRule type="cellIs" dxfId="1123" priority="1176" operator="lessThan">
      <formula>0.1</formula>
    </cfRule>
  </conditionalFormatting>
  <conditionalFormatting sqref="L226">
    <cfRule type="cellIs" dxfId="1122" priority="1178" operator="lessThan">
      <formula>0.1</formula>
    </cfRule>
  </conditionalFormatting>
  <conditionalFormatting sqref="L204">
    <cfRule type="cellIs" dxfId="1121" priority="1181" operator="lessThan">
      <formula>0.1</formula>
    </cfRule>
  </conditionalFormatting>
  <conditionalFormatting sqref="L238:L244">
    <cfRule type="cellIs" dxfId="1120" priority="1157" operator="lessThan">
      <formula>0.1</formula>
    </cfRule>
  </conditionalFormatting>
  <conditionalFormatting sqref="L237">
    <cfRule type="cellIs" dxfId="1119" priority="1158" operator="lessThan">
      <formula>0.1</formula>
    </cfRule>
  </conditionalFormatting>
  <conditionalFormatting sqref="L282:L288">
    <cfRule type="cellIs" dxfId="1118" priority="1138" operator="lessThan">
      <formula>0.1</formula>
    </cfRule>
  </conditionalFormatting>
  <conditionalFormatting sqref="L247">
    <cfRule type="cellIs" dxfId="1117" priority="1150" operator="lessThan">
      <formula>0.1</formula>
    </cfRule>
  </conditionalFormatting>
  <conditionalFormatting sqref="L258">
    <cfRule type="cellIs" dxfId="1116" priority="1143" operator="lessThan">
      <formula>0.1</formula>
    </cfRule>
  </conditionalFormatting>
  <conditionalFormatting sqref="H237">
    <cfRule type="cellIs" dxfId="1115" priority="1162" operator="lessThan">
      <formula>0.1</formula>
    </cfRule>
  </conditionalFormatting>
  <conditionalFormatting sqref="H241:H242">
    <cfRule type="cellIs" dxfId="1114" priority="1163" operator="lessThan">
      <formula>0.1</formula>
    </cfRule>
  </conditionalFormatting>
  <conditionalFormatting sqref="H240">
    <cfRule type="cellIs" dxfId="1113" priority="1164" operator="lessThan">
      <formula>0.1</formula>
    </cfRule>
  </conditionalFormatting>
  <conditionalFormatting sqref="H243:H244">
    <cfRule type="cellIs" dxfId="1112" priority="1165" operator="lessThan">
      <formula>0.1</formula>
    </cfRule>
  </conditionalFormatting>
  <conditionalFormatting sqref="H238:H239">
    <cfRule type="cellIs" dxfId="1111" priority="1166" operator="lessThan">
      <formula>0.1</formula>
    </cfRule>
  </conditionalFormatting>
  <conditionalFormatting sqref="L260:L261">
    <cfRule type="cellIs" dxfId="1110" priority="1149" operator="lessThan">
      <formula>0.1</formula>
    </cfRule>
  </conditionalFormatting>
  <conditionalFormatting sqref="L252:L253">
    <cfRule type="cellIs" dxfId="1109" priority="1152" operator="lessThan">
      <formula>0.1</formula>
    </cfRule>
  </conditionalFormatting>
  <conditionalFormatting sqref="L254:L255">
    <cfRule type="cellIs" dxfId="1108" priority="1154" operator="lessThan">
      <formula>0.1</formula>
    </cfRule>
  </conditionalFormatting>
  <conditionalFormatting sqref="L249:L250">
    <cfRule type="cellIs" dxfId="1107" priority="1155" operator="lessThan">
      <formula>0.1</formula>
    </cfRule>
  </conditionalFormatting>
  <conditionalFormatting sqref="L262">
    <cfRule type="cellIs" dxfId="1106" priority="1147" operator="lessThan">
      <formula>0.1</formula>
    </cfRule>
  </conditionalFormatting>
  <conditionalFormatting sqref="L259">
    <cfRule type="cellIs" dxfId="1105" priority="1145" operator="lessThan">
      <formula>0.1</formula>
    </cfRule>
  </conditionalFormatting>
  <conditionalFormatting sqref="L263:L264">
    <cfRule type="cellIs" dxfId="1104" priority="1146" operator="lessThan">
      <formula>0.1</formula>
    </cfRule>
  </conditionalFormatting>
  <conditionalFormatting sqref="L313">
    <cfRule type="cellIs" dxfId="1103" priority="1127" operator="lessThan">
      <formula>0.1</formula>
    </cfRule>
  </conditionalFormatting>
  <conditionalFormatting sqref="L315:L321">
    <cfRule type="cellIs" dxfId="1102" priority="1128" operator="lessThan">
      <formula>0.1</formula>
    </cfRule>
  </conditionalFormatting>
  <conditionalFormatting sqref="L280">
    <cfRule type="cellIs" dxfId="1101" priority="1136" operator="lessThan">
      <formula>0.1</formula>
    </cfRule>
  </conditionalFormatting>
  <conditionalFormatting sqref="L269">
    <cfRule type="cellIs" dxfId="1100" priority="1140" operator="lessThan">
      <formula>0.1</formula>
    </cfRule>
  </conditionalFormatting>
  <conditionalFormatting sqref="L265:L266">
    <cfRule type="cellIs" dxfId="1099" priority="1148" operator="lessThan">
      <formula>0.1</formula>
    </cfRule>
  </conditionalFormatting>
  <conditionalFormatting sqref="L270">
    <cfRule type="cellIs" dxfId="1098" priority="1142" operator="lessThan">
      <formula>0.1</formula>
    </cfRule>
  </conditionalFormatting>
  <conditionalFormatting sqref="L271:L277">
    <cfRule type="cellIs" dxfId="1097" priority="1141" operator="lessThan">
      <formula>0.1</formula>
    </cfRule>
  </conditionalFormatting>
  <conditionalFormatting sqref="L281">
    <cfRule type="cellIs" dxfId="1096" priority="1139" operator="lessThan">
      <formula>0.1</formula>
    </cfRule>
  </conditionalFormatting>
  <conditionalFormatting sqref="P27">
    <cfRule type="cellIs" dxfId="1095" priority="1062" operator="lessThan">
      <formula>0.1</formula>
    </cfRule>
  </conditionalFormatting>
  <conditionalFormatting sqref="L293:L299">
    <cfRule type="cellIs" dxfId="1094" priority="1134" operator="lessThan">
      <formula>0.1</formula>
    </cfRule>
  </conditionalFormatting>
  <conditionalFormatting sqref="L291">
    <cfRule type="cellIs" dxfId="1093" priority="1133" operator="lessThan">
      <formula>0.1</formula>
    </cfRule>
  </conditionalFormatting>
  <conditionalFormatting sqref="L292">
    <cfRule type="cellIs" dxfId="1092" priority="1135" operator="lessThan">
      <formula>0.1</formula>
    </cfRule>
  </conditionalFormatting>
  <conditionalFormatting sqref="L304:L310">
    <cfRule type="cellIs" dxfId="1091" priority="1131" operator="lessThan">
      <formula>0.1</formula>
    </cfRule>
  </conditionalFormatting>
  <conditionalFormatting sqref="L302">
    <cfRule type="cellIs" dxfId="1090" priority="1130" operator="lessThan">
      <formula>0.1</formula>
    </cfRule>
  </conditionalFormatting>
  <conditionalFormatting sqref="L303">
    <cfRule type="cellIs" dxfId="1089" priority="1132" operator="lessThan">
      <formula>0.1</formula>
    </cfRule>
  </conditionalFormatting>
  <conditionalFormatting sqref="L314">
    <cfRule type="cellIs" dxfId="1088" priority="1129" operator="lessThan">
      <formula>0.1</formula>
    </cfRule>
  </conditionalFormatting>
  <conditionalFormatting sqref="P93">
    <cfRule type="cellIs" dxfId="1087" priority="1046" operator="lessThan">
      <formula>0.1</formula>
    </cfRule>
  </conditionalFormatting>
  <conditionalFormatting sqref="P97:P101">
    <cfRule type="cellIs" dxfId="1086" priority="1047" operator="lessThan">
      <formula>0.1</formula>
    </cfRule>
  </conditionalFormatting>
  <conditionalFormatting sqref="P148">
    <cfRule type="cellIs" dxfId="1085" priority="1031" operator="lessThan">
      <formula>0.1</formula>
    </cfRule>
  </conditionalFormatting>
  <conditionalFormatting sqref="P64:P68">
    <cfRule type="cellIs" dxfId="1084" priority="1056" operator="lessThan">
      <formula>0.1</formula>
    </cfRule>
  </conditionalFormatting>
  <conditionalFormatting sqref="P71">
    <cfRule type="cellIs" dxfId="1083" priority="1055" operator="lessThan">
      <formula>0.1</formula>
    </cfRule>
  </conditionalFormatting>
  <conditionalFormatting sqref="P152:P156">
    <cfRule type="cellIs" dxfId="1082" priority="1032" operator="lessThan">
      <formula>0.1</formula>
    </cfRule>
  </conditionalFormatting>
  <conditionalFormatting sqref="P75:P79">
    <cfRule type="cellIs" dxfId="1081" priority="1053" operator="lessThan">
      <formula>0.1</formula>
    </cfRule>
  </conditionalFormatting>
  <conditionalFormatting sqref="P72:P74">
    <cfRule type="cellIs" dxfId="1080" priority="1054" operator="lessThan">
      <formula>0.1</formula>
    </cfRule>
  </conditionalFormatting>
  <conditionalFormatting sqref="P258">
    <cfRule type="cellIs" dxfId="1079" priority="998" operator="lessThan">
      <formula>0.1</formula>
    </cfRule>
  </conditionalFormatting>
  <conditionalFormatting sqref="P82">
    <cfRule type="cellIs" dxfId="1078" priority="1052" operator="lessThan">
      <formula>0.1</formula>
    </cfRule>
  </conditionalFormatting>
  <conditionalFormatting sqref="P141:P145">
    <cfRule type="cellIs" dxfId="1077" priority="1034" operator="lessThan">
      <formula>0.1</formula>
    </cfRule>
  </conditionalFormatting>
  <conditionalFormatting sqref="P53:P57">
    <cfRule type="cellIs" dxfId="1076" priority="1059" operator="lessThan">
      <formula>0.1</formula>
    </cfRule>
  </conditionalFormatting>
  <conditionalFormatting sqref="P50:P52">
    <cfRule type="cellIs" dxfId="1075" priority="1060" operator="lessThan">
      <formula>0.1</formula>
    </cfRule>
  </conditionalFormatting>
  <conditionalFormatting sqref="P116:P118">
    <cfRule type="cellIs" dxfId="1074" priority="1041" operator="lessThan">
      <formula>0.1</formula>
    </cfRule>
  </conditionalFormatting>
  <conditionalFormatting sqref="P60">
    <cfRule type="cellIs" dxfId="1073" priority="1058" operator="lessThan">
      <formula>0.1</formula>
    </cfRule>
  </conditionalFormatting>
  <conditionalFormatting sqref="P61:P63">
    <cfRule type="cellIs" dxfId="1072" priority="1057" operator="lessThan">
      <formula>0.1</formula>
    </cfRule>
  </conditionalFormatting>
  <conditionalFormatting sqref="P130:P134">
    <cfRule type="cellIs" dxfId="1071" priority="1038" operator="lessThan">
      <formula>0.1</formula>
    </cfRule>
  </conditionalFormatting>
  <conditionalFormatting sqref="P119:P123">
    <cfRule type="cellIs" dxfId="1070" priority="1040" operator="lessThan">
      <formula>0.1</formula>
    </cfRule>
  </conditionalFormatting>
  <conditionalFormatting sqref="P127:P129">
    <cfRule type="cellIs" dxfId="1069" priority="1039" operator="lessThan">
      <formula>0.1</formula>
    </cfRule>
  </conditionalFormatting>
  <conditionalFormatting sqref="P86:P90">
    <cfRule type="cellIs" dxfId="1068" priority="1050" operator="lessThan">
      <formula>0.1</formula>
    </cfRule>
  </conditionalFormatting>
  <conditionalFormatting sqref="P126">
    <cfRule type="cellIs" dxfId="1067" priority="1037" operator="lessThan">
      <formula>0.1</formula>
    </cfRule>
  </conditionalFormatting>
  <conditionalFormatting sqref="P83:P85">
    <cfRule type="cellIs" dxfId="1066" priority="1051" operator="lessThan">
      <formula>0.1</formula>
    </cfRule>
  </conditionalFormatting>
  <conditionalFormatting sqref="P259">
    <cfRule type="cellIs" dxfId="1065" priority="999" operator="lessThan">
      <formula>0.1</formula>
    </cfRule>
  </conditionalFormatting>
  <conditionalFormatting sqref="P94:P96">
    <cfRule type="cellIs" dxfId="1064" priority="1048" operator="lessThan">
      <formula>0.1</formula>
    </cfRule>
  </conditionalFormatting>
  <conditionalFormatting sqref="P149:P151">
    <cfRule type="cellIs" dxfId="1063" priority="1033" operator="lessThan">
      <formula>0.1</formula>
    </cfRule>
  </conditionalFormatting>
  <conditionalFormatting sqref="P104">
    <cfRule type="cellIs" dxfId="1062" priority="1045" operator="lessThan">
      <formula>0.1</formula>
    </cfRule>
  </conditionalFormatting>
  <conditionalFormatting sqref="P108:P112">
    <cfRule type="cellIs" dxfId="1061" priority="1043" operator="lessThan">
      <formula>0.1</formula>
    </cfRule>
  </conditionalFormatting>
  <conditionalFormatting sqref="P105:P107">
    <cfRule type="cellIs" dxfId="1060" priority="1044" operator="lessThan">
      <formula>0.1</formula>
    </cfRule>
  </conditionalFormatting>
  <conditionalFormatting sqref="P115">
    <cfRule type="cellIs" dxfId="1059" priority="1042" operator="lessThan">
      <formula>0.1</formula>
    </cfRule>
  </conditionalFormatting>
  <conditionalFormatting sqref="P240:P244">
    <cfRule type="cellIs" dxfId="1058" priority="1007" operator="lessThan">
      <formula>0.1</formula>
    </cfRule>
  </conditionalFormatting>
  <conditionalFormatting sqref="P237:P239">
    <cfRule type="cellIs" dxfId="1057" priority="1008" operator="lessThan">
      <formula>0.1</formula>
    </cfRule>
  </conditionalFormatting>
  <conditionalFormatting sqref="P251:P255">
    <cfRule type="cellIs" dxfId="1056" priority="1004" operator="lessThan">
      <formula>0.1</formula>
    </cfRule>
  </conditionalFormatting>
  <conditionalFormatting sqref="P248:P250">
    <cfRule type="cellIs" dxfId="1055" priority="1005" operator="lessThan">
      <formula>0.1</formula>
    </cfRule>
  </conditionalFormatting>
  <conditionalFormatting sqref="P247">
    <cfRule type="cellIs" dxfId="1054" priority="1006" operator="lessThan">
      <formula>0.1</formula>
    </cfRule>
  </conditionalFormatting>
  <conditionalFormatting sqref="P137">
    <cfRule type="cellIs" dxfId="1053" priority="1036" operator="lessThan">
      <formula>0.1</formula>
    </cfRule>
  </conditionalFormatting>
  <conditionalFormatting sqref="P262">
    <cfRule type="cellIs" dxfId="1052" priority="1001" operator="lessThan">
      <formula>0.1</formula>
    </cfRule>
  </conditionalFormatting>
  <conditionalFormatting sqref="P138:P140">
    <cfRule type="cellIs" dxfId="1051" priority="1035" operator="lessThan">
      <formula>0.1</formula>
    </cfRule>
  </conditionalFormatting>
  <conditionalFormatting sqref="P263:P264">
    <cfRule type="cellIs" dxfId="1050" priority="1000" operator="lessThan">
      <formula>0.1</formula>
    </cfRule>
  </conditionalFormatting>
  <conditionalFormatting sqref="P163:P167">
    <cfRule type="cellIs" dxfId="1049" priority="1028" operator="lessThan">
      <formula>0.1</formula>
    </cfRule>
  </conditionalFormatting>
  <conditionalFormatting sqref="P159">
    <cfRule type="cellIs" dxfId="1048" priority="1030" operator="lessThan">
      <formula>0.1</formula>
    </cfRule>
  </conditionalFormatting>
  <conditionalFormatting sqref="P160:P162">
    <cfRule type="cellIs" dxfId="1047" priority="1029" operator="lessThan">
      <formula>0.1</formula>
    </cfRule>
  </conditionalFormatting>
  <conditionalFormatting sqref="P174:P178">
    <cfRule type="cellIs" dxfId="1046" priority="1025" operator="lessThan">
      <formula>0.1</formula>
    </cfRule>
  </conditionalFormatting>
  <conditionalFormatting sqref="P170">
    <cfRule type="cellIs" dxfId="1045" priority="1027" operator="lessThan">
      <formula>0.1</formula>
    </cfRule>
  </conditionalFormatting>
  <conditionalFormatting sqref="P171:P173">
    <cfRule type="cellIs" dxfId="1044" priority="1026" operator="lessThan">
      <formula>0.1</formula>
    </cfRule>
  </conditionalFormatting>
  <conditionalFormatting sqref="P185:P189">
    <cfRule type="cellIs" dxfId="1043" priority="1022" operator="lessThan">
      <formula>0.1</formula>
    </cfRule>
  </conditionalFormatting>
  <conditionalFormatting sqref="P181">
    <cfRule type="cellIs" dxfId="1042" priority="1024" operator="lessThan">
      <formula>0.1</formula>
    </cfRule>
  </conditionalFormatting>
  <conditionalFormatting sqref="P182:P184">
    <cfRule type="cellIs" dxfId="1041" priority="1023" operator="lessThan">
      <formula>0.1</formula>
    </cfRule>
  </conditionalFormatting>
  <conditionalFormatting sqref="P196:P200">
    <cfRule type="cellIs" dxfId="1040" priority="1019" operator="lessThan">
      <formula>0.1</formula>
    </cfRule>
  </conditionalFormatting>
  <conditionalFormatting sqref="P192">
    <cfRule type="cellIs" dxfId="1039" priority="1021" operator="lessThan">
      <formula>0.1</formula>
    </cfRule>
  </conditionalFormatting>
  <conditionalFormatting sqref="P193:P195">
    <cfRule type="cellIs" dxfId="1038" priority="1020" operator="lessThan">
      <formula>0.1</formula>
    </cfRule>
  </conditionalFormatting>
  <conditionalFormatting sqref="P207:P211">
    <cfRule type="cellIs" dxfId="1037" priority="1016" operator="lessThan">
      <formula>0.1</formula>
    </cfRule>
  </conditionalFormatting>
  <conditionalFormatting sqref="P203">
    <cfRule type="cellIs" dxfId="1036" priority="1018" operator="lessThan">
      <formula>0.1</formula>
    </cfRule>
  </conditionalFormatting>
  <conditionalFormatting sqref="P204:P206">
    <cfRule type="cellIs" dxfId="1035" priority="1017" operator="lessThan">
      <formula>0.1</formula>
    </cfRule>
  </conditionalFormatting>
  <conditionalFormatting sqref="P218:P222">
    <cfRule type="cellIs" dxfId="1034" priority="1013" operator="lessThan">
      <formula>0.1</formula>
    </cfRule>
  </conditionalFormatting>
  <conditionalFormatting sqref="P214">
    <cfRule type="cellIs" dxfId="1033" priority="1015" operator="lessThan">
      <formula>0.1</formula>
    </cfRule>
  </conditionalFormatting>
  <conditionalFormatting sqref="P215:P217">
    <cfRule type="cellIs" dxfId="1032" priority="1014" operator="lessThan">
      <formula>0.1</formula>
    </cfRule>
  </conditionalFormatting>
  <conditionalFormatting sqref="P229:P233">
    <cfRule type="cellIs" dxfId="1031" priority="1010" operator="lessThan">
      <formula>0.1</formula>
    </cfRule>
  </conditionalFormatting>
  <conditionalFormatting sqref="P225">
    <cfRule type="cellIs" dxfId="1030" priority="1012" operator="lessThan">
      <formula>0.1</formula>
    </cfRule>
  </conditionalFormatting>
  <conditionalFormatting sqref="P226:P228">
    <cfRule type="cellIs" dxfId="1029" priority="1011" operator="lessThan">
      <formula>0.1</formula>
    </cfRule>
  </conditionalFormatting>
  <conditionalFormatting sqref="P236">
    <cfRule type="cellIs" dxfId="1028" priority="1009" operator="lessThan">
      <formula>0.1</formula>
    </cfRule>
  </conditionalFormatting>
  <conditionalFormatting sqref="P260:P261">
    <cfRule type="cellIs" dxfId="1027" priority="1003" operator="lessThan">
      <formula>0.1</formula>
    </cfRule>
  </conditionalFormatting>
  <conditionalFormatting sqref="P265:P266">
    <cfRule type="cellIs" dxfId="1026" priority="1002" operator="lessThan">
      <formula>0.1</formula>
    </cfRule>
  </conditionalFormatting>
  <conditionalFormatting sqref="P273:P277">
    <cfRule type="cellIs" dxfId="1025" priority="995" operator="lessThan">
      <formula>0.1</formula>
    </cfRule>
  </conditionalFormatting>
  <conditionalFormatting sqref="P270:P272">
    <cfRule type="cellIs" dxfId="1024" priority="996" operator="lessThan">
      <formula>0.1</formula>
    </cfRule>
  </conditionalFormatting>
  <conditionalFormatting sqref="P284:P288">
    <cfRule type="cellIs" dxfId="1023" priority="992" operator="lessThan">
      <formula>0.1</formula>
    </cfRule>
  </conditionalFormatting>
  <conditionalFormatting sqref="P281:P283">
    <cfRule type="cellIs" dxfId="1022" priority="993" operator="lessThan">
      <formula>0.1</formula>
    </cfRule>
  </conditionalFormatting>
  <conditionalFormatting sqref="P295:P299">
    <cfRule type="cellIs" dxfId="1021" priority="989" operator="lessThan">
      <formula>0.1</formula>
    </cfRule>
  </conditionalFormatting>
  <conditionalFormatting sqref="P292:P294">
    <cfRule type="cellIs" dxfId="1020" priority="990" operator="lessThan">
      <formula>0.1</formula>
    </cfRule>
  </conditionalFormatting>
  <conditionalFormatting sqref="P306:P310">
    <cfRule type="cellIs" dxfId="1019" priority="986" operator="lessThan">
      <formula>0.1</formula>
    </cfRule>
  </conditionalFormatting>
  <conditionalFormatting sqref="P303:P305">
    <cfRule type="cellIs" dxfId="1018" priority="987" operator="lessThan">
      <formula>0.1</formula>
    </cfRule>
  </conditionalFormatting>
  <conditionalFormatting sqref="P317:P321">
    <cfRule type="cellIs" dxfId="1017" priority="983" operator="lessThan">
      <formula>0.1</formula>
    </cfRule>
  </conditionalFormatting>
  <conditionalFormatting sqref="P314:P316">
    <cfRule type="cellIs" dxfId="1016" priority="984" operator="lessThan">
      <formula>0.1</formula>
    </cfRule>
  </conditionalFormatting>
  <conditionalFormatting sqref="T35">
    <cfRule type="cellIs" dxfId="1015" priority="952" operator="lessThan">
      <formula>0.1</formula>
    </cfRule>
  </conditionalFormatting>
  <conditionalFormatting sqref="T27">
    <cfRule type="cellIs" dxfId="1014" priority="951" operator="lessThan">
      <formula>0.1</formula>
    </cfRule>
  </conditionalFormatting>
  <conditionalFormatting sqref="T43">
    <cfRule type="cellIs" dxfId="1013" priority="950" operator="lessThan">
      <formula>0.1</formula>
    </cfRule>
  </conditionalFormatting>
  <conditionalFormatting sqref="T38">
    <cfRule type="cellIs" dxfId="1012" priority="949" operator="lessThan">
      <formula>0.1</formula>
    </cfRule>
  </conditionalFormatting>
  <conditionalFormatting sqref="T50:T52">
    <cfRule type="cellIs" dxfId="1011" priority="948" operator="lessThan">
      <formula>0.1</formula>
    </cfRule>
  </conditionalFormatting>
  <conditionalFormatting sqref="T53 T55:T56">
    <cfRule type="cellIs" dxfId="1010" priority="947" operator="lessThan">
      <formula>0.1</formula>
    </cfRule>
  </conditionalFormatting>
  <conditionalFormatting sqref="T57">
    <cfRule type="cellIs" dxfId="1009" priority="946" operator="lessThan">
      <formula>0.1</formula>
    </cfRule>
  </conditionalFormatting>
  <conditionalFormatting sqref="T49">
    <cfRule type="cellIs" dxfId="1008" priority="945" operator="lessThan">
      <formula>0.1</formula>
    </cfRule>
  </conditionalFormatting>
  <conditionalFormatting sqref="T64 T66:T68">
    <cfRule type="cellIs" dxfId="1007" priority="943" operator="lessThan">
      <formula>0.1</formula>
    </cfRule>
  </conditionalFormatting>
  <conditionalFormatting sqref="T61:T63">
    <cfRule type="cellIs" dxfId="1006" priority="944" operator="lessThan">
      <formula>0.1</formula>
    </cfRule>
  </conditionalFormatting>
  <conditionalFormatting sqref="T65">
    <cfRule type="cellIs" dxfId="1005" priority="942" operator="lessThan">
      <formula>0.1</formula>
    </cfRule>
  </conditionalFormatting>
  <conditionalFormatting sqref="T60">
    <cfRule type="cellIs" dxfId="1004" priority="941" operator="lessThan">
      <formula>0.1</formula>
    </cfRule>
  </conditionalFormatting>
  <conditionalFormatting sqref="T72:T74">
    <cfRule type="cellIs" dxfId="1003" priority="940" operator="lessThan">
      <formula>0.1</formula>
    </cfRule>
  </conditionalFormatting>
  <conditionalFormatting sqref="T75:T78">
    <cfRule type="cellIs" dxfId="1002" priority="939" operator="lessThan">
      <formula>0.1</formula>
    </cfRule>
  </conditionalFormatting>
  <conditionalFormatting sqref="T79">
    <cfRule type="cellIs" dxfId="1001" priority="938" operator="lessThan">
      <formula>0.1</formula>
    </cfRule>
  </conditionalFormatting>
  <conditionalFormatting sqref="T71">
    <cfRule type="cellIs" dxfId="1000" priority="937" operator="lessThan">
      <formula>0.1</formula>
    </cfRule>
  </conditionalFormatting>
  <conditionalFormatting sqref="T86 T88:T90">
    <cfRule type="cellIs" dxfId="999" priority="935" operator="lessThan">
      <formula>0.1</formula>
    </cfRule>
  </conditionalFormatting>
  <conditionalFormatting sqref="T83:T85">
    <cfRule type="cellIs" dxfId="998" priority="936" operator="lessThan">
      <formula>0.1</formula>
    </cfRule>
  </conditionalFormatting>
  <conditionalFormatting sqref="T87">
    <cfRule type="cellIs" dxfId="997" priority="934" operator="lessThan">
      <formula>0.1</formula>
    </cfRule>
  </conditionalFormatting>
  <conditionalFormatting sqref="T82">
    <cfRule type="cellIs" dxfId="996" priority="933" operator="lessThan">
      <formula>0.1</formula>
    </cfRule>
  </conditionalFormatting>
  <conditionalFormatting sqref="T94:T96">
    <cfRule type="cellIs" dxfId="995" priority="932" operator="lessThan">
      <formula>0.1</formula>
    </cfRule>
  </conditionalFormatting>
  <conditionalFormatting sqref="T97:T100">
    <cfRule type="cellIs" dxfId="994" priority="931" operator="lessThan">
      <formula>0.1</formula>
    </cfRule>
  </conditionalFormatting>
  <conditionalFormatting sqref="T101">
    <cfRule type="cellIs" dxfId="993" priority="930" operator="lessThan">
      <formula>0.1</formula>
    </cfRule>
  </conditionalFormatting>
  <conditionalFormatting sqref="T126">
    <cfRule type="cellIs" dxfId="992" priority="920" operator="lessThan">
      <formula>0.1</formula>
    </cfRule>
  </conditionalFormatting>
  <conditionalFormatting sqref="T93">
    <cfRule type="cellIs" dxfId="991" priority="928" operator="lessThan">
      <formula>0.1</formula>
    </cfRule>
  </conditionalFormatting>
  <conditionalFormatting sqref="T104">
    <cfRule type="cellIs" dxfId="990" priority="927" operator="lessThan">
      <formula>0.1</formula>
    </cfRule>
  </conditionalFormatting>
  <conditionalFormatting sqref="T119:T123">
    <cfRule type="cellIs" dxfId="989" priority="925" operator="lessThan">
      <formula>0.1</formula>
    </cfRule>
  </conditionalFormatting>
  <conditionalFormatting sqref="T116:T118">
    <cfRule type="cellIs" dxfId="988" priority="926" operator="lessThan">
      <formula>0.1</formula>
    </cfRule>
  </conditionalFormatting>
  <conditionalFormatting sqref="T115">
    <cfRule type="cellIs" dxfId="987" priority="924" operator="lessThan">
      <formula>0.1</formula>
    </cfRule>
  </conditionalFormatting>
  <conditionalFormatting sqref="T127:T129">
    <cfRule type="cellIs" dxfId="986" priority="923" operator="lessThan">
      <formula>0.1</formula>
    </cfRule>
  </conditionalFormatting>
  <conditionalFormatting sqref="T130:T133">
    <cfRule type="cellIs" dxfId="985" priority="922" operator="lessThan">
      <formula>0.1</formula>
    </cfRule>
  </conditionalFormatting>
  <conditionalFormatting sqref="T134">
    <cfRule type="cellIs" dxfId="984" priority="921" operator="lessThan">
      <formula>0.1</formula>
    </cfRule>
  </conditionalFormatting>
  <conditionalFormatting sqref="T141:T145">
    <cfRule type="cellIs" dxfId="983" priority="918" operator="lessThan">
      <formula>0.1</formula>
    </cfRule>
  </conditionalFormatting>
  <conditionalFormatting sqref="T138:T140">
    <cfRule type="cellIs" dxfId="982" priority="919" operator="lessThan">
      <formula>0.1</formula>
    </cfRule>
  </conditionalFormatting>
  <conditionalFormatting sqref="T137">
    <cfRule type="cellIs" dxfId="981" priority="917" operator="lessThan">
      <formula>0.1</formula>
    </cfRule>
  </conditionalFormatting>
  <conditionalFormatting sqref="T148">
    <cfRule type="cellIs" dxfId="980" priority="913" operator="lessThan">
      <formula>0.1</formula>
    </cfRule>
  </conditionalFormatting>
  <conditionalFormatting sqref="T149:T151">
    <cfRule type="cellIs" dxfId="979" priority="916" operator="lessThan">
      <formula>0.1</formula>
    </cfRule>
  </conditionalFormatting>
  <conditionalFormatting sqref="T152:T155">
    <cfRule type="cellIs" dxfId="978" priority="915" operator="lessThan">
      <formula>0.1</formula>
    </cfRule>
  </conditionalFormatting>
  <conditionalFormatting sqref="T156">
    <cfRule type="cellIs" dxfId="977" priority="914" operator="lessThan">
      <formula>0.1</formula>
    </cfRule>
  </conditionalFormatting>
  <conditionalFormatting sqref="T159">
    <cfRule type="cellIs" dxfId="976" priority="909" operator="lessThan">
      <formula>0.1</formula>
    </cfRule>
  </conditionalFormatting>
  <conditionalFormatting sqref="T160:T162">
    <cfRule type="cellIs" dxfId="975" priority="912" operator="lessThan">
      <formula>0.1</formula>
    </cfRule>
  </conditionalFormatting>
  <conditionalFormatting sqref="T163:T166">
    <cfRule type="cellIs" dxfId="974" priority="911" operator="lessThan">
      <formula>0.1</formula>
    </cfRule>
  </conditionalFormatting>
  <conditionalFormatting sqref="T167">
    <cfRule type="cellIs" dxfId="973" priority="910" operator="lessThan">
      <formula>0.1</formula>
    </cfRule>
  </conditionalFormatting>
  <conditionalFormatting sqref="T170">
    <cfRule type="cellIs" dxfId="972" priority="905" operator="lessThan">
      <formula>0.1</formula>
    </cfRule>
  </conditionalFormatting>
  <conditionalFormatting sqref="T171:T173">
    <cfRule type="cellIs" dxfId="971" priority="908" operator="lessThan">
      <formula>0.1</formula>
    </cfRule>
  </conditionalFormatting>
  <conditionalFormatting sqref="T174:T177">
    <cfRule type="cellIs" dxfId="970" priority="907" operator="lessThan">
      <formula>0.1</formula>
    </cfRule>
  </conditionalFormatting>
  <conditionalFormatting sqref="T178">
    <cfRule type="cellIs" dxfId="969" priority="906" operator="lessThan">
      <formula>0.1</formula>
    </cfRule>
  </conditionalFormatting>
  <conditionalFormatting sqref="T181">
    <cfRule type="cellIs" dxfId="968" priority="901" operator="lessThan">
      <formula>0.1</formula>
    </cfRule>
  </conditionalFormatting>
  <conditionalFormatting sqref="T182:T184">
    <cfRule type="cellIs" dxfId="967" priority="904" operator="lessThan">
      <formula>0.1</formula>
    </cfRule>
  </conditionalFormatting>
  <conditionalFormatting sqref="T185:T188">
    <cfRule type="cellIs" dxfId="966" priority="903" operator="lessThan">
      <formula>0.1</formula>
    </cfRule>
  </conditionalFormatting>
  <conditionalFormatting sqref="T189">
    <cfRule type="cellIs" dxfId="965" priority="902" operator="lessThan">
      <formula>0.1</formula>
    </cfRule>
  </conditionalFormatting>
  <conditionalFormatting sqref="T192">
    <cfRule type="cellIs" dxfId="964" priority="897" operator="lessThan">
      <formula>0.1</formula>
    </cfRule>
  </conditionalFormatting>
  <conditionalFormatting sqref="T193:T195">
    <cfRule type="cellIs" dxfId="963" priority="900" operator="lessThan">
      <formula>0.1</formula>
    </cfRule>
  </conditionalFormatting>
  <conditionalFormatting sqref="T196:T199">
    <cfRule type="cellIs" dxfId="962" priority="899" operator="lessThan">
      <formula>0.1</formula>
    </cfRule>
  </conditionalFormatting>
  <conditionalFormatting sqref="T200">
    <cfRule type="cellIs" dxfId="961" priority="898" operator="lessThan">
      <formula>0.1</formula>
    </cfRule>
  </conditionalFormatting>
  <conditionalFormatting sqref="T207:T211">
    <cfRule type="cellIs" dxfId="960" priority="894" operator="lessThan">
      <formula>0.1</formula>
    </cfRule>
  </conditionalFormatting>
  <conditionalFormatting sqref="T203">
    <cfRule type="cellIs" dxfId="959" priority="896" operator="lessThan">
      <formula>0.1</formula>
    </cfRule>
  </conditionalFormatting>
  <conditionalFormatting sqref="T204:T206">
    <cfRule type="cellIs" dxfId="958" priority="895" operator="lessThan">
      <formula>0.1</formula>
    </cfRule>
  </conditionalFormatting>
  <conditionalFormatting sqref="T214">
    <cfRule type="cellIs" dxfId="957" priority="890" operator="lessThan">
      <formula>0.1</formula>
    </cfRule>
  </conditionalFormatting>
  <conditionalFormatting sqref="T215:T217">
    <cfRule type="cellIs" dxfId="956" priority="893" operator="lessThan">
      <formula>0.1</formula>
    </cfRule>
  </conditionalFormatting>
  <conditionalFormatting sqref="T218:T221">
    <cfRule type="cellIs" dxfId="955" priority="892" operator="lessThan">
      <formula>0.1</formula>
    </cfRule>
  </conditionalFormatting>
  <conditionalFormatting sqref="T222">
    <cfRule type="cellIs" dxfId="954" priority="891" operator="lessThan">
      <formula>0.1</formula>
    </cfRule>
  </conditionalFormatting>
  <conditionalFormatting sqref="T229:T233">
    <cfRule type="cellIs" dxfId="953" priority="887" operator="lessThan">
      <formula>0.1</formula>
    </cfRule>
  </conditionalFormatting>
  <conditionalFormatting sqref="T226:T228">
    <cfRule type="cellIs" dxfId="952" priority="888" operator="lessThan">
      <formula>0.1</formula>
    </cfRule>
  </conditionalFormatting>
  <conditionalFormatting sqref="T236">
    <cfRule type="cellIs" dxfId="951" priority="883" operator="lessThan">
      <formula>0.1</formula>
    </cfRule>
  </conditionalFormatting>
  <conditionalFormatting sqref="T237:T239">
    <cfRule type="cellIs" dxfId="950" priority="886" operator="lessThan">
      <formula>0.1</formula>
    </cfRule>
  </conditionalFormatting>
  <conditionalFormatting sqref="T240:T243">
    <cfRule type="cellIs" dxfId="949" priority="885" operator="lessThan">
      <formula>0.1</formula>
    </cfRule>
  </conditionalFormatting>
  <conditionalFormatting sqref="T244">
    <cfRule type="cellIs" dxfId="948" priority="884" operator="lessThan">
      <formula>0.1</formula>
    </cfRule>
  </conditionalFormatting>
  <conditionalFormatting sqref="T247">
    <cfRule type="cellIs" dxfId="947" priority="879" operator="lessThan">
      <formula>0.1</formula>
    </cfRule>
  </conditionalFormatting>
  <conditionalFormatting sqref="T248:T250">
    <cfRule type="cellIs" dxfId="946" priority="882" operator="lessThan">
      <formula>0.1</formula>
    </cfRule>
  </conditionalFormatting>
  <conditionalFormatting sqref="T251:T254">
    <cfRule type="cellIs" dxfId="945" priority="881" operator="lessThan">
      <formula>0.1</formula>
    </cfRule>
  </conditionalFormatting>
  <conditionalFormatting sqref="T255">
    <cfRule type="cellIs" dxfId="944" priority="880" operator="lessThan">
      <formula>0.1</formula>
    </cfRule>
  </conditionalFormatting>
  <conditionalFormatting sqref="T258">
    <cfRule type="cellIs" dxfId="943" priority="875" operator="lessThan">
      <formula>0.1</formula>
    </cfRule>
  </conditionalFormatting>
  <conditionalFormatting sqref="T259:T261">
    <cfRule type="cellIs" dxfId="942" priority="878" operator="lessThan">
      <formula>0.1</formula>
    </cfRule>
  </conditionalFormatting>
  <conditionalFormatting sqref="T262:T265">
    <cfRule type="cellIs" dxfId="941" priority="877" operator="lessThan">
      <formula>0.1</formula>
    </cfRule>
  </conditionalFormatting>
  <conditionalFormatting sqref="T266">
    <cfRule type="cellIs" dxfId="940" priority="876" operator="lessThan">
      <formula>0.1</formula>
    </cfRule>
  </conditionalFormatting>
  <conditionalFormatting sqref="T273:T277">
    <cfRule type="cellIs" dxfId="939" priority="872" operator="lessThan">
      <formula>0.1</formula>
    </cfRule>
  </conditionalFormatting>
  <conditionalFormatting sqref="T269">
    <cfRule type="cellIs" dxfId="938" priority="874" operator="lessThan">
      <formula>0.1</formula>
    </cfRule>
  </conditionalFormatting>
  <conditionalFormatting sqref="T270:T272">
    <cfRule type="cellIs" dxfId="937" priority="873" operator="lessThan">
      <formula>0.1</formula>
    </cfRule>
  </conditionalFormatting>
  <conditionalFormatting sqref="T284:T288">
    <cfRule type="cellIs" dxfId="936" priority="869" operator="lessThan">
      <formula>0.1</formula>
    </cfRule>
  </conditionalFormatting>
  <conditionalFormatting sqref="T281:T283">
    <cfRule type="cellIs" dxfId="935" priority="870" operator="lessThan">
      <formula>0.1</formula>
    </cfRule>
  </conditionalFormatting>
  <conditionalFormatting sqref="T295:T299">
    <cfRule type="cellIs" dxfId="934" priority="866" operator="lessThan">
      <formula>0.1</formula>
    </cfRule>
  </conditionalFormatting>
  <conditionalFormatting sqref="T292:T294">
    <cfRule type="cellIs" dxfId="933" priority="867" operator="lessThan">
      <formula>0.1</formula>
    </cfRule>
  </conditionalFormatting>
  <conditionalFormatting sqref="T306:T310">
    <cfRule type="cellIs" dxfId="932" priority="863" operator="lessThan">
      <formula>0.1</formula>
    </cfRule>
  </conditionalFormatting>
  <conditionalFormatting sqref="T304:T305">
    <cfRule type="cellIs" dxfId="931" priority="864" operator="lessThan">
      <formula>0.1</formula>
    </cfRule>
  </conditionalFormatting>
  <conditionalFormatting sqref="T317:T321">
    <cfRule type="cellIs" dxfId="930" priority="860" operator="lessThan">
      <formula>0.1</formula>
    </cfRule>
  </conditionalFormatting>
  <conditionalFormatting sqref="T313">
    <cfRule type="cellIs" dxfId="929" priority="862" operator="lessThan">
      <formula>0.1</formula>
    </cfRule>
  </conditionalFormatting>
  <conditionalFormatting sqref="T314:T316">
    <cfRule type="cellIs" dxfId="928" priority="861" operator="lessThan">
      <formula>0.1</formula>
    </cfRule>
  </conditionalFormatting>
  <conditionalFormatting sqref="T291">
    <cfRule type="cellIs" dxfId="927" priority="797" operator="lessThan">
      <formula>0.1</formula>
    </cfRule>
  </conditionalFormatting>
  <conditionalFormatting sqref="T303">
    <cfRule type="cellIs" dxfId="926" priority="796" operator="lessThan">
      <formula>0.1</formula>
    </cfRule>
  </conditionalFormatting>
  <conditionalFormatting sqref="T302">
    <cfRule type="cellIs" dxfId="925" priority="795" operator="lessThan">
      <formula>0.1</formula>
    </cfRule>
  </conditionalFormatting>
  <conditionalFormatting sqref="X42:X46">
    <cfRule type="cellIs" dxfId="924" priority="544" operator="lessThan">
      <formula>0.1</formula>
    </cfRule>
  </conditionalFormatting>
  <conditionalFormatting sqref="X50:X52">
    <cfRule type="cellIs" dxfId="923" priority="542" operator="lessThan">
      <formula>0.1</formula>
    </cfRule>
  </conditionalFormatting>
  <conditionalFormatting sqref="X28:X30">
    <cfRule type="cellIs" dxfId="922" priority="548" operator="lessThan">
      <formula>0.1</formula>
    </cfRule>
  </conditionalFormatting>
  <conditionalFormatting sqref="X27">
    <cfRule type="cellIs" dxfId="921" priority="549" operator="lessThan">
      <formula>0.1</formula>
    </cfRule>
  </conditionalFormatting>
  <conditionalFormatting sqref="X31:X35">
    <cfRule type="cellIs" dxfId="920" priority="547" operator="lessThan">
      <formula>0.1</formula>
    </cfRule>
  </conditionalFormatting>
  <conditionalFormatting sqref="X53:X57">
    <cfRule type="cellIs" dxfId="919" priority="541" operator="lessThan">
      <formula>0.1</formula>
    </cfRule>
  </conditionalFormatting>
  <conditionalFormatting sqref="X116:X118">
    <cfRule type="cellIs" dxfId="918" priority="524" operator="lessThan">
      <formula>0.1</formula>
    </cfRule>
  </conditionalFormatting>
  <conditionalFormatting sqref="X49">
    <cfRule type="cellIs" dxfId="917" priority="543" operator="lessThan">
      <formula>0.1</formula>
    </cfRule>
  </conditionalFormatting>
  <conditionalFormatting sqref="X39:X41">
    <cfRule type="cellIs" dxfId="916" priority="545" operator="lessThan">
      <formula>0.1</formula>
    </cfRule>
  </conditionalFormatting>
  <conditionalFormatting sqref="X38">
    <cfRule type="cellIs" dxfId="915" priority="546" operator="lessThan">
      <formula>0.1</formula>
    </cfRule>
  </conditionalFormatting>
  <conditionalFormatting sqref="X5">
    <cfRule type="cellIs" dxfId="914" priority="555" operator="lessThan">
      <formula>0.1</formula>
    </cfRule>
  </conditionalFormatting>
  <conditionalFormatting sqref="X60">
    <cfRule type="cellIs" dxfId="913" priority="540" operator="lessThan">
      <formula>0.1</formula>
    </cfRule>
  </conditionalFormatting>
  <conditionalFormatting sqref="X6:X8">
    <cfRule type="cellIs" dxfId="912" priority="554" operator="lessThan">
      <formula>0.1</formula>
    </cfRule>
  </conditionalFormatting>
  <conditionalFormatting sqref="X20:X24">
    <cfRule type="cellIs" dxfId="911" priority="550" operator="lessThan">
      <formula>0.1</formula>
    </cfRule>
  </conditionalFormatting>
  <conditionalFormatting sqref="X94:X96">
    <cfRule type="cellIs" dxfId="910" priority="530" operator="lessThan">
      <formula>0.1</formula>
    </cfRule>
  </conditionalFormatting>
  <conditionalFormatting sqref="X93">
    <cfRule type="cellIs" dxfId="909" priority="531" operator="lessThan">
      <formula>0.1</formula>
    </cfRule>
  </conditionalFormatting>
  <conditionalFormatting sqref="X119:X122">
    <cfRule type="cellIs" dxfId="908" priority="523" operator="lessThan">
      <formula>0.1</formula>
    </cfRule>
  </conditionalFormatting>
  <conditionalFormatting sqref="H348">
    <cfRule type="cellIs" dxfId="907" priority="508" operator="lessThan">
      <formula>0.1</formula>
    </cfRule>
  </conditionalFormatting>
  <conditionalFormatting sqref="X71">
    <cfRule type="cellIs" dxfId="906" priority="537" operator="lessThan">
      <formula>0.1</formula>
    </cfRule>
  </conditionalFormatting>
  <conditionalFormatting sqref="X64:X68">
    <cfRule type="cellIs" dxfId="905" priority="538" operator="lessThan">
      <formula>0.1</formula>
    </cfRule>
  </conditionalFormatting>
  <conditionalFormatting sqref="X61:X63">
    <cfRule type="cellIs" dxfId="904" priority="539" operator="lessThan">
      <formula>0.1</formula>
    </cfRule>
  </conditionalFormatting>
  <conditionalFormatting sqref="X82">
    <cfRule type="cellIs" dxfId="903" priority="534" operator="lessThan">
      <formula>0.1</formula>
    </cfRule>
  </conditionalFormatting>
  <conditionalFormatting sqref="X75:X79">
    <cfRule type="cellIs" dxfId="902" priority="535" operator="lessThan">
      <formula>0.1</formula>
    </cfRule>
  </conditionalFormatting>
  <conditionalFormatting sqref="X72:X74">
    <cfRule type="cellIs" dxfId="901" priority="536" operator="lessThan">
      <formula>0.1</formula>
    </cfRule>
  </conditionalFormatting>
  <conditionalFormatting sqref="T349:T350">
    <cfRule type="cellIs" dxfId="900" priority="514" operator="lessThan">
      <formula>0.1</formula>
    </cfRule>
  </conditionalFormatting>
  <conditionalFormatting sqref="X86:X90">
    <cfRule type="cellIs" dxfId="899" priority="532" operator="lessThan">
      <formula>0.1</formula>
    </cfRule>
  </conditionalFormatting>
  <conditionalFormatting sqref="X83:X85">
    <cfRule type="cellIs" dxfId="898" priority="533" operator="lessThan">
      <formula>0.1</formula>
    </cfRule>
  </conditionalFormatting>
  <conditionalFormatting sqref="L347">
    <cfRule type="cellIs" dxfId="897" priority="504" operator="lessThan">
      <formula>0.1</formula>
    </cfRule>
  </conditionalFormatting>
  <conditionalFormatting sqref="H352:H353">
    <cfRule type="cellIs" dxfId="896" priority="505" operator="lessThan">
      <formula>0.1</formula>
    </cfRule>
  </conditionalFormatting>
  <conditionalFormatting sqref="H347">
    <cfRule type="cellIs" dxfId="895" priority="506" operator="lessThan">
      <formula>0.1</formula>
    </cfRule>
  </conditionalFormatting>
  <conditionalFormatting sqref="X104">
    <cfRule type="cellIs" dxfId="894" priority="528" operator="lessThan">
      <formula>0.1</formula>
    </cfRule>
  </conditionalFormatting>
  <conditionalFormatting sqref="X97:X101">
    <cfRule type="cellIs" dxfId="893" priority="529" operator="lessThan">
      <formula>0.1</formula>
    </cfRule>
  </conditionalFormatting>
  <conditionalFormatting sqref="T351:T355">
    <cfRule type="cellIs" dxfId="892" priority="513" operator="lessThan">
      <formula>0.1</formula>
    </cfRule>
  </conditionalFormatting>
  <conditionalFormatting sqref="L348">
    <cfRule type="cellIs" dxfId="891" priority="509" operator="lessThan">
      <formula>0.1</formula>
    </cfRule>
  </conditionalFormatting>
  <conditionalFormatting sqref="X108:X112">
    <cfRule type="cellIs" dxfId="890" priority="526" operator="lessThan">
      <formula>0.1</formula>
    </cfRule>
  </conditionalFormatting>
  <conditionalFormatting sqref="X105:X107">
    <cfRule type="cellIs" dxfId="889" priority="527" operator="lessThan">
      <formula>0.1</formula>
    </cfRule>
  </conditionalFormatting>
  <conditionalFormatting sqref="X126">
    <cfRule type="cellIs" dxfId="888" priority="522" operator="lessThan">
      <formula>0.1</formula>
    </cfRule>
  </conditionalFormatting>
  <conditionalFormatting sqref="L358">
    <cfRule type="cellIs" dxfId="887" priority="488" operator="lessThan">
      <formula>0.1</formula>
    </cfRule>
  </conditionalFormatting>
  <conditionalFormatting sqref="H358">
    <cfRule type="cellIs" dxfId="886" priority="490" operator="lessThan">
      <formula>0.1</formula>
    </cfRule>
  </conditionalFormatting>
  <conditionalFormatting sqref="X137">
    <cfRule type="cellIs" dxfId="885" priority="519" operator="lessThan">
      <formula>0.1</formula>
    </cfRule>
  </conditionalFormatting>
  <conditionalFormatting sqref="X130:X134">
    <cfRule type="cellIs" dxfId="884" priority="520" operator="lessThan">
      <formula>0.1</formula>
    </cfRule>
  </conditionalFormatting>
  <conditionalFormatting sqref="X127:X129">
    <cfRule type="cellIs" dxfId="883" priority="521" operator="lessThan">
      <formula>0.1</formula>
    </cfRule>
  </conditionalFormatting>
  <conditionalFormatting sqref="T347">
    <cfRule type="cellIs" dxfId="882" priority="516" operator="lessThan">
      <formula>0.1</formula>
    </cfRule>
  </conditionalFormatting>
  <conditionalFormatting sqref="X141:X145">
    <cfRule type="cellIs" dxfId="881" priority="517" operator="lessThan">
      <formula>0.1</formula>
    </cfRule>
  </conditionalFormatting>
  <conditionalFormatting sqref="X138:X140">
    <cfRule type="cellIs" dxfId="880" priority="518" operator="lessThan">
      <formula>0.1</formula>
    </cfRule>
  </conditionalFormatting>
  <conditionalFormatting sqref="P359:P361">
    <cfRule type="cellIs" dxfId="879" priority="495" operator="lessThan">
      <formula>0.1</formula>
    </cfRule>
  </conditionalFormatting>
  <conditionalFormatting sqref="T348">
    <cfRule type="cellIs" dxfId="878" priority="515" operator="lessThan">
      <formula>0.1</formula>
    </cfRule>
  </conditionalFormatting>
  <conditionalFormatting sqref="P351:P355">
    <cfRule type="cellIs" dxfId="877" priority="510" operator="lessThan">
      <formula>0.1</formula>
    </cfRule>
  </conditionalFormatting>
  <conditionalFormatting sqref="P348:P350">
    <cfRule type="cellIs" dxfId="876" priority="511" operator="lessThan">
      <formula>0.1</formula>
    </cfRule>
  </conditionalFormatting>
  <conditionalFormatting sqref="H351">
    <cfRule type="cellIs" dxfId="875" priority="507" operator="lessThan">
      <formula>0.1</formula>
    </cfRule>
  </conditionalFormatting>
  <conditionalFormatting sqref="H359">
    <cfRule type="cellIs" dxfId="874" priority="492" operator="lessThan">
      <formula>0.1</formula>
    </cfRule>
  </conditionalFormatting>
  <conditionalFormatting sqref="L359">
    <cfRule type="cellIs" dxfId="873" priority="493" operator="lessThan">
      <formula>0.1</formula>
    </cfRule>
  </conditionalFormatting>
  <conditionalFormatting sqref="H363:H364">
    <cfRule type="cellIs" dxfId="872" priority="489" operator="lessThan">
      <formula>0.1</formula>
    </cfRule>
  </conditionalFormatting>
  <conditionalFormatting sqref="H374:H375">
    <cfRule type="cellIs" dxfId="871" priority="472" operator="lessThan">
      <formula>0.1</formula>
    </cfRule>
  </conditionalFormatting>
  <conditionalFormatting sqref="H362">
    <cfRule type="cellIs" dxfId="870" priority="491" operator="lessThan">
      <formula>0.1</formula>
    </cfRule>
  </conditionalFormatting>
  <conditionalFormatting sqref="H370">
    <cfRule type="cellIs" dxfId="869" priority="475" operator="lessThan">
      <formula>0.1</formula>
    </cfRule>
  </conditionalFormatting>
  <conditionalFormatting sqref="G351:G355">
    <cfRule type="cellIs" dxfId="868" priority="500" operator="lessThan">
      <formula>0.1</formula>
    </cfRule>
  </conditionalFormatting>
  <conditionalFormatting sqref="G362:G366">
    <cfRule type="cellIs" dxfId="867" priority="484" operator="lessThan">
      <formula>0.1</formula>
    </cfRule>
  </conditionalFormatting>
  <conditionalFormatting sqref="G373:G377">
    <cfRule type="cellIs" dxfId="866" priority="467" operator="lessThan">
      <formula>0.1</formula>
    </cfRule>
  </conditionalFormatting>
  <conditionalFormatting sqref="G384:G388">
    <cfRule type="cellIs" dxfId="865" priority="450" operator="lessThan">
      <formula>0.1</formula>
    </cfRule>
  </conditionalFormatting>
  <conditionalFormatting sqref="X9:X13">
    <cfRule type="cellIs" dxfId="864" priority="553" operator="lessThan">
      <formula>0.1</formula>
    </cfRule>
  </conditionalFormatting>
  <conditionalFormatting sqref="H365:H366">
    <cfRule type="cellIs" dxfId="863" priority="486" operator="lessThan">
      <formula>0.1</formula>
    </cfRule>
  </conditionalFormatting>
  <conditionalFormatting sqref="H360:H361">
    <cfRule type="cellIs" dxfId="862" priority="487" operator="lessThan">
      <formula>0.1</formula>
    </cfRule>
  </conditionalFormatting>
  <conditionalFormatting sqref="T358">
    <cfRule type="cellIs" dxfId="861" priority="498" operator="lessThan">
      <formula>0.1</formula>
    </cfRule>
  </conditionalFormatting>
  <conditionalFormatting sqref="X17:X19">
    <cfRule type="cellIs" dxfId="860" priority="551" operator="lessThan">
      <formula>0.1</formula>
    </cfRule>
  </conditionalFormatting>
  <conditionalFormatting sqref="X16">
    <cfRule type="cellIs" dxfId="859" priority="552" operator="lessThan">
      <formula>0.1</formula>
    </cfRule>
  </conditionalFormatting>
  <conditionalFormatting sqref="T373:T377">
    <cfRule type="cellIs" dxfId="858" priority="480" operator="lessThan">
      <formula>0.1</formula>
    </cfRule>
  </conditionalFormatting>
  <conditionalFormatting sqref="T359:T361">
    <cfRule type="cellIs" dxfId="857" priority="499" operator="lessThan">
      <formula>0.1</formula>
    </cfRule>
  </conditionalFormatting>
  <conditionalFormatting sqref="T362:T366">
    <cfRule type="cellIs" dxfId="856" priority="497" operator="lessThan">
      <formula>0.1</formula>
    </cfRule>
  </conditionalFormatting>
  <conditionalFormatting sqref="H373">
    <cfRule type="cellIs" dxfId="855" priority="474" operator="lessThan">
      <formula>0.1</formula>
    </cfRule>
  </conditionalFormatting>
  <conditionalFormatting sqref="H384">
    <cfRule type="cellIs" dxfId="854" priority="457" operator="lessThan">
      <formula>0.1</formula>
    </cfRule>
  </conditionalFormatting>
  <conditionalFormatting sqref="P362:P366">
    <cfRule type="cellIs" dxfId="853" priority="494" operator="lessThan">
      <formula>0.1</formula>
    </cfRule>
  </conditionalFormatting>
  <conditionalFormatting sqref="H380">
    <cfRule type="cellIs" dxfId="852" priority="456" operator="lessThan">
      <formula>0.1</formula>
    </cfRule>
  </conditionalFormatting>
  <conditionalFormatting sqref="H381">
    <cfRule type="cellIs" dxfId="851" priority="458" operator="lessThan">
      <formula>0.1</formula>
    </cfRule>
  </conditionalFormatting>
  <conditionalFormatting sqref="L370">
    <cfRule type="cellIs" dxfId="850" priority="476" operator="lessThan">
      <formula>0.1</formula>
    </cfRule>
  </conditionalFormatting>
  <conditionalFormatting sqref="H371:H372">
    <cfRule type="cellIs" dxfId="849" priority="470" operator="lessThan">
      <formula>0.1</formula>
    </cfRule>
  </conditionalFormatting>
  <conditionalFormatting sqref="L380">
    <cfRule type="cellIs" dxfId="848" priority="454" operator="lessThan">
      <formula>0.1</formula>
    </cfRule>
  </conditionalFormatting>
  <conditionalFormatting sqref="H369">
    <cfRule type="cellIs" dxfId="847" priority="473" operator="lessThan">
      <formula>0.1</formula>
    </cfRule>
  </conditionalFormatting>
  <conditionalFormatting sqref="H354:H355">
    <cfRule type="cellIs" dxfId="846" priority="502" operator="lessThan">
      <formula>0.1</formula>
    </cfRule>
  </conditionalFormatting>
  <conditionalFormatting sqref="H349:H350">
    <cfRule type="cellIs" dxfId="845" priority="503" operator="lessThan">
      <formula>0.1</formula>
    </cfRule>
  </conditionalFormatting>
  <conditionalFormatting sqref="H376:H377">
    <cfRule type="cellIs" dxfId="844" priority="469" operator="lessThan">
      <formula>0.1</formula>
    </cfRule>
  </conditionalFormatting>
  <conditionalFormatting sqref="T370">
    <cfRule type="cellIs" dxfId="843" priority="482" operator="lessThan">
      <formula>0.1</formula>
    </cfRule>
  </conditionalFormatting>
  <conditionalFormatting sqref="T369">
    <cfRule type="cellIs" dxfId="842" priority="483" operator="lessThan">
      <formula>0.1</formula>
    </cfRule>
  </conditionalFormatting>
  <conditionalFormatting sqref="L349:L355">
    <cfRule type="cellIs" dxfId="841" priority="501" operator="lessThan">
      <formula>0.1</formula>
    </cfRule>
  </conditionalFormatting>
  <conditionalFormatting sqref="P370:P372">
    <cfRule type="cellIs" dxfId="840" priority="478" operator="lessThan">
      <formula>0.1</formula>
    </cfRule>
  </conditionalFormatting>
  <conditionalFormatting sqref="T371:T372">
    <cfRule type="cellIs" dxfId="839" priority="481" operator="lessThan">
      <formula>0.1</formula>
    </cfRule>
  </conditionalFormatting>
  <conditionalFormatting sqref="H395">
    <cfRule type="cellIs" dxfId="838" priority="440" operator="lessThan">
      <formula>0.1</formula>
    </cfRule>
  </conditionalFormatting>
  <conditionalFormatting sqref="P373:P377">
    <cfRule type="cellIs" dxfId="837" priority="477" operator="lessThan">
      <formula>0.1</formula>
    </cfRule>
  </conditionalFormatting>
  <conditionalFormatting sqref="L381">
    <cfRule type="cellIs" dxfId="836" priority="459" operator="lessThan">
      <formula>0.1</formula>
    </cfRule>
  </conditionalFormatting>
  <conditionalFormatting sqref="H391">
    <cfRule type="cellIs" dxfId="835" priority="439" operator="lessThan">
      <formula>0.1</formula>
    </cfRule>
  </conditionalFormatting>
  <conditionalFormatting sqref="H407:H408">
    <cfRule type="cellIs" dxfId="834" priority="422" operator="lessThan">
      <formula>0.1</formula>
    </cfRule>
  </conditionalFormatting>
  <conditionalFormatting sqref="H392">
    <cfRule type="cellIs" dxfId="833" priority="441" operator="lessThan">
      <formula>0.1</formula>
    </cfRule>
  </conditionalFormatting>
  <conditionalFormatting sqref="H387:H388">
    <cfRule type="cellIs" dxfId="832" priority="452" operator="lessThan">
      <formula>0.1</formula>
    </cfRule>
  </conditionalFormatting>
  <conditionalFormatting sqref="L369">
    <cfRule type="cellIs" dxfId="831" priority="471" operator="lessThan">
      <formula>0.1</formula>
    </cfRule>
  </conditionalFormatting>
  <conditionalFormatting sqref="H396:H397">
    <cfRule type="cellIs" dxfId="830" priority="438" operator="lessThan">
      <formula>0.1</formula>
    </cfRule>
  </conditionalFormatting>
  <conditionalFormatting sqref="L382:L388">
    <cfRule type="cellIs" dxfId="829" priority="451" operator="lessThan">
      <formula>0.1</formula>
    </cfRule>
  </conditionalFormatting>
  <conditionalFormatting sqref="L360:L366">
    <cfRule type="cellIs" dxfId="828" priority="485" operator="lessThan">
      <formula>0.1</formula>
    </cfRule>
  </conditionalFormatting>
  <conditionalFormatting sqref="L371:L377">
    <cfRule type="cellIs" dxfId="827" priority="468" operator="lessThan">
      <formula>0.1</formula>
    </cfRule>
  </conditionalFormatting>
  <conditionalFormatting sqref="G395:G399">
    <cfRule type="cellIs" dxfId="826" priority="433" operator="lessThan">
      <formula>0.1</formula>
    </cfRule>
  </conditionalFormatting>
  <conditionalFormatting sqref="L393:L399">
    <cfRule type="cellIs" dxfId="825" priority="434" operator="lessThan">
      <formula>0.1</formula>
    </cfRule>
  </conditionalFormatting>
  <conditionalFormatting sqref="T403:T405">
    <cfRule type="cellIs" dxfId="824" priority="432" operator="lessThan">
      <formula>0.1</formula>
    </cfRule>
  </conditionalFormatting>
  <conditionalFormatting sqref="H385:H386">
    <cfRule type="cellIs" dxfId="823" priority="455" operator="lessThan">
      <formula>0.1</formula>
    </cfRule>
  </conditionalFormatting>
  <conditionalFormatting sqref="H418:H419">
    <cfRule type="cellIs" dxfId="822" priority="404" operator="lessThan">
      <formula>0.1</formula>
    </cfRule>
  </conditionalFormatting>
  <conditionalFormatting sqref="H402">
    <cfRule type="cellIs" dxfId="821" priority="423" operator="lessThan">
      <formula>0.1</formula>
    </cfRule>
  </conditionalFormatting>
  <conditionalFormatting sqref="L392">
    <cfRule type="cellIs" dxfId="820" priority="442" operator="lessThan">
      <formula>0.1</formula>
    </cfRule>
  </conditionalFormatting>
  <conditionalFormatting sqref="P395:P399">
    <cfRule type="cellIs" dxfId="819" priority="443" operator="lessThan">
      <formula>0.1</formula>
    </cfRule>
  </conditionalFormatting>
  <conditionalFormatting sqref="H420:H421">
    <cfRule type="cellIs" dxfId="818" priority="405" operator="lessThan">
      <formula>0.1</formula>
    </cfRule>
  </conditionalFormatting>
  <conditionalFormatting sqref="P384:P388">
    <cfRule type="cellIs" dxfId="817" priority="460" operator="lessThan">
      <formula>0.1</formula>
    </cfRule>
  </conditionalFormatting>
  <conditionalFormatting sqref="H406">
    <cfRule type="cellIs" dxfId="816" priority="424" operator="lessThan">
      <formula>0.1</formula>
    </cfRule>
  </conditionalFormatting>
  <conditionalFormatting sqref="P381:P383">
    <cfRule type="cellIs" dxfId="815" priority="461" operator="lessThan">
      <formula>0.1</formula>
    </cfRule>
  </conditionalFormatting>
  <conditionalFormatting sqref="T384:T388">
    <cfRule type="cellIs" dxfId="814" priority="463" operator="lessThan">
      <formula>0.1</formula>
    </cfRule>
  </conditionalFormatting>
  <conditionalFormatting sqref="T382:T383">
    <cfRule type="cellIs" dxfId="813" priority="464" operator="lessThan">
      <formula>0.1</formula>
    </cfRule>
  </conditionalFormatting>
  <conditionalFormatting sqref="T380">
    <cfRule type="cellIs" dxfId="812" priority="466" operator="lessThan">
      <formula>0.1</formula>
    </cfRule>
  </conditionalFormatting>
  <conditionalFormatting sqref="G406:G410">
    <cfRule type="cellIs" dxfId="811" priority="417" operator="lessThan">
      <formula>0.1</formula>
    </cfRule>
  </conditionalFormatting>
  <conditionalFormatting sqref="T414:T416">
    <cfRule type="cellIs" dxfId="810" priority="416" operator="lessThan">
      <formula>0.1</formula>
    </cfRule>
  </conditionalFormatting>
  <conditionalFormatting sqref="H382:H383">
    <cfRule type="cellIs" dxfId="809" priority="453" operator="lessThan">
      <formula>0.1</formula>
    </cfRule>
  </conditionalFormatting>
  <conditionalFormatting sqref="H393:H394">
    <cfRule type="cellIs" dxfId="808" priority="436" operator="lessThan">
      <formula>0.1</formula>
    </cfRule>
  </conditionalFormatting>
  <conditionalFormatting sqref="H409:H410">
    <cfRule type="cellIs" dxfId="807" priority="420" operator="lessThan">
      <formula>0.1</formula>
    </cfRule>
  </conditionalFormatting>
  <conditionalFormatting sqref="H404:H405">
    <cfRule type="cellIs" dxfId="806" priority="421" operator="lessThan">
      <formula>0.1</formula>
    </cfRule>
  </conditionalFormatting>
  <conditionalFormatting sqref="H415:H416">
    <cfRule type="cellIs" dxfId="805" priority="406" operator="lessThan">
      <formula>0.1</formula>
    </cfRule>
  </conditionalFormatting>
  <conditionalFormatting sqref="H403">
    <cfRule type="cellIs" dxfId="804" priority="425" operator="lessThan">
      <formula>0.1</formula>
    </cfRule>
  </conditionalFormatting>
  <conditionalFormatting sqref="L403">
    <cfRule type="cellIs" dxfId="803" priority="426" operator="lessThan">
      <formula>0.1</formula>
    </cfRule>
  </conditionalFormatting>
  <conditionalFormatting sqref="H413">
    <cfRule type="cellIs" dxfId="802" priority="407" operator="lessThan">
      <formula>0.1</formula>
    </cfRule>
  </conditionalFormatting>
  <conditionalFormatting sqref="P392:P394">
    <cfRule type="cellIs" dxfId="801" priority="445" operator="lessThan">
      <formula>0.1</formula>
    </cfRule>
  </conditionalFormatting>
  <conditionalFormatting sqref="T395:T399">
    <cfRule type="cellIs" dxfId="800" priority="446" operator="lessThan">
      <formula>0.1</formula>
    </cfRule>
  </conditionalFormatting>
  <conditionalFormatting sqref="T381">
    <cfRule type="cellIs" dxfId="799" priority="465" operator="lessThan">
      <formula>0.1</formula>
    </cfRule>
  </conditionalFormatting>
  <conditionalFormatting sqref="G417:G421">
    <cfRule type="cellIs" dxfId="798" priority="401" operator="lessThan">
      <formula>0.1</formula>
    </cfRule>
  </conditionalFormatting>
  <conditionalFormatting sqref="H398:H399">
    <cfRule type="cellIs" dxfId="797" priority="435" operator="lessThan">
      <formula>0.1</formula>
    </cfRule>
  </conditionalFormatting>
  <conditionalFormatting sqref="L402">
    <cfRule type="cellIs" dxfId="796" priority="418" operator="lessThan">
      <formula>0.1</formula>
    </cfRule>
  </conditionalFormatting>
  <conditionalFormatting sqref="L391">
    <cfRule type="cellIs" dxfId="795" priority="437" operator="lessThan">
      <formula>0.1</formula>
    </cfRule>
  </conditionalFormatting>
  <conditionalFormatting sqref="L413">
    <cfRule type="cellIs" dxfId="794" priority="403" operator="lessThan">
      <formula>0.1</formula>
    </cfRule>
  </conditionalFormatting>
  <conditionalFormatting sqref="P425">
    <cfRule type="cellIs" dxfId="793" priority="388" operator="lessThan">
      <formula>0.1</formula>
    </cfRule>
  </conditionalFormatting>
  <conditionalFormatting sqref="H417">
    <cfRule type="cellIs" dxfId="792" priority="408" operator="lessThan">
      <formula>0.1</formula>
    </cfRule>
  </conditionalFormatting>
  <conditionalFormatting sqref="L414">
    <cfRule type="cellIs" dxfId="791" priority="409" operator="lessThan">
      <formula>0.1</formula>
    </cfRule>
  </conditionalFormatting>
  <conditionalFormatting sqref="P406:P410">
    <cfRule type="cellIs" dxfId="790" priority="427" operator="lessThan">
      <formula>0.1</formula>
    </cfRule>
  </conditionalFormatting>
  <conditionalFormatting sqref="P403:P405">
    <cfRule type="cellIs" dxfId="789" priority="428" operator="lessThan">
      <formula>0.1</formula>
    </cfRule>
  </conditionalFormatting>
  <conditionalFormatting sqref="T393:T394">
    <cfRule type="cellIs" dxfId="788" priority="447" operator="lessThan">
      <formula>0.1</formula>
    </cfRule>
  </conditionalFormatting>
  <conditionalFormatting sqref="T392">
    <cfRule type="cellIs" dxfId="787" priority="448" operator="lessThan">
      <formula>0.1</formula>
    </cfRule>
  </conditionalFormatting>
  <conditionalFormatting sqref="T391">
    <cfRule type="cellIs" dxfId="786" priority="449" operator="lessThan">
      <formula>0.1</formula>
    </cfRule>
  </conditionalFormatting>
  <conditionalFormatting sqref="L425">
    <cfRule type="cellIs" dxfId="785" priority="400" operator="lessThan">
      <formula>0.1</formula>
    </cfRule>
  </conditionalFormatting>
  <conditionalFormatting sqref="G428:G432">
    <cfRule type="cellIs" dxfId="784" priority="384" operator="lessThan">
      <formula>0.1</formula>
    </cfRule>
  </conditionalFormatting>
  <conditionalFormatting sqref="L404:L410">
    <cfRule type="cellIs" dxfId="783" priority="419" operator="lessThan">
      <formula>0.1</formula>
    </cfRule>
  </conditionalFormatting>
  <conditionalFormatting sqref="L415:L421">
    <cfRule type="cellIs" dxfId="782" priority="402" operator="lessThan">
      <formula>0.1</formula>
    </cfRule>
  </conditionalFormatting>
  <conditionalFormatting sqref="P426:P427">
    <cfRule type="cellIs" dxfId="781" priority="386" operator="lessThan">
      <formula>0.1</formula>
    </cfRule>
  </conditionalFormatting>
  <conditionalFormatting sqref="P424">
    <cfRule type="cellIs" dxfId="780" priority="387" operator="lessThan">
      <formula>0.1</formula>
    </cfRule>
  </conditionalFormatting>
  <conditionalFormatting sqref="P435">
    <cfRule type="cellIs" dxfId="779" priority="370" operator="lessThan">
      <formula>0.1</formula>
    </cfRule>
  </conditionalFormatting>
  <conditionalFormatting sqref="T428:T432">
    <cfRule type="cellIs" dxfId="778" priority="389" operator="lessThan">
      <formula>0.1</formula>
    </cfRule>
  </conditionalFormatting>
  <conditionalFormatting sqref="T425:T427">
    <cfRule type="cellIs" dxfId="777" priority="391" operator="lessThan">
      <formula>0.1</formula>
    </cfRule>
  </conditionalFormatting>
  <conditionalFormatting sqref="H414">
    <cfRule type="cellIs" dxfId="776" priority="410" operator="lessThan">
      <formula>0.1</formula>
    </cfRule>
  </conditionalFormatting>
  <conditionalFormatting sqref="T406:T410">
    <cfRule type="cellIs" dxfId="775" priority="430" operator="lessThan">
      <formula>0.1</formula>
    </cfRule>
  </conditionalFormatting>
  <conditionalFormatting sqref="T417:T421">
    <cfRule type="cellIs" dxfId="774" priority="414" operator="lessThan">
      <formula>0.1</formula>
    </cfRule>
  </conditionalFormatting>
  <conditionalFormatting sqref="L426:L432">
    <cfRule type="cellIs" dxfId="773" priority="398" operator="lessThan">
      <formula>0.1</formula>
    </cfRule>
  </conditionalFormatting>
  <conditionalFormatting sqref="G439:G443">
    <cfRule type="cellIs" dxfId="772" priority="367" operator="lessThan">
      <formula>0.1</formula>
    </cfRule>
  </conditionalFormatting>
  <conditionalFormatting sqref="L436">
    <cfRule type="cellIs" dxfId="771" priority="383" operator="lessThan">
      <formula>0.1</formula>
    </cfRule>
  </conditionalFormatting>
  <conditionalFormatting sqref="P439:P443">
    <cfRule type="cellIs" dxfId="770" priority="368" operator="lessThan">
      <formula>0.1</formula>
    </cfRule>
  </conditionalFormatting>
  <conditionalFormatting sqref="P437:P438">
    <cfRule type="cellIs" dxfId="769" priority="369" operator="lessThan">
      <formula>0.1</formula>
    </cfRule>
  </conditionalFormatting>
  <conditionalFormatting sqref="G450:G454">
    <cfRule type="cellIs" dxfId="768" priority="352" operator="lessThan">
      <formula>0.1</formula>
    </cfRule>
  </conditionalFormatting>
  <conditionalFormatting sqref="P436">
    <cfRule type="cellIs" dxfId="767" priority="371" operator="lessThan">
      <formula>0.1</formula>
    </cfRule>
  </conditionalFormatting>
  <conditionalFormatting sqref="T439:T443">
    <cfRule type="cellIs" dxfId="766" priority="372" operator="lessThan">
      <formula>0.1</formula>
    </cfRule>
  </conditionalFormatting>
  <conditionalFormatting sqref="H429:H430">
    <cfRule type="cellIs" dxfId="765" priority="392" operator="lessThan">
      <formula>0.1</formula>
    </cfRule>
  </conditionalFormatting>
  <conditionalFormatting sqref="P417:P421">
    <cfRule type="cellIs" dxfId="764" priority="411" operator="lessThan">
      <formula>0.1</formula>
    </cfRule>
  </conditionalFormatting>
  <conditionalFormatting sqref="P414:P416">
    <cfRule type="cellIs" dxfId="763" priority="412" operator="lessThan">
      <formula>0.1</formula>
    </cfRule>
  </conditionalFormatting>
  <conditionalFormatting sqref="P413">
    <cfRule type="cellIs" dxfId="762" priority="413" operator="lessThan">
      <formula>0.1</formula>
    </cfRule>
  </conditionalFormatting>
  <conditionalFormatting sqref="H428">
    <cfRule type="cellIs" dxfId="761" priority="396" operator="lessThan">
      <formula>0.1</formula>
    </cfRule>
  </conditionalFormatting>
  <conditionalFormatting sqref="H425">
    <cfRule type="cellIs" dxfId="760" priority="397" operator="lessThan">
      <formula>0.1</formula>
    </cfRule>
  </conditionalFormatting>
  <conditionalFormatting sqref="L435">
    <cfRule type="cellIs" dxfId="759" priority="382" operator="lessThan">
      <formula>0.1</formula>
    </cfRule>
  </conditionalFormatting>
  <conditionalFormatting sqref="P446">
    <cfRule type="cellIs" dxfId="758" priority="349" operator="lessThan">
      <formula>0.1</formula>
    </cfRule>
  </conditionalFormatting>
  <conditionalFormatting sqref="T446">
    <cfRule type="cellIs" dxfId="757" priority="366" operator="lessThan">
      <formula>0.1</formula>
    </cfRule>
  </conditionalFormatting>
  <conditionalFormatting sqref="P458">
    <cfRule type="cellIs" dxfId="756" priority="348" operator="lessThan">
      <formula>0.1</formula>
    </cfRule>
  </conditionalFormatting>
  <conditionalFormatting sqref="P428:P432">
    <cfRule type="cellIs" dxfId="755" priority="385" operator="lessThan">
      <formula>0.1</formula>
    </cfRule>
  </conditionalFormatting>
  <conditionalFormatting sqref="H451:H452">
    <cfRule type="cellIs" dxfId="754" priority="353" operator="lessThan">
      <formula>0.1</formula>
    </cfRule>
  </conditionalFormatting>
  <conditionalFormatting sqref="H453:H454">
    <cfRule type="cellIs" dxfId="753" priority="354" operator="lessThan">
      <formula>0.1</formula>
    </cfRule>
  </conditionalFormatting>
  <conditionalFormatting sqref="H448:H449">
    <cfRule type="cellIs" dxfId="752" priority="355" operator="lessThan">
      <formula>0.1</formula>
    </cfRule>
  </conditionalFormatting>
  <conditionalFormatting sqref="T436:T438">
    <cfRule type="cellIs" dxfId="751" priority="374" operator="lessThan">
      <formula>0.1</formula>
    </cfRule>
  </conditionalFormatting>
  <conditionalFormatting sqref="H431:H432">
    <cfRule type="cellIs" dxfId="750" priority="393" operator="lessThan">
      <formula>0.1</formula>
    </cfRule>
  </conditionalFormatting>
  <conditionalFormatting sqref="H426:H427">
    <cfRule type="cellIs" dxfId="749" priority="394" operator="lessThan">
      <formula>0.1</formula>
    </cfRule>
  </conditionalFormatting>
  <conditionalFormatting sqref="H424">
    <cfRule type="cellIs" dxfId="748" priority="395" operator="lessThan">
      <formula>0.1</formula>
    </cfRule>
  </conditionalFormatting>
  <conditionalFormatting sqref="L424">
    <cfRule type="cellIs" dxfId="747" priority="399" operator="lessThan">
      <formula>0.1</formula>
    </cfRule>
  </conditionalFormatting>
  <conditionalFormatting sqref="T461:T465">
    <cfRule type="cellIs" dxfId="746" priority="331" operator="lessThan">
      <formula>0.1</formula>
    </cfRule>
  </conditionalFormatting>
  <conditionalFormatting sqref="T472:T476">
    <cfRule type="cellIs" dxfId="745" priority="313" operator="lessThan">
      <formula>0.1</formula>
    </cfRule>
  </conditionalFormatting>
  <conditionalFormatting sqref="T450:T454">
    <cfRule type="cellIs" dxfId="744" priority="350" operator="lessThan">
      <formula>0.1</formula>
    </cfRule>
  </conditionalFormatting>
  <conditionalFormatting sqref="T448:T449">
    <cfRule type="cellIs" dxfId="743" priority="351" operator="lessThan">
      <formula>0.1</formula>
    </cfRule>
  </conditionalFormatting>
  <conditionalFormatting sqref="T457">
    <cfRule type="cellIs" dxfId="742" priority="334" operator="lessThan">
      <formula>0.1</formula>
    </cfRule>
  </conditionalFormatting>
  <conditionalFormatting sqref="G461:G465">
    <cfRule type="cellIs" dxfId="741" priority="335" operator="lessThan">
      <formula>0.1</formula>
    </cfRule>
  </conditionalFormatting>
  <conditionalFormatting sqref="H462:H463">
    <cfRule type="cellIs" dxfId="740" priority="336" operator="lessThan">
      <formula>0.1</formula>
    </cfRule>
  </conditionalFormatting>
  <conditionalFormatting sqref="H464:H465">
    <cfRule type="cellIs" dxfId="739" priority="337" operator="lessThan">
      <formula>0.1</formula>
    </cfRule>
  </conditionalFormatting>
  <conditionalFormatting sqref="H440:H441">
    <cfRule type="cellIs" dxfId="738" priority="375" operator="lessThan">
      <formula>0.1</formula>
    </cfRule>
  </conditionalFormatting>
  <conditionalFormatting sqref="H442:H443">
    <cfRule type="cellIs" dxfId="737" priority="376" operator="lessThan">
      <formula>0.1</formula>
    </cfRule>
  </conditionalFormatting>
  <conditionalFormatting sqref="H437:H438">
    <cfRule type="cellIs" dxfId="736" priority="377" operator="lessThan">
      <formula>0.1</formula>
    </cfRule>
  </conditionalFormatting>
  <conditionalFormatting sqref="H435">
    <cfRule type="cellIs" dxfId="735" priority="378" operator="lessThan">
      <formula>0.1</formula>
    </cfRule>
  </conditionalFormatting>
  <conditionalFormatting sqref="H439">
    <cfRule type="cellIs" dxfId="734" priority="379" operator="lessThan">
      <formula>0.1</formula>
    </cfRule>
  </conditionalFormatting>
  <conditionalFormatting sqref="H436">
    <cfRule type="cellIs" dxfId="733" priority="380" operator="lessThan">
      <formula>0.1</formula>
    </cfRule>
  </conditionalFormatting>
  <conditionalFormatting sqref="L437:L443">
    <cfRule type="cellIs" dxfId="732" priority="381" operator="lessThan">
      <formula>0.1</formula>
    </cfRule>
  </conditionalFormatting>
  <conditionalFormatting sqref="T483:T487">
    <cfRule type="cellIs" dxfId="731" priority="295" operator="lessThan">
      <formula>0.1</formula>
    </cfRule>
  </conditionalFormatting>
  <conditionalFormatting sqref="L470:L476">
    <cfRule type="cellIs" dxfId="730" priority="317" operator="lessThan">
      <formula>0.1</formula>
    </cfRule>
  </conditionalFormatting>
  <conditionalFormatting sqref="L468">
    <cfRule type="cellIs" dxfId="729" priority="318" operator="lessThan">
      <formula>0.1</formula>
    </cfRule>
  </conditionalFormatting>
  <conditionalFormatting sqref="T470:T471">
    <cfRule type="cellIs" dxfId="728" priority="319" operator="lessThan">
      <formula>0.1</formula>
    </cfRule>
  </conditionalFormatting>
  <conditionalFormatting sqref="H446">
    <cfRule type="cellIs" dxfId="727" priority="356" operator="lessThan">
      <formula>0.1</formula>
    </cfRule>
  </conditionalFormatting>
  <conditionalFormatting sqref="H450">
    <cfRule type="cellIs" dxfId="726" priority="357" operator="lessThan">
      <formula>0.1</formula>
    </cfRule>
  </conditionalFormatting>
  <conditionalFormatting sqref="H447">
    <cfRule type="cellIs" dxfId="725" priority="358" operator="lessThan">
      <formula>0.1</formula>
    </cfRule>
  </conditionalFormatting>
  <conditionalFormatting sqref="L448:L454">
    <cfRule type="cellIs" dxfId="724" priority="359" operator="lessThan">
      <formula>0.1</formula>
    </cfRule>
  </conditionalFormatting>
  <conditionalFormatting sqref="L446">
    <cfRule type="cellIs" dxfId="723" priority="360" operator="lessThan">
      <formula>0.1</formula>
    </cfRule>
  </conditionalFormatting>
  <conditionalFormatting sqref="L447">
    <cfRule type="cellIs" dxfId="722" priority="361" operator="lessThan">
      <formula>0.1</formula>
    </cfRule>
  </conditionalFormatting>
  <conditionalFormatting sqref="P450:P454">
    <cfRule type="cellIs" dxfId="721" priority="362" operator="lessThan">
      <formula>0.1</formula>
    </cfRule>
  </conditionalFormatting>
  <conditionalFormatting sqref="P448:P449">
    <cfRule type="cellIs" dxfId="720" priority="363" operator="lessThan">
      <formula>0.1</formula>
    </cfRule>
  </conditionalFormatting>
  <conditionalFormatting sqref="P447">
    <cfRule type="cellIs" dxfId="719" priority="364" operator="lessThan">
      <formula>0.1</formula>
    </cfRule>
  </conditionalFormatting>
  <conditionalFormatting sqref="T447">
    <cfRule type="cellIs" dxfId="718" priority="365" operator="lessThan">
      <formula>0.1</formula>
    </cfRule>
  </conditionalFormatting>
  <conditionalFormatting sqref="H494">
    <cfRule type="cellIs" dxfId="717" priority="277" operator="lessThan">
      <formula>0.1</formula>
    </cfRule>
  </conditionalFormatting>
  <conditionalFormatting sqref="T459:T460">
    <cfRule type="cellIs" dxfId="716" priority="332" operator="lessThan">
      <formula>0.1</formula>
    </cfRule>
  </conditionalFormatting>
  <conditionalFormatting sqref="T458">
    <cfRule type="cellIs" dxfId="715" priority="333" operator="lessThan">
      <formula>0.1</formula>
    </cfRule>
  </conditionalFormatting>
  <conditionalFormatting sqref="L469">
    <cfRule type="cellIs" dxfId="714" priority="316" operator="lessThan">
      <formula>0.1</formula>
    </cfRule>
  </conditionalFormatting>
  <conditionalFormatting sqref="G483:G487">
    <cfRule type="cellIs" dxfId="713" priority="299" operator="lessThan">
      <formula>0.1</formula>
    </cfRule>
  </conditionalFormatting>
  <conditionalFormatting sqref="H484:H485">
    <cfRule type="cellIs" dxfId="712" priority="300" operator="lessThan">
      <formula>0.1</formula>
    </cfRule>
  </conditionalFormatting>
  <conditionalFormatting sqref="H486:H487">
    <cfRule type="cellIs" dxfId="711" priority="301" operator="lessThan">
      <formula>0.1</formula>
    </cfRule>
  </conditionalFormatting>
  <conditionalFormatting sqref="H459:H460">
    <cfRule type="cellIs" dxfId="710" priority="338" operator="lessThan">
      <formula>0.1</formula>
    </cfRule>
  </conditionalFormatting>
  <conditionalFormatting sqref="H457">
    <cfRule type="cellIs" dxfId="709" priority="339" operator="lessThan">
      <formula>0.1</formula>
    </cfRule>
  </conditionalFormatting>
  <conditionalFormatting sqref="H461">
    <cfRule type="cellIs" dxfId="708" priority="340" operator="lessThan">
      <formula>0.1</formula>
    </cfRule>
  </conditionalFormatting>
  <conditionalFormatting sqref="H458">
    <cfRule type="cellIs" dxfId="707" priority="341" operator="lessThan">
      <formula>0.1</formula>
    </cfRule>
  </conditionalFormatting>
  <conditionalFormatting sqref="L459:L465">
    <cfRule type="cellIs" dxfId="706" priority="342" operator="lessThan">
      <formula>0.1</formula>
    </cfRule>
  </conditionalFormatting>
  <conditionalFormatting sqref="L457">
    <cfRule type="cellIs" dxfId="705" priority="343" operator="lessThan">
      <formula>0.1</formula>
    </cfRule>
  </conditionalFormatting>
  <conditionalFormatting sqref="L458">
    <cfRule type="cellIs" dxfId="704" priority="344" operator="lessThan">
      <formula>0.1</formula>
    </cfRule>
  </conditionalFormatting>
  <conditionalFormatting sqref="P457">
    <cfRule type="cellIs" dxfId="703" priority="345" operator="lessThan">
      <formula>0.1</formula>
    </cfRule>
  </conditionalFormatting>
  <conditionalFormatting sqref="P461:P465">
    <cfRule type="cellIs" dxfId="702" priority="346" operator="lessThan">
      <formula>0.1</formula>
    </cfRule>
  </conditionalFormatting>
  <conditionalFormatting sqref="P459:P460">
    <cfRule type="cellIs" dxfId="701" priority="347" operator="lessThan">
      <formula>0.1</formula>
    </cfRule>
  </conditionalFormatting>
  <conditionalFormatting sqref="T468">
    <cfRule type="cellIs" dxfId="700" priority="314" operator="lessThan">
      <formula>0.1</formula>
    </cfRule>
  </conditionalFormatting>
  <conditionalFormatting sqref="H473:H474">
    <cfRule type="cellIs" dxfId="699" priority="315" operator="lessThan">
      <formula>0.1</formula>
    </cfRule>
  </conditionalFormatting>
  <conditionalFormatting sqref="T479">
    <cfRule type="cellIs" dxfId="698" priority="298" operator="lessThan">
      <formula>0.1</formula>
    </cfRule>
  </conditionalFormatting>
  <conditionalFormatting sqref="T469">
    <cfRule type="cellIs" dxfId="697" priority="320" operator="lessThan">
      <formula>0.1</formula>
    </cfRule>
  </conditionalFormatting>
  <conditionalFormatting sqref="G472:G476">
    <cfRule type="cellIs" dxfId="696" priority="321" operator="lessThan">
      <formula>0.1</formula>
    </cfRule>
  </conditionalFormatting>
  <conditionalFormatting sqref="H475:H476">
    <cfRule type="cellIs" dxfId="695" priority="322" operator="lessThan">
      <formula>0.1</formula>
    </cfRule>
  </conditionalFormatting>
  <conditionalFormatting sqref="H470:H471">
    <cfRule type="cellIs" dxfId="694" priority="323" operator="lessThan">
      <formula>0.1</formula>
    </cfRule>
  </conditionalFormatting>
  <conditionalFormatting sqref="H468">
    <cfRule type="cellIs" dxfId="693" priority="324" operator="lessThan">
      <formula>0.1</formula>
    </cfRule>
  </conditionalFormatting>
  <conditionalFormatting sqref="H472">
    <cfRule type="cellIs" dxfId="692" priority="325" operator="lessThan">
      <formula>0.1</formula>
    </cfRule>
  </conditionalFormatting>
  <conditionalFormatting sqref="H469">
    <cfRule type="cellIs" dxfId="691" priority="326" operator="lessThan">
      <formula>0.1</formula>
    </cfRule>
  </conditionalFormatting>
  <conditionalFormatting sqref="P468">
    <cfRule type="cellIs" dxfId="690" priority="327" operator="lessThan">
      <formula>0.1</formula>
    </cfRule>
  </conditionalFormatting>
  <conditionalFormatting sqref="P472:P476">
    <cfRule type="cellIs" dxfId="689" priority="328" operator="lessThan">
      <formula>0.1</formula>
    </cfRule>
  </conditionalFormatting>
  <conditionalFormatting sqref="P470:P471">
    <cfRule type="cellIs" dxfId="688" priority="329" operator="lessThan">
      <formula>0.1</formula>
    </cfRule>
  </conditionalFormatting>
  <conditionalFormatting sqref="P469">
    <cfRule type="cellIs" dxfId="687" priority="330" operator="lessThan">
      <formula>0.1</formula>
    </cfRule>
  </conditionalFormatting>
  <conditionalFormatting sqref="H331:H332">
    <cfRule type="cellIs" dxfId="686" priority="257" operator="lessThan">
      <formula>0.1</formula>
    </cfRule>
  </conditionalFormatting>
  <conditionalFormatting sqref="T481:T482">
    <cfRule type="cellIs" dxfId="685" priority="296" operator="lessThan">
      <formula>0.1</formula>
    </cfRule>
  </conditionalFormatting>
  <conditionalFormatting sqref="T480">
    <cfRule type="cellIs" dxfId="684" priority="297" operator="lessThan">
      <formula>0.1</formula>
    </cfRule>
  </conditionalFormatting>
  <conditionalFormatting sqref="H481:H482">
    <cfRule type="cellIs" dxfId="683" priority="302" operator="lessThan">
      <formula>0.1</formula>
    </cfRule>
  </conditionalFormatting>
  <conditionalFormatting sqref="H479">
    <cfRule type="cellIs" dxfId="682" priority="303" operator="lessThan">
      <formula>0.1</formula>
    </cfRule>
  </conditionalFormatting>
  <conditionalFormatting sqref="H483">
    <cfRule type="cellIs" dxfId="681" priority="304" operator="lessThan">
      <formula>0.1</formula>
    </cfRule>
  </conditionalFormatting>
  <conditionalFormatting sqref="H480">
    <cfRule type="cellIs" dxfId="680" priority="305" operator="lessThan">
      <formula>0.1</formula>
    </cfRule>
  </conditionalFormatting>
  <conditionalFormatting sqref="L481:L487">
    <cfRule type="cellIs" dxfId="679" priority="306" operator="lessThan">
      <formula>0.1</formula>
    </cfRule>
  </conditionalFormatting>
  <conditionalFormatting sqref="L479">
    <cfRule type="cellIs" dxfId="678" priority="307" operator="lessThan">
      <formula>0.1</formula>
    </cfRule>
  </conditionalFormatting>
  <conditionalFormatting sqref="L480">
    <cfRule type="cellIs" dxfId="677" priority="308" operator="lessThan">
      <formula>0.1</formula>
    </cfRule>
  </conditionalFormatting>
  <conditionalFormatting sqref="P479">
    <cfRule type="cellIs" dxfId="676" priority="309" operator="lessThan">
      <formula>0.1</formula>
    </cfRule>
  </conditionalFormatting>
  <conditionalFormatting sqref="P483:P487">
    <cfRule type="cellIs" dxfId="675" priority="310" operator="lessThan">
      <formula>0.1</formula>
    </cfRule>
  </conditionalFormatting>
  <conditionalFormatting sqref="P481:P482">
    <cfRule type="cellIs" dxfId="674" priority="311" operator="lessThan">
      <formula>0.1</formula>
    </cfRule>
  </conditionalFormatting>
  <conditionalFormatting sqref="P480">
    <cfRule type="cellIs" dxfId="673" priority="312" operator="lessThan">
      <formula>0.1</formula>
    </cfRule>
  </conditionalFormatting>
  <conditionalFormatting sqref="T490">
    <cfRule type="cellIs" dxfId="672" priority="281" operator="lessThan">
      <formula>0.1</formula>
    </cfRule>
  </conditionalFormatting>
  <conditionalFormatting sqref="G494:G498">
    <cfRule type="cellIs" dxfId="671" priority="282" operator="lessThan">
      <formula>0.1</formula>
    </cfRule>
  </conditionalFormatting>
  <conditionalFormatting sqref="H495:H496">
    <cfRule type="cellIs" dxfId="670" priority="283" operator="lessThan">
      <formula>0.1</formula>
    </cfRule>
  </conditionalFormatting>
  <conditionalFormatting sqref="H497:H498">
    <cfRule type="cellIs" dxfId="669" priority="284" operator="lessThan">
      <formula>0.1</formula>
    </cfRule>
  </conditionalFormatting>
  <conditionalFormatting sqref="H492:H493">
    <cfRule type="cellIs" dxfId="668" priority="285" operator="lessThan">
      <formula>0.1</formula>
    </cfRule>
  </conditionalFormatting>
  <conditionalFormatting sqref="H490">
    <cfRule type="cellIs" dxfId="667" priority="286" operator="lessThan">
      <formula>0.1</formula>
    </cfRule>
  </conditionalFormatting>
  <conditionalFormatting sqref="H491">
    <cfRule type="cellIs" dxfId="666" priority="287" operator="lessThan">
      <formula>0.1</formula>
    </cfRule>
  </conditionalFormatting>
  <conditionalFormatting sqref="L492:L498">
    <cfRule type="cellIs" dxfId="665" priority="288" operator="lessThan">
      <formula>0.1</formula>
    </cfRule>
  </conditionalFormatting>
  <conditionalFormatting sqref="L490">
    <cfRule type="cellIs" dxfId="664" priority="289" operator="lessThan">
      <formula>0.1</formula>
    </cfRule>
  </conditionalFormatting>
  <conditionalFormatting sqref="L491">
    <cfRule type="cellIs" dxfId="663" priority="290" operator="lessThan">
      <formula>0.1</formula>
    </cfRule>
  </conditionalFormatting>
  <conditionalFormatting sqref="P490">
    <cfRule type="cellIs" dxfId="662" priority="291" operator="lessThan">
      <formula>0.1</formula>
    </cfRule>
  </conditionalFormatting>
  <conditionalFormatting sqref="P494:P498">
    <cfRule type="cellIs" dxfId="661" priority="292" operator="lessThan">
      <formula>0.1</formula>
    </cfRule>
  </conditionalFormatting>
  <conditionalFormatting sqref="P492:P493">
    <cfRule type="cellIs" dxfId="660" priority="293" operator="lessThan">
      <formula>0.1</formula>
    </cfRule>
  </conditionalFormatting>
  <conditionalFormatting sqref="P491">
    <cfRule type="cellIs" dxfId="659" priority="294" operator="lessThan">
      <formula>0.1</formula>
    </cfRule>
  </conditionalFormatting>
  <conditionalFormatting sqref="T494:T498">
    <cfRule type="cellIs" dxfId="658" priority="278" operator="lessThan">
      <formula>0.1</formula>
    </cfRule>
  </conditionalFormatting>
  <conditionalFormatting sqref="T492:T493">
    <cfRule type="cellIs" dxfId="657" priority="279" operator="lessThan">
      <formula>0.1</formula>
    </cfRule>
  </conditionalFormatting>
  <conditionalFormatting sqref="T491">
    <cfRule type="cellIs" dxfId="656" priority="280" operator="lessThan">
      <formula>0.1</formula>
    </cfRule>
  </conditionalFormatting>
  <conditionalFormatting sqref="H326:H327">
    <cfRule type="cellIs" dxfId="655" priority="258" operator="lessThan">
      <formula>0.1</formula>
    </cfRule>
  </conditionalFormatting>
  <conditionalFormatting sqref="G328:G332">
    <cfRule type="cellIs" dxfId="654" priority="254" operator="lessThan">
      <formula>0.1</formula>
    </cfRule>
  </conditionalFormatting>
  <conditionalFormatting sqref="H328">
    <cfRule type="cellIs" dxfId="653" priority="255" operator="lessThan">
      <formula>0.1</formula>
    </cfRule>
  </conditionalFormatting>
  <conditionalFormatting sqref="H329:H330">
    <cfRule type="cellIs" dxfId="652" priority="256" operator="lessThan">
      <formula>0.1</formula>
    </cfRule>
  </conditionalFormatting>
  <conditionalFormatting sqref="H324">
    <cfRule type="cellIs" dxfId="651" priority="252" operator="lessThan">
      <formula>0.1</formula>
    </cfRule>
  </conditionalFormatting>
  <conditionalFormatting sqref="H325">
    <cfRule type="cellIs" dxfId="650" priority="253" operator="lessThan">
      <formula>0.1</formula>
    </cfRule>
  </conditionalFormatting>
  <conditionalFormatting sqref="L326:L332">
    <cfRule type="cellIs" dxfId="649" priority="251" operator="lessThan">
      <formula>0.1</formula>
    </cfRule>
  </conditionalFormatting>
  <conditionalFormatting sqref="P328:P332">
    <cfRule type="cellIs" dxfId="648" priority="248" operator="lessThan">
      <formula>0.1</formula>
    </cfRule>
  </conditionalFormatting>
  <conditionalFormatting sqref="P325:P327">
    <cfRule type="cellIs" dxfId="647" priority="249" operator="lessThan">
      <formula>0.1</formula>
    </cfRule>
  </conditionalFormatting>
  <conditionalFormatting sqref="T328:T332">
    <cfRule type="cellIs" dxfId="646" priority="245" operator="lessThan">
      <formula>0.1</formula>
    </cfRule>
  </conditionalFormatting>
  <conditionalFormatting sqref="T324">
    <cfRule type="cellIs" dxfId="645" priority="247" operator="lessThan">
      <formula>0.1</formula>
    </cfRule>
  </conditionalFormatting>
  <conditionalFormatting sqref="T325:T327">
    <cfRule type="cellIs" dxfId="644" priority="246" operator="lessThan">
      <formula>0.1</formula>
    </cfRule>
  </conditionalFormatting>
  <conditionalFormatting sqref="G339:G343">
    <cfRule type="cellIs" dxfId="643" priority="240" operator="lessThan">
      <formula>0.1</formula>
    </cfRule>
  </conditionalFormatting>
  <conditionalFormatting sqref="H339">
    <cfRule type="cellIs" dxfId="642" priority="241" operator="lessThan">
      <formula>0.1</formula>
    </cfRule>
  </conditionalFormatting>
  <conditionalFormatting sqref="H340:H341">
    <cfRule type="cellIs" dxfId="641" priority="242" operator="lessThan">
      <formula>0.1</formula>
    </cfRule>
  </conditionalFormatting>
  <conditionalFormatting sqref="H342:H343">
    <cfRule type="cellIs" dxfId="640" priority="243" operator="lessThan">
      <formula>0.1</formula>
    </cfRule>
  </conditionalFormatting>
  <conditionalFormatting sqref="H337:H338">
    <cfRule type="cellIs" dxfId="639" priority="244" operator="lessThan">
      <formula>0.1</formula>
    </cfRule>
  </conditionalFormatting>
  <conditionalFormatting sqref="H335">
    <cfRule type="cellIs" dxfId="638" priority="238" operator="lessThan">
      <formula>0.1</formula>
    </cfRule>
  </conditionalFormatting>
  <conditionalFormatting sqref="H336">
    <cfRule type="cellIs" dxfId="637" priority="239" operator="lessThan">
      <formula>0.1</formula>
    </cfRule>
  </conditionalFormatting>
  <conditionalFormatting sqref="L337:L343">
    <cfRule type="cellIs" dxfId="636" priority="237" operator="lessThan">
      <formula>0.1</formula>
    </cfRule>
  </conditionalFormatting>
  <conditionalFormatting sqref="P339:P343">
    <cfRule type="cellIs" dxfId="635" priority="234" operator="lessThan">
      <formula>0.1</formula>
    </cfRule>
  </conditionalFormatting>
  <conditionalFormatting sqref="P336:P338">
    <cfRule type="cellIs" dxfId="634" priority="235" operator="lessThan">
      <formula>0.1</formula>
    </cfRule>
  </conditionalFormatting>
  <conditionalFormatting sqref="T339:T343">
    <cfRule type="cellIs" dxfId="633" priority="231" operator="lessThan">
      <formula>0.1</formula>
    </cfRule>
  </conditionalFormatting>
  <conditionalFormatting sqref="T335">
    <cfRule type="cellIs" dxfId="632" priority="233" operator="lessThan">
      <formula>0.1</formula>
    </cfRule>
  </conditionalFormatting>
  <conditionalFormatting sqref="T336:T338">
    <cfRule type="cellIs" dxfId="631" priority="232" operator="lessThan">
      <formula>0.1</formula>
    </cfRule>
  </conditionalFormatting>
  <conditionalFormatting sqref="L335">
    <cfRule type="cellIs" dxfId="630" priority="229" operator="lessThan">
      <formula>0.1</formula>
    </cfRule>
  </conditionalFormatting>
  <conditionalFormatting sqref="L336">
    <cfRule type="cellIs" dxfId="629" priority="230" operator="lessThan">
      <formula>0.1</formula>
    </cfRule>
  </conditionalFormatting>
  <conditionalFormatting sqref="L324">
    <cfRule type="cellIs" dxfId="628" priority="227" operator="lessThan">
      <formula>0.1</formula>
    </cfRule>
  </conditionalFormatting>
  <conditionalFormatting sqref="L325">
    <cfRule type="cellIs" dxfId="627" priority="228" operator="lessThan">
      <formula>0.1</formula>
    </cfRule>
  </conditionalFormatting>
  <conditionalFormatting sqref="X123">
    <cfRule type="cellIs" dxfId="626" priority="226" operator="lessThan">
      <formula>0.1</formula>
    </cfRule>
  </conditionalFormatting>
  <conditionalFormatting sqref="X115">
    <cfRule type="cellIs" dxfId="625" priority="225" operator="lessThan">
      <formula>0.1</formula>
    </cfRule>
  </conditionalFormatting>
  <conditionalFormatting sqref="X148">
    <cfRule type="cellIs" dxfId="624" priority="224" operator="lessThan">
      <formula>0.1</formula>
    </cfRule>
  </conditionalFormatting>
  <conditionalFormatting sqref="X152:X156">
    <cfRule type="cellIs" dxfId="623" priority="222" operator="lessThan">
      <formula>0.1</formula>
    </cfRule>
  </conditionalFormatting>
  <conditionalFormatting sqref="X149:X151">
    <cfRule type="cellIs" dxfId="622" priority="223" operator="lessThan">
      <formula>0.1</formula>
    </cfRule>
  </conditionalFormatting>
  <conditionalFormatting sqref="X236">
    <cfRule type="cellIs" dxfId="621" priority="218" operator="lessThan">
      <formula>0.1</formula>
    </cfRule>
  </conditionalFormatting>
  <conditionalFormatting sqref="X237:X239">
    <cfRule type="cellIs" dxfId="620" priority="221" operator="lessThan">
      <formula>0.1</formula>
    </cfRule>
  </conditionalFormatting>
  <conditionalFormatting sqref="X240:X243">
    <cfRule type="cellIs" dxfId="619" priority="220" operator="lessThan">
      <formula>0.1</formula>
    </cfRule>
  </conditionalFormatting>
  <conditionalFormatting sqref="X244">
    <cfRule type="cellIs" dxfId="618" priority="219" operator="lessThan">
      <formula>0.1</formula>
    </cfRule>
  </conditionalFormatting>
  <conditionalFormatting sqref="X258">
    <cfRule type="cellIs" dxfId="617" priority="214" operator="lessThan">
      <formula>0.1</formula>
    </cfRule>
  </conditionalFormatting>
  <conditionalFormatting sqref="X259:X261">
    <cfRule type="cellIs" dxfId="616" priority="217" operator="lessThan">
      <formula>0.1</formula>
    </cfRule>
  </conditionalFormatting>
  <conditionalFormatting sqref="X262:X265">
    <cfRule type="cellIs" dxfId="615" priority="216" operator="lessThan">
      <formula>0.1</formula>
    </cfRule>
  </conditionalFormatting>
  <conditionalFormatting sqref="X266">
    <cfRule type="cellIs" dxfId="614" priority="215" operator="lessThan">
      <formula>0.1</formula>
    </cfRule>
  </conditionalFormatting>
  <conditionalFormatting sqref="X491 X370 X392 X414 X436 X458 X480 X359 X381 X403 X425 X447 X469 X348">
    <cfRule type="cellIs" dxfId="613" priority="54" operator="lessThan">
      <formula>0.1</formula>
    </cfRule>
  </conditionalFormatting>
  <conditionalFormatting sqref="X490 X369 X391 X413 X435 X457 X479 X358 X380 X402 X424 X446 X468 X347">
    <cfRule type="cellIs" dxfId="612" priority="55" operator="lessThan">
      <formula>0.1</formula>
    </cfRule>
  </conditionalFormatting>
  <conditionalFormatting sqref="X494:X498 X373:X377 X395:X399 X417:X421 X439:X443 X461:X465 X483:X487 X362:X366 X384:X388 X406:X410 X428:X432 X450:X454 X472:X476 X351:X355">
    <cfRule type="cellIs" dxfId="611" priority="52" operator="lessThan">
      <formula>0.1</formula>
    </cfRule>
  </conditionalFormatting>
  <conditionalFormatting sqref="X492:X493 X371:X372 X393:X394 X415:X416 X437:X438 X459:X460 X481:X482 X360:X361 X382:X383 X404:X405 X426:X427 X448:X449 X470:X471 X349:X350">
    <cfRule type="cellIs" dxfId="610" priority="53" operator="lessThan">
      <formula>0.1</formula>
    </cfRule>
  </conditionalFormatting>
  <conditionalFormatting sqref="X335 X269 X280 X291 X302 X313 X324">
    <cfRule type="cellIs" dxfId="609" priority="51" operator="lessThan">
      <formula>0.1</formula>
    </cfRule>
  </conditionalFormatting>
  <conditionalFormatting sqref="X339:X343 X273:X277 X284:X288 X295:X299 X306:X310 X317:X321 X328:X332">
    <cfRule type="cellIs" dxfId="608" priority="48" operator="lessThan">
      <formula>0.1</formula>
    </cfRule>
  </conditionalFormatting>
  <conditionalFormatting sqref="X337:X338 X271:X272 X282:X283 X293:X294 X304:X305 X315:X316 X326:X327">
    <cfRule type="cellIs" dxfId="607" priority="49" operator="lessThan">
      <formula>0.1</formula>
    </cfRule>
  </conditionalFormatting>
  <conditionalFormatting sqref="X336 X270 X281 X292 X303 X314 X325">
    <cfRule type="cellIs" dxfId="606" priority="50" operator="lessThan">
      <formula>0.1</formula>
    </cfRule>
  </conditionalFormatting>
  <conditionalFormatting sqref="X247">
    <cfRule type="cellIs" dxfId="605" priority="47" operator="lessThan">
      <formula>0.1</formula>
    </cfRule>
  </conditionalFormatting>
  <conditionalFormatting sqref="X251:X255">
    <cfRule type="cellIs" dxfId="604" priority="44" operator="lessThan">
      <formula>0.1</formula>
    </cfRule>
  </conditionalFormatting>
  <conditionalFormatting sqref="X249:X250">
    <cfRule type="cellIs" dxfId="603" priority="45" operator="lessThan">
      <formula>0.1</formula>
    </cfRule>
  </conditionalFormatting>
  <conditionalFormatting sqref="X248">
    <cfRule type="cellIs" dxfId="602" priority="46" operator="lessThan">
      <formula>0.1</formula>
    </cfRule>
  </conditionalFormatting>
  <conditionalFormatting sqref="X225 X159 X170 X181 X192 X203 X214">
    <cfRule type="cellIs" dxfId="601" priority="43" operator="lessThan">
      <formula>0.1</formula>
    </cfRule>
  </conditionalFormatting>
  <conditionalFormatting sqref="X229:X233 X163:X167 X174:X178 X185:X189 X196:X200 X207:X211 X218:X222">
    <cfRule type="cellIs" dxfId="600" priority="40" operator="lessThan">
      <formula>0.1</formula>
    </cfRule>
  </conditionalFormatting>
  <conditionalFormatting sqref="X227:X228 X161:X162 X172:X173 X183:X184 X194:X195 X205:X206 X216:X217">
    <cfRule type="cellIs" dxfId="599" priority="41" operator="lessThan">
      <formula>0.1</formula>
    </cfRule>
  </conditionalFormatting>
  <conditionalFormatting sqref="X226 X160 X171 X182 X193 X204 X215">
    <cfRule type="cellIs" dxfId="598" priority="42" operator="lessThan">
      <formula>0.1</formula>
    </cfRule>
  </conditionalFormatting>
  <conditionalFormatting sqref="AB358 AB380 AB402 AB424 AB446 AB468 AB490 AB347 AB369 AB391 AB413 AB435 AB457 AB479">
    <cfRule type="cellIs" dxfId="597" priority="39" operator="lessThan">
      <formula>0.1</formula>
    </cfRule>
  </conditionalFormatting>
  <conditionalFormatting sqref="AB362:AB366 AB384:AB388 AB406:AB410 AB428:AB432 AB450:AB454 AB472:AB476 AB494:AB498 AB351:AB355 AB373:AB377 AB395:AB399 AB417:AB421 AB439:AB443 AB461:AB465 AB483:AB487">
    <cfRule type="cellIs" dxfId="596" priority="36" operator="lessThan">
      <formula>0.1</formula>
    </cfRule>
  </conditionalFormatting>
  <conditionalFormatting sqref="AB360:AB361 AB382:AB383 AB404:AB405 AB426:AB427 AB448:AB449 AB470:AB471 AB492:AB493 AB349:AB350 AB371:AB372 AB393:AB394 AB415:AB416 AB437:AB438 AB459:AB460 AB481:AB482">
    <cfRule type="cellIs" dxfId="595" priority="37" operator="lessThan">
      <formula>0.1</formula>
    </cfRule>
  </conditionalFormatting>
  <conditionalFormatting sqref="AB359 AB381 AB403 AB425 AB447 AB469 AB491 AB348 AB370 AB392 AB414 AB436 AB458 AB480">
    <cfRule type="cellIs" dxfId="594" priority="38" operator="lessThan">
      <formula>0.1</formula>
    </cfRule>
  </conditionalFormatting>
  <conditionalFormatting sqref="AB335 AB5 AB16 AB27 AB38 AB49 AB60 AB71 AB82 AB93 AB104 AB115 AB126 AB137 AB148 AB159 AB170 AB181 AB192 AB203 AB214 AB225 AB236 AB247 AB258 AB269 AB280 AB291 AB302 AB313 AB324">
    <cfRule type="cellIs" dxfId="593" priority="35" operator="lessThan">
      <formula>0.1</formula>
    </cfRule>
  </conditionalFormatting>
  <conditionalFormatting sqref="AB339:AB343 AB9:AB13 AB20:AB24 AB31:AB35 AB42:AB46 AB53:AB57 AB64:AB68 AB75:AB79 AB86:AB90 AB97:AB101 AB108:AB112 AB119:AB123 AB130:AB134 AB141:AB145 AB152:AB156 AB163:AB167 AB174:AB178 AB185:AB189 AB196:AB200 AB207:AB211 AB218:AB222 AB229:AB233 AB240:AB244 AB251:AB255 AB262:AB266 AB273:AB277 AB284:AB288 AB295:AB299 AB306:AB310 AB317:AB321 AB328:AB332">
    <cfRule type="cellIs" dxfId="592" priority="32" operator="lessThan">
      <formula>0.1</formula>
    </cfRule>
  </conditionalFormatting>
  <conditionalFormatting sqref="AB337:AB338 AB7:AB8 AB18:AB19 AB29:AB30 AB40:AB41 AB51:AB52 AB62:AB63 AB73:AB74 AB84:AB85 AB95:AB96 AB106:AB107 AB117:AB118 AB128:AB129 AB139:AB140 AB150:AB151 AB161:AB162 AB172:AB173 AB183:AB184 AB194:AB195 AB205:AB206 AB216:AB217 AB227:AB228 AB238:AB239 AB249:AB250 AB260:AB261 AB271:AB272 AB282:AB283 AB293:AB294 AB304:AB305 AB315:AB316 AB326:AB327">
    <cfRule type="cellIs" dxfId="591" priority="33" operator="lessThan">
      <formula>0.1</formula>
    </cfRule>
  </conditionalFormatting>
  <conditionalFormatting sqref="AB336 AB6 AB17 AB28 AB39 AB50 AB61 AB72 AB83 AB94 AB105 AB116 AB127 AB138 AB149 AB160 AB171 AB182 AB193 AB204 AB215 AB226 AB237 AB248 AB259 AB270 AB281 AB292 AB303 AB314 AB325">
    <cfRule type="cellIs" dxfId="590" priority="34" operator="lessThan">
      <formula>0.1</formula>
    </cfRule>
  </conditionalFormatting>
  <conditionalFormatting sqref="H16">
    <cfRule type="cellIs" dxfId="589" priority="31" operator="lessThan">
      <formula>0.1</formula>
    </cfRule>
  </conditionalFormatting>
  <conditionalFormatting sqref="L16">
    <cfRule type="cellIs" dxfId="588" priority="30" operator="lessThan">
      <formula>0.1</formula>
    </cfRule>
  </conditionalFormatting>
  <conditionalFormatting sqref="T16">
    <cfRule type="cellIs" dxfId="587" priority="29" operator="lessThan">
      <formula>0.1</formula>
    </cfRule>
  </conditionalFormatting>
  <conditionalFormatting sqref="H38">
    <cfRule type="cellIs" dxfId="586" priority="28" operator="lessThan">
      <formula>0.1</formula>
    </cfRule>
  </conditionalFormatting>
  <conditionalFormatting sqref="G54">
    <cfRule type="cellIs" dxfId="585" priority="27" operator="lessThan">
      <formula>0.1</formula>
    </cfRule>
  </conditionalFormatting>
  <conditionalFormatting sqref="T54">
    <cfRule type="cellIs" dxfId="584" priority="26" operator="lessThan">
      <formula>0.1</formula>
    </cfRule>
  </conditionalFormatting>
  <conditionalFormatting sqref="H60">
    <cfRule type="cellIs" dxfId="583" priority="25" operator="lessThan">
      <formula>0.1</formula>
    </cfRule>
  </conditionalFormatting>
  <conditionalFormatting sqref="H82">
    <cfRule type="cellIs" dxfId="582" priority="24" operator="lessThan">
      <formula>0.1</formula>
    </cfRule>
  </conditionalFormatting>
  <conditionalFormatting sqref="P38">
    <cfRule type="cellIs" dxfId="581" priority="23" operator="lessThan">
      <formula>0.1</formula>
    </cfRule>
  </conditionalFormatting>
  <conditionalFormatting sqref="P49">
    <cfRule type="cellIs" dxfId="580" priority="22" operator="lessThan">
      <formula>0.1</formula>
    </cfRule>
  </conditionalFormatting>
  <conditionalFormatting sqref="P269">
    <cfRule type="cellIs" dxfId="579" priority="21" operator="lessThan">
      <formula>0.1</formula>
    </cfRule>
  </conditionalFormatting>
  <conditionalFormatting sqref="P280">
    <cfRule type="cellIs" dxfId="578" priority="20" operator="lessThan">
      <formula>0.1</formula>
    </cfRule>
  </conditionalFormatting>
  <conditionalFormatting sqref="P291">
    <cfRule type="cellIs" dxfId="577" priority="19" operator="lessThan">
      <formula>0.1</formula>
    </cfRule>
  </conditionalFormatting>
  <conditionalFormatting sqref="P302">
    <cfRule type="cellIs" dxfId="576" priority="18" operator="lessThan">
      <formula>0.1</formula>
    </cfRule>
  </conditionalFormatting>
  <conditionalFormatting sqref="P313">
    <cfRule type="cellIs" dxfId="575" priority="17" operator="lessThan">
      <formula>0.1</formula>
    </cfRule>
  </conditionalFormatting>
  <conditionalFormatting sqref="P324">
    <cfRule type="cellIs" dxfId="574" priority="16" operator="lessThan">
      <formula>0.1</formula>
    </cfRule>
  </conditionalFormatting>
  <conditionalFormatting sqref="P335">
    <cfRule type="cellIs" dxfId="573" priority="15" operator="lessThan">
      <formula>0.1</formula>
    </cfRule>
  </conditionalFormatting>
  <conditionalFormatting sqref="P347">
    <cfRule type="cellIs" dxfId="572" priority="14" operator="lessThan">
      <formula>0.1</formula>
    </cfRule>
  </conditionalFormatting>
  <conditionalFormatting sqref="P358">
    <cfRule type="cellIs" dxfId="571" priority="13" operator="lessThan">
      <formula>0.1</formula>
    </cfRule>
  </conditionalFormatting>
  <conditionalFormatting sqref="P369">
    <cfRule type="cellIs" dxfId="570" priority="12" operator="lessThan">
      <formula>0.1</formula>
    </cfRule>
  </conditionalFormatting>
  <conditionalFormatting sqref="P380">
    <cfRule type="cellIs" dxfId="569" priority="11" operator="lessThan">
      <formula>0.1</formula>
    </cfRule>
  </conditionalFormatting>
  <conditionalFormatting sqref="P391">
    <cfRule type="cellIs" dxfId="568" priority="10" operator="lessThan">
      <formula>0.1</formula>
    </cfRule>
  </conditionalFormatting>
  <conditionalFormatting sqref="P402">
    <cfRule type="cellIs" dxfId="567" priority="9" operator="lessThan">
      <formula>0.1</formula>
    </cfRule>
  </conditionalFormatting>
  <conditionalFormatting sqref="T413">
    <cfRule type="cellIs" dxfId="566" priority="8" operator="lessThan">
      <formula>0.1</formula>
    </cfRule>
  </conditionalFormatting>
  <conditionalFormatting sqref="T280">
    <cfRule type="cellIs" dxfId="565" priority="7" operator="lessThan">
      <formula>0.1</formula>
    </cfRule>
  </conditionalFormatting>
  <conditionalFormatting sqref="T424">
    <cfRule type="cellIs" dxfId="564" priority="6" operator="lessThan">
      <formula>0.1</formula>
    </cfRule>
  </conditionalFormatting>
  <conditionalFormatting sqref="T435">
    <cfRule type="cellIs" dxfId="563" priority="5" operator="lessThan">
      <formula>0.1</formula>
    </cfRule>
  </conditionalFormatting>
  <conditionalFormatting sqref="T225">
    <cfRule type="cellIs" dxfId="562" priority="4" operator="lessThan">
      <formula>0.1</formula>
    </cfRule>
  </conditionalFormatting>
  <conditionalFormatting sqref="T402">
    <cfRule type="cellIs" dxfId="561" priority="3" operator="lessThan">
      <formula>0.1</formula>
    </cfRule>
  </conditionalFormatting>
  <conditionalFormatting sqref="J505">
    <cfRule type="duplicateValues" dxfId="560" priority="2"/>
  </conditionalFormatting>
  <conditionalFormatting sqref="J506:J507">
    <cfRule type="duplicateValues" dxfId="559" priority="1"/>
  </conditionalFormatting>
  <printOptions horizontalCentered="1" verticalCentered="1"/>
  <pageMargins left="0.1" right="0.1" top="0.1" bottom="0.1" header="0" footer="0"/>
  <pageSetup scale="39" orientation="landscape" r:id="rId1"/>
  <rowBreaks count="4" manualBreakCount="4">
    <brk id="112" max="31" man="1"/>
    <brk id="222" max="31" man="1"/>
    <brk id="332" max="31" man="1"/>
    <brk id="443" max="31"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7">
    <pageSetUpPr fitToPage="1"/>
  </sheetPr>
  <dimension ref="A1:AC144"/>
  <sheetViews>
    <sheetView view="pageBreakPreview" zoomScale="40" zoomScaleNormal="70" zoomScaleSheetLayoutView="40" workbookViewId="0">
      <selection activeCell="C19" sqref="C19"/>
    </sheetView>
  </sheetViews>
  <sheetFormatPr baseColWidth="10" defaultColWidth="11.42578125" defaultRowHeight="15" customHeight="1" x14ac:dyDescent="0.2"/>
  <cols>
    <col min="1" max="1" width="11.42578125" style="142"/>
    <col min="2" max="2" width="39.7109375" style="142" customWidth="1"/>
    <col min="3" max="3" width="41.85546875" style="142" customWidth="1"/>
    <col min="4" max="4" width="56.28515625" style="142" customWidth="1"/>
    <col min="5" max="5" width="20.85546875" style="142" customWidth="1"/>
    <col min="6" max="6" width="20.28515625" style="142" customWidth="1"/>
    <col min="7" max="7" width="19.5703125" style="473" customWidth="1"/>
    <col min="8" max="8" width="21" style="142" customWidth="1"/>
    <col min="9" max="9" width="23.28515625" style="142" customWidth="1"/>
    <col min="10" max="10" width="24.28515625" style="142" customWidth="1"/>
    <col min="11" max="11" width="41.7109375" style="142" customWidth="1"/>
    <col min="12" max="12" width="33.28515625" style="142" customWidth="1"/>
    <col min="13" max="13" width="20.85546875" style="142" customWidth="1"/>
    <col min="14" max="14" width="24.28515625" style="142" customWidth="1"/>
    <col min="15" max="16" width="21.28515625" style="142" bestFit="1" customWidth="1"/>
    <col min="17" max="18" width="17" style="142" bestFit="1" customWidth="1"/>
    <col min="19" max="19" width="21.28515625" style="142" bestFit="1" customWidth="1"/>
    <col min="20" max="20" width="20.28515625" style="142" customWidth="1"/>
    <col min="21" max="21" width="19.42578125" style="142" customWidth="1"/>
    <col min="22" max="23" width="23.140625" style="142" customWidth="1"/>
    <col min="24" max="24" width="26.28515625" style="142" customWidth="1"/>
    <col min="25" max="25" width="26.7109375" style="142" bestFit="1" customWidth="1"/>
    <col min="26" max="26" width="26.28515625" style="142" bestFit="1" customWidth="1"/>
    <col min="27" max="27" width="20.85546875" style="142" bestFit="1" customWidth="1"/>
    <col min="28" max="28" width="27.5703125" style="142" bestFit="1" customWidth="1"/>
    <col min="29" max="29" width="11.42578125" style="141"/>
    <col min="30" max="16384" width="11.42578125" style="142"/>
  </cols>
  <sheetData>
    <row r="1" spans="1:28" ht="15" customHeight="1" thickBot="1" x14ac:dyDescent="0.25"/>
    <row r="2" spans="1:28" ht="12.75" customHeight="1" x14ac:dyDescent="0.2">
      <c r="A2" s="525"/>
      <c r="B2" s="1428" t="s">
        <v>697</v>
      </c>
      <c r="C2" s="1429"/>
      <c r="D2" s="1429"/>
      <c r="E2" s="1429"/>
      <c r="F2" s="1429"/>
      <c r="G2" s="1429"/>
      <c r="H2" s="1429"/>
      <c r="I2" s="1429"/>
      <c r="J2" s="1429"/>
      <c r="K2" s="1429"/>
      <c r="L2" s="1429"/>
      <c r="M2" s="1429"/>
      <c r="N2" s="1429"/>
      <c r="O2" s="1429"/>
      <c r="P2" s="1429"/>
      <c r="Q2" s="1429"/>
      <c r="R2" s="1429"/>
      <c r="S2" s="1429"/>
      <c r="T2" s="1429"/>
      <c r="U2" s="1429"/>
      <c r="V2" s="1429"/>
      <c r="W2" s="1429"/>
      <c r="X2" s="1429"/>
      <c r="Y2" s="1429"/>
      <c r="Z2" s="1429"/>
      <c r="AA2" s="1429"/>
      <c r="AB2" s="1430"/>
    </row>
    <row r="3" spans="1:28" ht="22.15" customHeight="1" x14ac:dyDescent="0.2">
      <c r="A3" s="525"/>
      <c r="B3" s="1431"/>
      <c r="C3" s="1432"/>
      <c r="D3" s="1432"/>
      <c r="E3" s="1432"/>
      <c r="F3" s="1432"/>
      <c r="G3" s="1432"/>
      <c r="H3" s="1432"/>
      <c r="I3" s="1432"/>
      <c r="J3" s="1432"/>
      <c r="K3" s="1432"/>
      <c r="L3" s="1432"/>
      <c r="M3" s="1432"/>
      <c r="N3" s="1432"/>
      <c r="O3" s="1432"/>
      <c r="P3" s="1432"/>
      <c r="Q3" s="1432"/>
      <c r="R3" s="1432"/>
      <c r="S3" s="1432"/>
      <c r="T3" s="1432"/>
      <c r="U3" s="1432"/>
      <c r="V3" s="1432"/>
      <c r="W3" s="1432"/>
      <c r="X3" s="1432"/>
      <c r="Y3" s="1432"/>
      <c r="Z3" s="1432"/>
      <c r="AA3" s="1432"/>
      <c r="AB3" s="1433"/>
    </row>
    <row r="4" spans="1:28" ht="9.6" customHeight="1" x14ac:dyDescent="0.4">
      <c r="A4" s="525"/>
      <c r="B4" s="540"/>
      <c r="C4" s="509"/>
      <c r="D4" s="509"/>
      <c r="E4" s="509"/>
      <c r="F4" s="509"/>
      <c r="G4" s="509"/>
      <c r="H4" s="509"/>
      <c r="I4" s="509"/>
      <c r="J4" s="509"/>
      <c r="K4" s="509"/>
      <c r="L4" s="509"/>
      <c r="M4" s="509"/>
      <c r="N4" s="507"/>
      <c r="O4" s="507"/>
      <c r="P4" s="507"/>
      <c r="Q4" s="507"/>
      <c r="R4" s="507"/>
      <c r="S4" s="507"/>
      <c r="T4" s="507"/>
      <c r="U4" s="507"/>
      <c r="V4" s="507"/>
      <c r="W4" s="507"/>
      <c r="X4" s="507"/>
      <c r="Y4" s="492"/>
      <c r="Z4" s="492"/>
      <c r="AA4" s="492"/>
      <c r="AB4" s="541"/>
    </row>
    <row r="5" spans="1:28" ht="25.15" customHeight="1" x14ac:dyDescent="0.4">
      <c r="A5" s="525"/>
      <c r="B5" s="1454" t="s">
        <v>698</v>
      </c>
      <c r="C5" s="1441"/>
      <c r="D5" s="1441"/>
      <c r="E5" s="1440" t="s">
        <v>699</v>
      </c>
      <c r="F5" s="1446"/>
      <c r="G5" s="1436" t="s">
        <v>700</v>
      </c>
      <c r="H5" s="1437"/>
      <c r="I5" s="1440" t="s">
        <v>970</v>
      </c>
      <c r="J5" s="1448" t="s">
        <v>1936</v>
      </c>
      <c r="K5" s="1449"/>
      <c r="L5" s="493" t="s">
        <v>701</v>
      </c>
      <c r="M5" s="475" t="s">
        <v>1451</v>
      </c>
      <c r="N5" s="476">
        <v>1500</v>
      </c>
      <c r="O5" s="787">
        <v>1</v>
      </c>
      <c r="P5" s="1452" t="s">
        <v>5</v>
      </c>
      <c r="Q5" s="1452"/>
      <c r="R5" s="1453"/>
      <c r="S5" s="1453"/>
      <c r="T5" s="494" t="s">
        <v>6</v>
      </c>
      <c r="U5" s="494" t="s">
        <v>7</v>
      </c>
      <c r="V5" s="494" t="s">
        <v>17</v>
      </c>
      <c r="W5" s="806"/>
      <c r="X5" s="492"/>
      <c r="Y5" s="495"/>
      <c r="Z5" s="495"/>
      <c r="AA5" s="495"/>
      <c r="AB5" s="542"/>
    </row>
    <row r="6" spans="1:28" ht="25.15" customHeight="1" x14ac:dyDescent="0.4">
      <c r="A6" s="525"/>
      <c r="B6" s="1455"/>
      <c r="C6" s="1441"/>
      <c r="D6" s="1441"/>
      <c r="E6" s="1441"/>
      <c r="F6" s="1447"/>
      <c r="G6" s="1438"/>
      <c r="H6" s="1439"/>
      <c r="I6" s="1441"/>
      <c r="J6" s="1450"/>
      <c r="K6" s="1451"/>
      <c r="L6" s="509"/>
      <c r="M6" s="509"/>
      <c r="N6" s="509"/>
      <c r="O6" s="787">
        <v>2</v>
      </c>
      <c r="P6" s="1423" t="s">
        <v>8</v>
      </c>
      <c r="Q6" s="1424"/>
      <c r="R6" s="1425"/>
      <c r="S6" s="494" t="s">
        <v>9</v>
      </c>
      <c r="T6" s="477">
        <v>0.15</v>
      </c>
      <c r="U6" s="477">
        <v>0.2</v>
      </c>
      <c r="V6" s="477">
        <v>0.2</v>
      </c>
      <c r="W6" s="807"/>
      <c r="X6" s="492"/>
      <c r="Y6" s="495"/>
      <c r="Z6" s="495"/>
      <c r="AA6" s="495"/>
      <c r="AB6" s="542"/>
    </row>
    <row r="7" spans="1:28" ht="28.5" x14ac:dyDescent="0.4">
      <c r="A7" s="525"/>
      <c r="B7" s="1442" t="s">
        <v>1845</v>
      </c>
      <c r="C7" s="1443"/>
      <c r="D7" s="496">
        <f>SUMIF($K$27:$K$38,B7,$E$27:$E$38)</f>
        <v>396.29</v>
      </c>
      <c r="E7" s="497">
        <v>4.5</v>
      </c>
      <c r="F7" s="498">
        <v>88.75</v>
      </c>
      <c r="G7" s="1459" t="s">
        <v>1844</v>
      </c>
      <c r="H7" s="1425"/>
      <c r="I7" s="476">
        <f>SUMIF($K$44:$K$123,G7,$E$44:$E$123)</f>
        <v>3281.1731034620366</v>
      </c>
      <c r="J7" s="507" t="s">
        <v>1937</v>
      </c>
      <c r="K7" s="526">
        <v>328.12</v>
      </c>
      <c r="L7" s="507"/>
      <c r="M7" s="507"/>
      <c r="N7" s="509"/>
      <c r="O7" s="787">
        <v>3</v>
      </c>
      <c r="P7" s="1423" t="s">
        <v>10</v>
      </c>
      <c r="Q7" s="1424"/>
      <c r="R7" s="1425"/>
      <c r="S7" s="494" t="s">
        <v>9</v>
      </c>
      <c r="T7" s="499">
        <v>1</v>
      </c>
      <c r="U7" s="499">
        <v>1</v>
      </c>
      <c r="V7" s="499">
        <v>1</v>
      </c>
      <c r="W7" s="808"/>
      <c r="X7" s="492"/>
      <c r="Y7" s="495"/>
      <c r="Z7" s="495"/>
      <c r="AA7" s="495"/>
      <c r="AB7" s="542"/>
    </row>
    <row r="8" spans="1:28" ht="36" customHeight="1" x14ac:dyDescent="0.4">
      <c r="A8" s="525"/>
      <c r="B8" s="1444"/>
      <c r="C8" s="1445"/>
      <c r="D8" s="496">
        <f>SUMIF($K$27:$K$702,B8,$E$27:$E$702)</f>
        <v>0</v>
      </c>
      <c r="E8" s="497"/>
      <c r="F8" s="500"/>
      <c r="G8" s="1434"/>
      <c r="H8" s="1435"/>
      <c r="I8" s="476"/>
      <c r="J8" s="527"/>
      <c r="K8" s="526"/>
      <c r="L8" s="507"/>
      <c r="M8" s="507"/>
      <c r="N8" s="507"/>
      <c r="O8" s="787">
        <v>4</v>
      </c>
      <c r="P8" s="1423" t="s">
        <v>868</v>
      </c>
      <c r="Q8" s="1424"/>
      <c r="R8" s="1425"/>
      <c r="S8" s="501" t="s">
        <v>11</v>
      </c>
      <c r="T8" s="502">
        <v>0.9</v>
      </c>
      <c r="U8" s="502">
        <v>0.85</v>
      </c>
      <c r="V8" s="502">
        <v>0.85</v>
      </c>
      <c r="W8" s="809"/>
      <c r="X8" s="492"/>
      <c r="Y8" s="495"/>
      <c r="Z8" s="495"/>
      <c r="AA8" s="495"/>
      <c r="AB8" s="542"/>
    </row>
    <row r="9" spans="1:28" ht="28.5" x14ac:dyDescent="0.4">
      <c r="A9" s="525"/>
      <c r="B9" s="1444"/>
      <c r="C9" s="1445"/>
      <c r="D9" s="496">
        <f>SUMIF($K$27:$K$702,B9,$E$27:$E$702)</f>
        <v>0</v>
      </c>
      <c r="E9" s="497"/>
      <c r="F9" s="500"/>
      <c r="G9" s="1434"/>
      <c r="H9" s="1435"/>
      <c r="I9" s="476"/>
      <c r="J9" s="507"/>
      <c r="K9" s="507"/>
      <c r="L9" s="507"/>
      <c r="M9" s="507"/>
      <c r="N9" s="507"/>
      <c r="O9" s="787">
        <v>5</v>
      </c>
      <c r="P9" s="1423" t="s">
        <v>12</v>
      </c>
      <c r="Q9" s="1424"/>
      <c r="R9" s="1425"/>
      <c r="S9" s="494" t="s">
        <v>11</v>
      </c>
      <c r="T9" s="502">
        <v>0.05</v>
      </c>
      <c r="U9" s="502">
        <v>0.1</v>
      </c>
      <c r="V9" s="502">
        <v>0.1</v>
      </c>
      <c r="W9" s="809"/>
      <c r="X9" s="492"/>
      <c r="Y9" s="495"/>
      <c r="Z9" s="495"/>
      <c r="AA9" s="495"/>
      <c r="AB9" s="542"/>
    </row>
    <row r="10" spans="1:28" ht="28.5" x14ac:dyDescent="0.4">
      <c r="A10" s="525"/>
      <c r="B10" s="1444"/>
      <c r="C10" s="1445"/>
      <c r="D10" s="496">
        <f>SUMIF($K$27:$K$702,B10,$E$27:$E$702)</f>
        <v>0</v>
      </c>
      <c r="E10" s="503"/>
      <c r="F10" s="500"/>
      <c r="G10" s="1434"/>
      <c r="H10" s="1435"/>
      <c r="I10" s="476"/>
      <c r="J10" s="507"/>
      <c r="K10" s="507"/>
      <c r="L10" s="507"/>
      <c r="M10" s="507"/>
      <c r="N10" s="507"/>
      <c r="O10" s="787">
        <v>6</v>
      </c>
      <c r="P10" s="1423" t="s">
        <v>862</v>
      </c>
      <c r="Q10" s="1424"/>
      <c r="R10" s="1425"/>
      <c r="S10" s="501" t="s">
        <v>11</v>
      </c>
      <c r="T10" s="502">
        <v>0</v>
      </c>
      <c r="U10" s="502">
        <v>0.05</v>
      </c>
      <c r="V10" s="502">
        <v>0.05</v>
      </c>
      <c r="W10" s="809"/>
      <c r="X10" s="492"/>
      <c r="Y10" s="495"/>
      <c r="Z10" s="495"/>
      <c r="AA10" s="495"/>
      <c r="AB10" s="542"/>
    </row>
    <row r="11" spans="1:28" ht="28.5" x14ac:dyDescent="0.4">
      <c r="A11" s="525"/>
      <c r="B11" s="1444"/>
      <c r="C11" s="1445"/>
      <c r="D11" s="496">
        <f>SUMIF($K$27:$K$702,B11,$E$27:$E$702)</f>
        <v>0</v>
      </c>
      <c r="E11" s="503"/>
      <c r="F11" s="500"/>
      <c r="G11" s="1434"/>
      <c r="H11" s="1435"/>
      <c r="I11" s="504"/>
      <c r="J11" s="507"/>
      <c r="K11" s="507"/>
      <c r="L11" s="507"/>
      <c r="M11" s="507"/>
      <c r="N11" s="507"/>
      <c r="O11" s="787">
        <v>7</v>
      </c>
      <c r="P11" s="1460" t="s">
        <v>13</v>
      </c>
      <c r="Q11" s="1461"/>
      <c r="R11" s="1462"/>
      <c r="S11" s="505" t="s">
        <v>9</v>
      </c>
      <c r="T11" s="528">
        <v>0</v>
      </c>
      <c r="U11" s="528">
        <v>0</v>
      </c>
      <c r="V11" s="528">
        <v>0</v>
      </c>
      <c r="W11" s="808"/>
      <c r="X11" s="492"/>
      <c r="Y11" s="495"/>
      <c r="Z11" s="495"/>
      <c r="AA11" s="495"/>
      <c r="AB11" s="542"/>
    </row>
    <row r="12" spans="1:28" ht="28.5" x14ac:dyDescent="0.4">
      <c r="A12" s="525"/>
      <c r="B12" s="1456"/>
      <c r="C12" s="1457"/>
      <c r="D12" s="496">
        <f>SUMIF($K$27:$K$702,B12,$E$27:$E$702)</f>
        <v>0</v>
      </c>
      <c r="E12" s="503"/>
      <c r="F12" s="500"/>
      <c r="G12" s="1434"/>
      <c r="H12" s="1435"/>
      <c r="I12" s="476"/>
      <c r="J12" s="507"/>
      <c r="K12" s="507"/>
      <c r="L12" s="507"/>
      <c r="M12" s="507"/>
      <c r="N12" s="507"/>
      <c r="O12" s="787">
        <v>8</v>
      </c>
      <c r="P12" s="1423" t="s">
        <v>14</v>
      </c>
      <c r="Q12" s="1424"/>
      <c r="R12" s="1425"/>
      <c r="S12" s="494" t="s">
        <v>9</v>
      </c>
      <c r="T12" s="499">
        <v>0.2</v>
      </c>
      <c r="U12" s="499">
        <v>0.2</v>
      </c>
      <c r="V12" s="499">
        <v>0.2</v>
      </c>
      <c r="W12" s="808"/>
      <c r="X12" s="492"/>
      <c r="Y12" s="495"/>
      <c r="Z12" s="495"/>
      <c r="AA12" s="495"/>
      <c r="AB12" s="542"/>
    </row>
    <row r="13" spans="1:28" ht="25.15" customHeight="1" x14ac:dyDescent="0.4">
      <c r="A13" s="525"/>
      <c r="B13" s="543"/>
      <c r="C13" s="507"/>
      <c r="D13" s="506">
        <f>SUM(D7:D12)</f>
        <v>396.29</v>
      </c>
      <c r="E13" s="507"/>
      <c r="F13" s="507"/>
      <c r="G13" s="1458"/>
      <c r="H13" s="1458"/>
      <c r="I13" s="476"/>
      <c r="J13" s="507"/>
      <c r="K13" s="507"/>
      <c r="L13" s="507"/>
      <c r="M13" s="507"/>
      <c r="N13" s="507"/>
      <c r="O13" s="787">
        <v>9</v>
      </c>
      <c r="P13" s="1423" t="s">
        <v>15</v>
      </c>
      <c r="Q13" s="1424"/>
      <c r="R13" s="1425"/>
      <c r="S13" s="494" t="s">
        <v>9</v>
      </c>
      <c r="T13" s="499">
        <v>0</v>
      </c>
      <c r="U13" s="499">
        <v>0</v>
      </c>
      <c r="V13" s="499">
        <v>0</v>
      </c>
      <c r="W13" s="808"/>
      <c r="X13" s="492"/>
      <c r="Y13" s="495"/>
      <c r="Z13" s="495"/>
      <c r="AA13" s="495"/>
      <c r="AB13" s="542"/>
    </row>
    <row r="14" spans="1:28" ht="25.15" customHeight="1" x14ac:dyDescent="0.4">
      <c r="A14" s="525"/>
      <c r="B14" s="543"/>
      <c r="C14" s="507"/>
      <c r="D14" s="507"/>
      <c r="E14" s="507"/>
      <c r="F14" s="507"/>
      <c r="G14" s="1458"/>
      <c r="H14" s="1458"/>
      <c r="I14" s="476"/>
      <c r="J14" s="507"/>
      <c r="K14" s="507"/>
      <c r="L14" s="507"/>
      <c r="M14" s="507"/>
      <c r="N14" s="529" t="s">
        <v>7</v>
      </c>
      <c r="O14" s="787">
        <v>10</v>
      </c>
      <c r="P14" s="1423" t="s">
        <v>16</v>
      </c>
      <c r="Q14" s="1424"/>
      <c r="R14" s="1425"/>
      <c r="S14" s="494" t="s">
        <v>9</v>
      </c>
      <c r="T14" s="499">
        <v>0</v>
      </c>
      <c r="U14" s="499">
        <v>0</v>
      </c>
      <c r="V14" s="499">
        <v>0</v>
      </c>
      <c r="W14" s="808"/>
      <c r="X14" s="492"/>
      <c r="Y14" s="495"/>
      <c r="Z14" s="495"/>
      <c r="AA14" s="495"/>
      <c r="AB14" s="542"/>
    </row>
    <row r="15" spans="1:28" ht="25.15" customHeight="1" x14ac:dyDescent="0.4">
      <c r="A15" s="525"/>
      <c r="B15" s="543"/>
      <c r="C15" s="507"/>
      <c r="D15" s="507"/>
      <c r="E15" s="507"/>
      <c r="F15" s="507"/>
      <c r="G15" s="1458"/>
      <c r="H15" s="1458"/>
      <c r="I15" s="476"/>
      <c r="J15" s="507"/>
      <c r="K15" s="507"/>
      <c r="L15" s="507"/>
      <c r="M15" s="507"/>
      <c r="N15" s="529" t="s">
        <v>6</v>
      </c>
      <c r="O15" s="787">
        <v>11</v>
      </c>
      <c r="P15" s="1423" t="s">
        <v>17</v>
      </c>
      <c r="Q15" s="1424"/>
      <c r="R15" s="1425"/>
      <c r="S15" s="494"/>
      <c r="T15" s="499">
        <v>0</v>
      </c>
      <c r="U15" s="499">
        <v>0</v>
      </c>
      <c r="V15" s="499">
        <v>0</v>
      </c>
      <c r="W15" s="808"/>
      <c r="X15" s="492"/>
      <c r="Y15" s="495"/>
      <c r="Z15" s="495"/>
      <c r="AA15" s="495"/>
      <c r="AB15" s="542"/>
    </row>
    <row r="16" spans="1:28" ht="25.15" customHeight="1" x14ac:dyDescent="0.4">
      <c r="A16" s="525"/>
      <c r="B16" s="544"/>
      <c r="C16" s="508"/>
      <c r="D16" s="507"/>
      <c r="E16" s="509"/>
      <c r="F16" s="509"/>
      <c r="G16" s="509"/>
      <c r="H16" s="509"/>
      <c r="I16" s="506">
        <f>SUM(I7:I15)</f>
        <v>3281.1731034620366</v>
      </c>
      <c r="J16" s="507"/>
      <c r="K16" s="506">
        <f>SUM(K7:K15)</f>
        <v>328.12</v>
      </c>
      <c r="L16" s="507"/>
      <c r="M16" s="507"/>
      <c r="N16" s="510"/>
      <c r="O16" s="787"/>
      <c r="P16" s="512"/>
      <c r="Q16" s="512"/>
      <c r="R16" s="512"/>
      <c r="S16" s="512"/>
      <c r="T16" s="512"/>
      <c r="U16" s="512"/>
      <c r="V16" s="512"/>
      <c r="W16" s="512"/>
      <c r="X16" s="512"/>
      <c r="Y16" s="495"/>
      <c r="Z16" s="495"/>
      <c r="AA16" s="495"/>
      <c r="AB16" s="541"/>
    </row>
    <row r="17" spans="1:28" ht="25.15" customHeight="1" x14ac:dyDescent="0.4">
      <c r="A17" s="525"/>
      <c r="B17" s="1426" t="s">
        <v>1953</v>
      </c>
      <c r="C17" s="1427"/>
      <c r="D17" s="507"/>
      <c r="E17" s="507"/>
      <c r="F17" s="507"/>
      <c r="G17" s="507"/>
      <c r="H17" s="507"/>
      <c r="I17" s="507"/>
      <c r="J17" s="507"/>
      <c r="K17" s="507"/>
      <c r="L17" s="507"/>
      <c r="M17" s="507"/>
      <c r="N17" s="510"/>
      <c r="O17" s="512"/>
      <c r="P17" s="512"/>
      <c r="Q17" s="512"/>
      <c r="R17" s="512"/>
      <c r="S17" s="512"/>
      <c r="T17" s="512"/>
      <c r="U17" s="511">
        <v>0.1</v>
      </c>
      <c r="V17" s="511">
        <v>0.1</v>
      </c>
      <c r="W17" s="810"/>
      <c r="X17" s="512"/>
      <c r="Y17" s="495"/>
      <c r="Z17" s="495"/>
      <c r="AA17" s="495"/>
      <c r="AB17" s="541"/>
    </row>
    <row r="18" spans="1:28" ht="25.15" customHeight="1" x14ac:dyDescent="0.4">
      <c r="A18" s="525"/>
      <c r="B18" s="549" t="s">
        <v>1954</v>
      </c>
      <c r="C18" s="827">
        <v>3281.46</v>
      </c>
      <c r="D18" s="507"/>
      <c r="E18" s="507"/>
      <c r="F18" s="507"/>
      <c r="G18" s="507"/>
      <c r="H18" s="507"/>
      <c r="I18" s="507"/>
      <c r="J18" s="507"/>
      <c r="K18" s="507"/>
      <c r="L18" s="507"/>
      <c r="M18" s="507"/>
      <c r="N18" s="510"/>
      <c r="O18" s="512"/>
      <c r="P18" s="512"/>
      <c r="Q18" s="512"/>
      <c r="R18" s="512"/>
      <c r="S18" s="512"/>
      <c r="T18" s="512"/>
      <c r="U18" s="511">
        <v>0.1</v>
      </c>
      <c r="V18" s="511">
        <v>0.2</v>
      </c>
      <c r="W18" s="810"/>
      <c r="X18" s="512"/>
      <c r="Y18" s="495"/>
      <c r="Z18" s="495"/>
      <c r="AA18" s="495"/>
      <c r="AB18" s="541"/>
    </row>
    <row r="19" spans="1:28" ht="25.15" customHeight="1" x14ac:dyDescent="0.4">
      <c r="A19" s="525"/>
      <c r="B19" s="549" t="s">
        <v>1955</v>
      </c>
      <c r="C19" s="507">
        <v>396</v>
      </c>
      <c r="D19" s="507"/>
      <c r="E19" s="507"/>
      <c r="F19" s="507"/>
      <c r="G19" s="507"/>
      <c r="H19" s="507"/>
      <c r="I19" s="507"/>
      <c r="J19" s="507"/>
      <c r="K19" s="507"/>
      <c r="L19" s="507"/>
      <c r="M19" s="507"/>
      <c r="N19" s="510"/>
      <c r="O19" s="512"/>
      <c r="P19" s="513" t="s">
        <v>721</v>
      </c>
      <c r="Q19" s="513" t="s">
        <v>722</v>
      </c>
      <c r="R19" s="513" t="s">
        <v>862</v>
      </c>
      <c r="S19" s="514" t="s">
        <v>723</v>
      </c>
      <c r="T19" s="514" t="s">
        <v>722</v>
      </c>
      <c r="U19" s="512"/>
      <c r="V19" s="512"/>
      <c r="W19" s="512"/>
      <c r="X19" s="512"/>
      <c r="Y19" s="495"/>
      <c r="Z19" s="495"/>
      <c r="AA19" s="495"/>
      <c r="AB19" s="541"/>
    </row>
    <row r="20" spans="1:28" ht="25.15" customHeight="1" x14ac:dyDescent="0.4">
      <c r="A20" s="525"/>
      <c r="B20" s="543"/>
      <c r="C20" s="828">
        <f>SUM(C18:C19)</f>
        <v>3677.46</v>
      </c>
      <c r="D20" s="507"/>
      <c r="E20" s="507"/>
      <c r="F20" s="507"/>
      <c r="G20" s="507"/>
      <c r="H20" s="507"/>
      <c r="I20" s="507"/>
      <c r="J20" s="507"/>
      <c r="K20" s="507"/>
      <c r="L20" s="507"/>
      <c r="M20" s="507"/>
      <c r="N20" s="510"/>
      <c r="O20" s="512"/>
      <c r="P20" s="515">
        <v>0.9</v>
      </c>
      <c r="Q20" s="516">
        <v>7.0000000000000007E-2</v>
      </c>
      <c r="R20" s="516">
        <v>0.03</v>
      </c>
      <c r="S20" s="515">
        <v>0.9</v>
      </c>
      <c r="T20" s="515">
        <v>0</v>
      </c>
      <c r="U20" s="512"/>
      <c r="V20" s="517"/>
      <c r="W20" s="517"/>
      <c r="X20" s="518" t="s">
        <v>989</v>
      </c>
      <c r="Y20" s="518" t="s">
        <v>706</v>
      </c>
      <c r="Z20" s="495"/>
      <c r="AA20" s="495"/>
      <c r="AB20" s="541"/>
    </row>
    <row r="21" spans="1:28" ht="25.15" customHeight="1" x14ac:dyDescent="0.4">
      <c r="A21" s="525"/>
      <c r="B21" s="540"/>
      <c r="C21" s="509"/>
      <c r="D21" s="507"/>
      <c r="E21" s="507"/>
      <c r="F21" s="507"/>
      <c r="G21" s="507"/>
      <c r="H21" s="507"/>
      <c r="I21" s="507"/>
      <c r="J21" s="507"/>
      <c r="K21" s="509"/>
      <c r="L21" s="509"/>
      <c r="M21" s="509"/>
      <c r="N21" s="519" t="s">
        <v>6</v>
      </c>
      <c r="O21" s="520">
        <f>SUMIF($L$27:$L$702,N$21,$O$27:$O$702)</f>
        <v>0</v>
      </c>
      <c r="P21" s="520">
        <f t="shared" ref="P21:V22" si="0">SUMIF($L$27:$L$702,$N21,P$27:P$702)</f>
        <v>0</v>
      </c>
      <c r="Q21" s="520">
        <f t="shared" si="0"/>
        <v>0</v>
      </c>
      <c r="R21" s="520">
        <f t="shared" si="0"/>
        <v>0</v>
      </c>
      <c r="S21" s="520">
        <f t="shared" si="0"/>
        <v>0</v>
      </c>
      <c r="T21" s="520">
        <f t="shared" si="0"/>
        <v>0</v>
      </c>
      <c r="U21" s="520">
        <f t="shared" si="0"/>
        <v>0</v>
      </c>
      <c r="V21" s="521">
        <f t="shared" si="0"/>
        <v>0</v>
      </c>
      <c r="W21" s="521"/>
      <c r="X21" s="522">
        <f>O21-U21-V21</f>
        <v>0</v>
      </c>
      <c r="Y21" s="522">
        <f>O21-X21</f>
        <v>0</v>
      </c>
      <c r="Z21" s="492"/>
      <c r="AA21" s="492"/>
      <c r="AB21" s="545"/>
    </row>
    <row r="22" spans="1:28" ht="25.15" customHeight="1" x14ac:dyDescent="0.4">
      <c r="A22" s="525"/>
      <c r="B22" s="540"/>
      <c r="C22" s="509"/>
      <c r="D22" s="509"/>
      <c r="E22" s="509"/>
      <c r="F22" s="509"/>
      <c r="G22" s="509"/>
      <c r="H22" s="509"/>
      <c r="I22" s="509"/>
      <c r="J22" s="509"/>
      <c r="K22" s="509"/>
      <c r="L22" s="509"/>
      <c r="M22" s="509"/>
      <c r="N22" s="519" t="s">
        <v>17</v>
      </c>
      <c r="O22" s="520">
        <f>SUMIF($L$27:$L$37,N22,$O$27:$O$37)</f>
        <v>0</v>
      </c>
      <c r="P22" s="520">
        <f t="shared" si="0"/>
        <v>0</v>
      </c>
      <c r="Q22" s="520">
        <f t="shared" si="0"/>
        <v>0</v>
      </c>
      <c r="R22" s="520">
        <f t="shared" si="0"/>
        <v>393.74077241544427</v>
      </c>
      <c r="S22" s="520">
        <f t="shared" si="0"/>
        <v>1949.0168234564501</v>
      </c>
      <c r="T22" s="520">
        <f t="shared" si="0"/>
        <v>0</v>
      </c>
      <c r="U22" s="520">
        <f t="shared" si="0"/>
        <v>648.485391739345</v>
      </c>
      <c r="V22" s="521">
        <f t="shared" si="0"/>
        <v>0</v>
      </c>
      <c r="W22" s="521"/>
      <c r="X22" s="522">
        <f>O22-U22-V22</f>
        <v>-648.485391739345</v>
      </c>
      <c r="Y22" s="522">
        <f>O22-X22</f>
        <v>648.485391739345</v>
      </c>
      <c r="Z22" s="492"/>
      <c r="AA22" s="492"/>
      <c r="AB22" s="545"/>
    </row>
    <row r="23" spans="1:28" ht="27.6" customHeight="1" x14ac:dyDescent="0.4">
      <c r="A23" s="525"/>
      <c r="B23" s="540"/>
      <c r="C23" s="509"/>
      <c r="D23" s="509"/>
      <c r="E23" s="509"/>
      <c r="F23" s="509"/>
      <c r="G23" s="509"/>
      <c r="H23" s="509"/>
      <c r="I23" s="509"/>
      <c r="J23" s="509"/>
      <c r="K23" s="509"/>
      <c r="L23" s="509"/>
      <c r="M23" s="509"/>
      <c r="N23" s="530"/>
      <c r="O23" s="507"/>
      <c r="P23" s="507"/>
      <c r="Q23" s="507"/>
      <c r="R23" s="507"/>
      <c r="S23" s="507"/>
      <c r="T23" s="507"/>
      <c r="U23" s="507"/>
      <c r="V23" s="507"/>
      <c r="W23" s="507"/>
      <c r="X23" s="511">
        <f>SUM(X21:X22)</f>
        <v>-648.485391739345</v>
      </c>
      <c r="Y23" s="511">
        <f>SUM(Y21:Y22)</f>
        <v>648.485391739345</v>
      </c>
      <c r="Z23" s="523"/>
      <c r="AA23" s="523"/>
      <c r="AB23" s="546"/>
    </row>
    <row r="24" spans="1:28" ht="57.6" customHeight="1" x14ac:dyDescent="0.2">
      <c r="A24" s="525"/>
      <c r="B24" s="1474" t="s">
        <v>702</v>
      </c>
      <c r="C24" s="1475"/>
      <c r="D24" s="1475"/>
      <c r="E24" s="1475"/>
      <c r="F24" s="1475"/>
      <c r="G24" s="1475"/>
      <c r="H24" s="1475"/>
      <c r="I24" s="1475"/>
      <c r="J24" s="1475"/>
      <c r="K24" s="1475"/>
      <c r="L24" s="1475"/>
      <c r="M24" s="1475"/>
      <c r="N24" s="491" t="s">
        <v>1863</v>
      </c>
      <c r="O24" s="491" t="s">
        <v>703</v>
      </c>
      <c r="P24" s="479" t="s">
        <v>721</v>
      </c>
      <c r="Q24" s="479" t="s">
        <v>722</v>
      </c>
      <c r="R24" s="479" t="s">
        <v>862</v>
      </c>
      <c r="S24" s="480" t="s">
        <v>723</v>
      </c>
      <c r="T24" s="480" t="s">
        <v>722</v>
      </c>
      <c r="U24" s="481" t="s">
        <v>704</v>
      </c>
      <c r="V24" s="482" t="s">
        <v>705</v>
      </c>
      <c r="W24" s="793" t="s">
        <v>1868</v>
      </c>
      <c r="X24" s="1469" t="s">
        <v>707</v>
      </c>
      <c r="Y24" s="1469" t="s">
        <v>708</v>
      </c>
      <c r="Z24" s="1469" t="s">
        <v>709</v>
      </c>
      <c r="AA24" s="1469" t="s">
        <v>710</v>
      </c>
      <c r="AB24" s="1472" t="s">
        <v>711</v>
      </c>
    </row>
    <row r="25" spans="1:28" ht="33.6" customHeight="1" x14ac:dyDescent="0.2">
      <c r="A25" s="525"/>
      <c r="B25" s="1476"/>
      <c r="C25" s="1477"/>
      <c r="D25" s="1477"/>
      <c r="E25" s="1477"/>
      <c r="F25" s="1477"/>
      <c r="G25" s="1477"/>
      <c r="H25" s="1477"/>
      <c r="I25" s="1477"/>
      <c r="J25" s="1477"/>
      <c r="K25" s="1477"/>
      <c r="L25" s="1477"/>
      <c r="M25" s="1477"/>
      <c r="N25" s="531">
        <f>SUM(E27:E38)*0.8</f>
        <v>317.03200000000004</v>
      </c>
      <c r="O25" s="531">
        <f>SUM(O27:O38)</f>
        <v>348.73520000000002</v>
      </c>
      <c r="P25" s="531">
        <f>SUM(P27:P38)</f>
        <v>0</v>
      </c>
      <c r="Q25" s="531">
        <f t="shared" ref="Q25:R25" si="1">SUM(Q27:Q38)</f>
        <v>0</v>
      </c>
      <c r="R25" s="531">
        <f t="shared" si="1"/>
        <v>0</v>
      </c>
      <c r="S25" s="531">
        <f>SUM(S27:S38)</f>
        <v>0</v>
      </c>
      <c r="T25" s="531">
        <f t="shared" ref="T25:W25" si="2">SUM(T27:T38)</f>
        <v>0</v>
      </c>
      <c r="U25" s="531">
        <f t="shared" si="2"/>
        <v>148.23975139730641</v>
      </c>
      <c r="V25" s="531">
        <f t="shared" si="2"/>
        <v>63.406400000000012</v>
      </c>
      <c r="W25" s="531">
        <f t="shared" si="2"/>
        <v>301.18040000000002</v>
      </c>
      <c r="X25" s="1470"/>
      <c r="Y25" s="1470"/>
      <c r="Z25" s="1470"/>
      <c r="AA25" s="1470"/>
      <c r="AB25" s="1473"/>
    </row>
    <row r="26" spans="1:28" ht="29.25" x14ac:dyDescent="0.35">
      <c r="A26" s="525"/>
      <c r="B26" s="547" t="s">
        <v>712</v>
      </c>
      <c r="C26" s="478" t="s">
        <v>713</v>
      </c>
      <c r="D26" s="478" t="s">
        <v>714</v>
      </c>
      <c r="E26" s="478" t="s">
        <v>715</v>
      </c>
      <c r="F26" s="478" t="s">
        <v>914</v>
      </c>
      <c r="G26" s="483" t="s">
        <v>716</v>
      </c>
      <c r="H26" s="478" t="s">
        <v>913</v>
      </c>
      <c r="I26" s="478" t="s">
        <v>1448</v>
      </c>
      <c r="J26" s="478" t="s">
        <v>915</v>
      </c>
      <c r="K26" s="532" t="s">
        <v>717</v>
      </c>
      <c r="L26" s="478" t="s">
        <v>718</v>
      </c>
      <c r="M26" s="478" t="s">
        <v>675</v>
      </c>
      <c r="N26" s="478" t="s">
        <v>719</v>
      </c>
      <c r="O26" s="478" t="s">
        <v>703</v>
      </c>
      <c r="P26" s="479" t="s">
        <v>721</v>
      </c>
      <c r="Q26" s="479" t="s">
        <v>722</v>
      </c>
      <c r="R26" s="479" t="s">
        <v>862</v>
      </c>
      <c r="S26" s="480" t="s">
        <v>723</v>
      </c>
      <c r="T26" s="480" t="s">
        <v>722</v>
      </c>
      <c r="U26" s="482" t="s">
        <v>704</v>
      </c>
      <c r="V26" s="482" t="s">
        <v>705</v>
      </c>
      <c r="W26" s="793" t="str">
        <f>+W24</f>
        <v>M. Exca</v>
      </c>
      <c r="X26" s="1471"/>
      <c r="Y26" s="484">
        <f>+SUM(Y27:Y702)</f>
        <v>708.73339034779997</v>
      </c>
      <c r="Z26" s="484">
        <f>+SUM(Z27:Z702)</f>
        <v>656.4000000000002</v>
      </c>
      <c r="AA26" s="1471"/>
      <c r="AB26" s="548">
        <f>SUM(AB27:AB702)</f>
        <v>0</v>
      </c>
    </row>
    <row r="27" spans="1:28" ht="30.75" x14ac:dyDescent="0.4">
      <c r="A27" s="525"/>
      <c r="B27" s="549" t="str">
        <f>+CONCATENATE(C27," - ",D27)</f>
        <v>R-01 - VC-1</v>
      </c>
      <c r="C27" s="485" t="s">
        <v>1846</v>
      </c>
      <c r="D27" s="486" t="s">
        <v>1847</v>
      </c>
      <c r="E27" s="487">
        <v>0.5</v>
      </c>
      <c r="F27" s="487">
        <v>277.60000000000002</v>
      </c>
      <c r="G27" s="487">
        <f>F27/25.4</f>
        <v>10.929133858267718</v>
      </c>
      <c r="H27" s="488"/>
      <c r="I27" s="488"/>
      <c r="J27" s="488"/>
      <c r="K27" s="489" t="s">
        <v>1845</v>
      </c>
      <c r="L27" s="533" t="s">
        <v>7</v>
      </c>
      <c r="M27" s="490">
        <v>0.8</v>
      </c>
      <c r="N27" s="490">
        <v>1.1000000000000001</v>
      </c>
      <c r="O27" s="490">
        <f t="shared" ref="O27:O37" si="3">M27*N27*E27</f>
        <v>0.44000000000000006</v>
      </c>
      <c r="P27" s="490">
        <f t="shared" ref="P27:R38" si="4">IF($L27=$N$21,$O27*P$20,0)</f>
        <v>0</v>
      </c>
      <c r="Q27" s="490">
        <f t="shared" si="4"/>
        <v>0</v>
      </c>
      <c r="R27" s="490">
        <f t="shared" si="4"/>
        <v>0</v>
      </c>
      <c r="S27" s="490">
        <f t="shared" ref="S27:T38" si="5">IF($L27=$N$22,$O27*S$20,0)</f>
        <v>0</v>
      </c>
      <c r="T27" s="490">
        <f>IF($L27=$N$22,$O27*T$20,0)</f>
        <v>0</v>
      </c>
      <c r="U27" s="490">
        <f>(M27*E27*0.565)-((PI()*((0.315/2)^2))*E27)</f>
        <v>0.18703443361844407</v>
      </c>
      <c r="V27" s="490">
        <f>+E27*M27*0.2</f>
        <v>8.0000000000000016E-2</v>
      </c>
      <c r="W27" s="490">
        <f>+E27*M27*0.95</f>
        <v>0.38</v>
      </c>
      <c r="X27" s="490" t="str">
        <f t="shared" ref="X27:X37" si="6">IF(L27=$L$27,"","Mular")</f>
        <v/>
      </c>
      <c r="Y27" s="490">
        <f>IF(X27="Mular",(VLOOKUP(K27,AA_Cantidadesredes,4,FALSE)*E27),0)</f>
        <v>0</v>
      </c>
      <c r="Z27" s="490">
        <f t="shared" ref="Z27:Z37" si="7">IF(X27="Mular",$N$5*T27,0)</f>
        <v>0</v>
      </c>
      <c r="AA27" s="534">
        <f>IF(X27="Mular",Indice!$N$9*1000,0)</f>
        <v>0</v>
      </c>
      <c r="AB27" s="550">
        <f>(Z27+Y27)</f>
        <v>0</v>
      </c>
    </row>
    <row r="28" spans="1:28" ht="30.75" x14ac:dyDescent="0.4">
      <c r="A28" s="525"/>
      <c r="B28" s="549" t="str">
        <f t="shared" ref="B28:B38" si="8">+CONCATENATE(C28," - ",D28)</f>
        <v>VC-1 - VV-1</v>
      </c>
      <c r="C28" s="485" t="s">
        <v>1847</v>
      </c>
      <c r="D28" s="486" t="s">
        <v>1848</v>
      </c>
      <c r="E28" s="487">
        <v>0.5</v>
      </c>
      <c r="F28" s="487">
        <v>277.60000000000002</v>
      </c>
      <c r="G28" s="487">
        <f t="shared" ref="G28:G37" si="9">F28/25.4</f>
        <v>10.929133858267718</v>
      </c>
      <c r="H28" s="488"/>
      <c r="I28" s="488"/>
      <c r="J28" s="488"/>
      <c r="K28" s="489" t="s">
        <v>1845</v>
      </c>
      <c r="L28" s="533" t="s">
        <v>7</v>
      </c>
      <c r="M28" s="490">
        <v>0.8</v>
      </c>
      <c r="N28" s="490">
        <v>1.1000000000000001</v>
      </c>
      <c r="O28" s="490">
        <f t="shared" si="3"/>
        <v>0.44000000000000006</v>
      </c>
      <c r="P28" s="490">
        <f t="shared" si="4"/>
        <v>0</v>
      </c>
      <c r="Q28" s="490">
        <f t="shared" si="4"/>
        <v>0</v>
      </c>
      <c r="R28" s="490">
        <f t="shared" si="4"/>
        <v>0</v>
      </c>
      <c r="S28" s="490">
        <f t="shared" si="5"/>
        <v>0</v>
      </c>
      <c r="T28" s="490">
        <f t="shared" si="5"/>
        <v>0</v>
      </c>
      <c r="U28" s="490">
        <f t="shared" ref="U28:U38" si="10">(M28*E28*0.565)-((PI()*((0.315/2)^2))*E28)</f>
        <v>0.18703443361844407</v>
      </c>
      <c r="V28" s="490">
        <f t="shared" ref="V28:V38" si="11">+E28*M28*0.2</f>
        <v>8.0000000000000016E-2</v>
      </c>
      <c r="W28" s="490">
        <f t="shared" ref="W28:W38" si="12">+E28*M28*0.95</f>
        <v>0.38</v>
      </c>
      <c r="X28" s="490" t="str">
        <f t="shared" si="6"/>
        <v/>
      </c>
      <c r="Y28" s="490">
        <f t="shared" ref="Y28:Y37" si="13">IF(X28="Mular",(VLOOKUP(K28,AA_Cantidadesredes,4,FALSE)*E28),0)</f>
        <v>0</v>
      </c>
      <c r="Z28" s="490">
        <f t="shared" si="7"/>
        <v>0</v>
      </c>
      <c r="AA28" s="534">
        <f>IF(X28="Mular",Indice!$N$9*1000,0)</f>
        <v>0</v>
      </c>
      <c r="AB28" s="550">
        <f t="shared" ref="AB28:AB37" si="14">(Z28+Y28)</f>
        <v>0</v>
      </c>
    </row>
    <row r="29" spans="1:28" ht="30.75" x14ac:dyDescent="0.4">
      <c r="A29" s="525"/>
      <c r="B29" s="549" t="str">
        <f t="shared" si="8"/>
        <v>VV-1 - D-1</v>
      </c>
      <c r="C29" s="485" t="s">
        <v>1848</v>
      </c>
      <c r="D29" s="486" t="s">
        <v>1849</v>
      </c>
      <c r="E29" s="487">
        <v>14.438000000000001</v>
      </c>
      <c r="F29" s="487">
        <v>277.60000000000002</v>
      </c>
      <c r="G29" s="487">
        <f t="shared" si="9"/>
        <v>10.929133858267718</v>
      </c>
      <c r="H29" s="488"/>
      <c r="I29" s="488"/>
      <c r="J29" s="488"/>
      <c r="K29" s="489" t="s">
        <v>1845</v>
      </c>
      <c r="L29" s="533" t="s">
        <v>7</v>
      </c>
      <c r="M29" s="490">
        <v>0.8</v>
      </c>
      <c r="N29" s="490">
        <v>1.1000000000000001</v>
      </c>
      <c r="O29" s="490">
        <f t="shared" si="3"/>
        <v>12.705440000000003</v>
      </c>
      <c r="P29" s="490">
        <f t="shared" si="4"/>
        <v>0</v>
      </c>
      <c r="Q29" s="490">
        <f t="shared" si="4"/>
        <v>0</v>
      </c>
      <c r="R29" s="490">
        <f t="shared" si="4"/>
        <v>0</v>
      </c>
      <c r="S29" s="490">
        <f t="shared" si="5"/>
        <v>0</v>
      </c>
      <c r="T29" s="490">
        <f t="shared" si="5"/>
        <v>0</v>
      </c>
      <c r="U29" s="490">
        <f t="shared" si="10"/>
        <v>5.4008063051661921</v>
      </c>
      <c r="V29" s="490">
        <f t="shared" si="11"/>
        <v>2.3100800000000006</v>
      </c>
      <c r="W29" s="490">
        <f t="shared" si="12"/>
        <v>10.972880000000002</v>
      </c>
      <c r="X29" s="490" t="str">
        <f t="shared" si="6"/>
        <v/>
      </c>
      <c r="Y29" s="490">
        <f t="shared" si="13"/>
        <v>0</v>
      </c>
      <c r="Z29" s="490">
        <f t="shared" si="7"/>
        <v>0</v>
      </c>
      <c r="AA29" s="534">
        <f>IF(X29="Mular",Indice!$N$9*1000,0)</f>
        <v>0</v>
      </c>
      <c r="AB29" s="550">
        <f t="shared" si="14"/>
        <v>0</v>
      </c>
    </row>
    <row r="30" spans="1:28" ht="30.75" x14ac:dyDescent="0.4">
      <c r="A30" s="525"/>
      <c r="B30" s="549" t="str">
        <f t="shared" si="8"/>
        <v>D-1 - D-2</v>
      </c>
      <c r="C30" s="485" t="s">
        <v>1849</v>
      </c>
      <c r="D30" s="486" t="s">
        <v>1850</v>
      </c>
      <c r="E30" s="487">
        <v>46.311</v>
      </c>
      <c r="F30" s="487">
        <v>277.60000000000002</v>
      </c>
      <c r="G30" s="487">
        <f t="shared" si="9"/>
        <v>10.929133858267718</v>
      </c>
      <c r="H30" s="488"/>
      <c r="I30" s="488"/>
      <c r="J30" s="488"/>
      <c r="K30" s="489" t="s">
        <v>1845</v>
      </c>
      <c r="L30" s="533" t="s">
        <v>7</v>
      </c>
      <c r="M30" s="490">
        <v>0.8</v>
      </c>
      <c r="N30" s="490">
        <v>1.1000000000000001</v>
      </c>
      <c r="O30" s="490">
        <f t="shared" si="3"/>
        <v>40.753680000000003</v>
      </c>
      <c r="P30" s="490">
        <f t="shared" si="4"/>
        <v>0</v>
      </c>
      <c r="Q30" s="490">
        <f t="shared" si="4"/>
        <v>0</v>
      </c>
      <c r="R30" s="490">
        <f t="shared" si="4"/>
        <v>0</v>
      </c>
      <c r="S30" s="490">
        <f t="shared" si="5"/>
        <v>0</v>
      </c>
      <c r="T30" s="490">
        <f t="shared" si="5"/>
        <v>0</v>
      </c>
      <c r="U30" s="490">
        <f t="shared" si="10"/>
        <v>17.323503310607528</v>
      </c>
      <c r="V30" s="490">
        <f t="shared" si="11"/>
        <v>7.4097600000000003</v>
      </c>
      <c r="W30" s="490">
        <f t="shared" si="12"/>
        <v>35.196359999999999</v>
      </c>
      <c r="X30" s="490" t="str">
        <f t="shared" si="6"/>
        <v/>
      </c>
      <c r="Y30" s="490">
        <f t="shared" si="13"/>
        <v>0</v>
      </c>
      <c r="Z30" s="490">
        <f t="shared" si="7"/>
        <v>0</v>
      </c>
      <c r="AA30" s="534">
        <f>IF(X30="Mular",Indice!$N$9*1000,0)</f>
        <v>0</v>
      </c>
      <c r="AB30" s="550">
        <f t="shared" si="14"/>
        <v>0</v>
      </c>
    </row>
    <row r="31" spans="1:28" ht="30.75" x14ac:dyDescent="0.4">
      <c r="A31" s="525"/>
      <c r="B31" s="549" t="str">
        <f t="shared" si="8"/>
        <v>D-2 - VC-2</v>
      </c>
      <c r="C31" s="485" t="s">
        <v>1850</v>
      </c>
      <c r="D31" s="486" t="s">
        <v>1851</v>
      </c>
      <c r="E31" s="487">
        <v>104.089</v>
      </c>
      <c r="F31" s="487">
        <v>277.60000000000002</v>
      </c>
      <c r="G31" s="487">
        <f t="shared" si="9"/>
        <v>10.929133858267718</v>
      </c>
      <c r="H31" s="488"/>
      <c r="I31" s="488"/>
      <c r="J31" s="488"/>
      <c r="K31" s="489" t="s">
        <v>1845</v>
      </c>
      <c r="L31" s="533" t="s">
        <v>7</v>
      </c>
      <c r="M31" s="490">
        <v>0.8</v>
      </c>
      <c r="N31" s="490">
        <v>1.1000000000000001</v>
      </c>
      <c r="O31" s="490">
        <f t="shared" si="3"/>
        <v>91.598320000000015</v>
      </c>
      <c r="P31" s="490">
        <f t="shared" si="4"/>
        <v>0</v>
      </c>
      <c r="Q31" s="490">
        <f t="shared" si="4"/>
        <v>0</v>
      </c>
      <c r="R31" s="490">
        <f t="shared" si="4"/>
        <v>0</v>
      </c>
      <c r="S31" s="490">
        <f t="shared" si="5"/>
        <v>0</v>
      </c>
      <c r="T31" s="490">
        <f t="shared" si="5"/>
        <v>0</v>
      </c>
      <c r="U31" s="490">
        <f t="shared" si="10"/>
        <v>38.936454321820456</v>
      </c>
      <c r="V31" s="490">
        <f t="shared" si="11"/>
        <v>16.654240000000001</v>
      </c>
      <c r="W31" s="490">
        <f t="shared" si="12"/>
        <v>79.107640000000004</v>
      </c>
      <c r="X31" s="490" t="str">
        <f t="shared" si="6"/>
        <v/>
      </c>
      <c r="Y31" s="490">
        <f t="shared" si="13"/>
        <v>0</v>
      </c>
      <c r="Z31" s="490">
        <f t="shared" si="7"/>
        <v>0</v>
      </c>
      <c r="AA31" s="534">
        <f>IF(X31="Mular",Indice!$N$9*1000,0)</f>
        <v>0</v>
      </c>
      <c r="AB31" s="550">
        <f t="shared" si="14"/>
        <v>0</v>
      </c>
    </row>
    <row r="32" spans="1:28" ht="30.75" x14ac:dyDescent="0.4">
      <c r="A32" s="525"/>
      <c r="B32" s="549" t="str">
        <f t="shared" si="8"/>
        <v>VC-2 - VP-1</v>
      </c>
      <c r="C32" s="485" t="s">
        <v>1851</v>
      </c>
      <c r="D32" s="486" t="s">
        <v>1852</v>
      </c>
      <c r="E32" s="487">
        <v>0.5</v>
      </c>
      <c r="F32" s="487">
        <v>277.60000000000002</v>
      </c>
      <c r="G32" s="487">
        <f t="shared" si="9"/>
        <v>10.929133858267718</v>
      </c>
      <c r="H32" s="488"/>
      <c r="I32" s="488"/>
      <c r="J32" s="488"/>
      <c r="K32" s="489" t="s">
        <v>1845</v>
      </c>
      <c r="L32" s="533" t="s">
        <v>7</v>
      </c>
      <c r="M32" s="490">
        <v>0.8</v>
      </c>
      <c r="N32" s="490">
        <v>1.1000000000000001</v>
      </c>
      <c r="O32" s="490">
        <f t="shared" si="3"/>
        <v>0.44000000000000006</v>
      </c>
      <c r="P32" s="490">
        <f t="shared" si="4"/>
        <v>0</v>
      </c>
      <c r="Q32" s="490">
        <f t="shared" si="4"/>
        <v>0</v>
      </c>
      <c r="R32" s="490">
        <f t="shared" si="4"/>
        <v>0</v>
      </c>
      <c r="S32" s="490">
        <f t="shared" si="5"/>
        <v>0</v>
      </c>
      <c r="T32" s="490">
        <f t="shared" si="5"/>
        <v>0</v>
      </c>
      <c r="U32" s="490">
        <f t="shared" si="10"/>
        <v>0.18703443361844407</v>
      </c>
      <c r="V32" s="490">
        <f t="shared" si="11"/>
        <v>8.0000000000000016E-2</v>
      </c>
      <c r="W32" s="490">
        <f t="shared" si="12"/>
        <v>0.38</v>
      </c>
      <c r="X32" s="490" t="str">
        <f t="shared" si="6"/>
        <v/>
      </c>
      <c r="Y32" s="490">
        <f t="shared" si="13"/>
        <v>0</v>
      </c>
      <c r="Z32" s="490">
        <f t="shared" si="7"/>
        <v>0</v>
      </c>
      <c r="AA32" s="534">
        <f>IF(X32="Mular",Indice!$N$9*1000,0)</f>
        <v>0</v>
      </c>
      <c r="AB32" s="550">
        <f t="shared" si="14"/>
        <v>0</v>
      </c>
    </row>
    <row r="33" spans="1:29" ht="30.75" x14ac:dyDescent="0.4">
      <c r="A33" s="525"/>
      <c r="B33" s="549" t="str">
        <f t="shared" si="8"/>
        <v>VP-1 - CH-01</v>
      </c>
      <c r="C33" s="485" t="s">
        <v>1852</v>
      </c>
      <c r="D33" s="486" t="s">
        <v>1853</v>
      </c>
      <c r="E33" s="487">
        <v>39.33</v>
      </c>
      <c r="F33" s="487">
        <v>277.60000000000002</v>
      </c>
      <c r="G33" s="487">
        <f t="shared" si="9"/>
        <v>10.929133858267718</v>
      </c>
      <c r="H33" s="488"/>
      <c r="I33" s="488"/>
      <c r="J33" s="488"/>
      <c r="K33" s="489" t="s">
        <v>1845</v>
      </c>
      <c r="L33" s="533" t="s">
        <v>7</v>
      </c>
      <c r="M33" s="490">
        <v>0.8</v>
      </c>
      <c r="N33" s="490">
        <v>1.1000000000000001</v>
      </c>
      <c r="O33" s="490">
        <f t="shared" si="3"/>
        <v>34.610400000000006</v>
      </c>
      <c r="P33" s="490">
        <f t="shared" si="4"/>
        <v>0</v>
      </c>
      <c r="Q33" s="490">
        <f t="shared" si="4"/>
        <v>0</v>
      </c>
      <c r="R33" s="490">
        <f t="shared" si="4"/>
        <v>0</v>
      </c>
      <c r="S33" s="490">
        <f t="shared" si="5"/>
        <v>0</v>
      </c>
      <c r="T33" s="490">
        <f t="shared" si="5"/>
        <v>0</v>
      </c>
      <c r="U33" s="490">
        <f t="shared" si="10"/>
        <v>14.712128548426811</v>
      </c>
      <c r="V33" s="490">
        <f t="shared" si="11"/>
        <v>6.2927999999999997</v>
      </c>
      <c r="W33" s="490">
        <f t="shared" si="12"/>
        <v>29.890799999999999</v>
      </c>
      <c r="X33" s="490" t="str">
        <f t="shared" si="6"/>
        <v/>
      </c>
      <c r="Y33" s="490">
        <f t="shared" si="13"/>
        <v>0</v>
      </c>
      <c r="Z33" s="490">
        <f t="shared" si="7"/>
        <v>0</v>
      </c>
      <c r="AA33" s="534">
        <f>IF(X33="Mular",Indice!$N$9*1000,0)</f>
        <v>0</v>
      </c>
      <c r="AB33" s="550">
        <f t="shared" si="14"/>
        <v>0</v>
      </c>
    </row>
    <row r="34" spans="1:29" ht="30.75" x14ac:dyDescent="0.4">
      <c r="A34" s="525"/>
      <c r="B34" s="549" t="str">
        <f t="shared" si="8"/>
        <v>CH-01 - CH-02</v>
      </c>
      <c r="C34" s="485" t="s">
        <v>1853</v>
      </c>
      <c r="D34" s="486" t="s">
        <v>1854</v>
      </c>
      <c r="E34" s="487">
        <v>124.176</v>
      </c>
      <c r="F34" s="487">
        <v>277.60000000000002</v>
      </c>
      <c r="G34" s="487">
        <f t="shared" si="9"/>
        <v>10.929133858267718</v>
      </c>
      <c r="H34" s="488"/>
      <c r="I34" s="488"/>
      <c r="J34" s="488"/>
      <c r="K34" s="489" t="s">
        <v>1845</v>
      </c>
      <c r="L34" s="533" t="s">
        <v>7</v>
      </c>
      <c r="M34" s="490">
        <v>0.8</v>
      </c>
      <c r="N34" s="490">
        <v>1.1000000000000001</v>
      </c>
      <c r="O34" s="490">
        <f t="shared" si="3"/>
        <v>109.27488000000001</v>
      </c>
      <c r="P34" s="490">
        <f t="shared" si="4"/>
        <v>0</v>
      </c>
      <c r="Q34" s="490">
        <f t="shared" si="4"/>
        <v>0</v>
      </c>
      <c r="R34" s="490">
        <f t="shared" si="4"/>
        <v>0</v>
      </c>
      <c r="S34" s="490">
        <f t="shared" si="5"/>
        <v>0</v>
      </c>
      <c r="T34" s="490">
        <f t="shared" si="5"/>
        <v>0</v>
      </c>
      <c r="U34" s="490">
        <f t="shared" si="10"/>
        <v>46.450375658007822</v>
      </c>
      <c r="V34" s="490">
        <f t="shared" si="11"/>
        <v>19.868160000000003</v>
      </c>
      <c r="W34" s="490">
        <f t="shared" si="12"/>
        <v>94.37375999999999</v>
      </c>
      <c r="X34" s="490" t="str">
        <f t="shared" si="6"/>
        <v/>
      </c>
      <c r="Y34" s="490">
        <f t="shared" si="13"/>
        <v>0</v>
      </c>
      <c r="Z34" s="490">
        <f t="shared" si="7"/>
        <v>0</v>
      </c>
      <c r="AA34" s="534">
        <f>IF(X34="Mular",Indice!$N$9*1000,0)</f>
        <v>0</v>
      </c>
      <c r="AB34" s="550">
        <f t="shared" si="14"/>
        <v>0</v>
      </c>
    </row>
    <row r="35" spans="1:29" ht="30.75" x14ac:dyDescent="0.4">
      <c r="A35" s="525"/>
      <c r="B35" s="549" t="str">
        <f t="shared" si="8"/>
        <v>CH-02 - VC-3</v>
      </c>
      <c r="C35" s="485" t="s">
        <v>1854</v>
      </c>
      <c r="D35" s="486" t="s">
        <v>1855</v>
      </c>
      <c r="E35" s="487">
        <v>37.023000000000003</v>
      </c>
      <c r="F35" s="487">
        <v>277.60000000000002</v>
      </c>
      <c r="G35" s="487">
        <f t="shared" si="9"/>
        <v>10.929133858267718</v>
      </c>
      <c r="H35" s="488"/>
      <c r="I35" s="488"/>
      <c r="J35" s="488"/>
      <c r="K35" s="489" t="s">
        <v>1845</v>
      </c>
      <c r="L35" s="533" t="s">
        <v>7</v>
      </c>
      <c r="M35" s="490">
        <v>0.8</v>
      </c>
      <c r="N35" s="490">
        <v>1.1000000000000001</v>
      </c>
      <c r="O35" s="490">
        <f t="shared" si="3"/>
        <v>32.580240000000011</v>
      </c>
      <c r="P35" s="490">
        <f t="shared" si="4"/>
        <v>0</v>
      </c>
      <c r="Q35" s="490">
        <f t="shared" si="4"/>
        <v>0</v>
      </c>
      <c r="R35" s="490">
        <f t="shared" si="4"/>
        <v>0</v>
      </c>
      <c r="S35" s="490">
        <f t="shared" si="5"/>
        <v>0</v>
      </c>
      <c r="T35" s="490">
        <f t="shared" si="5"/>
        <v>0</v>
      </c>
      <c r="U35" s="490">
        <f t="shared" si="10"/>
        <v>13.849151671711311</v>
      </c>
      <c r="V35" s="490">
        <f t="shared" si="11"/>
        <v>5.9236800000000009</v>
      </c>
      <c r="W35" s="490">
        <f t="shared" si="12"/>
        <v>28.137480000000004</v>
      </c>
      <c r="X35" s="490" t="str">
        <f t="shared" si="6"/>
        <v/>
      </c>
      <c r="Y35" s="490">
        <f t="shared" si="13"/>
        <v>0</v>
      </c>
      <c r="Z35" s="490">
        <f t="shared" si="7"/>
        <v>0</v>
      </c>
      <c r="AA35" s="534">
        <f>IF(X35="Mular",Indice!$N$9*1000,0)</f>
        <v>0</v>
      </c>
      <c r="AB35" s="550">
        <f t="shared" si="14"/>
        <v>0</v>
      </c>
    </row>
    <row r="36" spans="1:29" ht="30.75" x14ac:dyDescent="0.4">
      <c r="A36" s="525"/>
      <c r="B36" s="549" t="str">
        <f t="shared" si="8"/>
        <v>VC-3 - VV-2</v>
      </c>
      <c r="C36" s="485" t="s">
        <v>1855</v>
      </c>
      <c r="D36" s="486" t="s">
        <v>1856</v>
      </c>
      <c r="E36" s="487">
        <v>0.5</v>
      </c>
      <c r="F36" s="487">
        <v>277.60000000000002</v>
      </c>
      <c r="G36" s="487">
        <f t="shared" si="9"/>
        <v>10.929133858267718</v>
      </c>
      <c r="H36" s="488"/>
      <c r="I36" s="488"/>
      <c r="J36" s="488"/>
      <c r="K36" s="489" t="s">
        <v>1845</v>
      </c>
      <c r="L36" s="533" t="s">
        <v>7</v>
      </c>
      <c r="M36" s="490">
        <v>0.8</v>
      </c>
      <c r="N36" s="490">
        <v>1.1000000000000001</v>
      </c>
      <c r="O36" s="490">
        <f t="shared" si="3"/>
        <v>0.44000000000000006</v>
      </c>
      <c r="P36" s="490">
        <f t="shared" si="4"/>
        <v>0</v>
      </c>
      <c r="Q36" s="490">
        <f t="shared" si="4"/>
        <v>0</v>
      </c>
      <c r="R36" s="490">
        <f t="shared" si="4"/>
        <v>0</v>
      </c>
      <c r="S36" s="490">
        <f t="shared" si="5"/>
        <v>0</v>
      </c>
      <c r="T36" s="490">
        <f t="shared" si="5"/>
        <v>0</v>
      </c>
      <c r="U36" s="490">
        <f t="shared" si="10"/>
        <v>0.18703443361844407</v>
      </c>
      <c r="V36" s="490">
        <f t="shared" si="11"/>
        <v>8.0000000000000016E-2</v>
      </c>
      <c r="W36" s="490">
        <f t="shared" si="12"/>
        <v>0.38</v>
      </c>
      <c r="X36" s="490" t="str">
        <f t="shared" si="6"/>
        <v/>
      </c>
      <c r="Y36" s="490">
        <f t="shared" si="13"/>
        <v>0</v>
      </c>
      <c r="Z36" s="490">
        <f t="shared" si="7"/>
        <v>0</v>
      </c>
      <c r="AA36" s="534">
        <f>IF(X36="Mular",Indice!$N$9*1000,0)</f>
        <v>0</v>
      </c>
      <c r="AB36" s="550">
        <f t="shared" si="14"/>
        <v>0</v>
      </c>
    </row>
    <row r="37" spans="1:29" ht="30.75" x14ac:dyDescent="0.4">
      <c r="A37" s="525"/>
      <c r="B37" s="549" t="str">
        <f t="shared" si="8"/>
        <v>VV-2 - PTAP</v>
      </c>
      <c r="C37" s="485" t="s">
        <v>1856</v>
      </c>
      <c r="D37" s="486" t="s">
        <v>1857</v>
      </c>
      <c r="E37" s="487">
        <v>10.923</v>
      </c>
      <c r="F37" s="487">
        <v>277.60000000000002</v>
      </c>
      <c r="G37" s="487">
        <f t="shared" si="9"/>
        <v>10.929133858267718</v>
      </c>
      <c r="H37" s="488"/>
      <c r="I37" s="488"/>
      <c r="J37" s="488"/>
      <c r="K37" s="489" t="s">
        <v>1845</v>
      </c>
      <c r="L37" s="533" t="s">
        <v>7</v>
      </c>
      <c r="M37" s="490">
        <v>0.8</v>
      </c>
      <c r="N37" s="490">
        <v>1.1000000000000001</v>
      </c>
      <c r="O37" s="490">
        <f t="shared" si="3"/>
        <v>9.6122400000000017</v>
      </c>
      <c r="P37" s="490">
        <f t="shared" si="4"/>
        <v>0</v>
      </c>
      <c r="Q37" s="490">
        <f t="shared" si="4"/>
        <v>0</v>
      </c>
      <c r="R37" s="490">
        <f t="shared" si="4"/>
        <v>0</v>
      </c>
      <c r="S37" s="490">
        <f t="shared" si="5"/>
        <v>0</v>
      </c>
      <c r="T37" s="490">
        <f t="shared" si="5"/>
        <v>0</v>
      </c>
      <c r="U37" s="490">
        <f t="shared" si="10"/>
        <v>4.0859542368285302</v>
      </c>
      <c r="V37" s="490">
        <f t="shared" si="11"/>
        <v>1.7476800000000001</v>
      </c>
      <c r="W37" s="490">
        <f t="shared" si="12"/>
        <v>8.3014799999999997</v>
      </c>
      <c r="X37" s="490" t="str">
        <f t="shared" si="6"/>
        <v/>
      </c>
      <c r="Y37" s="490">
        <f t="shared" si="13"/>
        <v>0</v>
      </c>
      <c r="Z37" s="490">
        <f t="shared" si="7"/>
        <v>0</v>
      </c>
      <c r="AA37" s="534">
        <f>IF(X37="Mular",Indice!$N$9*1000,0)</f>
        <v>0</v>
      </c>
      <c r="AB37" s="550">
        <f t="shared" si="14"/>
        <v>0</v>
      </c>
    </row>
    <row r="38" spans="1:29" ht="30.75" x14ac:dyDescent="0.4">
      <c r="A38" s="525"/>
      <c r="B38" s="549" t="str">
        <f t="shared" si="8"/>
        <v>D1 - D2</v>
      </c>
      <c r="C38" s="485" t="s">
        <v>1858</v>
      </c>
      <c r="D38" s="486" t="s">
        <v>1859</v>
      </c>
      <c r="E38" s="487">
        <v>18</v>
      </c>
      <c r="F38" s="487">
        <v>277.60000000000002</v>
      </c>
      <c r="G38" s="487">
        <f t="shared" ref="G38" si="15">F38/25.4</f>
        <v>10.929133858267718</v>
      </c>
      <c r="H38" s="488"/>
      <c r="I38" s="488"/>
      <c r="J38" s="488"/>
      <c r="K38" s="489" t="s">
        <v>1845</v>
      </c>
      <c r="L38" s="533" t="s">
        <v>7</v>
      </c>
      <c r="M38" s="490">
        <v>0.8</v>
      </c>
      <c r="N38" s="490">
        <v>1.1000000000000001</v>
      </c>
      <c r="O38" s="490">
        <f t="shared" ref="O38" si="16">M38*N38*E38</f>
        <v>15.840000000000002</v>
      </c>
      <c r="P38" s="490">
        <f t="shared" si="4"/>
        <v>0</v>
      </c>
      <c r="Q38" s="490">
        <f t="shared" si="4"/>
        <v>0</v>
      </c>
      <c r="R38" s="490">
        <f t="shared" si="4"/>
        <v>0</v>
      </c>
      <c r="S38" s="490">
        <f t="shared" si="5"/>
        <v>0</v>
      </c>
      <c r="T38" s="490">
        <f t="shared" si="5"/>
        <v>0</v>
      </c>
      <c r="U38" s="490">
        <f t="shared" si="10"/>
        <v>6.7332396102639862</v>
      </c>
      <c r="V38" s="490">
        <f t="shared" si="11"/>
        <v>2.8800000000000003</v>
      </c>
      <c r="W38" s="490">
        <f t="shared" si="12"/>
        <v>13.68</v>
      </c>
      <c r="X38" s="490" t="str">
        <f t="shared" ref="X38" si="17">IF(L38=$L$27,"","Mular")</f>
        <v/>
      </c>
      <c r="Y38" s="490">
        <f t="shared" ref="Y38" si="18">IF(X38="Mular",(VLOOKUP(K38,AA_Cantidadesredes,4,FALSE)*E38),0)</f>
        <v>0</v>
      </c>
      <c r="Z38" s="490">
        <f t="shared" ref="Z38" si="19">IF(X38="Mular",$N$5*T38,0)</f>
        <v>0</v>
      </c>
      <c r="AA38" s="534">
        <f>IF(X38="Mular",Indice!$N$9*1000,0)</f>
        <v>0</v>
      </c>
      <c r="AB38" s="550">
        <f t="shared" ref="AB38" si="20">(Z38+Y38)</f>
        <v>0</v>
      </c>
    </row>
    <row r="39" spans="1:29" ht="30.75" x14ac:dyDescent="0.4">
      <c r="A39" s="525"/>
      <c r="B39" s="779"/>
      <c r="C39" s="780"/>
      <c r="D39" s="781"/>
      <c r="E39" s="782"/>
      <c r="F39" s="782"/>
      <c r="G39" s="782"/>
      <c r="H39" s="783"/>
      <c r="I39" s="783"/>
      <c r="J39" s="783"/>
      <c r="K39" s="784"/>
      <c r="L39" s="533"/>
      <c r="M39" s="490"/>
      <c r="N39" s="490"/>
      <c r="O39" s="490"/>
      <c r="P39" s="490"/>
      <c r="Q39" s="490"/>
      <c r="R39" s="490"/>
      <c r="S39" s="490"/>
      <c r="T39" s="490"/>
      <c r="U39" s="490"/>
      <c r="V39" s="490"/>
      <c r="W39" s="490"/>
      <c r="X39" s="490"/>
      <c r="Y39" s="490"/>
      <c r="Z39" s="490"/>
      <c r="AA39" s="534"/>
      <c r="AB39" s="550"/>
    </row>
    <row r="40" spans="1:29" ht="30.75" x14ac:dyDescent="0.4">
      <c r="A40" s="525"/>
      <c r="B40" s="779"/>
      <c r="C40" s="780"/>
      <c r="D40" s="781"/>
      <c r="E40" s="782"/>
      <c r="F40" s="782"/>
      <c r="G40" s="782"/>
      <c r="H40" s="783"/>
      <c r="I40" s="783"/>
      <c r="J40" s="783"/>
      <c r="K40" s="784"/>
      <c r="L40" s="783"/>
      <c r="M40" s="785"/>
      <c r="N40" s="785"/>
      <c r="O40" s="785"/>
      <c r="P40" s="785"/>
      <c r="Q40" s="785"/>
      <c r="R40" s="785"/>
      <c r="S40" s="785"/>
      <c r="T40" s="785"/>
      <c r="U40" s="785"/>
      <c r="V40" s="785"/>
      <c r="W40" s="785"/>
      <c r="X40" s="785"/>
      <c r="Y40" s="785"/>
      <c r="Z40" s="785"/>
      <c r="AA40" s="785"/>
      <c r="AB40" s="785"/>
    </row>
    <row r="41" spans="1:29" ht="21.6" customHeight="1" x14ac:dyDescent="0.2">
      <c r="A41" s="525"/>
      <c r="B41" s="1463" t="s">
        <v>720</v>
      </c>
      <c r="C41" s="1464"/>
      <c r="D41" s="1464"/>
      <c r="E41" s="1464"/>
      <c r="F41" s="1464"/>
      <c r="G41" s="1464"/>
      <c r="H41" s="1464"/>
      <c r="I41" s="1464"/>
      <c r="J41" s="1464"/>
      <c r="K41" s="1464"/>
      <c r="L41" s="1464"/>
      <c r="M41" s="1464"/>
      <c r="N41" s="1465"/>
      <c r="O41" s="789" t="s">
        <v>703</v>
      </c>
      <c r="P41" s="790" t="s">
        <v>721</v>
      </c>
      <c r="Q41" s="790" t="s">
        <v>722</v>
      </c>
      <c r="R41" s="790" t="s">
        <v>1883</v>
      </c>
      <c r="S41" s="791" t="s">
        <v>723</v>
      </c>
      <c r="T41" s="791" t="s">
        <v>722</v>
      </c>
      <c r="U41" s="792" t="s">
        <v>704</v>
      </c>
      <c r="V41" s="793" t="s">
        <v>705</v>
      </c>
      <c r="W41" s="793" t="s">
        <v>1868</v>
      </c>
      <c r="X41" s="793" t="s">
        <v>1864</v>
      </c>
      <c r="Y41" s="793" t="s">
        <v>1881</v>
      </c>
      <c r="Z41" s="793" t="s">
        <v>1882</v>
      </c>
      <c r="AA41" s="794"/>
      <c r="AB41" s="795"/>
    </row>
    <row r="42" spans="1:29" ht="25.9" customHeight="1" x14ac:dyDescent="0.2">
      <c r="A42" s="525"/>
      <c r="B42" s="1466"/>
      <c r="C42" s="1467"/>
      <c r="D42" s="1467"/>
      <c r="E42" s="1467"/>
      <c r="F42" s="1467"/>
      <c r="G42" s="1467"/>
      <c r="H42" s="1467"/>
      <c r="I42" s="1467"/>
      <c r="J42" s="1467"/>
      <c r="K42" s="1467"/>
      <c r="L42" s="1467"/>
      <c r="M42" s="1467"/>
      <c r="N42" s="1468"/>
      <c r="O42" s="796">
        <f>SUM(O44:O123)</f>
        <v>2165.5742482849446</v>
      </c>
      <c r="P42" s="796">
        <f>SUM(P44:P123)</f>
        <v>0</v>
      </c>
      <c r="Q42" s="796">
        <f t="shared" ref="Q42:R42" si="21">SUM(Q44:Q123)</f>
        <v>0</v>
      </c>
      <c r="R42" s="796">
        <f t="shared" si="21"/>
        <v>393.74077241544427</v>
      </c>
      <c r="S42" s="796">
        <f t="shared" ref="S42:Z42" si="22">SUM(S44:S123)</f>
        <v>1949.0168234564501</v>
      </c>
      <c r="T42" s="796">
        <f t="shared" si="22"/>
        <v>0</v>
      </c>
      <c r="U42" s="796">
        <f t="shared" si="22"/>
        <v>648.485391739345</v>
      </c>
      <c r="V42" s="796">
        <f t="shared" si="22"/>
        <v>0</v>
      </c>
      <c r="W42" s="796">
        <f t="shared" si="22"/>
        <v>1870.2686689733609</v>
      </c>
      <c r="X42" s="796">
        <f t="shared" si="22"/>
        <v>507.50000000000006</v>
      </c>
      <c r="Y42" s="796">
        <f t="shared" si="22"/>
        <v>354.3666951739001</v>
      </c>
      <c r="Z42" s="796">
        <f t="shared" si="22"/>
        <v>328.2000000000001</v>
      </c>
      <c r="AA42" s="794"/>
      <c r="AB42" s="795"/>
    </row>
    <row r="43" spans="1:29" ht="21.6" customHeight="1" x14ac:dyDescent="0.2">
      <c r="A43" s="525"/>
      <c r="B43" s="551" t="s">
        <v>712</v>
      </c>
      <c r="C43" s="474" t="s">
        <v>713</v>
      </c>
      <c r="D43" s="474" t="s">
        <v>714</v>
      </c>
      <c r="E43" s="474" t="s">
        <v>715</v>
      </c>
      <c r="F43" s="474" t="s">
        <v>914</v>
      </c>
      <c r="G43" s="797" t="s">
        <v>716</v>
      </c>
      <c r="H43" s="474" t="s">
        <v>913</v>
      </c>
      <c r="I43" s="474" t="s">
        <v>1448</v>
      </c>
      <c r="J43" s="474" t="s">
        <v>915</v>
      </c>
      <c r="K43" s="778" t="s">
        <v>717</v>
      </c>
      <c r="L43" s="474" t="s">
        <v>718</v>
      </c>
      <c r="M43" s="474" t="s">
        <v>675</v>
      </c>
      <c r="N43" s="474" t="s">
        <v>719</v>
      </c>
      <c r="O43" s="789" t="s">
        <v>703</v>
      </c>
      <c r="P43" s="790" t="s">
        <v>721</v>
      </c>
      <c r="Q43" s="790" t="s">
        <v>722</v>
      </c>
      <c r="R43" s="790" t="str">
        <f>+R41</f>
        <v>Dem</v>
      </c>
      <c r="S43" s="791" t="s">
        <v>723</v>
      </c>
      <c r="T43" s="791" t="s">
        <v>722</v>
      </c>
      <c r="U43" s="793" t="s">
        <v>704</v>
      </c>
      <c r="V43" s="793" t="s">
        <v>705</v>
      </c>
      <c r="W43" s="793" t="str">
        <f>+W41</f>
        <v>M. Exca</v>
      </c>
      <c r="X43" s="793" t="str">
        <f>+X41</f>
        <v>Sardinel</v>
      </c>
      <c r="Y43" s="793" t="str">
        <f>+Y41</f>
        <v>Pav</v>
      </c>
      <c r="Z43" s="793" t="str">
        <f>+Z41</f>
        <v>Anden</v>
      </c>
      <c r="AA43" s="794"/>
      <c r="AB43" s="795"/>
    </row>
    <row r="44" spans="1:29" s="805" customFormat="1" ht="25.15" customHeight="1" x14ac:dyDescent="0.4">
      <c r="A44" s="798"/>
      <c r="B44" s="549" t="str">
        <f t="shared" ref="B44:B106" si="23">+CONCATENATE(C44," - ",D44)</f>
        <v>RE012 - AC002</v>
      </c>
      <c r="C44" s="799" t="s">
        <v>1861</v>
      </c>
      <c r="D44" s="486" t="s">
        <v>1862</v>
      </c>
      <c r="E44" s="800">
        <v>8.8947212103997106</v>
      </c>
      <c r="F44" s="800">
        <v>90</v>
      </c>
      <c r="G44" s="800">
        <f t="shared" ref="G44" si="24">F44/25.4</f>
        <v>3.5433070866141736</v>
      </c>
      <c r="H44" s="486"/>
      <c r="I44" s="486"/>
      <c r="J44" s="486"/>
      <c r="K44" s="486" t="s">
        <v>1844</v>
      </c>
      <c r="L44" s="533" t="s">
        <v>17</v>
      </c>
      <c r="M44" s="801">
        <v>0.6</v>
      </c>
      <c r="N44" s="490">
        <v>1.1000000000000001</v>
      </c>
      <c r="O44" s="490">
        <f>M44*N44*E44</f>
        <v>5.8705159988638096</v>
      </c>
      <c r="P44" s="490">
        <f t="shared" ref="P44:Q56" si="25">IF($L44=$N$21,$O44*P$20,0)</f>
        <v>0</v>
      </c>
      <c r="Q44" s="490">
        <f t="shared" si="25"/>
        <v>0</v>
      </c>
      <c r="R44" s="490">
        <f>+M44*E44*0.2</f>
        <v>1.0673665452479653</v>
      </c>
      <c r="S44" s="490">
        <f t="shared" ref="S44:T56" si="26">IF($L44=$N$22,$O44*S$20,0)</f>
        <v>5.2834643989774284</v>
      </c>
      <c r="T44" s="490">
        <f t="shared" si="26"/>
        <v>0</v>
      </c>
      <c r="U44" s="490">
        <f>(M44*E44*0.34)-((PI()*((0.09/2)^2))*E44)</f>
        <v>1.7579373555306408</v>
      </c>
      <c r="V44" s="490">
        <v>0</v>
      </c>
      <c r="W44" s="490">
        <f>+M44*E44*0.95</f>
        <v>5.069991089927834</v>
      </c>
      <c r="X44" s="490">
        <f>ROUND((E44/10)*1.546*1,1)</f>
        <v>1.4</v>
      </c>
      <c r="Y44" s="490">
        <f>+E44*(M44-0.06)*0.2</f>
        <v>0.96062989072316884</v>
      </c>
      <c r="Z44" s="490">
        <f>ROUND((E44/10)*1*1,1)</f>
        <v>0.9</v>
      </c>
      <c r="AA44" s="802"/>
      <c r="AB44" s="803"/>
      <c r="AC44" s="804"/>
    </row>
    <row r="45" spans="1:29" s="805" customFormat="1" ht="25.15" customHeight="1" x14ac:dyDescent="0.4">
      <c r="A45" s="798"/>
      <c r="B45" s="549" t="str">
        <f t="shared" si="23"/>
        <v>TEE-12 - VP-04</v>
      </c>
      <c r="C45" s="799" t="s">
        <v>1636</v>
      </c>
      <c r="D45" s="486" t="s">
        <v>1801</v>
      </c>
      <c r="E45" s="800">
        <v>63.20912431989256</v>
      </c>
      <c r="F45" s="800">
        <v>90</v>
      </c>
      <c r="G45" s="800">
        <f t="shared" ref="G45:G96" si="27">F45/25.4</f>
        <v>3.5433070866141736</v>
      </c>
      <c r="H45" s="486"/>
      <c r="I45" s="486"/>
      <c r="J45" s="486"/>
      <c r="K45" s="486" t="s">
        <v>1844</v>
      </c>
      <c r="L45" s="533" t="s">
        <v>17</v>
      </c>
      <c r="M45" s="801">
        <v>0.6</v>
      </c>
      <c r="N45" s="490">
        <v>1.1000000000000001</v>
      </c>
      <c r="O45" s="490">
        <f t="shared" ref="O45:O96" si="28">M45*N45*E45</f>
        <v>41.71802205112909</v>
      </c>
      <c r="P45" s="490">
        <f t="shared" si="25"/>
        <v>0</v>
      </c>
      <c r="Q45" s="490">
        <f t="shared" si="25"/>
        <v>0</v>
      </c>
      <c r="R45" s="490">
        <f t="shared" ref="R45:R108" si="29">+M45*E45*0.2</f>
        <v>7.5850949183871066</v>
      </c>
      <c r="S45" s="490">
        <f t="shared" si="26"/>
        <v>37.546219846016179</v>
      </c>
      <c r="T45" s="490">
        <f t="shared" si="26"/>
        <v>0</v>
      </c>
      <c r="U45" s="490">
        <f t="shared" ref="U45:U108" si="30">(M45*E45*0.34)-((PI()*((0.09/2)^2))*E45)</f>
        <v>12.492542287036565</v>
      </c>
      <c r="V45" s="490">
        <v>0</v>
      </c>
      <c r="W45" s="490">
        <f t="shared" ref="W45:W108" si="31">+M45*E45*0.95</f>
        <v>36.029200862338755</v>
      </c>
      <c r="X45" s="490">
        <f t="shared" ref="X45:X108" si="32">ROUND((E45/10)*1.546*1,1)</f>
        <v>9.8000000000000007</v>
      </c>
      <c r="Y45" s="490">
        <f t="shared" ref="Y45:Y108" si="33">+E45*(M45-0.06)*0.2</f>
        <v>6.8265854265483972</v>
      </c>
      <c r="Z45" s="490">
        <f t="shared" ref="Z45:Z108" si="34">ROUND((E45/10)*1*1,1)</f>
        <v>6.3</v>
      </c>
      <c r="AA45" s="802"/>
      <c r="AB45" s="803"/>
      <c r="AC45" s="804"/>
    </row>
    <row r="46" spans="1:29" s="805" customFormat="1" ht="25.15" customHeight="1" x14ac:dyDescent="0.4">
      <c r="A46" s="798"/>
      <c r="B46" s="549" t="str">
        <f t="shared" si="23"/>
        <v>VP-04 - TEE-17</v>
      </c>
      <c r="C46" s="799" t="s">
        <v>1801</v>
      </c>
      <c r="D46" s="486" t="s">
        <v>1635</v>
      </c>
      <c r="E46" s="800">
        <v>0.55524838587525982</v>
      </c>
      <c r="F46" s="800">
        <v>90</v>
      </c>
      <c r="G46" s="800">
        <f t="shared" si="27"/>
        <v>3.5433070866141736</v>
      </c>
      <c r="H46" s="486"/>
      <c r="I46" s="486"/>
      <c r="J46" s="486"/>
      <c r="K46" s="486" t="s">
        <v>1844</v>
      </c>
      <c r="L46" s="533" t="s">
        <v>17</v>
      </c>
      <c r="M46" s="801">
        <v>0.6</v>
      </c>
      <c r="N46" s="490">
        <v>1.1000000000000001</v>
      </c>
      <c r="O46" s="490">
        <f t="shared" si="28"/>
        <v>0.36646393467767152</v>
      </c>
      <c r="P46" s="490">
        <f t="shared" si="25"/>
        <v>0</v>
      </c>
      <c r="Q46" s="490">
        <f t="shared" si="25"/>
        <v>0</v>
      </c>
      <c r="R46" s="490">
        <f t="shared" si="29"/>
        <v>6.6629806305031181E-2</v>
      </c>
      <c r="S46" s="490">
        <f t="shared" si="26"/>
        <v>0.32981754120990436</v>
      </c>
      <c r="T46" s="490">
        <f t="shared" si="26"/>
        <v>0</v>
      </c>
      <c r="U46" s="490">
        <f t="shared" si="30"/>
        <v>0.10973833311233681</v>
      </c>
      <c r="V46" s="490">
        <v>0</v>
      </c>
      <c r="W46" s="490">
        <f t="shared" si="31"/>
        <v>0.31649157994889809</v>
      </c>
      <c r="X46" s="490">
        <f t="shared" si="32"/>
        <v>0.1</v>
      </c>
      <c r="Y46" s="490">
        <f t="shared" si="33"/>
        <v>5.9966825674528074E-2</v>
      </c>
      <c r="Z46" s="490">
        <f t="shared" si="34"/>
        <v>0.1</v>
      </c>
      <c r="AA46" s="802"/>
      <c r="AB46" s="803"/>
      <c r="AC46" s="804"/>
    </row>
    <row r="47" spans="1:29" s="805" customFormat="1" ht="25.15" customHeight="1" x14ac:dyDescent="0.4">
      <c r="A47" s="798"/>
      <c r="B47" s="549" t="str">
        <f t="shared" si="23"/>
        <v>TEE-17 - TEE-16</v>
      </c>
      <c r="C47" s="799" t="s">
        <v>1635</v>
      </c>
      <c r="D47" s="486" t="s">
        <v>1802</v>
      </c>
      <c r="E47" s="800">
        <v>68.041304788262011</v>
      </c>
      <c r="F47" s="800">
        <v>90</v>
      </c>
      <c r="G47" s="800">
        <f t="shared" si="27"/>
        <v>3.5433070866141736</v>
      </c>
      <c r="H47" s="486"/>
      <c r="I47" s="486"/>
      <c r="J47" s="486"/>
      <c r="K47" s="486" t="s">
        <v>1844</v>
      </c>
      <c r="L47" s="533" t="s">
        <v>17</v>
      </c>
      <c r="M47" s="801">
        <v>0.6</v>
      </c>
      <c r="N47" s="490">
        <v>1.1000000000000001</v>
      </c>
      <c r="O47" s="490">
        <f t="shared" si="28"/>
        <v>44.907261160252929</v>
      </c>
      <c r="P47" s="490">
        <f t="shared" si="25"/>
        <v>0</v>
      </c>
      <c r="Q47" s="490">
        <f t="shared" si="25"/>
        <v>0</v>
      </c>
      <c r="R47" s="490">
        <f t="shared" si="29"/>
        <v>8.1649565745914412</v>
      </c>
      <c r="S47" s="490">
        <f t="shared" si="26"/>
        <v>40.416535044227636</v>
      </c>
      <c r="T47" s="490">
        <f t="shared" si="26"/>
        <v>0</v>
      </c>
      <c r="U47" s="490">
        <f t="shared" si="30"/>
        <v>13.44756609869693</v>
      </c>
      <c r="V47" s="490">
        <v>0</v>
      </c>
      <c r="W47" s="490">
        <f t="shared" si="31"/>
        <v>38.783543729309343</v>
      </c>
      <c r="X47" s="490">
        <f t="shared" si="32"/>
        <v>10.5</v>
      </c>
      <c r="Y47" s="490">
        <f t="shared" si="33"/>
        <v>7.3484609171322974</v>
      </c>
      <c r="Z47" s="490">
        <f t="shared" si="34"/>
        <v>6.8</v>
      </c>
      <c r="AA47" s="802"/>
      <c r="AB47" s="803"/>
      <c r="AC47" s="804"/>
    </row>
    <row r="48" spans="1:29" s="805" customFormat="1" ht="25.15" customHeight="1" x14ac:dyDescent="0.4">
      <c r="A48" s="798"/>
      <c r="B48" s="549" t="str">
        <f t="shared" si="23"/>
        <v>TEE-16 - TEE-24</v>
      </c>
      <c r="C48" s="799" t="s">
        <v>1802</v>
      </c>
      <c r="D48" s="486" t="s">
        <v>1634</v>
      </c>
      <c r="E48" s="800">
        <v>7.5861244756162058</v>
      </c>
      <c r="F48" s="800">
        <v>90</v>
      </c>
      <c r="G48" s="800">
        <f t="shared" si="27"/>
        <v>3.5433070866141736</v>
      </c>
      <c r="H48" s="486"/>
      <c r="I48" s="486"/>
      <c r="J48" s="486"/>
      <c r="K48" s="486" t="s">
        <v>1844</v>
      </c>
      <c r="L48" s="533" t="s">
        <v>17</v>
      </c>
      <c r="M48" s="801">
        <v>0.6</v>
      </c>
      <c r="N48" s="490">
        <v>1.1000000000000001</v>
      </c>
      <c r="O48" s="490">
        <f t="shared" si="28"/>
        <v>5.0068421539066961</v>
      </c>
      <c r="P48" s="490">
        <f t="shared" si="25"/>
        <v>0</v>
      </c>
      <c r="Q48" s="490">
        <f t="shared" si="25"/>
        <v>0</v>
      </c>
      <c r="R48" s="490">
        <f t="shared" si="29"/>
        <v>0.91033493707394464</v>
      </c>
      <c r="S48" s="490">
        <f t="shared" si="26"/>
        <v>4.5061579385160266</v>
      </c>
      <c r="T48" s="490">
        <f t="shared" si="26"/>
        <v>0</v>
      </c>
      <c r="U48" s="490">
        <f t="shared" si="30"/>
        <v>1.4993085543590334</v>
      </c>
      <c r="V48" s="490">
        <v>0</v>
      </c>
      <c r="W48" s="490">
        <f t="shared" si="31"/>
        <v>4.3240909511012369</v>
      </c>
      <c r="X48" s="490">
        <f t="shared" si="32"/>
        <v>1.2</v>
      </c>
      <c r="Y48" s="490">
        <f t="shared" si="33"/>
        <v>0.81930144336655042</v>
      </c>
      <c r="Z48" s="490">
        <f t="shared" si="34"/>
        <v>0.8</v>
      </c>
      <c r="AA48" s="802"/>
      <c r="AB48" s="803"/>
      <c r="AC48" s="804"/>
    </row>
    <row r="49" spans="1:29" s="805" customFormat="1" ht="25.15" customHeight="1" x14ac:dyDescent="0.4">
      <c r="A49" s="798"/>
      <c r="B49" s="549" t="str">
        <f t="shared" si="23"/>
        <v>TEE-24 - VV-14</v>
      </c>
      <c r="C49" s="799" t="s">
        <v>1634</v>
      </c>
      <c r="D49" s="486" t="s">
        <v>1803</v>
      </c>
      <c r="E49" s="800">
        <v>45.681816722310487</v>
      </c>
      <c r="F49" s="800">
        <v>90</v>
      </c>
      <c r="G49" s="800">
        <f t="shared" si="27"/>
        <v>3.5433070866141736</v>
      </c>
      <c r="H49" s="486"/>
      <c r="I49" s="486"/>
      <c r="J49" s="486"/>
      <c r="K49" s="486" t="s">
        <v>1844</v>
      </c>
      <c r="L49" s="533" t="s">
        <v>17</v>
      </c>
      <c r="M49" s="801">
        <v>0.6</v>
      </c>
      <c r="N49" s="490">
        <v>1.1000000000000001</v>
      </c>
      <c r="O49" s="490">
        <f t="shared" si="28"/>
        <v>30.149999036724921</v>
      </c>
      <c r="P49" s="490">
        <f t="shared" si="25"/>
        <v>0</v>
      </c>
      <c r="Q49" s="490">
        <f t="shared" si="25"/>
        <v>0</v>
      </c>
      <c r="R49" s="490">
        <f t="shared" si="29"/>
        <v>5.4818180066772584</v>
      </c>
      <c r="S49" s="490">
        <f t="shared" si="26"/>
        <v>27.134999133052428</v>
      </c>
      <c r="T49" s="490">
        <f t="shared" si="26"/>
        <v>0</v>
      </c>
      <c r="U49" s="490">
        <f t="shared" si="30"/>
        <v>9.0284754502210127</v>
      </c>
      <c r="V49" s="490">
        <v>0</v>
      </c>
      <c r="W49" s="490">
        <f t="shared" si="31"/>
        <v>26.038635531716977</v>
      </c>
      <c r="X49" s="490">
        <f t="shared" si="32"/>
        <v>7.1</v>
      </c>
      <c r="Y49" s="490">
        <f t="shared" si="33"/>
        <v>4.9336362060095329</v>
      </c>
      <c r="Z49" s="490">
        <f t="shared" si="34"/>
        <v>4.5999999999999996</v>
      </c>
      <c r="AA49" s="802"/>
      <c r="AB49" s="803"/>
      <c r="AC49" s="804"/>
    </row>
    <row r="50" spans="1:29" s="805" customFormat="1" ht="25.15" customHeight="1" x14ac:dyDescent="0.4">
      <c r="A50" s="798"/>
      <c r="B50" s="549" t="str">
        <f t="shared" si="23"/>
        <v>VV-14 - VRP-08</v>
      </c>
      <c r="C50" s="799" t="s">
        <v>1803</v>
      </c>
      <c r="D50" s="486" t="s">
        <v>1660</v>
      </c>
      <c r="E50" s="800">
        <v>14.747475690887828</v>
      </c>
      <c r="F50" s="800">
        <v>90</v>
      </c>
      <c r="G50" s="800">
        <f t="shared" si="27"/>
        <v>3.5433070866141736</v>
      </c>
      <c r="H50" s="486"/>
      <c r="I50" s="486"/>
      <c r="J50" s="486"/>
      <c r="K50" s="486" t="s">
        <v>1844</v>
      </c>
      <c r="L50" s="533" t="s">
        <v>17</v>
      </c>
      <c r="M50" s="801">
        <v>0.6</v>
      </c>
      <c r="N50" s="490">
        <v>1.1000000000000001</v>
      </c>
      <c r="O50" s="490">
        <f t="shared" si="28"/>
        <v>9.7333339559859677</v>
      </c>
      <c r="P50" s="490">
        <f t="shared" si="25"/>
        <v>0</v>
      </c>
      <c r="Q50" s="490">
        <f t="shared" si="25"/>
        <v>0</v>
      </c>
      <c r="R50" s="490">
        <f t="shared" si="29"/>
        <v>1.7696970829065393</v>
      </c>
      <c r="S50" s="490">
        <f t="shared" si="26"/>
        <v>8.7600005603873718</v>
      </c>
      <c r="T50" s="490">
        <f t="shared" si="26"/>
        <v>0</v>
      </c>
      <c r="U50" s="490">
        <f t="shared" si="30"/>
        <v>2.9146656543299052</v>
      </c>
      <c r="V50" s="490">
        <v>0</v>
      </c>
      <c r="W50" s="490">
        <f t="shared" si="31"/>
        <v>8.4060611438060615</v>
      </c>
      <c r="X50" s="490">
        <f t="shared" si="32"/>
        <v>2.2999999999999998</v>
      </c>
      <c r="Y50" s="490">
        <f t="shared" si="33"/>
        <v>1.5927273746158856</v>
      </c>
      <c r="Z50" s="490">
        <f t="shared" si="34"/>
        <v>1.5</v>
      </c>
      <c r="AA50" s="802"/>
      <c r="AB50" s="803"/>
      <c r="AC50" s="804"/>
    </row>
    <row r="51" spans="1:29" s="805" customFormat="1" ht="25.15" customHeight="1" x14ac:dyDescent="0.4">
      <c r="A51" s="798"/>
      <c r="B51" s="549" t="str">
        <f t="shared" si="23"/>
        <v>TEE-24 - TEE-23</v>
      </c>
      <c r="C51" s="799" t="s">
        <v>1634</v>
      </c>
      <c r="D51" s="486" t="s">
        <v>1659</v>
      </c>
      <c r="E51" s="800">
        <v>47.006200159972281</v>
      </c>
      <c r="F51" s="800">
        <v>90</v>
      </c>
      <c r="G51" s="800">
        <f t="shared" si="27"/>
        <v>3.5433070866141736</v>
      </c>
      <c r="H51" s="486"/>
      <c r="I51" s="486"/>
      <c r="J51" s="486"/>
      <c r="K51" s="486" t="s">
        <v>1844</v>
      </c>
      <c r="L51" s="533" t="s">
        <v>17</v>
      </c>
      <c r="M51" s="801">
        <v>0.6</v>
      </c>
      <c r="N51" s="490">
        <v>1.1000000000000001</v>
      </c>
      <c r="O51" s="490">
        <f t="shared" si="28"/>
        <v>31.024092105581708</v>
      </c>
      <c r="P51" s="490">
        <f t="shared" si="25"/>
        <v>0</v>
      </c>
      <c r="Q51" s="490">
        <f t="shared" si="25"/>
        <v>0</v>
      </c>
      <c r="R51" s="490">
        <f t="shared" si="29"/>
        <v>5.6407440191966742</v>
      </c>
      <c r="S51" s="490">
        <f t="shared" si="26"/>
        <v>27.921682895023537</v>
      </c>
      <c r="T51" s="490">
        <f t="shared" si="26"/>
        <v>0</v>
      </c>
      <c r="U51" s="490">
        <f t="shared" si="30"/>
        <v>9.2902243081154712</v>
      </c>
      <c r="V51" s="490">
        <v>0</v>
      </c>
      <c r="W51" s="490">
        <f t="shared" si="31"/>
        <v>26.793534091184199</v>
      </c>
      <c r="X51" s="490">
        <f t="shared" si="32"/>
        <v>7.3</v>
      </c>
      <c r="Y51" s="490">
        <f t="shared" si="33"/>
        <v>5.0766696172770072</v>
      </c>
      <c r="Z51" s="490">
        <f t="shared" si="34"/>
        <v>4.7</v>
      </c>
      <c r="AA51" s="802"/>
      <c r="AB51" s="803"/>
      <c r="AC51" s="804"/>
    </row>
    <row r="52" spans="1:29" s="805" customFormat="1" ht="25.15" customHeight="1" x14ac:dyDescent="0.4">
      <c r="A52" s="798"/>
      <c r="B52" s="549" t="str">
        <f t="shared" si="23"/>
        <v>TEE-13 - VRP-07</v>
      </c>
      <c r="C52" s="799" t="s">
        <v>1637</v>
      </c>
      <c r="D52" s="486" t="s">
        <v>1804</v>
      </c>
      <c r="E52" s="800">
        <v>114.93526688438911</v>
      </c>
      <c r="F52" s="800">
        <v>90</v>
      </c>
      <c r="G52" s="800">
        <f t="shared" si="27"/>
        <v>3.5433070866141736</v>
      </c>
      <c r="H52" s="486"/>
      <c r="I52" s="486"/>
      <c r="J52" s="486"/>
      <c r="K52" s="486" t="s">
        <v>1844</v>
      </c>
      <c r="L52" s="533" t="s">
        <v>17</v>
      </c>
      <c r="M52" s="801">
        <v>0.6</v>
      </c>
      <c r="N52" s="490">
        <v>1.1000000000000001</v>
      </c>
      <c r="O52" s="490">
        <f t="shared" si="28"/>
        <v>75.857276143696808</v>
      </c>
      <c r="P52" s="490">
        <f t="shared" si="25"/>
        <v>0</v>
      </c>
      <c r="Q52" s="490">
        <f t="shared" si="25"/>
        <v>0</v>
      </c>
      <c r="R52" s="490">
        <f t="shared" si="29"/>
        <v>13.792232026126692</v>
      </c>
      <c r="S52" s="490">
        <f t="shared" si="26"/>
        <v>68.271548529327134</v>
      </c>
      <c r="T52" s="490">
        <f t="shared" si="26"/>
        <v>0</v>
      </c>
      <c r="U52" s="490">
        <f t="shared" si="30"/>
        <v>22.715607869498559</v>
      </c>
      <c r="V52" s="490">
        <v>0</v>
      </c>
      <c r="W52" s="490">
        <f t="shared" si="31"/>
        <v>65.513102124101778</v>
      </c>
      <c r="X52" s="490">
        <f t="shared" si="32"/>
        <v>17.8</v>
      </c>
      <c r="Y52" s="490">
        <f t="shared" si="33"/>
        <v>12.413008823514026</v>
      </c>
      <c r="Z52" s="490">
        <f t="shared" si="34"/>
        <v>11.5</v>
      </c>
      <c r="AA52" s="802"/>
      <c r="AB52" s="803"/>
      <c r="AC52" s="804"/>
    </row>
    <row r="53" spans="1:29" s="805" customFormat="1" ht="25.15" customHeight="1" x14ac:dyDescent="0.4">
      <c r="A53" s="798"/>
      <c r="B53" s="549" t="str">
        <f t="shared" si="23"/>
        <v>VRP-07 - VP-05</v>
      </c>
      <c r="C53" s="799" t="s">
        <v>1804</v>
      </c>
      <c r="D53" s="486" t="s">
        <v>1805</v>
      </c>
      <c r="E53" s="800">
        <v>4.1075084735644962</v>
      </c>
      <c r="F53" s="800">
        <v>90</v>
      </c>
      <c r="G53" s="800">
        <f t="shared" si="27"/>
        <v>3.5433070866141736</v>
      </c>
      <c r="H53" s="486"/>
      <c r="I53" s="486"/>
      <c r="J53" s="486"/>
      <c r="K53" s="486" t="s">
        <v>1844</v>
      </c>
      <c r="L53" s="533" t="s">
        <v>17</v>
      </c>
      <c r="M53" s="801">
        <v>0.6</v>
      </c>
      <c r="N53" s="490">
        <v>1.1000000000000001</v>
      </c>
      <c r="O53" s="490">
        <f t="shared" si="28"/>
        <v>2.7109555925525677</v>
      </c>
      <c r="P53" s="490">
        <f t="shared" si="25"/>
        <v>0</v>
      </c>
      <c r="Q53" s="490">
        <f t="shared" si="25"/>
        <v>0</v>
      </c>
      <c r="R53" s="490">
        <f t="shared" si="29"/>
        <v>0.49290101682773957</v>
      </c>
      <c r="S53" s="490">
        <f t="shared" si="26"/>
        <v>2.439860033297311</v>
      </c>
      <c r="T53" s="490">
        <f t="shared" si="26"/>
        <v>0</v>
      </c>
      <c r="U53" s="490">
        <f t="shared" si="30"/>
        <v>0.81180088875581347</v>
      </c>
      <c r="V53" s="490">
        <v>0</v>
      </c>
      <c r="W53" s="490">
        <f t="shared" si="31"/>
        <v>2.3412798299317625</v>
      </c>
      <c r="X53" s="490">
        <f t="shared" si="32"/>
        <v>0.6</v>
      </c>
      <c r="Y53" s="490">
        <f t="shared" si="33"/>
        <v>0.44361091514496565</v>
      </c>
      <c r="Z53" s="490">
        <f t="shared" si="34"/>
        <v>0.4</v>
      </c>
      <c r="AA53" s="802"/>
      <c r="AB53" s="803"/>
      <c r="AC53" s="804"/>
    </row>
    <row r="54" spans="1:29" s="805" customFormat="1" ht="25.15" customHeight="1" x14ac:dyDescent="0.4">
      <c r="A54" s="798"/>
      <c r="B54" s="549" t="str">
        <f t="shared" si="23"/>
        <v>VP-05 - TEE-15</v>
      </c>
      <c r="C54" s="799" t="s">
        <v>1805</v>
      </c>
      <c r="D54" s="486" t="s">
        <v>1806</v>
      </c>
      <c r="E54" s="800">
        <v>4.0312445174117482</v>
      </c>
      <c r="F54" s="800">
        <v>90</v>
      </c>
      <c r="G54" s="800">
        <f t="shared" si="27"/>
        <v>3.5433070866141736</v>
      </c>
      <c r="H54" s="486"/>
      <c r="I54" s="486"/>
      <c r="J54" s="486"/>
      <c r="K54" s="486" t="s">
        <v>1844</v>
      </c>
      <c r="L54" s="533" t="s">
        <v>17</v>
      </c>
      <c r="M54" s="801">
        <v>0.6</v>
      </c>
      <c r="N54" s="490">
        <v>1.1000000000000001</v>
      </c>
      <c r="O54" s="490">
        <f t="shared" si="28"/>
        <v>2.6606213814917541</v>
      </c>
      <c r="P54" s="490">
        <f t="shared" si="25"/>
        <v>0</v>
      </c>
      <c r="Q54" s="490">
        <f t="shared" si="25"/>
        <v>0</v>
      </c>
      <c r="R54" s="490">
        <f t="shared" si="29"/>
        <v>0.48374934208940978</v>
      </c>
      <c r="S54" s="490">
        <f t="shared" si="26"/>
        <v>2.3945592433425786</v>
      </c>
      <c r="T54" s="490">
        <f t="shared" si="26"/>
        <v>0</v>
      </c>
      <c r="U54" s="490">
        <f t="shared" si="30"/>
        <v>0.79672821202652877</v>
      </c>
      <c r="V54" s="490">
        <v>0</v>
      </c>
      <c r="W54" s="490">
        <f t="shared" si="31"/>
        <v>2.2978093749246962</v>
      </c>
      <c r="X54" s="490">
        <f t="shared" si="32"/>
        <v>0.6</v>
      </c>
      <c r="Y54" s="490">
        <f t="shared" si="33"/>
        <v>0.43537440788046883</v>
      </c>
      <c r="Z54" s="490">
        <f t="shared" si="34"/>
        <v>0.4</v>
      </c>
      <c r="AA54" s="802"/>
      <c r="AB54" s="803"/>
      <c r="AC54" s="804"/>
    </row>
    <row r="55" spans="1:29" s="805" customFormat="1" ht="25.15" customHeight="1" x14ac:dyDescent="0.4">
      <c r="A55" s="798"/>
      <c r="B55" s="549" t="str">
        <f t="shared" si="23"/>
        <v>TEE-15 - TEE-14</v>
      </c>
      <c r="C55" s="799" t="s">
        <v>1806</v>
      </c>
      <c r="D55" s="486" t="s">
        <v>1638</v>
      </c>
      <c r="E55" s="800">
        <v>0.39718320707731647</v>
      </c>
      <c r="F55" s="800">
        <v>90</v>
      </c>
      <c r="G55" s="800">
        <f t="shared" si="27"/>
        <v>3.5433070866141736</v>
      </c>
      <c r="H55" s="486"/>
      <c r="I55" s="486"/>
      <c r="J55" s="486"/>
      <c r="K55" s="486" t="s">
        <v>1844</v>
      </c>
      <c r="L55" s="533" t="s">
        <v>17</v>
      </c>
      <c r="M55" s="801">
        <v>0.6</v>
      </c>
      <c r="N55" s="490">
        <v>1.1000000000000001</v>
      </c>
      <c r="O55" s="490">
        <f t="shared" si="28"/>
        <v>0.2621409166710289</v>
      </c>
      <c r="P55" s="490">
        <f t="shared" si="25"/>
        <v>0</v>
      </c>
      <c r="Q55" s="490">
        <f t="shared" si="25"/>
        <v>0</v>
      </c>
      <c r="R55" s="490">
        <f t="shared" si="29"/>
        <v>4.7661984849277972E-2</v>
      </c>
      <c r="S55" s="490">
        <f t="shared" si="26"/>
        <v>0.23592682500392601</v>
      </c>
      <c r="T55" s="490">
        <f t="shared" si="26"/>
        <v>0</v>
      </c>
      <c r="U55" s="490">
        <f t="shared" si="30"/>
        <v>7.8498603856668805E-2</v>
      </c>
      <c r="V55" s="490">
        <v>0</v>
      </c>
      <c r="W55" s="490">
        <f t="shared" si="31"/>
        <v>0.22639442803407037</v>
      </c>
      <c r="X55" s="490">
        <f t="shared" si="32"/>
        <v>0.1</v>
      </c>
      <c r="Y55" s="490">
        <f t="shared" si="33"/>
        <v>4.289578636435018E-2</v>
      </c>
      <c r="Z55" s="490">
        <f t="shared" si="34"/>
        <v>0</v>
      </c>
      <c r="AA55" s="802"/>
      <c r="AB55" s="803"/>
      <c r="AC55" s="804"/>
    </row>
    <row r="56" spans="1:29" s="805" customFormat="1" ht="25.15" customHeight="1" x14ac:dyDescent="0.4">
      <c r="A56" s="798"/>
      <c r="B56" s="549" t="str">
        <f t="shared" si="23"/>
        <v>TEE-14 - TEE-26</v>
      </c>
      <c r="C56" s="799" t="s">
        <v>1638</v>
      </c>
      <c r="D56" s="486" t="s">
        <v>1639</v>
      </c>
      <c r="E56" s="800">
        <v>5.4400774120761533</v>
      </c>
      <c r="F56" s="800">
        <v>90</v>
      </c>
      <c r="G56" s="800">
        <f t="shared" si="27"/>
        <v>3.5433070866141736</v>
      </c>
      <c r="H56" s="486"/>
      <c r="I56" s="486"/>
      <c r="J56" s="486"/>
      <c r="K56" s="486" t="s">
        <v>1844</v>
      </c>
      <c r="L56" s="533" t="s">
        <v>17</v>
      </c>
      <c r="M56" s="801">
        <v>0.6</v>
      </c>
      <c r="N56" s="490">
        <v>1.1000000000000001</v>
      </c>
      <c r="O56" s="490">
        <f t="shared" si="28"/>
        <v>3.5904510919702615</v>
      </c>
      <c r="P56" s="490">
        <f t="shared" si="25"/>
        <v>0</v>
      </c>
      <c r="Q56" s="490">
        <f t="shared" si="25"/>
        <v>0</v>
      </c>
      <c r="R56" s="490">
        <f t="shared" si="29"/>
        <v>0.65280928944913841</v>
      </c>
      <c r="S56" s="490">
        <f t="shared" si="26"/>
        <v>3.2314059827732353</v>
      </c>
      <c r="T56" s="490">
        <f t="shared" si="26"/>
        <v>0</v>
      </c>
      <c r="U56" s="490">
        <f t="shared" si="30"/>
        <v>1.0751675149172404</v>
      </c>
      <c r="V56" s="490">
        <v>0</v>
      </c>
      <c r="W56" s="490">
        <f t="shared" si="31"/>
        <v>3.1008441248834071</v>
      </c>
      <c r="X56" s="490">
        <f t="shared" si="32"/>
        <v>0.8</v>
      </c>
      <c r="Y56" s="490">
        <f t="shared" si="33"/>
        <v>0.58752836050422463</v>
      </c>
      <c r="Z56" s="490">
        <f t="shared" si="34"/>
        <v>0.5</v>
      </c>
      <c r="AA56" s="802"/>
      <c r="AB56" s="803"/>
      <c r="AC56" s="804"/>
    </row>
    <row r="57" spans="1:29" s="805" customFormat="1" ht="25.15" customHeight="1" x14ac:dyDescent="0.4">
      <c r="A57" s="798"/>
      <c r="B57" s="549" t="str">
        <f t="shared" si="23"/>
        <v>TEE-26 - TP-12</v>
      </c>
      <c r="C57" s="799" t="s">
        <v>1639</v>
      </c>
      <c r="D57" s="486" t="s">
        <v>1661</v>
      </c>
      <c r="E57" s="800">
        <v>45.991770738817401</v>
      </c>
      <c r="F57" s="800">
        <v>90</v>
      </c>
      <c r="G57" s="800">
        <f t="shared" si="27"/>
        <v>3.5433070866141736</v>
      </c>
      <c r="H57" s="486"/>
      <c r="I57" s="486"/>
      <c r="J57" s="486"/>
      <c r="K57" s="486" t="s">
        <v>1844</v>
      </c>
      <c r="L57" s="533" t="s">
        <v>17</v>
      </c>
      <c r="M57" s="801">
        <v>0.6</v>
      </c>
      <c r="N57" s="490">
        <v>1.1000000000000001</v>
      </c>
      <c r="O57" s="490">
        <f t="shared" si="28"/>
        <v>30.354568687619487</v>
      </c>
      <c r="P57" s="490">
        <f t="shared" ref="P57:Q108" si="35">IF($L57=$N$21,$O57*P$20,0)</f>
        <v>0</v>
      </c>
      <c r="Q57" s="490">
        <f t="shared" si="35"/>
        <v>0</v>
      </c>
      <c r="R57" s="490">
        <f t="shared" si="29"/>
        <v>5.5190124886580882</v>
      </c>
      <c r="S57" s="490">
        <f t="shared" ref="S57:T108" si="36">IF($L57=$N$22,$O57*S$20,0)</f>
        <v>27.319111818857539</v>
      </c>
      <c r="T57" s="490">
        <f t="shared" si="36"/>
        <v>0</v>
      </c>
      <c r="U57" s="490">
        <f t="shared" si="30"/>
        <v>9.0897342273344748</v>
      </c>
      <c r="V57" s="490">
        <v>0</v>
      </c>
      <c r="W57" s="490">
        <f t="shared" si="31"/>
        <v>26.215309321125918</v>
      </c>
      <c r="X57" s="490">
        <f t="shared" si="32"/>
        <v>7.1</v>
      </c>
      <c r="Y57" s="490">
        <f t="shared" si="33"/>
        <v>4.9671112397922803</v>
      </c>
      <c r="Z57" s="490">
        <f t="shared" si="34"/>
        <v>4.5999999999999996</v>
      </c>
      <c r="AA57" s="802"/>
      <c r="AB57" s="803"/>
      <c r="AC57" s="804"/>
    </row>
    <row r="58" spans="1:29" s="805" customFormat="1" ht="25.15" customHeight="1" x14ac:dyDescent="0.4">
      <c r="A58" s="798"/>
      <c r="B58" s="549" t="str">
        <f t="shared" si="23"/>
        <v>TEE-26 - C-20</v>
      </c>
      <c r="C58" s="799" t="s">
        <v>1639</v>
      </c>
      <c r="D58" s="486" t="s">
        <v>1807</v>
      </c>
      <c r="E58" s="800">
        <v>5.5587061461789418</v>
      </c>
      <c r="F58" s="800">
        <v>90</v>
      </c>
      <c r="G58" s="800">
        <f t="shared" si="27"/>
        <v>3.5433070866141736</v>
      </c>
      <c r="H58" s="486"/>
      <c r="I58" s="486"/>
      <c r="J58" s="486"/>
      <c r="K58" s="486" t="s">
        <v>1844</v>
      </c>
      <c r="L58" s="533" t="s">
        <v>17</v>
      </c>
      <c r="M58" s="801">
        <v>0.6</v>
      </c>
      <c r="N58" s="490">
        <v>1.1000000000000001</v>
      </c>
      <c r="O58" s="490">
        <f t="shared" si="28"/>
        <v>3.6687460564781018</v>
      </c>
      <c r="P58" s="490">
        <f t="shared" si="35"/>
        <v>0</v>
      </c>
      <c r="Q58" s="490">
        <f t="shared" si="35"/>
        <v>0</v>
      </c>
      <c r="R58" s="490">
        <f t="shared" si="29"/>
        <v>0.66704473754147298</v>
      </c>
      <c r="S58" s="490">
        <f t="shared" si="36"/>
        <v>3.3018714508302915</v>
      </c>
      <c r="T58" s="490">
        <f t="shared" si="36"/>
        <v>0</v>
      </c>
      <c r="U58" s="490">
        <f t="shared" si="30"/>
        <v>1.0986130932760962</v>
      </c>
      <c r="V58" s="490">
        <v>0</v>
      </c>
      <c r="W58" s="490">
        <f t="shared" si="31"/>
        <v>3.1684625033219964</v>
      </c>
      <c r="X58" s="490">
        <f t="shared" si="32"/>
        <v>0.9</v>
      </c>
      <c r="Y58" s="490">
        <f t="shared" si="33"/>
        <v>0.60034026378732586</v>
      </c>
      <c r="Z58" s="490">
        <f t="shared" si="34"/>
        <v>0.6</v>
      </c>
      <c r="AA58" s="802"/>
      <c r="AB58" s="803"/>
      <c r="AC58" s="804"/>
    </row>
    <row r="59" spans="1:29" s="805" customFormat="1" ht="25.15" customHeight="1" x14ac:dyDescent="0.4">
      <c r="A59" s="798"/>
      <c r="B59" s="549" t="str">
        <f t="shared" si="23"/>
        <v>C-20 - TP-13</v>
      </c>
      <c r="C59" s="799" t="s">
        <v>1807</v>
      </c>
      <c r="D59" s="486" t="s">
        <v>1662</v>
      </c>
      <c r="E59" s="800">
        <v>57.608590973311117</v>
      </c>
      <c r="F59" s="800">
        <v>90</v>
      </c>
      <c r="G59" s="800">
        <f t="shared" si="27"/>
        <v>3.5433070866141736</v>
      </c>
      <c r="H59" s="486"/>
      <c r="I59" s="486"/>
      <c r="J59" s="486"/>
      <c r="K59" s="486" t="s">
        <v>1844</v>
      </c>
      <c r="L59" s="533" t="s">
        <v>17</v>
      </c>
      <c r="M59" s="801">
        <v>0.6</v>
      </c>
      <c r="N59" s="490">
        <v>1.1000000000000001</v>
      </c>
      <c r="O59" s="490">
        <f t="shared" si="28"/>
        <v>38.021670042385338</v>
      </c>
      <c r="P59" s="490">
        <f t="shared" si="35"/>
        <v>0</v>
      </c>
      <c r="Q59" s="490">
        <f t="shared" si="35"/>
        <v>0</v>
      </c>
      <c r="R59" s="490">
        <f t="shared" si="29"/>
        <v>6.9130309167973341</v>
      </c>
      <c r="S59" s="490">
        <f t="shared" si="36"/>
        <v>34.219503038146804</v>
      </c>
      <c r="T59" s="490">
        <f t="shared" si="36"/>
        <v>0</v>
      </c>
      <c r="U59" s="490">
        <f t="shared" si="30"/>
        <v>11.385662538030004</v>
      </c>
      <c r="V59" s="490">
        <v>0</v>
      </c>
      <c r="W59" s="490">
        <f t="shared" si="31"/>
        <v>32.836896854787334</v>
      </c>
      <c r="X59" s="490">
        <f t="shared" si="32"/>
        <v>8.9</v>
      </c>
      <c r="Y59" s="490">
        <f t="shared" si="33"/>
        <v>6.2217278251176014</v>
      </c>
      <c r="Z59" s="490">
        <f t="shared" si="34"/>
        <v>5.8</v>
      </c>
      <c r="AA59" s="802"/>
      <c r="AB59" s="803"/>
      <c r="AC59" s="804"/>
    </row>
    <row r="60" spans="1:29" s="805" customFormat="1" ht="25.15" customHeight="1" x14ac:dyDescent="0.4">
      <c r="A60" s="798"/>
      <c r="B60" s="549" t="str">
        <f t="shared" si="23"/>
        <v>C-21 - VRP-02</v>
      </c>
      <c r="C60" s="799" t="s">
        <v>1808</v>
      </c>
      <c r="D60" s="486" t="s">
        <v>1809</v>
      </c>
      <c r="E60" s="800">
        <v>61.133964328405547</v>
      </c>
      <c r="F60" s="800">
        <v>90</v>
      </c>
      <c r="G60" s="800">
        <f t="shared" si="27"/>
        <v>3.5433070866141736</v>
      </c>
      <c r="H60" s="486"/>
      <c r="I60" s="486"/>
      <c r="J60" s="486"/>
      <c r="K60" s="486" t="s">
        <v>1844</v>
      </c>
      <c r="L60" s="533" t="s">
        <v>17</v>
      </c>
      <c r="M60" s="801">
        <v>0.6</v>
      </c>
      <c r="N60" s="490">
        <v>1.1000000000000001</v>
      </c>
      <c r="O60" s="490">
        <f t="shared" si="28"/>
        <v>40.348416456747664</v>
      </c>
      <c r="P60" s="490">
        <f t="shared" si="35"/>
        <v>0</v>
      </c>
      <c r="Q60" s="490">
        <f t="shared" si="35"/>
        <v>0</v>
      </c>
      <c r="R60" s="490">
        <f t="shared" si="29"/>
        <v>7.3360757194086661</v>
      </c>
      <c r="S60" s="490">
        <f t="shared" si="36"/>
        <v>36.313574811072897</v>
      </c>
      <c r="T60" s="490">
        <f t="shared" si="36"/>
        <v>0</v>
      </c>
      <c r="U60" s="490">
        <f t="shared" si="30"/>
        <v>12.08241124622638</v>
      </c>
      <c r="V60" s="490">
        <v>0</v>
      </c>
      <c r="W60" s="490">
        <f t="shared" si="31"/>
        <v>34.846359667191159</v>
      </c>
      <c r="X60" s="490">
        <f t="shared" si="32"/>
        <v>9.5</v>
      </c>
      <c r="Y60" s="490">
        <f t="shared" si="33"/>
        <v>6.6024681474677998</v>
      </c>
      <c r="Z60" s="490">
        <f t="shared" si="34"/>
        <v>6.1</v>
      </c>
      <c r="AA60" s="802"/>
      <c r="AB60" s="803"/>
      <c r="AC60" s="804"/>
    </row>
    <row r="61" spans="1:29" s="805" customFormat="1" ht="25.15" customHeight="1" x14ac:dyDescent="0.4">
      <c r="A61" s="798"/>
      <c r="B61" s="549" t="str">
        <f t="shared" si="23"/>
        <v>VRP-02 - VCP-05</v>
      </c>
      <c r="C61" s="799" t="s">
        <v>1809</v>
      </c>
      <c r="D61" s="486" t="s">
        <v>1810</v>
      </c>
      <c r="E61" s="800">
        <v>1.4183756906622267</v>
      </c>
      <c r="F61" s="800">
        <v>90</v>
      </c>
      <c r="G61" s="800">
        <f t="shared" si="27"/>
        <v>3.5433070866141736</v>
      </c>
      <c r="H61" s="486"/>
      <c r="I61" s="486"/>
      <c r="J61" s="486"/>
      <c r="K61" s="486" t="s">
        <v>1844</v>
      </c>
      <c r="L61" s="533" t="s">
        <v>17</v>
      </c>
      <c r="M61" s="801">
        <v>0.6</v>
      </c>
      <c r="N61" s="490">
        <v>1.1000000000000001</v>
      </c>
      <c r="O61" s="490">
        <f t="shared" si="28"/>
        <v>0.93612795583706965</v>
      </c>
      <c r="P61" s="490">
        <f t="shared" si="35"/>
        <v>0</v>
      </c>
      <c r="Q61" s="490">
        <f t="shared" si="35"/>
        <v>0</v>
      </c>
      <c r="R61" s="490">
        <f t="shared" si="29"/>
        <v>0.17020508287946723</v>
      </c>
      <c r="S61" s="490">
        <f t="shared" si="36"/>
        <v>0.8425151602533627</v>
      </c>
      <c r="T61" s="490">
        <f t="shared" si="36"/>
        <v>0</v>
      </c>
      <c r="U61" s="490">
        <f t="shared" si="30"/>
        <v>0.28032532462921927</v>
      </c>
      <c r="V61" s="490">
        <v>0</v>
      </c>
      <c r="W61" s="490">
        <f t="shared" si="31"/>
        <v>0.80847414367746917</v>
      </c>
      <c r="X61" s="490">
        <f t="shared" si="32"/>
        <v>0.2</v>
      </c>
      <c r="Y61" s="490">
        <f t="shared" si="33"/>
        <v>0.15318457459152049</v>
      </c>
      <c r="Z61" s="490">
        <f t="shared" si="34"/>
        <v>0.1</v>
      </c>
      <c r="AA61" s="802"/>
      <c r="AB61" s="803"/>
      <c r="AC61" s="804"/>
    </row>
    <row r="62" spans="1:29" s="805" customFormat="1" ht="25.15" customHeight="1" x14ac:dyDescent="0.4">
      <c r="A62" s="798"/>
      <c r="B62" s="549" t="str">
        <f t="shared" si="23"/>
        <v>VCP-05 - T-49</v>
      </c>
      <c r="C62" s="799" t="s">
        <v>1810</v>
      </c>
      <c r="D62" s="486" t="s">
        <v>1811</v>
      </c>
      <c r="E62" s="800">
        <v>6.5930281638841679</v>
      </c>
      <c r="F62" s="800">
        <v>90</v>
      </c>
      <c r="G62" s="800">
        <f t="shared" si="27"/>
        <v>3.5433070866141736</v>
      </c>
      <c r="H62" s="486"/>
      <c r="I62" s="486"/>
      <c r="J62" s="486"/>
      <c r="K62" s="486" t="s">
        <v>1844</v>
      </c>
      <c r="L62" s="533" t="s">
        <v>17</v>
      </c>
      <c r="M62" s="801">
        <v>0.6</v>
      </c>
      <c r="N62" s="490">
        <v>1.1000000000000001</v>
      </c>
      <c r="O62" s="490">
        <f t="shared" si="28"/>
        <v>4.3513985881635513</v>
      </c>
      <c r="P62" s="490">
        <f t="shared" si="35"/>
        <v>0</v>
      </c>
      <c r="Q62" s="490">
        <f t="shared" si="35"/>
        <v>0</v>
      </c>
      <c r="R62" s="490">
        <f t="shared" si="29"/>
        <v>0.79116337966610017</v>
      </c>
      <c r="S62" s="490">
        <f t="shared" si="36"/>
        <v>3.9162587293471964</v>
      </c>
      <c r="T62" s="490">
        <f t="shared" si="36"/>
        <v>0</v>
      </c>
      <c r="U62" s="490">
        <f t="shared" si="30"/>
        <v>1.303034712522118</v>
      </c>
      <c r="V62" s="490">
        <v>0</v>
      </c>
      <c r="W62" s="490">
        <f t="shared" si="31"/>
        <v>3.7580260534139756</v>
      </c>
      <c r="X62" s="490">
        <f t="shared" si="32"/>
        <v>1</v>
      </c>
      <c r="Y62" s="490">
        <f t="shared" si="33"/>
        <v>0.71204704169949018</v>
      </c>
      <c r="Z62" s="490">
        <f t="shared" si="34"/>
        <v>0.7</v>
      </c>
      <c r="AA62" s="802"/>
      <c r="AB62" s="803"/>
      <c r="AC62" s="804"/>
    </row>
    <row r="63" spans="1:29" s="805" customFormat="1" ht="25.15" customHeight="1" x14ac:dyDescent="0.4">
      <c r="A63" s="798"/>
      <c r="B63" s="549" t="str">
        <f t="shared" si="23"/>
        <v>T-49 - VRP-03</v>
      </c>
      <c r="C63" s="799" t="s">
        <v>1811</v>
      </c>
      <c r="D63" s="486" t="s">
        <v>1812</v>
      </c>
      <c r="E63" s="800">
        <v>44.302638314772246</v>
      </c>
      <c r="F63" s="800">
        <v>90</v>
      </c>
      <c r="G63" s="800">
        <f t="shared" si="27"/>
        <v>3.5433070866141736</v>
      </c>
      <c r="H63" s="486"/>
      <c r="I63" s="486"/>
      <c r="J63" s="486"/>
      <c r="K63" s="486" t="s">
        <v>1844</v>
      </c>
      <c r="L63" s="533" t="s">
        <v>17</v>
      </c>
      <c r="M63" s="801">
        <v>0.6</v>
      </c>
      <c r="N63" s="490">
        <v>1.1000000000000001</v>
      </c>
      <c r="O63" s="490">
        <f t="shared" si="28"/>
        <v>29.239741287749684</v>
      </c>
      <c r="P63" s="490">
        <f t="shared" si="35"/>
        <v>0</v>
      </c>
      <c r="Q63" s="490">
        <f t="shared" si="35"/>
        <v>0</v>
      </c>
      <c r="R63" s="490">
        <f t="shared" si="29"/>
        <v>5.3163165977726692</v>
      </c>
      <c r="S63" s="490">
        <f t="shared" si="36"/>
        <v>26.315767158974715</v>
      </c>
      <c r="T63" s="490">
        <f t="shared" si="36"/>
        <v>0</v>
      </c>
      <c r="U63" s="490">
        <f t="shared" si="30"/>
        <v>8.7558970090082617</v>
      </c>
      <c r="V63" s="490">
        <v>0</v>
      </c>
      <c r="W63" s="490">
        <f t="shared" si="31"/>
        <v>25.252503839420179</v>
      </c>
      <c r="X63" s="490">
        <f t="shared" si="32"/>
        <v>6.8</v>
      </c>
      <c r="Y63" s="490">
        <f t="shared" si="33"/>
        <v>4.7846849379954035</v>
      </c>
      <c r="Z63" s="490">
        <f t="shared" si="34"/>
        <v>4.4000000000000004</v>
      </c>
      <c r="AA63" s="802"/>
      <c r="AB63" s="803"/>
      <c r="AC63" s="804"/>
    </row>
    <row r="64" spans="1:29" s="805" customFormat="1" ht="25.15" customHeight="1" x14ac:dyDescent="0.4">
      <c r="A64" s="798"/>
      <c r="B64" s="549" t="str">
        <f t="shared" si="23"/>
        <v>VRP-03 - TEE-48</v>
      </c>
      <c r="C64" s="799" t="s">
        <v>1812</v>
      </c>
      <c r="D64" s="486" t="s">
        <v>1646</v>
      </c>
      <c r="E64" s="800">
        <v>44.201396302342928</v>
      </c>
      <c r="F64" s="800">
        <v>90</v>
      </c>
      <c r="G64" s="800">
        <f t="shared" si="27"/>
        <v>3.5433070866141736</v>
      </c>
      <c r="H64" s="486"/>
      <c r="I64" s="486"/>
      <c r="J64" s="486"/>
      <c r="K64" s="486" t="s">
        <v>1844</v>
      </c>
      <c r="L64" s="533" t="s">
        <v>17</v>
      </c>
      <c r="M64" s="801">
        <v>0.6</v>
      </c>
      <c r="N64" s="490">
        <v>1.1000000000000001</v>
      </c>
      <c r="O64" s="490">
        <f t="shared" si="28"/>
        <v>29.172921559546335</v>
      </c>
      <c r="P64" s="490">
        <f t="shared" si="35"/>
        <v>0</v>
      </c>
      <c r="Q64" s="490">
        <f t="shared" si="35"/>
        <v>0</v>
      </c>
      <c r="R64" s="490">
        <f t="shared" si="29"/>
        <v>5.3041675562811514</v>
      </c>
      <c r="S64" s="490">
        <f t="shared" si="36"/>
        <v>26.255629403591701</v>
      </c>
      <c r="T64" s="490">
        <f t="shared" si="36"/>
        <v>0</v>
      </c>
      <c r="U64" s="490">
        <f t="shared" si="30"/>
        <v>8.7358877123267096</v>
      </c>
      <c r="V64" s="490">
        <v>0</v>
      </c>
      <c r="W64" s="490">
        <f t="shared" si="31"/>
        <v>25.194795892335467</v>
      </c>
      <c r="X64" s="490">
        <f t="shared" si="32"/>
        <v>6.8</v>
      </c>
      <c r="Y64" s="490">
        <f t="shared" si="33"/>
        <v>4.7737508006530369</v>
      </c>
      <c r="Z64" s="490">
        <f t="shared" si="34"/>
        <v>4.4000000000000004</v>
      </c>
      <c r="AA64" s="802"/>
      <c r="AB64" s="803"/>
      <c r="AC64" s="804"/>
    </row>
    <row r="65" spans="1:29" s="805" customFormat="1" ht="25.15" customHeight="1" x14ac:dyDescent="0.4">
      <c r="A65" s="798"/>
      <c r="B65" s="549" t="str">
        <f t="shared" si="23"/>
        <v>TEE-48 - TEE-47</v>
      </c>
      <c r="C65" s="799" t="s">
        <v>1646</v>
      </c>
      <c r="D65" s="486" t="s">
        <v>1645</v>
      </c>
      <c r="E65" s="800">
        <v>0.52177888037409903</v>
      </c>
      <c r="F65" s="800">
        <v>90</v>
      </c>
      <c r="G65" s="800">
        <f t="shared" si="27"/>
        <v>3.5433070866141736</v>
      </c>
      <c r="H65" s="486"/>
      <c r="I65" s="486"/>
      <c r="J65" s="486"/>
      <c r="K65" s="486" t="s">
        <v>1844</v>
      </c>
      <c r="L65" s="533" t="s">
        <v>17</v>
      </c>
      <c r="M65" s="801">
        <v>0.6</v>
      </c>
      <c r="N65" s="490">
        <v>1.1000000000000001</v>
      </c>
      <c r="O65" s="490">
        <f t="shared" si="28"/>
        <v>0.34437406104690538</v>
      </c>
      <c r="P65" s="490">
        <f t="shared" si="35"/>
        <v>0</v>
      </c>
      <c r="Q65" s="490">
        <f t="shared" si="35"/>
        <v>0</v>
      </c>
      <c r="R65" s="490">
        <f t="shared" si="29"/>
        <v>6.2613465644891883E-2</v>
      </c>
      <c r="S65" s="490">
        <f t="shared" si="36"/>
        <v>0.30993665494221484</v>
      </c>
      <c r="T65" s="490">
        <f t="shared" si="36"/>
        <v>0</v>
      </c>
      <c r="U65" s="490">
        <f t="shared" si="30"/>
        <v>0.10312347778411853</v>
      </c>
      <c r="V65" s="490">
        <v>0</v>
      </c>
      <c r="W65" s="490">
        <f t="shared" si="31"/>
        <v>0.29741396181323643</v>
      </c>
      <c r="X65" s="490">
        <f t="shared" si="32"/>
        <v>0.1</v>
      </c>
      <c r="Y65" s="490">
        <f t="shared" si="33"/>
        <v>5.6352119080402698E-2</v>
      </c>
      <c r="Z65" s="490">
        <f t="shared" si="34"/>
        <v>0.1</v>
      </c>
      <c r="AA65" s="802"/>
      <c r="AB65" s="803"/>
      <c r="AC65" s="804"/>
    </row>
    <row r="66" spans="1:29" s="805" customFormat="1" ht="25.15" customHeight="1" x14ac:dyDescent="0.4">
      <c r="A66" s="798"/>
      <c r="B66" s="549" t="str">
        <f t="shared" si="23"/>
        <v>TEE-47 - VV-02</v>
      </c>
      <c r="C66" s="799" t="s">
        <v>1645</v>
      </c>
      <c r="D66" s="486" t="s">
        <v>1813</v>
      </c>
      <c r="E66" s="800">
        <v>3.7917905639260061</v>
      </c>
      <c r="F66" s="800">
        <v>90</v>
      </c>
      <c r="G66" s="800">
        <f t="shared" si="27"/>
        <v>3.5433070866141736</v>
      </c>
      <c r="H66" s="486"/>
      <c r="I66" s="486"/>
      <c r="J66" s="486"/>
      <c r="K66" s="486" t="s">
        <v>1844</v>
      </c>
      <c r="L66" s="533" t="s">
        <v>17</v>
      </c>
      <c r="M66" s="801">
        <v>0.6</v>
      </c>
      <c r="N66" s="490">
        <v>1.1000000000000001</v>
      </c>
      <c r="O66" s="490">
        <f t="shared" si="28"/>
        <v>2.5025817721911641</v>
      </c>
      <c r="P66" s="490">
        <f t="shared" si="35"/>
        <v>0</v>
      </c>
      <c r="Q66" s="490">
        <f t="shared" si="35"/>
        <v>0</v>
      </c>
      <c r="R66" s="490">
        <f t="shared" si="29"/>
        <v>0.45501486767112076</v>
      </c>
      <c r="S66" s="490">
        <f t="shared" si="36"/>
        <v>2.2523235949720477</v>
      </c>
      <c r="T66" s="490">
        <f t="shared" si="36"/>
        <v>0</v>
      </c>
      <c r="U66" s="490">
        <f t="shared" si="30"/>
        <v>0.74940294574725363</v>
      </c>
      <c r="V66" s="490">
        <v>0</v>
      </c>
      <c r="W66" s="490">
        <f t="shared" si="31"/>
        <v>2.1613206214378233</v>
      </c>
      <c r="X66" s="490">
        <f t="shared" si="32"/>
        <v>0.6</v>
      </c>
      <c r="Y66" s="490">
        <f t="shared" si="33"/>
        <v>0.40951338090400874</v>
      </c>
      <c r="Z66" s="490">
        <f t="shared" si="34"/>
        <v>0.4</v>
      </c>
      <c r="AA66" s="802"/>
      <c r="AB66" s="803"/>
      <c r="AC66" s="804"/>
    </row>
    <row r="67" spans="1:29" s="805" customFormat="1" ht="25.15" customHeight="1" x14ac:dyDescent="0.4">
      <c r="A67" s="798"/>
      <c r="B67" s="549" t="str">
        <f t="shared" si="23"/>
        <v>VV-02 - VRP-04</v>
      </c>
      <c r="C67" s="799" t="s">
        <v>1813</v>
      </c>
      <c r="D67" s="486" t="s">
        <v>1666</v>
      </c>
      <c r="E67" s="800">
        <v>34.098836924999276</v>
      </c>
      <c r="F67" s="800">
        <v>90</v>
      </c>
      <c r="G67" s="800">
        <f t="shared" si="27"/>
        <v>3.5433070866141736</v>
      </c>
      <c r="H67" s="486"/>
      <c r="I67" s="486"/>
      <c r="J67" s="486"/>
      <c r="K67" s="486" t="s">
        <v>1844</v>
      </c>
      <c r="L67" s="533" t="s">
        <v>17</v>
      </c>
      <c r="M67" s="801">
        <v>0.6</v>
      </c>
      <c r="N67" s="490">
        <v>1.1000000000000001</v>
      </c>
      <c r="O67" s="490">
        <f t="shared" si="28"/>
        <v>22.505232370499524</v>
      </c>
      <c r="P67" s="490">
        <f t="shared" si="35"/>
        <v>0</v>
      </c>
      <c r="Q67" s="490">
        <f t="shared" si="35"/>
        <v>0</v>
      </c>
      <c r="R67" s="490">
        <f t="shared" si="29"/>
        <v>4.0918604309999136</v>
      </c>
      <c r="S67" s="490">
        <f t="shared" si="36"/>
        <v>20.254709133449573</v>
      </c>
      <c r="T67" s="490">
        <f t="shared" si="36"/>
        <v>0</v>
      </c>
      <c r="U67" s="490">
        <f t="shared" si="30"/>
        <v>6.7392353051512961</v>
      </c>
      <c r="V67" s="490">
        <v>0</v>
      </c>
      <c r="W67" s="490">
        <f t="shared" si="31"/>
        <v>19.436337047249587</v>
      </c>
      <c r="X67" s="490">
        <f t="shared" si="32"/>
        <v>5.3</v>
      </c>
      <c r="Y67" s="490">
        <f t="shared" si="33"/>
        <v>3.682674387899922</v>
      </c>
      <c r="Z67" s="490">
        <f t="shared" si="34"/>
        <v>3.4</v>
      </c>
      <c r="AA67" s="802"/>
      <c r="AB67" s="803"/>
      <c r="AC67" s="804"/>
    </row>
    <row r="68" spans="1:29" s="805" customFormat="1" ht="25.15" customHeight="1" x14ac:dyDescent="0.4">
      <c r="A68" s="798"/>
      <c r="B68" s="549" t="str">
        <f t="shared" si="23"/>
        <v>VRP-04 - C-36</v>
      </c>
      <c r="C68" s="799" t="s">
        <v>1666</v>
      </c>
      <c r="D68" s="486" t="s">
        <v>1840</v>
      </c>
      <c r="E68" s="800">
        <v>116.24230005052014</v>
      </c>
      <c r="F68" s="800">
        <v>90</v>
      </c>
      <c r="G68" s="800">
        <f t="shared" si="27"/>
        <v>3.5433070866141736</v>
      </c>
      <c r="H68" s="486"/>
      <c r="I68" s="486"/>
      <c r="J68" s="486"/>
      <c r="K68" s="486" t="s">
        <v>1844</v>
      </c>
      <c r="L68" s="533" t="s">
        <v>17</v>
      </c>
      <c r="M68" s="801">
        <v>0.6</v>
      </c>
      <c r="N68" s="490">
        <v>1.1000000000000001</v>
      </c>
      <c r="O68" s="490">
        <f t="shared" si="28"/>
        <v>76.719918033343305</v>
      </c>
      <c r="P68" s="490">
        <f t="shared" si="35"/>
        <v>0</v>
      </c>
      <c r="Q68" s="490">
        <f t="shared" si="35"/>
        <v>0</v>
      </c>
      <c r="R68" s="490">
        <f t="shared" si="29"/>
        <v>13.949076006062416</v>
      </c>
      <c r="S68" s="490">
        <f t="shared" si="36"/>
        <v>69.047926230008983</v>
      </c>
      <c r="T68" s="490">
        <f t="shared" si="36"/>
        <v>0</v>
      </c>
      <c r="U68" s="490">
        <f t="shared" si="30"/>
        <v>22.973927649659039</v>
      </c>
      <c r="V68" s="490">
        <v>0</v>
      </c>
      <c r="W68" s="490">
        <f t="shared" si="31"/>
        <v>66.258111028796463</v>
      </c>
      <c r="X68" s="490">
        <f t="shared" si="32"/>
        <v>18</v>
      </c>
      <c r="Y68" s="490">
        <f t="shared" si="33"/>
        <v>12.554168405456176</v>
      </c>
      <c r="Z68" s="490">
        <f t="shared" si="34"/>
        <v>11.6</v>
      </c>
      <c r="AA68" s="802"/>
      <c r="AB68" s="803"/>
      <c r="AC68" s="804"/>
    </row>
    <row r="69" spans="1:29" s="805" customFormat="1" ht="25.15" customHeight="1" x14ac:dyDescent="0.4">
      <c r="A69" s="798"/>
      <c r="B69" s="549" t="str">
        <f t="shared" si="23"/>
        <v>TEE-47 - TEE-46</v>
      </c>
      <c r="C69" s="799" t="s">
        <v>1645</v>
      </c>
      <c r="D69" s="486" t="s">
        <v>1647</v>
      </c>
      <c r="E69" s="800">
        <v>75.190633615892679</v>
      </c>
      <c r="F69" s="800">
        <v>90</v>
      </c>
      <c r="G69" s="800">
        <f t="shared" si="27"/>
        <v>3.5433070866141736</v>
      </c>
      <c r="H69" s="486"/>
      <c r="I69" s="486"/>
      <c r="J69" s="486"/>
      <c r="K69" s="486" t="s">
        <v>1844</v>
      </c>
      <c r="L69" s="533" t="s">
        <v>17</v>
      </c>
      <c r="M69" s="801">
        <v>0.6</v>
      </c>
      <c r="N69" s="490">
        <v>1.1000000000000001</v>
      </c>
      <c r="O69" s="490">
        <f t="shared" si="28"/>
        <v>49.62581818648917</v>
      </c>
      <c r="P69" s="490">
        <f t="shared" si="35"/>
        <v>0</v>
      </c>
      <c r="Q69" s="490">
        <f t="shared" si="35"/>
        <v>0</v>
      </c>
      <c r="R69" s="490">
        <f t="shared" si="29"/>
        <v>9.0228760339071226</v>
      </c>
      <c r="S69" s="490">
        <f t="shared" si="36"/>
        <v>44.663236367840256</v>
      </c>
      <c r="T69" s="490">
        <f t="shared" si="36"/>
        <v>0</v>
      </c>
      <c r="U69" s="490">
        <f t="shared" si="30"/>
        <v>14.860547114714548</v>
      </c>
      <c r="V69" s="490">
        <v>0</v>
      </c>
      <c r="W69" s="490">
        <f t="shared" si="31"/>
        <v>42.858661161058826</v>
      </c>
      <c r="X69" s="490">
        <f t="shared" si="32"/>
        <v>11.6</v>
      </c>
      <c r="Y69" s="490">
        <f t="shared" si="33"/>
        <v>8.1205884305164115</v>
      </c>
      <c r="Z69" s="490">
        <f t="shared" si="34"/>
        <v>7.5</v>
      </c>
      <c r="AA69" s="802"/>
      <c r="AB69" s="803"/>
      <c r="AC69" s="804"/>
    </row>
    <row r="70" spans="1:29" s="805" customFormat="1" ht="25.15" customHeight="1" x14ac:dyDescent="0.4">
      <c r="A70" s="798"/>
      <c r="B70" s="549" t="str">
        <f t="shared" si="23"/>
        <v>TEE-46 - VRP-05</v>
      </c>
      <c r="C70" s="799" t="s">
        <v>1647</v>
      </c>
      <c r="D70" s="486" t="s">
        <v>1667</v>
      </c>
      <c r="E70" s="800">
        <v>26.579953315514548</v>
      </c>
      <c r="F70" s="800">
        <v>90</v>
      </c>
      <c r="G70" s="800">
        <f t="shared" si="27"/>
        <v>3.5433070866141736</v>
      </c>
      <c r="H70" s="486"/>
      <c r="I70" s="486"/>
      <c r="J70" s="486"/>
      <c r="K70" s="486" t="s">
        <v>1844</v>
      </c>
      <c r="L70" s="533" t="s">
        <v>17</v>
      </c>
      <c r="M70" s="801">
        <v>0.6</v>
      </c>
      <c r="N70" s="490">
        <v>1.1000000000000001</v>
      </c>
      <c r="O70" s="490">
        <f t="shared" si="28"/>
        <v>17.542769188239603</v>
      </c>
      <c r="P70" s="490">
        <f t="shared" si="35"/>
        <v>0</v>
      </c>
      <c r="Q70" s="490">
        <f t="shared" si="35"/>
        <v>0</v>
      </c>
      <c r="R70" s="490">
        <f t="shared" si="29"/>
        <v>3.1895943978617458</v>
      </c>
      <c r="S70" s="490">
        <f t="shared" si="36"/>
        <v>15.788492269415643</v>
      </c>
      <c r="T70" s="490">
        <f t="shared" si="36"/>
        <v>0</v>
      </c>
      <c r="U70" s="490">
        <f t="shared" si="30"/>
        <v>5.2532161195756881</v>
      </c>
      <c r="V70" s="490">
        <v>0</v>
      </c>
      <c r="W70" s="490">
        <f t="shared" si="31"/>
        <v>15.150573389843291</v>
      </c>
      <c r="X70" s="490">
        <f t="shared" si="32"/>
        <v>4.0999999999999996</v>
      </c>
      <c r="Y70" s="490">
        <f t="shared" si="33"/>
        <v>2.8706349580755717</v>
      </c>
      <c r="Z70" s="490">
        <f t="shared" si="34"/>
        <v>2.7</v>
      </c>
      <c r="AA70" s="802"/>
      <c r="AB70" s="803"/>
      <c r="AC70" s="804"/>
    </row>
    <row r="71" spans="1:29" s="805" customFormat="1" ht="25.15" customHeight="1" x14ac:dyDescent="0.4">
      <c r="A71" s="798"/>
      <c r="B71" s="549" t="str">
        <f t="shared" si="23"/>
        <v>VRP-05 - TEE-39</v>
      </c>
      <c r="C71" s="799" t="s">
        <v>1667</v>
      </c>
      <c r="D71" s="486" t="s">
        <v>1648</v>
      </c>
      <c r="E71" s="800">
        <v>115.79155415223532</v>
      </c>
      <c r="F71" s="800">
        <v>90</v>
      </c>
      <c r="G71" s="800">
        <f t="shared" si="27"/>
        <v>3.5433070866141736</v>
      </c>
      <c r="H71" s="486"/>
      <c r="I71" s="486"/>
      <c r="J71" s="486"/>
      <c r="K71" s="486" t="s">
        <v>1844</v>
      </c>
      <c r="L71" s="533" t="s">
        <v>17</v>
      </c>
      <c r="M71" s="801">
        <v>0.6</v>
      </c>
      <c r="N71" s="490">
        <v>1.1000000000000001</v>
      </c>
      <c r="O71" s="490">
        <f t="shared" si="28"/>
        <v>76.422425740475319</v>
      </c>
      <c r="P71" s="490">
        <f t="shared" si="35"/>
        <v>0</v>
      </c>
      <c r="Q71" s="490">
        <f t="shared" si="35"/>
        <v>0</v>
      </c>
      <c r="R71" s="490">
        <f t="shared" si="29"/>
        <v>13.894986498268239</v>
      </c>
      <c r="S71" s="490">
        <f t="shared" si="36"/>
        <v>68.78018316642779</v>
      </c>
      <c r="T71" s="490">
        <f t="shared" si="36"/>
        <v>0</v>
      </c>
      <c r="U71" s="490">
        <f t="shared" si="30"/>
        <v>22.884843007914384</v>
      </c>
      <c r="V71" s="490">
        <v>0</v>
      </c>
      <c r="W71" s="490">
        <f t="shared" si="31"/>
        <v>66.001185866774136</v>
      </c>
      <c r="X71" s="490">
        <f t="shared" si="32"/>
        <v>17.899999999999999</v>
      </c>
      <c r="Y71" s="490">
        <f t="shared" si="33"/>
        <v>12.505487848441417</v>
      </c>
      <c r="Z71" s="490">
        <f t="shared" si="34"/>
        <v>11.6</v>
      </c>
      <c r="AA71" s="802"/>
      <c r="AB71" s="803"/>
      <c r="AC71" s="804"/>
    </row>
    <row r="72" spans="1:29" s="805" customFormat="1" ht="25.15" customHeight="1" x14ac:dyDescent="0.4">
      <c r="A72" s="798"/>
      <c r="B72" s="549" t="str">
        <f t="shared" si="23"/>
        <v>TEE-39 - VCP-06</v>
      </c>
      <c r="C72" s="799" t="s">
        <v>1648</v>
      </c>
      <c r="D72" s="486" t="s">
        <v>1814</v>
      </c>
      <c r="E72" s="800">
        <v>4.1078524182218947</v>
      </c>
      <c r="F72" s="800">
        <v>90</v>
      </c>
      <c r="G72" s="800">
        <f t="shared" si="27"/>
        <v>3.5433070866141736</v>
      </c>
      <c r="H72" s="486"/>
      <c r="I72" s="486"/>
      <c r="J72" s="486"/>
      <c r="K72" s="486" t="s">
        <v>1844</v>
      </c>
      <c r="L72" s="533" t="s">
        <v>17</v>
      </c>
      <c r="M72" s="801">
        <v>0.6</v>
      </c>
      <c r="N72" s="490">
        <v>1.1000000000000001</v>
      </c>
      <c r="O72" s="490">
        <f t="shared" si="28"/>
        <v>2.7111825960264508</v>
      </c>
      <c r="P72" s="490">
        <f t="shared" si="35"/>
        <v>0</v>
      </c>
      <c r="Q72" s="490">
        <f t="shared" si="35"/>
        <v>0</v>
      </c>
      <c r="R72" s="490">
        <f t="shared" si="29"/>
        <v>0.49294229018662739</v>
      </c>
      <c r="S72" s="490">
        <f t="shared" si="36"/>
        <v>2.4400643364238057</v>
      </c>
      <c r="T72" s="490">
        <f t="shared" si="36"/>
        <v>0</v>
      </c>
      <c r="U72" s="490">
        <f t="shared" si="30"/>
        <v>0.81186886538455472</v>
      </c>
      <c r="V72" s="490">
        <v>0</v>
      </c>
      <c r="W72" s="490">
        <f t="shared" si="31"/>
        <v>2.34147587838648</v>
      </c>
      <c r="X72" s="490">
        <f t="shared" si="32"/>
        <v>0.6</v>
      </c>
      <c r="Y72" s="490">
        <f t="shared" si="33"/>
        <v>0.44364806116796474</v>
      </c>
      <c r="Z72" s="490">
        <f t="shared" si="34"/>
        <v>0.4</v>
      </c>
      <c r="AA72" s="802"/>
      <c r="AB72" s="803"/>
      <c r="AC72" s="804"/>
    </row>
    <row r="73" spans="1:29" s="805" customFormat="1" ht="25.15" customHeight="1" x14ac:dyDescent="0.4">
      <c r="A73" s="798"/>
      <c r="B73" s="549" t="str">
        <f t="shared" si="23"/>
        <v>VCP-06 - VRP-06</v>
      </c>
      <c r="C73" s="799" t="s">
        <v>1814</v>
      </c>
      <c r="D73" s="486" t="s">
        <v>1815</v>
      </c>
      <c r="E73" s="800">
        <v>4.6874762729916419</v>
      </c>
      <c r="F73" s="800">
        <v>90</v>
      </c>
      <c r="G73" s="800">
        <f t="shared" si="27"/>
        <v>3.5433070866141736</v>
      </c>
      <c r="H73" s="486"/>
      <c r="I73" s="486"/>
      <c r="J73" s="486"/>
      <c r="K73" s="486" t="s">
        <v>1844</v>
      </c>
      <c r="L73" s="533" t="s">
        <v>17</v>
      </c>
      <c r="M73" s="801">
        <v>0.6</v>
      </c>
      <c r="N73" s="490">
        <v>1.1000000000000001</v>
      </c>
      <c r="O73" s="490">
        <f t="shared" si="28"/>
        <v>3.0937343401744837</v>
      </c>
      <c r="P73" s="490">
        <f t="shared" si="35"/>
        <v>0</v>
      </c>
      <c r="Q73" s="490">
        <f t="shared" si="35"/>
        <v>0</v>
      </c>
      <c r="R73" s="490">
        <f t="shared" si="29"/>
        <v>0.56249715275899703</v>
      </c>
      <c r="S73" s="490">
        <f t="shared" si="36"/>
        <v>2.7843609061570356</v>
      </c>
      <c r="T73" s="490">
        <f t="shared" si="36"/>
        <v>0</v>
      </c>
      <c r="U73" s="490">
        <f t="shared" si="30"/>
        <v>0.9264247241185033</v>
      </c>
      <c r="V73" s="490">
        <v>0</v>
      </c>
      <c r="W73" s="490">
        <f t="shared" si="31"/>
        <v>2.6718614756052359</v>
      </c>
      <c r="X73" s="490">
        <f t="shared" si="32"/>
        <v>0.7</v>
      </c>
      <c r="Y73" s="490">
        <f t="shared" si="33"/>
        <v>0.50624743748309731</v>
      </c>
      <c r="Z73" s="490">
        <f t="shared" si="34"/>
        <v>0.5</v>
      </c>
      <c r="AA73" s="802"/>
      <c r="AB73" s="803"/>
      <c r="AC73" s="804"/>
    </row>
    <row r="74" spans="1:29" s="805" customFormat="1" ht="25.15" customHeight="1" x14ac:dyDescent="0.4">
      <c r="A74" s="798"/>
      <c r="B74" s="549" t="str">
        <f t="shared" si="23"/>
        <v>VRP-06 - TEE-38</v>
      </c>
      <c r="C74" s="799" t="s">
        <v>1815</v>
      </c>
      <c r="D74" s="486" t="s">
        <v>1649</v>
      </c>
      <c r="E74" s="800">
        <v>91.761914384881763</v>
      </c>
      <c r="F74" s="800">
        <v>90</v>
      </c>
      <c r="G74" s="800">
        <f t="shared" si="27"/>
        <v>3.5433070866141736</v>
      </c>
      <c r="H74" s="486"/>
      <c r="I74" s="486"/>
      <c r="J74" s="486"/>
      <c r="K74" s="486" t="s">
        <v>1844</v>
      </c>
      <c r="L74" s="533" t="s">
        <v>17</v>
      </c>
      <c r="M74" s="801">
        <v>0.6</v>
      </c>
      <c r="N74" s="490">
        <v>1.1000000000000001</v>
      </c>
      <c r="O74" s="490">
        <f t="shared" si="28"/>
        <v>60.562863494021968</v>
      </c>
      <c r="P74" s="490">
        <f t="shared" si="35"/>
        <v>0</v>
      </c>
      <c r="Q74" s="490">
        <f t="shared" si="35"/>
        <v>0</v>
      </c>
      <c r="R74" s="490">
        <f t="shared" si="29"/>
        <v>11.011429726185812</v>
      </c>
      <c r="S74" s="490">
        <f t="shared" si="36"/>
        <v>54.506577144619776</v>
      </c>
      <c r="T74" s="490">
        <f t="shared" si="36"/>
        <v>0</v>
      </c>
      <c r="U74" s="490">
        <f t="shared" si="30"/>
        <v>18.135666458391348</v>
      </c>
      <c r="V74" s="490">
        <v>0</v>
      </c>
      <c r="W74" s="490">
        <f t="shared" si="31"/>
        <v>52.304291199382604</v>
      </c>
      <c r="X74" s="490">
        <f t="shared" si="32"/>
        <v>14.2</v>
      </c>
      <c r="Y74" s="490">
        <f t="shared" si="33"/>
        <v>9.9102867535672328</v>
      </c>
      <c r="Z74" s="490">
        <f t="shared" si="34"/>
        <v>9.1999999999999993</v>
      </c>
      <c r="AA74" s="802"/>
      <c r="AB74" s="803"/>
      <c r="AC74" s="804"/>
    </row>
    <row r="75" spans="1:29" s="805" customFormat="1" ht="25.15" customHeight="1" x14ac:dyDescent="0.4">
      <c r="A75" s="798"/>
      <c r="B75" s="549" t="str">
        <f t="shared" si="23"/>
        <v>TEE-38 - VV-07</v>
      </c>
      <c r="C75" s="799" t="s">
        <v>1649</v>
      </c>
      <c r="D75" s="486" t="s">
        <v>1816</v>
      </c>
      <c r="E75" s="800">
        <v>167.41655199864317</v>
      </c>
      <c r="F75" s="800">
        <v>90</v>
      </c>
      <c r="G75" s="800">
        <f t="shared" si="27"/>
        <v>3.5433070866141736</v>
      </c>
      <c r="H75" s="486"/>
      <c r="I75" s="486"/>
      <c r="J75" s="486"/>
      <c r="K75" s="486" t="s">
        <v>1844</v>
      </c>
      <c r="L75" s="533" t="s">
        <v>17</v>
      </c>
      <c r="M75" s="801">
        <v>0.6</v>
      </c>
      <c r="N75" s="490">
        <v>1.1000000000000001</v>
      </c>
      <c r="O75" s="490">
        <f t="shared" si="28"/>
        <v>110.4949243191045</v>
      </c>
      <c r="P75" s="490">
        <f t="shared" si="35"/>
        <v>0</v>
      </c>
      <c r="Q75" s="490">
        <f t="shared" si="35"/>
        <v>0</v>
      </c>
      <c r="R75" s="490">
        <f t="shared" si="29"/>
        <v>20.089986239837181</v>
      </c>
      <c r="S75" s="490">
        <f t="shared" si="36"/>
        <v>99.445431887194047</v>
      </c>
      <c r="T75" s="490">
        <f t="shared" si="36"/>
        <v>0</v>
      </c>
      <c r="U75" s="490">
        <f t="shared" si="30"/>
        <v>33.087918522780463</v>
      </c>
      <c r="V75" s="490">
        <v>0</v>
      </c>
      <c r="W75" s="490">
        <f t="shared" si="31"/>
        <v>95.427434639226604</v>
      </c>
      <c r="X75" s="490">
        <f t="shared" si="32"/>
        <v>25.9</v>
      </c>
      <c r="Y75" s="490">
        <f t="shared" si="33"/>
        <v>18.080987615853466</v>
      </c>
      <c r="Z75" s="490">
        <f t="shared" si="34"/>
        <v>16.7</v>
      </c>
      <c r="AA75" s="802"/>
      <c r="AB75" s="803"/>
      <c r="AC75" s="804"/>
    </row>
    <row r="76" spans="1:29" s="805" customFormat="1" ht="25.15" customHeight="1" x14ac:dyDescent="0.4">
      <c r="A76" s="798"/>
      <c r="B76" s="549" t="str">
        <f t="shared" si="23"/>
        <v>VV-07 - C-34</v>
      </c>
      <c r="C76" s="799" t="s">
        <v>1816</v>
      </c>
      <c r="D76" s="486" t="s">
        <v>1817</v>
      </c>
      <c r="E76" s="800">
        <v>11.33841186847974</v>
      </c>
      <c r="F76" s="800">
        <v>90</v>
      </c>
      <c r="G76" s="800">
        <f t="shared" si="27"/>
        <v>3.5433070866141736</v>
      </c>
      <c r="H76" s="486"/>
      <c r="I76" s="486"/>
      <c r="J76" s="486"/>
      <c r="K76" s="486" t="s">
        <v>1844</v>
      </c>
      <c r="L76" s="533" t="s">
        <v>17</v>
      </c>
      <c r="M76" s="801">
        <v>0.6</v>
      </c>
      <c r="N76" s="490">
        <v>1.1000000000000001</v>
      </c>
      <c r="O76" s="490">
        <f t="shared" si="28"/>
        <v>7.4833518331966289</v>
      </c>
      <c r="P76" s="490">
        <f t="shared" si="35"/>
        <v>0</v>
      </c>
      <c r="Q76" s="490">
        <f t="shared" si="35"/>
        <v>0</v>
      </c>
      <c r="R76" s="490">
        <f t="shared" si="29"/>
        <v>1.3606094242175688</v>
      </c>
      <c r="S76" s="490">
        <f t="shared" si="36"/>
        <v>6.7350166498769664</v>
      </c>
      <c r="T76" s="490">
        <f t="shared" si="36"/>
        <v>0</v>
      </c>
      <c r="U76" s="490">
        <f t="shared" si="30"/>
        <v>2.2409041615253495</v>
      </c>
      <c r="V76" s="490">
        <v>0</v>
      </c>
      <c r="W76" s="490">
        <f t="shared" si="31"/>
        <v>6.4628947650334512</v>
      </c>
      <c r="X76" s="490">
        <f t="shared" si="32"/>
        <v>1.8</v>
      </c>
      <c r="Y76" s="490">
        <f t="shared" si="33"/>
        <v>1.2245484817958121</v>
      </c>
      <c r="Z76" s="490">
        <f t="shared" si="34"/>
        <v>1.1000000000000001</v>
      </c>
      <c r="AA76" s="802"/>
      <c r="AB76" s="803"/>
      <c r="AC76" s="804"/>
    </row>
    <row r="77" spans="1:29" s="805" customFormat="1" ht="25.15" customHeight="1" x14ac:dyDescent="0.4">
      <c r="A77" s="798"/>
      <c r="B77" s="549" t="str">
        <f t="shared" si="23"/>
        <v>C-34 - C-35</v>
      </c>
      <c r="C77" s="799" t="s">
        <v>1817</v>
      </c>
      <c r="D77" s="486" t="s">
        <v>1818</v>
      </c>
      <c r="E77" s="800">
        <v>12.100855624730395</v>
      </c>
      <c r="F77" s="800">
        <v>90</v>
      </c>
      <c r="G77" s="800">
        <f t="shared" si="27"/>
        <v>3.5433070866141736</v>
      </c>
      <c r="H77" s="486"/>
      <c r="I77" s="486"/>
      <c r="J77" s="486"/>
      <c r="K77" s="486" t="s">
        <v>1844</v>
      </c>
      <c r="L77" s="533" t="s">
        <v>17</v>
      </c>
      <c r="M77" s="801">
        <v>0.6</v>
      </c>
      <c r="N77" s="490">
        <v>1.1000000000000001</v>
      </c>
      <c r="O77" s="490">
        <f t="shared" si="28"/>
        <v>7.9865647123220604</v>
      </c>
      <c r="P77" s="490">
        <f t="shared" si="35"/>
        <v>0</v>
      </c>
      <c r="Q77" s="490">
        <f t="shared" si="35"/>
        <v>0</v>
      </c>
      <c r="R77" s="490">
        <f t="shared" si="29"/>
        <v>1.4521026749676473</v>
      </c>
      <c r="S77" s="490">
        <f t="shared" si="36"/>
        <v>7.1879082410898549</v>
      </c>
      <c r="T77" s="490">
        <f t="shared" si="36"/>
        <v>0</v>
      </c>
      <c r="U77" s="490">
        <f t="shared" si="30"/>
        <v>2.391592230201073</v>
      </c>
      <c r="V77" s="490">
        <v>0</v>
      </c>
      <c r="W77" s="490">
        <f t="shared" si="31"/>
        <v>6.8974877060963244</v>
      </c>
      <c r="X77" s="490">
        <f t="shared" si="32"/>
        <v>1.9</v>
      </c>
      <c r="Y77" s="490">
        <f t="shared" si="33"/>
        <v>1.3068924074708828</v>
      </c>
      <c r="Z77" s="490">
        <f t="shared" si="34"/>
        <v>1.2</v>
      </c>
      <c r="AA77" s="802"/>
      <c r="AB77" s="803"/>
      <c r="AC77" s="804"/>
    </row>
    <row r="78" spans="1:29" s="805" customFormat="1" ht="25.15" customHeight="1" x14ac:dyDescent="0.4">
      <c r="A78" s="798"/>
      <c r="B78" s="549" t="str">
        <f t="shared" si="23"/>
        <v>C-35 - TEE-45</v>
      </c>
      <c r="C78" s="799" t="s">
        <v>1818</v>
      </c>
      <c r="D78" s="486" t="s">
        <v>1650</v>
      </c>
      <c r="E78" s="800">
        <v>0.55755456234806211</v>
      </c>
      <c r="F78" s="800">
        <v>90</v>
      </c>
      <c r="G78" s="800">
        <f t="shared" si="27"/>
        <v>3.5433070866141736</v>
      </c>
      <c r="H78" s="486"/>
      <c r="I78" s="486"/>
      <c r="J78" s="486"/>
      <c r="K78" s="486" t="s">
        <v>1844</v>
      </c>
      <c r="L78" s="533" t="s">
        <v>17</v>
      </c>
      <c r="M78" s="801">
        <v>0.6</v>
      </c>
      <c r="N78" s="490">
        <v>1.1000000000000001</v>
      </c>
      <c r="O78" s="490">
        <f t="shared" si="28"/>
        <v>0.36798601114972102</v>
      </c>
      <c r="P78" s="490">
        <f t="shared" si="35"/>
        <v>0</v>
      </c>
      <c r="Q78" s="490">
        <f t="shared" si="35"/>
        <v>0</v>
      </c>
      <c r="R78" s="490">
        <f t="shared" si="29"/>
        <v>6.6906547481767456E-2</v>
      </c>
      <c r="S78" s="490">
        <f t="shared" si="36"/>
        <v>0.33118741003474894</v>
      </c>
      <c r="T78" s="490">
        <f t="shared" si="36"/>
        <v>0</v>
      </c>
      <c r="U78" s="490">
        <f t="shared" si="30"/>
        <v>0.1101941218519822</v>
      </c>
      <c r="V78" s="490">
        <v>0</v>
      </c>
      <c r="W78" s="490">
        <f t="shared" si="31"/>
        <v>0.31780610053839536</v>
      </c>
      <c r="X78" s="490">
        <f t="shared" si="32"/>
        <v>0.1</v>
      </c>
      <c r="Y78" s="490">
        <f t="shared" si="33"/>
        <v>6.0215892733590716E-2</v>
      </c>
      <c r="Z78" s="490">
        <f t="shared" si="34"/>
        <v>0.1</v>
      </c>
      <c r="AA78" s="802"/>
      <c r="AB78" s="803"/>
      <c r="AC78" s="804"/>
    </row>
    <row r="79" spans="1:29" s="805" customFormat="1" ht="25.15" customHeight="1" x14ac:dyDescent="0.4">
      <c r="A79" s="798"/>
      <c r="B79" s="549" t="str">
        <f t="shared" si="23"/>
        <v>TEE-45 - TP-11</v>
      </c>
      <c r="C79" s="799" t="s">
        <v>1650</v>
      </c>
      <c r="D79" s="486" t="s">
        <v>1668</v>
      </c>
      <c r="E79" s="800">
        <v>88.787785374281086</v>
      </c>
      <c r="F79" s="800">
        <v>90</v>
      </c>
      <c r="G79" s="800">
        <f t="shared" si="27"/>
        <v>3.5433070866141736</v>
      </c>
      <c r="H79" s="486"/>
      <c r="I79" s="486"/>
      <c r="J79" s="486"/>
      <c r="K79" s="486" t="s">
        <v>1844</v>
      </c>
      <c r="L79" s="533" t="s">
        <v>17</v>
      </c>
      <c r="M79" s="801">
        <v>0.6</v>
      </c>
      <c r="N79" s="490">
        <v>1.1000000000000001</v>
      </c>
      <c r="O79" s="490">
        <f t="shared" si="28"/>
        <v>58.599938347025521</v>
      </c>
      <c r="P79" s="490">
        <f t="shared" si="35"/>
        <v>0</v>
      </c>
      <c r="Q79" s="490">
        <f t="shared" si="35"/>
        <v>0</v>
      </c>
      <c r="R79" s="490">
        <f t="shared" si="29"/>
        <v>10.65453424491373</v>
      </c>
      <c r="S79" s="490">
        <f t="shared" si="36"/>
        <v>52.739944512322971</v>
      </c>
      <c r="T79" s="490">
        <f t="shared" si="36"/>
        <v>0</v>
      </c>
      <c r="U79" s="490">
        <f t="shared" si="30"/>
        <v>17.547864731476135</v>
      </c>
      <c r="V79" s="490">
        <v>0</v>
      </c>
      <c r="W79" s="490">
        <f t="shared" si="31"/>
        <v>50.60903766334021</v>
      </c>
      <c r="X79" s="490">
        <f t="shared" si="32"/>
        <v>13.7</v>
      </c>
      <c r="Y79" s="490">
        <f t="shared" si="33"/>
        <v>9.5890808204223585</v>
      </c>
      <c r="Z79" s="490">
        <f t="shared" si="34"/>
        <v>8.9</v>
      </c>
      <c r="AA79" s="802"/>
      <c r="AB79" s="803"/>
      <c r="AC79" s="804"/>
    </row>
    <row r="80" spans="1:29" s="805" customFormat="1" ht="25.15" customHeight="1" x14ac:dyDescent="0.4">
      <c r="A80" s="798"/>
      <c r="B80" s="549" t="str">
        <f t="shared" si="23"/>
        <v>C-21 - TEE-27</v>
      </c>
      <c r="C80" s="799" t="s">
        <v>1808</v>
      </c>
      <c r="D80" s="486" t="s">
        <v>1640</v>
      </c>
      <c r="E80" s="800">
        <v>102.71752521928468</v>
      </c>
      <c r="F80" s="800">
        <v>90</v>
      </c>
      <c r="G80" s="800">
        <f t="shared" si="27"/>
        <v>3.5433070866141736</v>
      </c>
      <c r="H80" s="486"/>
      <c r="I80" s="486"/>
      <c r="J80" s="486"/>
      <c r="K80" s="486" t="s">
        <v>1844</v>
      </c>
      <c r="L80" s="533" t="s">
        <v>17</v>
      </c>
      <c r="M80" s="801">
        <v>0.6</v>
      </c>
      <c r="N80" s="490">
        <v>1.1000000000000001</v>
      </c>
      <c r="O80" s="490">
        <f t="shared" si="28"/>
        <v>67.793566644727889</v>
      </c>
      <c r="P80" s="490">
        <f t="shared" si="35"/>
        <v>0</v>
      </c>
      <c r="Q80" s="490">
        <f t="shared" si="35"/>
        <v>0</v>
      </c>
      <c r="R80" s="490">
        <f t="shared" si="29"/>
        <v>12.326103026314161</v>
      </c>
      <c r="S80" s="490">
        <f t="shared" si="36"/>
        <v>61.014209980255103</v>
      </c>
      <c r="T80" s="490">
        <f t="shared" si="36"/>
        <v>0</v>
      </c>
      <c r="U80" s="490">
        <f t="shared" si="30"/>
        <v>20.30091448392082</v>
      </c>
      <c r="V80" s="490">
        <v>0</v>
      </c>
      <c r="W80" s="490">
        <f t="shared" si="31"/>
        <v>58.54898937499226</v>
      </c>
      <c r="X80" s="490">
        <f t="shared" si="32"/>
        <v>15.9</v>
      </c>
      <c r="Y80" s="490">
        <f t="shared" si="33"/>
        <v>11.093492723682747</v>
      </c>
      <c r="Z80" s="490">
        <f t="shared" si="34"/>
        <v>10.3</v>
      </c>
      <c r="AA80" s="802"/>
      <c r="AB80" s="803"/>
      <c r="AC80" s="804"/>
    </row>
    <row r="81" spans="1:29" s="805" customFormat="1" ht="25.15" customHeight="1" x14ac:dyDescent="0.4">
      <c r="A81" s="798"/>
      <c r="B81" s="549" t="str">
        <f t="shared" si="23"/>
        <v>TEE-27 - TP-17</v>
      </c>
      <c r="C81" s="799" t="s">
        <v>1640</v>
      </c>
      <c r="D81" s="486" t="s">
        <v>1665</v>
      </c>
      <c r="E81" s="800">
        <v>31.238019407784936</v>
      </c>
      <c r="F81" s="800">
        <v>90</v>
      </c>
      <c r="G81" s="800">
        <f t="shared" si="27"/>
        <v>3.5433070866141736</v>
      </c>
      <c r="H81" s="486"/>
      <c r="I81" s="486"/>
      <c r="J81" s="486"/>
      <c r="K81" s="486" t="s">
        <v>1844</v>
      </c>
      <c r="L81" s="533" t="s">
        <v>17</v>
      </c>
      <c r="M81" s="801">
        <v>0.6</v>
      </c>
      <c r="N81" s="490">
        <v>1.1000000000000001</v>
      </c>
      <c r="O81" s="490">
        <f t="shared" si="28"/>
        <v>20.617092809138057</v>
      </c>
      <c r="P81" s="490">
        <f t="shared" si="35"/>
        <v>0</v>
      </c>
      <c r="Q81" s="490">
        <f t="shared" si="35"/>
        <v>0</v>
      </c>
      <c r="R81" s="490">
        <f t="shared" si="29"/>
        <v>3.7485623289341925</v>
      </c>
      <c r="S81" s="490">
        <f t="shared" si="36"/>
        <v>18.555383528224251</v>
      </c>
      <c r="T81" s="490">
        <f t="shared" si="36"/>
        <v>0</v>
      </c>
      <c r="U81" s="490">
        <f t="shared" si="30"/>
        <v>6.1738282663126371</v>
      </c>
      <c r="V81" s="490">
        <v>0</v>
      </c>
      <c r="W81" s="490">
        <f t="shared" si="31"/>
        <v>17.805671062437412</v>
      </c>
      <c r="X81" s="490">
        <f t="shared" si="32"/>
        <v>4.8</v>
      </c>
      <c r="Y81" s="490">
        <f t="shared" si="33"/>
        <v>3.3737060960407734</v>
      </c>
      <c r="Z81" s="490">
        <f t="shared" si="34"/>
        <v>3.1</v>
      </c>
      <c r="AA81" s="802"/>
      <c r="AB81" s="803"/>
      <c r="AC81" s="804"/>
    </row>
    <row r="82" spans="1:29" s="805" customFormat="1" ht="25.15" customHeight="1" x14ac:dyDescent="0.4">
      <c r="A82" s="798"/>
      <c r="B82" s="549" t="str">
        <f t="shared" si="23"/>
        <v>TEE-27 - TEE-28</v>
      </c>
      <c r="C82" s="799" t="s">
        <v>1640</v>
      </c>
      <c r="D82" s="486" t="s">
        <v>1641</v>
      </c>
      <c r="E82" s="800">
        <v>72.361754557518267</v>
      </c>
      <c r="F82" s="800">
        <v>90</v>
      </c>
      <c r="G82" s="800">
        <f t="shared" si="27"/>
        <v>3.5433070866141736</v>
      </c>
      <c r="H82" s="486"/>
      <c r="I82" s="486"/>
      <c r="J82" s="486"/>
      <c r="K82" s="486" t="s">
        <v>1844</v>
      </c>
      <c r="L82" s="533" t="s">
        <v>17</v>
      </c>
      <c r="M82" s="801">
        <v>0.6</v>
      </c>
      <c r="N82" s="490">
        <v>1.1000000000000001</v>
      </c>
      <c r="O82" s="490">
        <f t="shared" si="28"/>
        <v>47.758758007962058</v>
      </c>
      <c r="P82" s="490">
        <f t="shared" si="35"/>
        <v>0</v>
      </c>
      <c r="Q82" s="490">
        <f t="shared" si="35"/>
        <v>0</v>
      </c>
      <c r="R82" s="490">
        <f t="shared" si="29"/>
        <v>8.6834105469021932</v>
      </c>
      <c r="S82" s="490">
        <f t="shared" si="36"/>
        <v>42.982882207165851</v>
      </c>
      <c r="T82" s="490">
        <f t="shared" si="36"/>
        <v>0</v>
      </c>
      <c r="U82" s="490">
        <f t="shared" si="30"/>
        <v>14.301452337783225</v>
      </c>
      <c r="V82" s="490">
        <v>0</v>
      </c>
      <c r="W82" s="490">
        <f t="shared" si="31"/>
        <v>41.246200097785412</v>
      </c>
      <c r="X82" s="490">
        <f t="shared" si="32"/>
        <v>11.2</v>
      </c>
      <c r="Y82" s="490">
        <f t="shared" si="33"/>
        <v>7.8150694922119746</v>
      </c>
      <c r="Z82" s="490">
        <f t="shared" si="34"/>
        <v>7.2</v>
      </c>
      <c r="AA82" s="802"/>
      <c r="AB82" s="803"/>
      <c r="AC82" s="804"/>
    </row>
    <row r="83" spans="1:29" s="805" customFormat="1" ht="25.15" customHeight="1" x14ac:dyDescent="0.4">
      <c r="A83" s="798"/>
      <c r="B83" s="549" t="str">
        <f t="shared" si="23"/>
        <v>TEE-28 - TEE-29</v>
      </c>
      <c r="C83" s="799" t="s">
        <v>1641</v>
      </c>
      <c r="D83" s="486" t="s">
        <v>1642</v>
      </c>
      <c r="E83" s="800">
        <v>43.123979538302656</v>
      </c>
      <c r="F83" s="800">
        <v>90</v>
      </c>
      <c r="G83" s="800">
        <f t="shared" si="27"/>
        <v>3.5433070866141736</v>
      </c>
      <c r="H83" s="486"/>
      <c r="I83" s="486"/>
      <c r="J83" s="486"/>
      <c r="K83" s="486" t="s">
        <v>1844</v>
      </c>
      <c r="L83" s="533" t="s">
        <v>17</v>
      </c>
      <c r="M83" s="801">
        <v>0.6</v>
      </c>
      <c r="N83" s="490">
        <v>1.1000000000000001</v>
      </c>
      <c r="O83" s="490">
        <f t="shared" si="28"/>
        <v>28.461826495279755</v>
      </c>
      <c r="P83" s="490">
        <f t="shared" si="35"/>
        <v>0</v>
      </c>
      <c r="Q83" s="490">
        <f t="shared" si="35"/>
        <v>0</v>
      </c>
      <c r="R83" s="490">
        <f t="shared" si="29"/>
        <v>5.1748775445963187</v>
      </c>
      <c r="S83" s="490">
        <f t="shared" si="36"/>
        <v>25.61564384575178</v>
      </c>
      <c r="T83" s="490">
        <f t="shared" si="36"/>
        <v>0</v>
      </c>
      <c r="U83" s="490">
        <f t="shared" si="30"/>
        <v>8.5229489217587879</v>
      </c>
      <c r="V83" s="490">
        <v>0</v>
      </c>
      <c r="W83" s="490">
        <f t="shared" si="31"/>
        <v>24.58066833683251</v>
      </c>
      <c r="X83" s="490">
        <f t="shared" si="32"/>
        <v>6.7</v>
      </c>
      <c r="Y83" s="490">
        <f t="shared" si="33"/>
        <v>4.657389790136687</v>
      </c>
      <c r="Z83" s="490">
        <f t="shared" si="34"/>
        <v>4.3</v>
      </c>
      <c r="AA83" s="802"/>
      <c r="AB83" s="803"/>
      <c r="AC83" s="804"/>
    </row>
    <row r="84" spans="1:29" s="805" customFormat="1" ht="25.15" customHeight="1" x14ac:dyDescent="0.4">
      <c r="A84" s="798"/>
      <c r="B84" s="549" t="str">
        <f t="shared" si="23"/>
        <v>TEE-29 - C-38</v>
      </c>
      <c r="C84" s="799" t="s">
        <v>1642</v>
      </c>
      <c r="D84" s="486" t="s">
        <v>1819</v>
      </c>
      <c r="E84" s="800">
        <v>40.486446951543257</v>
      </c>
      <c r="F84" s="800">
        <v>90</v>
      </c>
      <c r="G84" s="800">
        <f t="shared" si="27"/>
        <v>3.5433070866141736</v>
      </c>
      <c r="H84" s="486"/>
      <c r="I84" s="486"/>
      <c r="J84" s="486"/>
      <c r="K84" s="486" t="s">
        <v>1844</v>
      </c>
      <c r="L84" s="533" t="s">
        <v>17</v>
      </c>
      <c r="M84" s="801">
        <v>0.6</v>
      </c>
      <c r="N84" s="490">
        <v>1.1000000000000001</v>
      </c>
      <c r="O84" s="490">
        <f t="shared" si="28"/>
        <v>26.721054988018551</v>
      </c>
      <c r="P84" s="490">
        <f t="shared" si="35"/>
        <v>0</v>
      </c>
      <c r="Q84" s="490">
        <f t="shared" si="35"/>
        <v>0</v>
      </c>
      <c r="R84" s="490">
        <f t="shared" si="29"/>
        <v>4.8583736341851917</v>
      </c>
      <c r="S84" s="490">
        <f t="shared" si="36"/>
        <v>24.048949489216696</v>
      </c>
      <c r="T84" s="490">
        <f t="shared" si="36"/>
        <v>0</v>
      </c>
      <c r="U84" s="490">
        <f t="shared" si="30"/>
        <v>8.0016715313811595</v>
      </c>
      <c r="V84" s="490">
        <v>0</v>
      </c>
      <c r="W84" s="490">
        <f t="shared" si="31"/>
        <v>23.077274762379655</v>
      </c>
      <c r="X84" s="490">
        <f t="shared" si="32"/>
        <v>6.3</v>
      </c>
      <c r="Y84" s="490">
        <f t="shared" si="33"/>
        <v>4.3725362707666724</v>
      </c>
      <c r="Z84" s="490">
        <f t="shared" si="34"/>
        <v>4</v>
      </c>
      <c r="AA84" s="802"/>
      <c r="AB84" s="803"/>
      <c r="AC84" s="804"/>
    </row>
    <row r="85" spans="1:29" s="805" customFormat="1" ht="25.15" customHeight="1" x14ac:dyDescent="0.4">
      <c r="A85" s="798"/>
      <c r="B85" s="549" t="str">
        <f t="shared" si="23"/>
        <v>C-38 - VV-13</v>
      </c>
      <c r="C85" s="799" t="s">
        <v>1819</v>
      </c>
      <c r="D85" s="486" t="s">
        <v>1820</v>
      </c>
      <c r="E85" s="800">
        <v>5.5428951371092241</v>
      </c>
      <c r="F85" s="800">
        <v>90</v>
      </c>
      <c r="G85" s="800">
        <f t="shared" si="27"/>
        <v>3.5433070866141736</v>
      </c>
      <c r="H85" s="486"/>
      <c r="I85" s="486"/>
      <c r="J85" s="486"/>
      <c r="K85" s="486" t="s">
        <v>1844</v>
      </c>
      <c r="L85" s="533" t="s">
        <v>17</v>
      </c>
      <c r="M85" s="801">
        <v>0.6</v>
      </c>
      <c r="N85" s="490">
        <v>1.1000000000000001</v>
      </c>
      <c r="O85" s="490">
        <f t="shared" si="28"/>
        <v>3.658310790492088</v>
      </c>
      <c r="P85" s="490">
        <f t="shared" si="35"/>
        <v>0</v>
      </c>
      <c r="Q85" s="490">
        <f t="shared" si="35"/>
        <v>0</v>
      </c>
      <c r="R85" s="490">
        <f t="shared" si="29"/>
        <v>0.66514741645310693</v>
      </c>
      <c r="S85" s="490">
        <f t="shared" si="36"/>
        <v>3.2924797114428794</v>
      </c>
      <c r="T85" s="490">
        <f t="shared" si="36"/>
        <v>0</v>
      </c>
      <c r="U85" s="490">
        <f t="shared" si="30"/>
        <v>1.095488232719501</v>
      </c>
      <c r="V85" s="490">
        <v>0</v>
      </c>
      <c r="W85" s="490">
        <f t="shared" si="31"/>
        <v>3.1594502281522576</v>
      </c>
      <c r="X85" s="490">
        <f t="shared" si="32"/>
        <v>0.9</v>
      </c>
      <c r="Y85" s="490">
        <f t="shared" si="33"/>
        <v>0.59863267480779625</v>
      </c>
      <c r="Z85" s="490">
        <f t="shared" si="34"/>
        <v>0.6</v>
      </c>
      <c r="AA85" s="802"/>
      <c r="AB85" s="803"/>
      <c r="AC85" s="804"/>
    </row>
    <row r="86" spans="1:29" s="805" customFormat="1" ht="25.15" customHeight="1" x14ac:dyDescent="0.4">
      <c r="A86" s="798"/>
      <c r="B86" s="549" t="str">
        <f t="shared" si="23"/>
        <v>VV-13 - TEE-31</v>
      </c>
      <c r="C86" s="799" t="s">
        <v>1820</v>
      </c>
      <c r="D86" s="486" t="s">
        <v>1644</v>
      </c>
      <c r="E86" s="800">
        <v>47.486565879951584</v>
      </c>
      <c r="F86" s="800">
        <v>90</v>
      </c>
      <c r="G86" s="800">
        <f t="shared" si="27"/>
        <v>3.5433070866141736</v>
      </c>
      <c r="H86" s="486"/>
      <c r="I86" s="486"/>
      <c r="J86" s="486"/>
      <c r="K86" s="486" t="s">
        <v>1844</v>
      </c>
      <c r="L86" s="533" t="s">
        <v>17</v>
      </c>
      <c r="M86" s="801">
        <v>0.6</v>
      </c>
      <c r="N86" s="490">
        <v>1.1000000000000001</v>
      </c>
      <c r="O86" s="490">
        <f t="shared" si="28"/>
        <v>31.341133480768047</v>
      </c>
      <c r="P86" s="490">
        <f t="shared" si="35"/>
        <v>0</v>
      </c>
      <c r="Q86" s="490">
        <f t="shared" si="35"/>
        <v>0</v>
      </c>
      <c r="R86" s="490">
        <f t="shared" si="29"/>
        <v>5.6983879055941902</v>
      </c>
      <c r="S86" s="490">
        <f t="shared" si="36"/>
        <v>28.207020132691241</v>
      </c>
      <c r="T86" s="490">
        <f t="shared" si="36"/>
        <v>0</v>
      </c>
      <c r="U86" s="490">
        <f t="shared" si="30"/>
        <v>9.3851629603219795</v>
      </c>
      <c r="V86" s="490">
        <v>0</v>
      </c>
      <c r="W86" s="490">
        <f t="shared" si="31"/>
        <v>27.067342551572402</v>
      </c>
      <c r="X86" s="490">
        <f t="shared" si="32"/>
        <v>7.3</v>
      </c>
      <c r="Y86" s="490">
        <f t="shared" si="33"/>
        <v>5.1285491150347724</v>
      </c>
      <c r="Z86" s="490">
        <f t="shared" si="34"/>
        <v>4.7</v>
      </c>
      <c r="AA86" s="802"/>
      <c r="AB86" s="803"/>
      <c r="AC86" s="804"/>
    </row>
    <row r="87" spans="1:29" s="805" customFormat="1" ht="25.15" customHeight="1" x14ac:dyDescent="0.4">
      <c r="A87" s="798"/>
      <c r="B87" s="549" t="str">
        <f t="shared" si="23"/>
        <v>TEE-31 - TP-06</v>
      </c>
      <c r="C87" s="799" t="s">
        <v>1644</v>
      </c>
      <c r="D87" s="486" t="s">
        <v>1664</v>
      </c>
      <c r="E87" s="800">
        <v>49.896595248957347</v>
      </c>
      <c r="F87" s="800">
        <v>90</v>
      </c>
      <c r="G87" s="800">
        <f t="shared" si="27"/>
        <v>3.5433070866141736</v>
      </c>
      <c r="H87" s="486"/>
      <c r="I87" s="486"/>
      <c r="J87" s="486"/>
      <c r="K87" s="486" t="s">
        <v>1844</v>
      </c>
      <c r="L87" s="533" t="s">
        <v>17</v>
      </c>
      <c r="M87" s="801">
        <v>0.6</v>
      </c>
      <c r="N87" s="490">
        <v>1.1000000000000001</v>
      </c>
      <c r="O87" s="490">
        <f t="shared" si="28"/>
        <v>32.931752864311854</v>
      </c>
      <c r="P87" s="490">
        <f t="shared" si="35"/>
        <v>0</v>
      </c>
      <c r="Q87" s="490">
        <f t="shared" si="35"/>
        <v>0</v>
      </c>
      <c r="R87" s="490">
        <f t="shared" si="29"/>
        <v>5.9875914298748816</v>
      </c>
      <c r="S87" s="490">
        <f t="shared" si="36"/>
        <v>29.638577577880667</v>
      </c>
      <c r="T87" s="490">
        <f t="shared" si="36"/>
        <v>0</v>
      </c>
      <c r="U87" s="490">
        <f t="shared" si="30"/>
        <v>9.8614770072139297</v>
      </c>
      <c r="V87" s="490">
        <v>0</v>
      </c>
      <c r="W87" s="490">
        <f t="shared" si="31"/>
        <v>28.441059291905685</v>
      </c>
      <c r="X87" s="490">
        <f t="shared" si="32"/>
        <v>7.7</v>
      </c>
      <c r="Y87" s="490">
        <f t="shared" si="33"/>
        <v>5.3888322868873937</v>
      </c>
      <c r="Z87" s="490">
        <f t="shared" si="34"/>
        <v>5</v>
      </c>
      <c r="AA87" s="802"/>
      <c r="AB87" s="803"/>
      <c r="AC87" s="804"/>
    </row>
    <row r="88" spans="1:29" s="805" customFormat="1" ht="25.15" customHeight="1" x14ac:dyDescent="0.4">
      <c r="A88" s="798"/>
      <c r="B88" s="549" t="str">
        <f t="shared" si="23"/>
        <v>TEE-28 - TEE-32</v>
      </c>
      <c r="C88" s="799" t="s">
        <v>1641</v>
      </c>
      <c r="D88" s="486" t="s">
        <v>1663</v>
      </c>
      <c r="E88" s="800">
        <v>108.45148392972818</v>
      </c>
      <c r="F88" s="800">
        <v>90</v>
      </c>
      <c r="G88" s="800">
        <f t="shared" si="27"/>
        <v>3.5433070866141736</v>
      </c>
      <c r="H88" s="486"/>
      <c r="I88" s="486"/>
      <c r="J88" s="486"/>
      <c r="K88" s="486" t="s">
        <v>1844</v>
      </c>
      <c r="L88" s="533" t="s">
        <v>17</v>
      </c>
      <c r="M88" s="801">
        <v>0.6</v>
      </c>
      <c r="N88" s="490">
        <v>1.1000000000000001</v>
      </c>
      <c r="O88" s="490">
        <f t="shared" si="28"/>
        <v>71.577979393620609</v>
      </c>
      <c r="P88" s="490">
        <f t="shared" si="35"/>
        <v>0</v>
      </c>
      <c r="Q88" s="490">
        <f t="shared" si="35"/>
        <v>0</v>
      </c>
      <c r="R88" s="490">
        <f t="shared" si="29"/>
        <v>13.014178071567381</v>
      </c>
      <c r="S88" s="490">
        <f t="shared" si="36"/>
        <v>64.420181454258554</v>
      </c>
      <c r="T88" s="490">
        <f t="shared" si="36"/>
        <v>0</v>
      </c>
      <c r="U88" s="490">
        <f t="shared" si="30"/>
        <v>21.434164191665843</v>
      </c>
      <c r="V88" s="490">
        <v>0</v>
      </c>
      <c r="W88" s="490">
        <f t="shared" si="31"/>
        <v>61.817345839945055</v>
      </c>
      <c r="X88" s="490">
        <f t="shared" si="32"/>
        <v>16.8</v>
      </c>
      <c r="Y88" s="490">
        <f t="shared" si="33"/>
        <v>11.712760264410646</v>
      </c>
      <c r="Z88" s="490">
        <f t="shared" si="34"/>
        <v>10.8</v>
      </c>
      <c r="AA88" s="802"/>
      <c r="AB88" s="803"/>
      <c r="AC88" s="804"/>
    </row>
    <row r="89" spans="1:29" s="805" customFormat="1" ht="25.15" customHeight="1" x14ac:dyDescent="0.4">
      <c r="A89" s="798"/>
      <c r="B89" s="549" t="str">
        <f t="shared" si="23"/>
        <v>TEE-32 - C-26</v>
      </c>
      <c r="C89" s="799" t="s">
        <v>1663</v>
      </c>
      <c r="D89" s="486" t="s">
        <v>1821</v>
      </c>
      <c r="E89" s="800">
        <v>1.0000326394276868</v>
      </c>
      <c r="F89" s="800">
        <v>90</v>
      </c>
      <c r="G89" s="800">
        <f t="shared" si="27"/>
        <v>3.5433070866141736</v>
      </c>
      <c r="H89" s="486"/>
      <c r="I89" s="486"/>
      <c r="J89" s="486"/>
      <c r="K89" s="486" t="s">
        <v>1844</v>
      </c>
      <c r="L89" s="533" t="s">
        <v>17</v>
      </c>
      <c r="M89" s="801">
        <v>0.6</v>
      </c>
      <c r="N89" s="490">
        <v>1.1000000000000001</v>
      </c>
      <c r="O89" s="490">
        <f t="shared" si="28"/>
        <v>0.66002154202227337</v>
      </c>
      <c r="P89" s="490">
        <f t="shared" si="35"/>
        <v>0</v>
      </c>
      <c r="Q89" s="490">
        <f t="shared" si="35"/>
        <v>0</v>
      </c>
      <c r="R89" s="490">
        <f t="shared" si="29"/>
        <v>0.12000391673132244</v>
      </c>
      <c r="S89" s="490">
        <f t="shared" si="36"/>
        <v>0.59401938782004604</v>
      </c>
      <c r="T89" s="490">
        <f t="shared" si="36"/>
        <v>0</v>
      </c>
      <c r="U89" s="490">
        <f t="shared" si="30"/>
        <v>0.19764472567666166</v>
      </c>
      <c r="V89" s="490">
        <v>0</v>
      </c>
      <c r="W89" s="490">
        <f t="shared" si="31"/>
        <v>0.5700186044737815</v>
      </c>
      <c r="X89" s="490">
        <f t="shared" si="32"/>
        <v>0.2</v>
      </c>
      <c r="Y89" s="490">
        <f t="shared" si="33"/>
        <v>0.10800352505819018</v>
      </c>
      <c r="Z89" s="490">
        <f t="shared" si="34"/>
        <v>0.1</v>
      </c>
      <c r="AA89" s="802"/>
      <c r="AB89" s="803"/>
      <c r="AC89" s="804"/>
    </row>
    <row r="90" spans="1:29" s="805" customFormat="1" ht="25.15" customHeight="1" x14ac:dyDescent="0.4">
      <c r="A90" s="798"/>
      <c r="B90" s="549" t="str">
        <f t="shared" si="23"/>
        <v>C-26 - C-27</v>
      </c>
      <c r="C90" s="799" t="s">
        <v>1821</v>
      </c>
      <c r="D90" s="486" t="s">
        <v>1822</v>
      </c>
      <c r="E90" s="800">
        <v>5.4359386843000062</v>
      </c>
      <c r="F90" s="800">
        <v>90</v>
      </c>
      <c r="G90" s="800">
        <f t="shared" si="27"/>
        <v>3.5433070866141736</v>
      </c>
      <c r="H90" s="486"/>
      <c r="I90" s="486"/>
      <c r="J90" s="486"/>
      <c r="K90" s="486" t="s">
        <v>1844</v>
      </c>
      <c r="L90" s="533" t="s">
        <v>17</v>
      </c>
      <c r="M90" s="801">
        <v>0.6</v>
      </c>
      <c r="N90" s="490">
        <v>1.1000000000000001</v>
      </c>
      <c r="O90" s="490">
        <f t="shared" si="28"/>
        <v>3.5877195316380042</v>
      </c>
      <c r="P90" s="490">
        <f t="shared" si="35"/>
        <v>0</v>
      </c>
      <c r="Q90" s="490">
        <f t="shared" si="35"/>
        <v>0</v>
      </c>
      <c r="R90" s="490">
        <f t="shared" si="29"/>
        <v>0.65231264211600071</v>
      </c>
      <c r="S90" s="490">
        <f t="shared" si="36"/>
        <v>3.2289475784742039</v>
      </c>
      <c r="T90" s="490">
        <f t="shared" si="36"/>
        <v>0</v>
      </c>
      <c r="U90" s="490">
        <f t="shared" si="30"/>
        <v>1.0743495438993793</v>
      </c>
      <c r="V90" s="490">
        <v>0</v>
      </c>
      <c r="W90" s="490">
        <f t="shared" si="31"/>
        <v>3.0984850500510031</v>
      </c>
      <c r="X90" s="490">
        <f t="shared" si="32"/>
        <v>0.8</v>
      </c>
      <c r="Y90" s="490">
        <f t="shared" si="33"/>
        <v>0.58708137790440074</v>
      </c>
      <c r="Z90" s="490">
        <f t="shared" si="34"/>
        <v>0.5</v>
      </c>
      <c r="AA90" s="802"/>
      <c r="AB90" s="803"/>
      <c r="AC90" s="804"/>
    </row>
    <row r="91" spans="1:29" s="805" customFormat="1" ht="25.15" customHeight="1" x14ac:dyDescent="0.4">
      <c r="A91" s="798"/>
      <c r="B91" s="549" t="str">
        <f t="shared" si="23"/>
        <v>C-27 - C-25</v>
      </c>
      <c r="C91" s="799" t="s">
        <v>1822</v>
      </c>
      <c r="D91" s="486" t="s">
        <v>1841</v>
      </c>
      <c r="E91" s="800">
        <v>25.86111390112838</v>
      </c>
      <c r="F91" s="800">
        <v>90</v>
      </c>
      <c r="G91" s="800">
        <f t="shared" si="27"/>
        <v>3.5433070866141736</v>
      </c>
      <c r="H91" s="486"/>
      <c r="I91" s="486"/>
      <c r="J91" s="486"/>
      <c r="K91" s="486" t="s">
        <v>1844</v>
      </c>
      <c r="L91" s="533" t="s">
        <v>17</v>
      </c>
      <c r="M91" s="801">
        <v>0.6</v>
      </c>
      <c r="N91" s="490">
        <v>1.1000000000000001</v>
      </c>
      <c r="O91" s="490">
        <f t="shared" si="28"/>
        <v>17.068335174744732</v>
      </c>
      <c r="P91" s="490">
        <f t="shared" si="35"/>
        <v>0</v>
      </c>
      <c r="Q91" s="490">
        <f t="shared" si="35"/>
        <v>0</v>
      </c>
      <c r="R91" s="490">
        <f t="shared" si="29"/>
        <v>3.1033336681354058</v>
      </c>
      <c r="S91" s="490">
        <f t="shared" si="36"/>
        <v>15.361501657270258</v>
      </c>
      <c r="T91" s="490">
        <f t="shared" si="36"/>
        <v>0</v>
      </c>
      <c r="U91" s="490">
        <f t="shared" si="30"/>
        <v>5.1111459378031858</v>
      </c>
      <c r="V91" s="490">
        <v>0</v>
      </c>
      <c r="W91" s="490">
        <f t="shared" si="31"/>
        <v>14.740834923643176</v>
      </c>
      <c r="X91" s="490">
        <f t="shared" si="32"/>
        <v>4</v>
      </c>
      <c r="Y91" s="490">
        <f t="shared" si="33"/>
        <v>2.7930003013218654</v>
      </c>
      <c r="Z91" s="490">
        <f t="shared" si="34"/>
        <v>2.6</v>
      </c>
      <c r="AA91" s="802"/>
      <c r="AB91" s="803"/>
      <c r="AC91" s="804"/>
    </row>
    <row r="92" spans="1:29" s="805" customFormat="1" ht="25.15" customHeight="1" x14ac:dyDescent="0.4">
      <c r="A92" s="798"/>
      <c r="B92" s="549" t="str">
        <f t="shared" si="23"/>
        <v>TEE-29 - TEE-30</v>
      </c>
      <c r="C92" s="799" t="s">
        <v>1642</v>
      </c>
      <c r="D92" s="486" t="s">
        <v>1643</v>
      </c>
      <c r="E92" s="800">
        <v>58.133855464864411</v>
      </c>
      <c r="F92" s="800">
        <v>90</v>
      </c>
      <c r="G92" s="800">
        <f t="shared" si="27"/>
        <v>3.5433070866141736</v>
      </c>
      <c r="H92" s="486"/>
      <c r="I92" s="486"/>
      <c r="J92" s="486"/>
      <c r="K92" s="486" t="s">
        <v>1844</v>
      </c>
      <c r="L92" s="533" t="s">
        <v>17</v>
      </c>
      <c r="M92" s="801">
        <v>0.6</v>
      </c>
      <c r="N92" s="490">
        <v>1.1000000000000001</v>
      </c>
      <c r="O92" s="490">
        <f t="shared" si="28"/>
        <v>38.36834460681051</v>
      </c>
      <c r="P92" s="490">
        <f t="shared" si="35"/>
        <v>0</v>
      </c>
      <c r="Q92" s="490">
        <f t="shared" si="35"/>
        <v>0</v>
      </c>
      <c r="R92" s="490">
        <f t="shared" si="29"/>
        <v>6.9760626557837284</v>
      </c>
      <c r="S92" s="490">
        <f t="shared" si="36"/>
        <v>34.531510146129463</v>
      </c>
      <c r="T92" s="490">
        <f t="shared" si="36"/>
        <v>0</v>
      </c>
      <c r="U92" s="490">
        <f t="shared" si="30"/>
        <v>11.48947490599447</v>
      </c>
      <c r="V92" s="490">
        <v>0</v>
      </c>
      <c r="W92" s="490">
        <f t="shared" si="31"/>
        <v>33.136297614972712</v>
      </c>
      <c r="X92" s="490">
        <f t="shared" si="32"/>
        <v>9</v>
      </c>
      <c r="Y92" s="490">
        <f t="shared" si="33"/>
        <v>6.2784563902053572</v>
      </c>
      <c r="Z92" s="490">
        <f t="shared" si="34"/>
        <v>5.8</v>
      </c>
      <c r="AA92" s="802"/>
      <c r="AB92" s="803"/>
      <c r="AC92" s="804"/>
    </row>
    <row r="93" spans="1:29" s="805" customFormat="1" ht="25.15" customHeight="1" x14ac:dyDescent="0.4">
      <c r="A93" s="798"/>
      <c r="B93" s="549" t="str">
        <f t="shared" si="23"/>
        <v>TEE-30 - C-24</v>
      </c>
      <c r="C93" s="799" t="s">
        <v>1643</v>
      </c>
      <c r="D93" s="486" t="s">
        <v>1823</v>
      </c>
      <c r="E93" s="800">
        <v>48.759220687503159</v>
      </c>
      <c r="F93" s="800">
        <v>90</v>
      </c>
      <c r="G93" s="800">
        <f t="shared" si="27"/>
        <v>3.5433070866141736</v>
      </c>
      <c r="H93" s="486"/>
      <c r="I93" s="486"/>
      <c r="J93" s="486"/>
      <c r="K93" s="486" t="s">
        <v>1844</v>
      </c>
      <c r="L93" s="533" t="s">
        <v>17</v>
      </c>
      <c r="M93" s="801">
        <v>0.6</v>
      </c>
      <c r="N93" s="490">
        <v>1.1000000000000001</v>
      </c>
      <c r="O93" s="490">
        <f t="shared" si="28"/>
        <v>32.181085653752085</v>
      </c>
      <c r="P93" s="490">
        <f t="shared" si="35"/>
        <v>0</v>
      </c>
      <c r="Q93" s="490">
        <f t="shared" si="35"/>
        <v>0</v>
      </c>
      <c r="R93" s="490">
        <f t="shared" si="29"/>
        <v>5.8511064825003789</v>
      </c>
      <c r="S93" s="490">
        <f t="shared" si="36"/>
        <v>28.962977088376878</v>
      </c>
      <c r="T93" s="490">
        <f t="shared" si="36"/>
        <v>0</v>
      </c>
      <c r="U93" s="490">
        <f t="shared" si="30"/>
        <v>9.6366882609997333</v>
      </c>
      <c r="V93" s="490">
        <v>0</v>
      </c>
      <c r="W93" s="490">
        <f t="shared" si="31"/>
        <v>27.792755791876797</v>
      </c>
      <c r="X93" s="490">
        <f t="shared" si="32"/>
        <v>7.5</v>
      </c>
      <c r="Y93" s="490">
        <f t="shared" si="33"/>
        <v>5.2659958342503419</v>
      </c>
      <c r="Z93" s="490">
        <f t="shared" si="34"/>
        <v>4.9000000000000004</v>
      </c>
      <c r="AA93" s="802"/>
      <c r="AB93" s="803"/>
      <c r="AC93" s="804"/>
    </row>
    <row r="94" spans="1:29" s="805" customFormat="1" ht="25.15" customHeight="1" x14ac:dyDescent="0.4">
      <c r="A94" s="798"/>
      <c r="B94" s="549" t="str">
        <f t="shared" si="23"/>
        <v>C-24 - TEE-32</v>
      </c>
      <c r="C94" s="799" t="s">
        <v>1823</v>
      </c>
      <c r="D94" s="486" t="s">
        <v>1663</v>
      </c>
      <c r="E94" s="800">
        <v>47.840425631133314</v>
      </c>
      <c r="F94" s="800">
        <v>90</v>
      </c>
      <c r="G94" s="800">
        <f t="shared" si="27"/>
        <v>3.5433070866141736</v>
      </c>
      <c r="H94" s="486"/>
      <c r="I94" s="486"/>
      <c r="J94" s="486"/>
      <c r="K94" s="486" t="s">
        <v>1844</v>
      </c>
      <c r="L94" s="533" t="s">
        <v>17</v>
      </c>
      <c r="M94" s="801">
        <v>0.6</v>
      </c>
      <c r="N94" s="490">
        <v>1.1000000000000001</v>
      </c>
      <c r="O94" s="490">
        <f t="shared" si="28"/>
        <v>31.57468091654799</v>
      </c>
      <c r="P94" s="490">
        <f t="shared" si="35"/>
        <v>0</v>
      </c>
      <c r="Q94" s="490">
        <f t="shared" si="35"/>
        <v>0</v>
      </c>
      <c r="R94" s="490">
        <f t="shared" si="29"/>
        <v>5.7408510757359981</v>
      </c>
      <c r="S94" s="490">
        <f t="shared" si="36"/>
        <v>28.417212824893191</v>
      </c>
      <c r="T94" s="490">
        <f t="shared" si="36"/>
        <v>0</v>
      </c>
      <c r="U94" s="490">
        <f t="shared" si="30"/>
        <v>9.4550991910937565</v>
      </c>
      <c r="V94" s="490">
        <v>0</v>
      </c>
      <c r="W94" s="490">
        <f t="shared" si="31"/>
        <v>27.269042609745988</v>
      </c>
      <c r="X94" s="490">
        <f t="shared" si="32"/>
        <v>7.4</v>
      </c>
      <c r="Y94" s="490">
        <f t="shared" si="33"/>
        <v>5.1667659681623981</v>
      </c>
      <c r="Z94" s="490">
        <f t="shared" si="34"/>
        <v>4.8</v>
      </c>
      <c r="AA94" s="802"/>
      <c r="AB94" s="803"/>
      <c r="AC94" s="804"/>
    </row>
    <row r="95" spans="1:29" s="805" customFormat="1" ht="25.15" customHeight="1" x14ac:dyDescent="0.4">
      <c r="A95" s="798"/>
      <c r="B95" s="549" t="str">
        <f t="shared" si="23"/>
        <v>TEE-30 - TEE-31</v>
      </c>
      <c r="C95" s="799" t="s">
        <v>1643</v>
      </c>
      <c r="D95" s="486" t="s">
        <v>1644</v>
      </c>
      <c r="E95" s="800">
        <v>46.078011339404583</v>
      </c>
      <c r="F95" s="800">
        <v>90</v>
      </c>
      <c r="G95" s="800">
        <f t="shared" si="27"/>
        <v>3.5433070866141736</v>
      </c>
      <c r="H95" s="486"/>
      <c r="I95" s="486"/>
      <c r="J95" s="486"/>
      <c r="K95" s="486" t="s">
        <v>1844</v>
      </c>
      <c r="L95" s="533" t="s">
        <v>17</v>
      </c>
      <c r="M95" s="801">
        <v>0.6</v>
      </c>
      <c r="N95" s="490">
        <v>1.1000000000000001</v>
      </c>
      <c r="O95" s="490">
        <f t="shared" si="28"/>
        <v>30.411487484007026</v>
      </c>
      <c r="P95" s="490">
        <f t="shared" si="35"/>
        <v>0</v>
      </c>
      <c r="Q95" s="490">
        <f t="shared" si="35"/>
        <v>0</v>
      </c>
      <c r="R95" s="490">
        <f t="shared" si="29"/>
        <v>5.5293613607285508</v>
      </c>
      <c r="S95" s="490">
        <f t="shared" si="36"/>
        <v>27.370338735606325</v>
      </c>
      <c r="T95" s="490">
        <f t="shared" si="36"/>
        <v>0</v>
      </c>
      <c r="U95" s="490">
        <f t="shared" si="30"/>
        <v>9.1067786708588372</v>
      </c>
      <c r="V95" s="490">
        <v>0</v>
      </c>
      <c r="W95" s="490">
        <f t="shared" si="31"/>
        <v>26.264466463460611</v>
      </c>
      <c r="X95" s="490">
        <f t="shared" si="32"/>
        <v>7.1</v>
      </c>
      <c r="Y95" s="490">
        <f t="shared" si="33"/>
        <v>4.9764252246556957</v>
      </c>
      <c r="Z95" s="490">
        <f t="shared" si="34"/>
        <v>4.5999999999999996</v>
      </c>
      <c r="AA95" s="802"/>
      <c r="AB95" s="803"/>
      <c r="AC95" s="804"/>
    </row>
    <row r="96" spans="1:29" s="805" customFormat="1" ht="25.15" customHeight="1" x14ac:dyDescent="0.4">
      <c r="A96" s="798"/>
      <c r="B96" s="549" t="str">
        <f t="shared" si="23"/>
        <v>TEE-37 - R-15</v>
      </c>
      <c r="C96" s="799" t="s">
        <v>1651</v>
      </c>
      <c r="D96" s="486" t="s">
        <v>1824</v>
      </c>
      <c r="E96" s="800">
        <v>0.76560000004246831</v>
      </c>
      <c r="F96" s="800">
        <v>90</v>
      </c>
      <c r="G96" s="800">
        <f t="shared" si="27"/>
        <v>3.5433070866141736</v>
      </c>
      <c r="H96" s="486"/>
      <c r="I96" s="486"/>
      <c r="J96" s="486"/>
      <c r="K96" s="486" t="s">
        <v>1844</v>
      </c>
      <c r="L96" s="533" t="s">
        <v>17</v>
      </c>
      <c r="M96" s="801">
        <v>0.6</v>
      </c>
      <c r="N96" s="490">
        <v>1.1000000000000001</v>
      </c>
      <c r="O96" s="490">
        <f t="shared" si="28"/>
        <v>0.5052960000280291</v>
      </c>
      <c r="P96" s="490">
        <f t="shared" si="35"/>
        <v>0</v>
      </c>
      <c r="Q96" s="490">
        <f t="shared" si="35"/>
        <v>0</v>
      </c>
      <c r="R96" s="490">
        <f t="shared" si="29"/>
        <v>9.1872000005096197E-2</v>
      </c>
      <c r="S96" s="490">
        <f t="shared" si="36"/>
        <v>0.45476640002522623</v>
      </c>
      <c r="T96" s="490">
        <f t="shared" si="36"/>
        <v>0</v>
      </c>
      <c r="U96" s="490">
        <f t="shared" si="30"/>
        <v>0.15131186325382698</v>
      </c>
      <c r="V96" s="490">
        <v>0</v>
      </c>
      <c r="W96" s="490">
        <f t="shared" si="31"/>
        <v>0.43639200002420686</v>
      </c>
      <c r="X96" s="490">
        <f t="shared" si="32"/>
        <v>0.1</v>
      </c>
      <c r="Y96" s="490">
        <f t="shared" si="33"/>
        <v>8.2684800004586584E-2</v>
      </c>
      <c r="Z96" s="490">
        <f t="shared" si="34"/>
        <v>0.1</v>
      </c>
      <c r="AA96" s="802"/>
      <c r="AB96" s="803"/>
      <c r="AC96" s="804"/>
    </row>
    <row r="97" spans="1:29" s="805" customFormat="1" ht="25.15" customHeight="1" x14ac:dyDescent="0.4">
      <c r="A97" s="798"/>
      <c r="B97" s="549" t="str">
        <f t="shared" si="23"/>
        <v>R-15 - VV-08</v>
      </c>
      <c r="C97" s="799" t="s">
        <v>1824</v>
      </c>
      <c r="D97" s="486" t="s">
        <v>1825</v>
      </c>
      <c r="E97" s="800">
        <v>13.205816930410258</v>
      </c>
      <c r="F97" s="800">
        <v>90</v>
      </c>
      <c r="G97" s="800">
        <f t="shared" ref="G97:G123" si="37">F97/25.4</f>
        <v>3.5433070866141736</v>
      </c>
      <c r="H97" s="486"/>
      <c r="I97" s="486"/>
      <c r="J97" s="486"/>
      <c r="K97" s="486" t="s">
        <v>1844</v>
      </c>
      <c r="L97" s="533" t="s">
        <v>17</v>
      </c>
      <c r="M97" s="801">
        <v>0.6</v>
      </c>
      <c r="N97" s="490">
        <v>1.1000000000000001</v>
      </c>
      <c r="O97" s="490">
        <f t="shared" ref="O97:O123" si="38">M97*N97*E97</f>
        <v>8.715839174070771</v>
      </c>
      <c r="P97" s="490">
        <f t="shared" si="35"/>
        <v>0</v>
      </c>
      <c r="Q97" s="490">
        <f t="shared" si="35"/>
        <v>0</v>
      </c>
      <c r="R97" s="490">
        <f t="shared" si="29"/>
        <v>1.584698031649231</v>
      </c>
      <c r="S97" s="490">
        <f t="shared" si="36"/>
        <v>7.8442552566636943</v>
      </c>
      <c r="T97" s="490">
        <f t="shared" si="36"/>
        <v>0</v>
      </c>
      <c r="U97" s="490">
        <f t="shared" si="30"/>
        <v>2.609974876460905</v>
      </c>
      <c r="V97" s="490">
        <v>0</v>
      </c>
      <c r="W97" s="490">
        <f t="shared" si="31"/>
        <v>7.5273156503338461</v>
      </c>
      <c r="X97" s="490">
        <f t="shared" si="32"/>
        <v>2</v>
      </c>
      <c r="Y97" s="490">
        <f t="shared" si="33"/>
        <v>1.426228228484308</v>
      </c>
      <c r="Z97" s="490">
        <f t="shared" si="34"/>
        <v>1.3</v>
      </c>
      <c r="AA97" s="802"/>
      <c r="AB97" s="803"/>
      <c r="AC97" s="804"/>
    </row>
    <row r="98" spans="1:29" s="805" customFormat="1" ht="25.15" customHeight="1" x14ac:dyDescent="0.4">
      <c r="A98" s="798"/>
      <c r="B98" s="549" t="str">
        <f t="shared" si="23"/>
        <v>VV-08 - VP-09</v>
      </c>
      <c r="C98" s="799" t="s">
        <v>1825</v>
      </c>
      <c r="D98" s="486" t="s">
        <v>1826</v>
      </c>
      <c r="E98" s="800">
        <v>74.464536022686985</v>
      </c>
      <c r="F98" s="800">
        <v>90</v>
      </c>
      <c r="G98" s="800">
        <f t="shared" si="37"/>
        <v>3.5433070866141736</v>
      </c>
      <c r="H98" s="486"/>
      <c r="I98" s="486"/>
      <c r="J98" s="486"/>
      <c r="K98" s="486" t="s">
        <v>1844</v>
      </c>
      <c r="L98" s="533" t="s">
        <v>17</v>
      </c>
      <c r="M98" s="801">
        <v>0.6</v>
      </c>
      <c r="N98" s="490">
        <v>1.1000000000000001</v>
      </c>
      <c r="O98" s="490">
        <f t="shared" si="38"/>
        <v>49.146593774973411</v>
      </c>
      <c r="P98" s="490">
        <f t="shared" si="35"/>
        <v>0</v>
      </c>
      <c r="Q98" s="490">
        <f t="shared" si="35"/>
        <v>0</v>
      </c>
      <c r="R98" s="490">
        <f t="shared" si="29"/>
        <v>8.9357443227224387</v>
      </c>
      <c r="S98" s="490">
        <f t="shared" si="36"/>
        <v>44.231934397476074</v>
      </c>
      <c r="T98" s="490">
        <f t="shared" si="36"/>
        <v>0</v>
      </c>
      <c r="U98" s="490">
        <f t="shared" si="30"/>
        <v>14.717042439001407</v>
      </c>
      <c r="V98" s="490">
        <v>0</v>
      </c>
      <c r="W98" s="490">
        <f t="shared" si="31"/>
        <v>42.444785532931576</v>
      </c>
      <c r="X98" s="490">
        <f t="shared" si="32"/>
        <v>11.5</v>
      </c>
      <c r="Y98" s="490">
        <f t="shared" si="33"/>
        <v>8.0421698904501948</v>
      </c>
      <c r="Z98" s="490">
        <f t="shared" si="34"/>
        <v>7.4</v>
      </c>
      <c r="AA98" s="802"/>
      <c r="AB98" s="803"/>
      <c r="AC98" s="804"/>
    </row>
    <row r="99" spans="1:29" s="805" customFormat="1" ht="25.15" customHeight="1" x14ac:dyDescent="0.4">
      <c r="A99" s="798"/>
      <c r="B99" s="549" t="str">
        <f t="shared" si="23"/>
        <v>VP-09 - TEE-41</v>
      </c>
      <c r="C99" s="799" t="s">
        <v>1826</v>
      </c>
      <c r="D99" s="486" t="s">
        <v>1827</v>
      </c>
      <c r="E99" s="800">
        <v>5.2587129080424111</v>
      </c>
      <c r="F99" s="800">
        <v>90</v>
      </c>
      <c r="G99" s="800">
        <f t="shared" si="37"/>
        <v>3.5433070866141736</v>
      </c>
      <c r="H99" s="486"/>
      <c r="I99" s="486"/>
      <c r="J99" s="486"/>
      <c r="K99" s="486" t="s">
        <v>1844</v>
      </c>
      <c r="L99" s="533" t="s">
        <v>17</v>
      </c>
      <c r="M99" s="801">
        <v>0.6</v>
      </c>
      <c r="N99" s="490">
        <v>1.1000000000000001</v>
      </c>
      <c r="O99" s="490">
        <f t="shared" si="38"/>
        <v>3.4707505193079915</v>
      </c>
      <c r="P99" s="490">
        <f t="shared" si="35"/>
        <v>0</v>
      </c>
      <c r="Q99" s="490">
        <f t="shared" si="35"/>
        <v>0</v>
      </c>
      <c r="R99" s="490">
        <f t="shared" si="29"/>
        <v>0.63104554896508935</v>
      </c>
      <c r="S99" s="490">
        <f t="shared" si="36"/>
        <v>3.1236754673771925</v>
      </c>
      <c r="T99" s="490">
        <f t="shared" si="36"/>
        <v>0</v>
      </c>
      <c r="U99" s="490">
        <f t="shared" si="30"/>
        <v>1.0393229472161831</v>
      </c>
      <c r="V99" s="490">
        <v>0</v>
      </c>
      <c r="W99" s="490">
        <f t="shared" si="31"/>
        <v>2.997466357584174</v>
      </c>
      <c r="X99" s="490">
        <f t="shared" si="32"/>
        <v>0.8</v>
      </c>
      <c r="Y99" s="490">
        <f t="shared" si="33"/>
        <v>0.56794099406858045</v>
      </c>
      <c r="Z99" s="490">
        <f t="shared" si="34"/>
        <v>0.5</v>
      </c>
      <c r="AA99" s="802"/>
      <c r="AB99" s="803"/>
      <c r="AC99" s="804"/>
    </row>
    <row r="100" spans="1:29" s="805" customFormat="1" ht="25.15" customHeight="1" x14ac:dyDescent="0.4">
      <c r="A100" s="798"/>
      <c r="B100" s="549" t="str">
        <f t="shared" si="23"/>
        <v>TEE-41 - TEE-40</v>
      </c>
      <c r="C100" s="799" t="s">
        <v>1827</v>
      </c>
      <c r="D100" s="486" t="s">
        <v>1652</v>
      </c>
      <c r="E100" s="800">
        <v>0.56001732109186886</v>
      </c>
      <c r="F100" s="800">
        <v>90</v>
      </c>
      <c r="G100" s="800">
        <f t="shared" si="37"/>
        <v>3.5433070866141736</v>
      </c>
      <c r="H100" s="486"/>
      <c r="I100" s="486"/>
      <c r="J100" s="486"/>
      <c r="K100" s="486" t="s">
        <v>1844</v>
      </c>
      <c r="L100" s="533" t="s">
        <v>17</v>
      </c>
      <c r="M100" s="801">
        <v>0.6</v>
      </c>
      <c r="N100" s="490">
        <v>1.1000000000000001</v>
      </c>
      <c r="O100" s="490">
        <f t="shared" si="38"/>
        <v>0.36961143192063345</v>
      </c>
      <c r="P100" s="490">
        <f t="shared" si="35"/>
        <v>0</v>
      </c>
      <c r="Q100" s="490">
        <f t="shared" si="35"/>
        <v>0</v>
      </c>
      <c r="R100" s="490">
        <f t="shared" si="29"/>
        <v>6.7202078531024265E-2</v>
      </c>
      <c r="S100" s="490">
        <f t="shared" si="36"/>
        <v>0.33265028872857011</v>
      </c>
      <c r="T100" s="490">
        <f t="shared" si="36"/>
        <v>0</v>
      </c>
      <c r="U100" s="490">
        <f t="shared" si="30"/>
        <v>0.11068085724154511</v>
      </c>
      <c r="V100" s="490">
        <v>0</v>
      </c>
      <c r="W100" s="490">
        <f t="shared" si="31"/>
        <v>0.3192098730223652</v>
      </c>
      <c r="X100" s="490">
        <f t="shared" si="32"/>
        <v>0.1</v>
      </c>
      <c r="Y100" s="490">
        <f t="shared" si="33"/>
        <v>6.0481870677921851E-2</v>
      </c>
      <c r="Z100" s="490">
        <f t="shared" si="34"/>
        <v>0.1</v>
      </c>
      <c r="AA100" s="802"/>
      <c r="AB100" s="803"/>
      <c r="AC100" s="804"/>
    </row>
    <row r="101" spans="1:29" s="805" customFormat="1" ht="25.15" customHeight="1" x14ac:dyDescent="0.4">
      <c r="A101" s="798"/>
      <c r="B101" s="549" t="str">
        <f t="shared" si="23"/>
        <v>TEE-40 - TP-10</v>
      </c>
      <c r="C101" s="799" t="s">
        <v>1652</v>
      </c>
      <c r="D101" s="486" t="s">
        <v>1669</v>
      </c>
      <c r="E101" s="800">
        <v>88.767098329268421</v>
      </c>
      <c r="F101" s="800">
        <v>90</v>
      </c>
      <c r="G101" s="800">
        <f t="shared" si="37"/>
        <v>3.5433070866141736</v>
      </c>
      <c r="H101" s="486"/>
      <c r="I101" s="486"/>
      <c r="J101" s="486"/>
      <c r="K101" s="486" t="s">
        <v>1844</v>
      </c>
      <c r="L101" s="533" t="s">
        <v>17</v>
      </c>
      <c r="M101" s="801">
        <v>0.6</v>
      </c>
      <c r="N101" s="490">
        <v>1.1000000000000001</v>
      </c>
      <c r="O101" s="490">
        <f t="shared" si="38"/>
        <v>58.586284897317164</v>
      </c>
      <c r="P101" s="490">
        <f t="shared" si="35"/>
        <v>0</v>
      </c>
      <c r="Q101" s="490">
        <f t="shared" si="35"/>
        <v>0</v>
      </c>
      <c r="R101" s="490">
        <f t="shared" si="29"/>
        <v>10.652051799512211</v>
      </c>
      <c r="S101" s="490">
        <f t="shared" si="36"/>
        <v>52.727656407585449</v>
      </c>
      <c r="T101" s="490">
        <f t="shared" si="36"/>
        <v>0</v>
      </c>
      <c r="U101" s="490">
        <f t="shared" si="30"/>
        <v>17.543776179587542</v>
      </c>
      <c r="V101" s="490">
        <v>0</v>
      </c>
      <c r="W101" s="490">
        <f t="shared" si="31"/>
        <v>50.597246047683001</v>
      </c>
      <c r="X101" s="490">
        <f t="shared" si="32"/>
        <v>13.7</v>
      </c>
      <c r="Y101" s="490">
        <f t="shared" si="33"/>
        <v>9.5868466195609905</v>
      </c>
      <c r="Z101" s="490">
        <f t="shared" si="34"/>
        <v>8.9</v>
      </c>
      <c r="AA101" s="802"/>
      <c r="AB101" s="803"/>
      <c r="AC101" s="804"/>
    </row>
    <row r="102" spans="1:29" s="805" customFormat="1" ht="25.15" customHeight="1" x14ac:dyDescent="0.4">
      <c r="A102" s="798"/>
      <c r="B102" s="549" t="str">
        <f t="shared" si="23"/>
        <v>TEE-36 - R-14</v>
      </c>
      <c r="C102" s="799" t="s">
        <v>1653</v>
      </c>
      <c r="D102" s="486" t="s">
        <v>1828</v>
      </c>
      <c r="E102" s="800">
        <v>0.76553451262234595</v>
      </c>
      <c r="F102" s="800">
        <v>90</v>
      </c>
      <c r="G102" s="800">
        <f t="shared" si="37"/>
        <v>3.5433070866141736</v>
      </c>
      <c r="H102" s="486"/>
      <c r="I102" s="486"/>
      <c r="J102" s="486"/>
      <c r="K102" s="486" t="s">
        <v>1844</v>
      </c>
      <c r="L102" s="533" t="s">
        <v>17</v>
      </c>
      <c r="M102" s="801">
        <v>0.6</v>
      </c>
      <c r="N102" s="490">
        <v>1.1000000000000001</v>
      </c>
      <c r="O102" s="490">
        <f t="shared" si="38"/>
        <v>0.50525277833074833</v>
      </c>
      <c r="P102" s="490">
        <f t="shared" si="35"/>
        <v>0</v>
      </c>
      <c r="Q102" s="490">
        <f t="shared" si="35"/>
        <v>0</v>
      </c>
      <c r="R102" s="490">
        <f t="shared" si="29"/>
        <v>9.1864141514681516E-2</v>
      </c>
      <c r="S102" s="490">
        <f t="shared" si="36"/>
        <v>0.45472750049767352</v>
      </c>
      <c r="T102" s="490">
        <f t="shared" si="36"/>
        <v>0</v>
      </c>
      <c r="U102" s="490">
        <f t="shared" si="30"/>
        <v>0.15129892043308785</v>
      </c>
      <c r="V102" s="490">
        <v>0</v>
      </c>
      <c r="W102" s="490">
        <f t="shared" si="31"/>
        <v>0.43635467219473711</v>
      </c>
      <c r="X102" s="490">
        <f t="shared" si="32"/>
        <v>0.1</v>
      </c>
      <c r="Y102" s="490">
        <f t="shared" si="33"/>
        <v>8.2677727363213382E-2</v>
      </c>
      <c r="Z102" s="490">
        <f t="shared" si="34"/>
        <v>0.1</v>
      </c>
      <c r="AA102" s="802"/>
      <c r="AB102" s="803"/>
      <c r="AC102" s="804"/>
    </row>
    <row r="103" spans="1:29" s="805" customFormat="1" ht="25.15" customHeight="1" x14ac:dyDescent="0.4">
      <c r="A103" s="798"/>
      <c r="B103" s="549" t="str">
        <f t="shared" si="23"/>
        <v>R-14 - TP-09</v>
      </c>
      <c r="C103" s="799" t="s">
        <v>1828</v>
      </c>
      <c r="D103" s="486" t="s">
        <v>1670</v>
      </c>
      <c r="E103" s="800">
        <v>92.072455536122519</v>
      </c>
      <c r="F103" s="800">
        <v>90</v>
      </c>
      <c r="G103" s="800">
        <f t="shared" si="37"/>
        <v>3.5433070866141736</v>
      </c>
      <c r="H103" s="486"/>
      <c r="I103" s="486"/>
      <c r="J103" s="486"/>
      <c r="K103" s="486" t="s">
        <v>1844</v>
      </c>
      <c r="L103" s="533" t="s">
        <v>17</v>
      </c>
      <c r="M103" s="801">
        <v>0.6</v>
      </c>
      <c r="N103" s="490">
        <v>1.1000000000000001</v>
      </c>
      <c r="O103" s="490">
        <f t="shared" si="38"/>
        <v>60.767820653840865</v>
      </c>
      <c r="P103" s="490">
        <f t="shared" si="35"/>
        <v>0</v>
      </c>
      <c r="Q103" s="490">
        <f t="shared" si="35"/>
        <v>0</v>
      </c>
      <c r="R103" s="490">
        <f t="shared" si="29"/>
        <v>11.048694664334704</v>
      </c>
      <c r="S103" s="490">
        <f t="shared" si="36"/>
        <v>54.691038588456777</v>
      </c>
      <c r="T103" s="490">
        <f t="shared" si="36"/>
        <v>0</v>
      </c>
      <c r="U103" s="490">
        <f t="shared" si="30"/>
        <v>18.197041275800728</v>
      </c>
      <c r="V103" s="490">
        <v>0</v>
      </c>
      <c r="W103" s="490">
        <f t="shared" si="31"/>
        <v>52.481299655589837</v>
      </c>
      <c r="X103" s="490">
        <f t="shared" si="32"/>
        <v>14.2</v>
      </c>
      <c r="Y103" s="490">
        <f t="shared" si="33"/>
        <v>9.9438251979012335</v>
      </c>
      <c r="Z103" s="490">
        <f t="shared" si="34"/>
        <v>9.1999999999999993</v>
      </c>
      <c r="AA103" s="802"/>
      <c r="AB103" s="803"/>
      <c r="AC103" s="804"/>
    </row>
    <row r="104" spans="1:29" s="805" customFormat="1" ht="25.15" customHeight="1" x14ac:dyDescent="0.4">
      <c r="A104" s="798"/>
      <c r="B104" s="549" t="str">
        <f t="shared" si="23"/>
        <v>TEE-35 - R-13</v>
      </c>
      <c r="C104" s="799" t="s">
        <v>1654</v>
      </c>
      <c r="D104" s="486" t="s">
        <v>1829</v>
      </c>
      <c r="E104" s="800">
        <v>0.78140077422913645</v>
      </c>
      <c r="F104" s="800">
        <v>90</v>
      </c>
      <c r="G104" s="800">
        <f t="shared" si="37"/>
        <v>3.5433070866141736</v>
      </c>
      <c r="H104" s="486"/>
      <c r="I104" s="486"/>
      <c r="J104" s="486"/>
      <c r="K104" s="486" t="s">
        <v>1844</v>
      </c>
      <c r="L104" s="533" t="s">
        <v>17</v>
      </c>
      <c r="M104" s="801">
        <v>0.6</v>
      </c>
      <c r="N104" s="490">
        <v>1.1000000000000001</v>
      </c>
      <c r="O104" s="490">
        <f t="shared" si="38"/>
        <v>0.51572451099123007</v>
      </c>
      <c r="P104" s="490">
        <f t="shared" si="35"/>
        <v>0</v>
      </c>
      <c r="Q104" s="490">
        <f t="shared" si="35"/>
        <v>0</v>
      </c>
      <c r="R104" s="490">
        <f t="shared" si="29"/>
        <v>9.3768092907496381E-2</v>
      </c>
      <c r="S104" s="490">
        <f t="shared" si="36"/>
        <v>0.46415205989210706</v>
      </c>
      <c r="T104" s="490">
        <f t="shared" si="36"/>
        <v>0</v>
      </c>
      <c r="U104" s="490">
        <f t="shared" si="30"/>
        <v>0.15443470100579287</v>
      </c>
      <c r="V104" s="490">
        <v>0</v>
      </c>
      <c r="W104" s="490">
        <f t="shared" si="31"/>
        <v>0.44539844131060774</v>
      </c>
      <c r="X104" s="490">
        <f t="shared" si="32"/>
        <v>0.1</v>
      </c>
      <c r="Y104" s="490">
        <f t="shared" si="33"/>
        <v>8.4391283616746748E-2</v>
      </c>
      <c r="Z104" s="490">
        <f t="shared" si="34"/>
        <v>0.1</v>
      </c>
      <c r="AA104" s="802"/>
      <c r="AB104" s="803"/>
      <c r="AC104" s="804"/>
    </row>
    <row r="105" spans="1:29" s="805" customFormat="1" ht="25.15" customHeight="1" x14ac:dyDescent="0.4">
      <c r="A105" s="798"/>
      <c r="B105" s="549" t="str">
        <f t="shared" si="23"/>
        <v>R-13 - VV-10</v>
      </c>
      <c r="C105" s="799" t="s">
        <v>1829</v>
      </c>
      <c r="D105" s="486" t="s">
        <v>1830</v>
      </c>
      <c r="E105" s="800">
        <v>12.093017902916106</v>
      </c>
      <c r="F105" s="800">
        <v>90</v>
      </c>
      <c r="G105" s="800">
        <f t="shared" si="37"/>
        <v>3.5433070866141736</v>
      </c>
      <c r="H105" s="486"/>
      <c r="I105" s="486"/>
      <c r="J105" s="486"/>
      <c r="K105" s="486" t="s">
        <v>1844</v>
      </c>
      <c r="L105" s="533" t="s">
        <v>17</v>
      </c>
      <c r="M105" s="801">
        <v>0.6</v>
      </c>
      <c r="N105" s="490">
        <v>1.1000000000000001</v>
      </c>
      <c r="O105" s="490">
        <f t="shared" si="38"/>
        <v>7.9813918159246304</v>
      </c>
      <c r="P105" s="490">
        <f t="shared" si="35"/>
        <v>0</v>
      </c>
      <c r="Q105" s="490">
        <f t="shared" si="35"/>
        <v>0</v>
      </c>
      <c r="R105" s="490">
        <f t="shared" si="29"/>
        <v>1.4511621483499326</v>
      </c>
      <c r="S105" s="490">
        <f t="shared" si="36"/>
        <v>7.1832526343321677</v>
      </c>
      <c r="T105" s="490">
        <f t="shared" si="36"/>
        <v>0</v>
      </c>
      <c r="U105" s="490">
        <f t="shared" si="30"/>
        <v>2.3900431963827349</v>
      </c>
      <c r="V105" s="490">
        <v>0</v>
      </c>
      <c r="W105" s="490">
        <f t="shared" si="31"/>
        <v>6.8930202046621796</v>
      </c>
      <c r="X105" s="490">
        <f t="shared" si="32"/>
        <v>1.9</v>
      </c>
      <c r="Y105" s="490">
        <f t="shared" si="33"/>
        <v>1.3060459335149397</v>
      </c>
      <c r="Z105" s="490">
        <f t="shared" si="34"/>
        <v>1.2</v>
      </c>
      <c r="AA105" s="802"/>
      <c r="AB105" s="803"/>
      <c r="AC105" s="804"/>
    </row>
    <row r="106" spans="1:29" s="805" customFormat="1" ht="25.15" customHeight="1" x14ac:dyDescent="0.4">
      <c r="A106" s="798"/>
      <c r="B106" s="549" t="str">
        <f t="shared" si="23"/>
        <v>VV-10 - TEE-42</v>
      </c>
      <c r="C106" s="799" t="s">
        <v>1830</v>
      </c>
      <c r="D106" s="486" t="s">
        <v>1655</v>
      </c>
      <c r="E106" s="800">
        <v>78.632603874392956</v>
      </c>
      <c r="F106" s="800">
        <v>90</v>
      </c>
      <c r="G106" s="800">
        <f t="shared" si="37"/>
        <v>3.5433070866141736</v>
      </c>
      <c r="H106" s="486"/>
      <c r="I106" s="486"/>
      <c r="J106" s="486"/>
      <c r="K106" s="486" t="s">
        <v>1844</v>
      </c>
      <c r="L106" s="533" t="s">
        <v>17</v>
      </c>
      <c r="M106" s="801">
        <v>0.6</v>
      </c>
      <c r="N106" s="490">
        <v>1.1000000000000001</v>
      </c>
      <c r="O106" s="490">
        <f t="shared" si="38"/>
        <v>51.897518557099353</v>
      </c>
      <c r="P106" s="490">
        <f t="shared" si="35"/>
        <v>0</v>
      </c>
      <c r="Q106" s="490">
        <f t="shared" si="35"/>
        <v>0</v>
      </c>
      <c r="R106" s="490">
        <f t="shared" si="29"/>
        <v>9.4359124649271546</v>
      </c>
      <c r="S106" s="490">
        <f t="shared" si="36"/>
        <v>46.707766701389417</v>
      </c>
      <c r="T106" s="490">
        <f t="shared" si="36"/>
        <v>0</v>
      </c>
      <c r="U106" s="490">
        <f t="shared" si="30"/>
        <v>15.540812178780698</v>
      </c>
      <c r="V106" s="490">
        <v>0</v>
      </c>
      <c r="W106" s="490">
        <f t="shared" si="31"/>
        <v>44.820584208403986</v>
      </c>
      <c r="X106" s="490">
        <f t="shared" si="32"/>
        <v>12.2</v>
      </c>
      <c r="Y106" s="490">
        <f t="shared" si="33"/>
        <v>8.492321218434439</v>
      </c>
      <c r="Z106" s="490">
        <f t="shared" si="34"/>
        <v>7.9</v>
      </c>
      <c r="AA106" s="802"/>
      <c r="AB106" s="803"/>
      <c r="AC106" s="804"/>
    </row>
    <row r="107" spans="1:29" s="805" customFormat="1" ht="25.15" customHeight="1" x14ac:dyDescent="0.4">
      <c r="A107" s="798"/>
      <c r="B107" s="549" t="str">
        <f t="shared" ref="B107:B123" si="39">+CONCATENATE(C107," - ",D107)</f>
        <v>TEE-42 - VV-09</v>
      </c>
      <c r="C107" s="799" t="s">
        <v>1655</v>
      </c>
      <c r="D107" s="486" t="s">
        <v>1831</v>
      </c>
      <c r="E107" s="800">
        <v>34.476115227156996</v>
      </c>
      <c r="F107" s="800">
        <v>90</v>
      </c>
      <c r="G107" s="800">
        <f t="shared" si="37"/>
        <v>3.5433070866141736</v>
      </c>
      <c r="H107" s="486"/>
      <c r="I107" s="486"/>
      <c r="J107" s="486"/>
      <c r="K107" s="486" t="s">
        <v>1844</v>
      </c>
      <c r="L107" s="533" t="s">
        <v>17</v>
      </c>
      <c r="M107" s="801">
        <v>0.6</v>
      </c>
      <c r="N107" s="490">
        <v>1.1000000000000001</v>
      </c>
      <c r="O107" s="490">
        <f t="shared" si="38"/>
        <v>22.75423604992362</v>
      </c>
      <c r="P107" s="490">
        <f t="shared" si="35"/>
        <v>0</v>
      </c>
      <c r="Q107" s="490">
        <f t="shared" si="35"/>
        <v>0</v>
      </c>
      <c r="R107" s="490">
        <f t="shared" si="29"/>
        <v>4.1371338272588396</v>
      </c>
      <c r="S107" s="490">
        <f t="shared" si="36"/>
        <v>20.478812444931258</v>
      </c>
      <c r="T107" s="490">
        <f t="shared" si="36"/>
        <v>0</v>
      </c>
      <c r="U107" s="490">
        <f t="shared" si="30"/>
        <v>6.813799937938076</v>
      </c>
      <c r="V107" s="490">
        <v>0</v>
      </c>
      <c r="W107" s="490">
        <f t="shared" si="31"/>
        <v>19.651385679479485</v>
      </c>
      <c r="X107" s="490">
        <f t="shared" si="32"/>
        <v>5.3</v>
      </c>
      <c r="Y107" s="490">
        <f t="shared" si="33"/>
        <v>3.7234204445329562</v>
      </c>
      <c r="Z107" s="490">
        <f t="shared" si="34"/>
        <v>3.4</v>
      </c>
      <c r="AA107" s="802"/>
      <c r="AB107" s="803"/>
      <c r="AC107" s="804"/>
    </row>
    <row r="108" spans="1:29" s="805" customFormat="1" ht="25.15" customHeight="1" x14ac:dyDescent="0.4">
      <c r="A108" s="798"/>
      <c r="B108" s="549" t="str">
        <f t="shared" si="39"/>
        <v>VV-09 - TP-08</v>
      </c>
      <c r="C108" s="799" t="s">
        <v>1831</v>
      </c>
      <c r="D108" s="486" t="s">
        <v>1671</v>
      </c>
      <c r="E108" s="800">
        <v>8.1570105363597136</v>
      </c>
      <c r="F108" s="800">
        <v>90</v>
      </c>
      <c r="G108" s="800">
        <f t="shared" si="37"/>
        <v>3.5433070866141736</v>
      </c>
      <c r="H108" s="486"/>
      <c r="I108" s="486"/>
      <c r="J108" s="486"/>
      <c r="K108" s="486" t="s">
        <v>1844</v>
      </c>
      <c r="L108" s="533" t="s">
        <v>17</v>
      </c>
      <c r="M108" s="801">
        <v>0.6</v>
      </c>
      <c r="N108" s="490">
        <v>1.1000000000000001</v>
      </c>
      <c r="O108" s="490">
        <f t="shared" si="38"/>
        <v>5.3836269539974113</v>
      </c>
      <c r="P108" s="490">
        <f t="shared" si="35"/>
        <v>0</v>
      </c>
      <c r="Q108" s="490">
        <f t="shared" si="35"/>
        <v>0</v>
      </c>
      <c r="R108" s="490">
        <f t="shared" si="29"/>
        <v>0.97884126436316565</v>
      </c>
      <c r="S108" s="490">
        <f t="shared" si="36"/>
        <v>4.8452642585976706</v>
      </c>
      <c r="T108" s="490">
        <f t="shared" si="36"/>
        <v>0</v>
      </c>
      <c r="U108" s="490">
        <f t="shared" si="30"/>
        <v>1.61213749055541</v>
      </c>
      <c r="V108" s="490">
        <v>0</v>
      </c>
      <c r="W108" s="490">
        <f t="shared" si="31"/>
        <v>4.6494960057250365</v>
      </c>
      <c r="X108" s="490">
        <f t="shared" si="32"/>
        <v>1.3</v>
      </c>
      <c r="Y108" s="490">
        <f t="shared" si="33"/>
        <v>0.88095713792684904</v>
      </c>
      <c r="Z108" s="490">
        <f t="shared" si="34"/>
        <v>0.8</v>
      </c>
      <c r="AA108" s="802"/>
      <c r="AB108" s="803"/>
      <c r="AC108" s="804"/>
    </row>
    <row r="109" spans="1:29" s="805" customFormat="1" ht="25.15" customHeight="1" x14ac:dyDescent="0.4">
      <c r="A109" s="798"/>
      <c r="B109" s="549" t="str">
        <f t="shared" si="39"/>
        <v>TEE-42 - TEE-43</v>
      </c>
      <c r="C109" s="799" t="s">
        <v>1655</v>
      </c>
      <c r="D109" s="486" t="s">
        <v>1656</v>
      </c>
      <c r="E109" s="800">
        <v>4.4055710015437652</v>
      </c>
      <c r="F109" s="800">
        <v>90</v>
      </c>
      <c r="G109" s="800">
        <f t="shared" si="37"/>
        <v>3.5433070866141736</v>
      </c>
      <c r="H109" s="486"/>
      <c r="I109" s="486"/>
      <c r="J109" s="486"/>
      <c r="K109" s="486" t="s">
        <v>1844</v>
      </c>
      <c r="L109" s="533" t="s">
        <v>17</v>
      </c>
      <c r="M109" s="801">
        <v>0.6</v>
      </c>
      <c r="N109" s="490">
        <v>1.1000000000000001</v>
      </c>
      <c r="O109" s="490">
        <f t="shared" si="38"/>
        <v>2.907676861018885</v>
      </c>
      <c r="P109" s="490">
        <f t="shared" ref="P109:Q123" si="40">IF($L109=$N$21,$O109*P$20,0)</f>
        <v>0</v>
      </c>
      <c r="Q109" s="490">
        <f t="shared" si="40"/>
        <v>0</v>
      </c>
      <c r="R109" s="490">
        <f t="shared" ref="R109:R123" si="41">+M109*E109*0.2</f>
        <v>0.52866852018525179</v>
      </c>
      <c r="S109" s="490">
        <f t="shared" ref="S109:T123" si="42">IF($L109=$N$22,$O109*S$20,0)</f>
        <v>2.6169091749169966</v>
      </c>
      <c r="T109" s="490">
        <f t="shared" si="42"/>
        <v>0</v>
      </c>
      <c r="U109" s="490">
        <f t="shared" ref="U109:U123" si="43">(M109*E109*0.34)-((PI()*((0.09/2)^2))*E109)</f>
        <v>0.870709452590959</v>
      </c>
      <c r="V109" s="490">
        <v>0</v>
      </c>
      <c r="W109" s="490">
        <f t="shared" ref="W109:W123" si="44">+M109*E109*0.95</f>
        <v>2.5111754708799459</v>
      </c>
      <c r="X109" s="490">
        <f t="shared" ref="X109:X123" si="45">ROUND((E109/10)*1.546*1,1)</f>
        <v>0.7</v>
      </c>
      <c r="Y109" s="490">
        <f t="shared" ref="Y109:Y123" si="46">+E109*(M109-0.06)*0.2</f>
        <v>0.47580166816672675</v>
      </c>
      <c r="Z109" s="490">
        <f t="shared" ref="Z109:Z123" si="47">ROUND((E109/10)*1*1,1)</f>
        <v>0.4</v>
      </c>
      <c r="AA109" s="802"/>
      <c r="AB109" s="803"/>
      <c r="AC109" s="804"/>
    </row>
    <row r="110" spans="1:29" s="805" customFormat="1" ht="25.15" customHeight="1" x14ac:dyDescent="0.4">
      <c r="A110" s="798"/>
      <c r="B110" s="549" t="str">
        <f t="shared" si="39"/>
        <v>TEE-43 - VP-11</v>
      </c>
      <c r="C110" s="799" t="s">
        <v>1656</v>
      </c>
      <c r="D110" s="486" t="s">
        <v>1832</v>
      </c>
      <c r="E110" s="800">
        <v>34.926767217256682</v>
      </c>
      <c r="F110" s="800">
        <v>90</v>
      </c>
      <c r="G110" s="800">
        <f t="shared" si="37"/>
        <v>3.5433070866141736</v>
      </c>
      <c r="H110" s="486"/>
      <c r="I110" s="486"/>
      <c r="J110" s="486"/>
      <c r="K110" s="486" t="s">
        <v>1844</v>
      </c>
      <c r="L110" s="533" t="s">
        <v>17</v>
      </c>
      <c r="M110" s="801">
        <v>0.6</v>
      </c>
      <c r="N110" s="490">
        <v>1.1000000000000001</v>
      </c>
      <c r="O110" s="490">
        <f t="shared" si="38"/>
        <v>23.051666363389412</v>
      </c>
      <c r="P110" s="490">
        <f t="shared" si="40"/>
        <v>0</v>
      </c>
      <c r="Q110" s="490">
        <f t="shared" si="40"/>
        <v>0</v>
      </c>
      <c r="R110" s="490">
        <f t="shared" si="41"/>
        <v>4.1912120660708023</v>
      </c>
      <c r="S110" s="490">
        <f t="shared" si="42"/>
        <v>20.74649972705047</v>
      </c>
      <c r="T110" s="490">
        <f t="shared" si="42"/>
        <v>0</v>
      </c>
      <c r="U110" s="490">
        <f t="shared" si="43"/>
        <v>6.9028660198310305</v>
      </c>
      <c r="V110" s="490">
        <v>0</v>
      </c>
      <c r="W110" s="490">
        <f t="shared" si="44"/>
        <v>19.908257313836309</v>
      </c>
      <c r="X110" s="490">
        <f t="shared" si="45"/>
        <v>5.4</v>
      </c>
      <c r="Y110" s="490">
        <f t="shared" si="46"/>
        <v>3.7720908594637219</v>
      </c>
      <c r="Z110" s="490">
        <f t="shared" si="47"/>
        <v>3.5</v>
      </c>
      <c r="AA110" s="802"/>
      <c r="AB110" s="803"/>
      <c r="AC110" s="804"/>
    </row>
    <row r="111" spans="1:29" s="805" customFormat="1" ht="25.15" customHeight="1" x14ac:dyDescent="0.4">
      <c r="A111" s="798"/>
      <c r="B111" s="549" t="str">
        <f t="shared" si="39"/>
        <v>VP-11 - TEE-44</v>
      </c>
      <c r="C111" s="799" t="s">
        <v>1832</v>
      </c>
      <c r="D111" s="486" t="s">
        <v>1657</v>
      </c>
      <c r="E111" s="800">
        <v>62.887721980965949</v>
      </c>
      <c r="F111" s="800">
        <v>90</v>
      </c>
      <c r="G111" s="800">
        <f t="shared" si="37"/>
        <v>3.5433070866141736</v>
      </c>
      <c r="H111" s="486"/>
      <c r="I111" s="486"/>
      <c r="J111" s="486"/>
      <c r="K111" s="486" t="s">
        <v>1844</v>
      </c>
      <c r="L111" s="533" t="s">
        <v>17</v>
      </c>
      <c r="M111" s="801">
        <v>0.6</v>
      </c>
      <c r="N111" s="490">
        <v>1.1000000000000001</v>
      </c>
      <c r="O111" s="490">
        <f t="shared" si="38"/>
        <v>41.505896507437527</v>
      </c>
      <c r="P111" s="490">
        <f t="shared" si="40"/>
        <v>0</v>
      </c>
      <c r="Q111" s="490">
        <f t="shared" si="40"/>
        <v>0</v>
      </c>
      <c r="R111" s="490">
        <f t="shared" si="41"/>
        <v>7.5465266377159139</v>
      </c>
      <c r="S111" s="490">
        <f t="shared" si="42"/>
        <v>37.355306856693772</v>
      </c>
      <c r="T111" s="490">
        <f t="shared" si="42"/>
        <v>0</v>
      </c>
      <c r="U111" s="490">
        <f t="shared" si="43"/>
        <v>12.429020883229844</v>
      </c>
      <c r="V111" s="490">
        <v>0</v>
      </c>
      <c r="W111" s="490">
        <f t="shared" si="44"/>
        <v>35.846001529150591</v>
      </c>
      <c r="X111" s="490">
        <f t="shared" si="45"/>
        <v>9.6999999999999993</v>
      </c>
      <c r="Y111" s="490">
        <f t="shared" si="46"/>
        <v>6.7918739739443232</v>
      </c>
      <c r="Z111" s="490">
        <f t="shared" si="47"/>
        <v>6.3</v>
      </c>
      <c r="AA111" s="802"/>
      <c r="AB111" s="803"/>
      <c r="AC111" s="804"/>
    </row>
    <row r="112" spans="1:29" s="805" customFormat="1" ht="25.15" customHeight="1" x14ac:dyDescent="0.4">
      <c r="A112" s="798"/>
      <c r="B112" s="549" t="str">
        <f t="shared" si="39"/>
        <v>TEE-44 - C-32</v>
      </c>
      <c r="C112" s="799" t="s">
        <v>1657</v>
      </c>
      <c r="D112" s="486" t="s">
        <v>1833</v>
      </c>
      <c r="E112" s="800">
        <v>65.680487543400403</v>
      </c>
      <c r="F112" s="800">
        <v>90</v>
      </c>
      <c r="G112" s="800">
        <f t="shared" si="37"/>
        <v>3.5433070866141736</v>
      </c>
      <c r="H112" s="486"/>
      <c r="I112" s="486"/>
      <c r="J112" s="486"/>
      <c r="K112" s="486" t="s">
        <v>1844</v>
      </c>
      <c r="L112" s="533" t="s">
        <v>17</v>
      </c>
      <c r="M112" s="801">
        <v>0.6</v>
      </c>
      <c r="N112" s="490">
        <v>1.1000000000000001</v>
      </c>
      <c r="O112" s="490">
        <f t="shared" si="38"/>
        <v>43.349121778644268</v>
      </c>
      <c r="P112" s="490">
        <f t="shared" si="40"/>
        <v>0</v>
      </c>
      <c r="Q112" s="490">
        <f t="shared" si="40"/>
        <v>0</v>
      </c>
      <c r="R112" s="490">
        <f t="shared" si="41"/>
        <v>7.8816585052080486</v>
      </c>
      <c r="S112" s="490">
        <f t="shared" si="42"/>
        <v>39.014209600779843</v>
      </c>
      <c r="T112" s="490">
        <f t="shared" si="42"/>
        <v>0</v>
      </c>
      <c r="U112" s="490">
        <f t="shared" si="43"/>
        <v>12.980978251123835</v>
      </c>
      <c r="V112" s="490">
        <v>0</v>
      </c>
      <c r="W112" s="490">
        <f t="shared" si="44"/>
        <v>37.437877899738226</v>
      </c>
      <c r="X112" s="490">
        <f t="shared" si="45"/>
        <v>10.199999999999999</v>
      </c>
      <c r="Y112" s="490">
        <f t="shared" si="46"/>
        <v>7.0934926546872452</v>
      </c>
      <c r="Z112" s="490">
        <f t="shared" si="47"/>
        <v>6.6</v>
      </c>
      <c r="AA112" s="802"/>
      <c r="AB112" s="803"/>
      <c r="AC112" s="804"/>
    </row>
    <row r="113" spans="1:29" s="805" customFormat="1" ht="25.15" customHeight="1" x14ac:dyDescent="0.4">
      <c r="A113" s="798"/>
      <c r="B113" s="549" t="str">
        <f t="shared" si="39"/>
        <v>C-32 - C-33</v>
      </c>
      <c r="C113" s="799" t="s">
        <v>1833</v>
      </c>
      <c r="D113" s="486" t="s">
        <v>1842</v>
      </c>
      <c r="E113" s="800">
        <v>36.308523831252998</v>
      </c>
      <c r="F113" s="800">
        <v>90</v>
      </c>
      <c r="G113" s="800">
        <f t="shared" si="37"/>
        <v>3.5433070866141736</v>
      </c>
      <c r="H113" s="486"/>
      <c r="I113" s="486"/>
      <c r="J113" s="486"/>
      <c r="K113" s="486" t="s">
        <v>1844</v>
      </c>
      <c r="L113" s="533" t="s">
        <v>17</v>
      </c>
      <c r="M113" s="801">
        <v>0.6</v>
      </c>
      <c r="N113" s="490">
        <v>1.1000000000000001</v>
      </c>
      <c r="O113" s="490">
        <f t="shared" si="38"/>
        <v>23.96362572862698</v>
      </c>
      <c r="P113" s="490">
        <f t="shared" si="40"/>
        <v>0</v>
      </c>
      <c r="Q113" s="490">
        <f t="shared" si="40"/>
        <v>0</v>
      </c>
      <c r="R113" s="490">
        <f t="shared" si="41"/>
        <v>4.3570228597503595</v>
      </c>
      <c r="S113" s="490">
        <f t="shared" si="42"/>
        <v>21.567263155764284</v>
      </c>
      <c r="T113" s="490">
        <f t="shared" si="42"/>
        <v>0</v>
      </c>
      <c r="U113" s="490">
        <f t="shared" si="43"/>
        <v>7.1759540133204283</v>
      </c>
      <c r="V113" s="490">
        <v>0</v>
      </c>
      <c r="W113" s="490">
        <f t="shared" si="44"/>
        <v>20.695858583814207</v>
      </c>
      <c r="X113" s="490">
        <f t="shared" si="45"/>
        <v>5.6</v>
      </c>
      <c r="Y113" s="490">
        <f t="shared" si="46"/>
        <v>3.9213205737753243</v>
      </c>
      <c r="Z113" s="490">
        <f t="shared" si="47"/>
        <v>3.6</v>
      </c>
      <c r="AA113" s="802"/>
      <c r="AB113" s="803"/>
      <c r="AC113" s="804"/>
    </row>
    <row r="114" spans="1:29" s="805" customFormat="1" ht="25.15" customHeight="1" x14ac:dyDescent="0.4">
      <c r="A114" s="798"/>
      <c r="B114" s="549" t="str">
        <f t="shared" si="39"/>
        <v>TEE-43 - TEE-33</v>
      </c>
      <c r="C114" s="799" t="s">
        <v>1656</v>
      </c>
      <c r="D114" s="486" t="s">
        <v>1672</v>
      </c>
      <c r="E114" s="800">
        <v>40.711226148710523</v>
      </c>
      <c r="F114" s="800">
        <v>90</v>
      </c>
      <c r="G114" s="800">
        <f t="shared" si="37"/>
        <v>3.5433070866141736</v>
      </c>
      <c r="H114" s="486"/>
      <c r="I114" s="486"/>
      <c r="J114" s="486"/>
      <c r="K114" s="486" t="s">
        <v>1844</v>
      </c>
      <c r="L114" s="533" t="s">
        <v>17</v>
      </c>
      <c r="M114" s="801">
        <v>0.6</v>
      </c>
      <c r="N114" s="490">
        <v>1.1000000000000001</v>
      </c>
      <c r="O114" s="490">
        <f t="shared" si="38"/>
        <v>26.869409258148945</v>
      </c>
      <c r="P114" s="490">
        <f t="shared" si="40"/>
        <v>0</v>
      </c>
      <c r="Q114" s="490">
        <f t="shared" si="40"/>
        <v>0</v>
      </c>
      <c r="R114" s="490">
        <f t="shared" si="41"/>
        <v>4.8853471378452626</v>
      </c>
      <c r="S114" s="490">
        <f t="shared" si="42"/>
        <v>24.18246833233405</v>
      </c>
      <c r="T114" s="490">
        <f t="shared" si="42"/>
        <v>0</v>
      </c>
      <c r="U114" s="490">
        <f t="shared" si="43"/>
        <v>8.0460965041374184</v>
      </c>
      <c r="V114" s="490">
        <v>0</v>
      </c>
      <c r="W114" s="490">
        <f t="shared" si="44"/>
        <v>23.205398904764994</v>
      </c>
      <c r="X114" s="490">
        <f t="shared" si="45"/>
        <v>6.3</v>
      </c>
      <c r="Y114" s="490">
        <f t="shared" si="46"/>
        <v>4.3968124240607365</v>
      </c>
      <c r="Z114" s="490">
        <f t="shared" si="47"/>
        <v>4.0999999999999996</v>
      </c>
      <c r="AA114" s="802"/>
      <c r="AB114" s="803"/>
      <c r="AC114" s="804"/>
    </row>
    <row r="115" spans="1:29" s="805" customFormat="1" ht="25.15" customHeight="1" x14ac:dyDescent="0.4">
      <c r="A115" s="798"/>
      <c r="B115" s="549" t="str">
        <f t="shared" si="39"/>
        <v>TEE-33 - TEE-34</v>
      </c>
      <c r="C115" s="799" t="s">
        <v>1672</v>
      </c>
      <c r="D115" s="486" t="s">
        <v>1658</v>
      </c>
      <c r="E115" s="800">
        <v>0.53157614696283395</v>
      </c>
      <c r="F115" s="800">
        <v>90</v>
      </c>
      <c r="G115" s="800">
        <f t="shared" si="37"/>
        <v>3.5433070866141736</v>
      </c>
      <c r="H115" s="486"/>
      <c r="I115" s="486"/>
      <c r="J115" s="486"/>
      <c r="K115" s="486" t="s">
        <v>1844</v>
      </c>
      <c r="L115" s="533" t="s">
        <v>17</v>
      </c>
      <c r="M115" s="801">
        <v>0.6</v>
      </c>
      <c r="N115" s="490">
        <v>1.1000000000000001</v>
      </c>
      <c r="O115" s="490">
        <f t="shared" si="38"/>
        <v>0.35084025699547045</v>
      </c>
      <c r="P115" s="490">
        <f t="shared" si="40"/>
        <v>0</v>
      </c>
      <c r="Q115" s="490">
        <f t="shared" si="40"/>
        <v>0</v>
      </c>
      <c r="R115" s="490">
        <f t="shared" si="41"/>
        <v>6.3789137635540075E-2</v>
      </c>
      <c r="S115" s="490">
        <f t="shared" si="42"/>
        <v>0.3157562312959234</v>
      </c>
      <c r="T115" s="490">
        <f t="shared" si="42"/>
        <v>0</v>
      </c>
      <c r="U115" s="490">
        <f t="shared" si="43"/>
        <v>0.10505979265122106</v>
      </c>
      <c r="V115" s="490">
        <v>0</v>
      </c>
      <c r="W115" s="490">
        <f t="shared" si="44"/>
        <v>0.30299840376881532</v>
      </c>
      <c r="X115" s="490">
        <f t="shared" si="45"/>
        <v>0.1</v>
      </c>
      <c r="Y115" s="490">
        <f t="shared" si="46"/>
        <v>5.741022387198607E-2</v>
      </c>
      <c r="Z115" s="490">
        <f t="shared" si="47"/>
        <v>0.1</v>
      </c>
      <c r="AA115" s="802"/>
      <c r="AB115" s="803"/>
      <c r="AC115" s="804"/>
    </row>
    <row r="116" spans="1:29" s="805" customFormat="1" ht="25.15" customHeight="1" x14ac:dyDescent="0.4">
      <c r="A116" s="798"/>
      <c r="B116" s="549" t="str">
        <f t="shared" si="39"/>
        <v>TEE-34 - VP-10</v>
      </c>
      <c r="C116" s="799" t="s">
        <v>1658</v>
      </c>
      <c r="D116" s="486" t="s">
        <v>1834</v>
      </c>
      <c r="E116" s="800">
        <v>163.34328609234331</v>
      </c>
      <c r="F116" s="800">
        <v>90</v>
      </c>
      <c r="G116" s="800">
        <f t="shared" si="37"/>
        <v>3.5433070866141736</v>
      </c>
      <c r="H116" s="486"/>
      <c r="I116" s="486"/>
      <c r="J116" s="486"/>
      <c r="K116" s="486" t="s">
        <v>1844</v>
      </c>
      <c r="L116" s="533" t="s">
        <v>17</v>
      </c>
      <c r="M116" s="801">
        <v>0.6</v>
      </c>
      <c r="N116" s="490">
        <v>1.1000000000000001</v>
      </c>
      <c r="O116" s="490">
        <f t="shared" si="38"/>
        <v>107.80656882094658</v>
      </c>
      <c r="P116" s="490">
        <f t="shared" si="40"/>
        <v>0</v>
      </c>
      <c r="Q116" s="490">
        <f t="shared" si="40"/>
        <v>0</v>
      </c>
      <c r="R116" s="490">
        <f t="shared" si="41"/>
        <v>19.601194331081199</v>
      </c>
      <c r="S116" s="490">
        <f t="shared" si="42"/>
        <v>97.02591193885192</v>
      </c>
      <c r="T116" s="490">
        <f t="shared" si="42"/>
        <v>0</v>
      </c>
      <c r="U116" s="490">
        <f t="shared" si="43"/>
        <v>32.282885275946171</v>
      </c>
      <c r="V116" s="490">
        <v>0</v>
      </c>
      <c r="W116" s="490">
        <f t="shared" si="44"/>
        <v>93.105673072635682</v>
      </c>
      <c r="X116" s="490">
        <f t="shared" si="45"/>
        <v>25.3</v>
      </c>
      <c r="Y116" s="490">
        <f t="shared" si="46"/>
        <v>17.64107489797308</v>
      </c>
      <c r="Z116" s="490">
        <f t="shared" si="47"/>
        <v>16.3</v>
      </c>
      <c r="AA116" s="802"/>
      <c r="AB116" s="803"/>
      <c r="AC116" s="804"/>
    </row>
    <row r="117" spans="1:29" s="805" customFormat="1" ht="25.15" customHeight="1" x14ac:dyDescent="0.4">
      <c r="A117" s="798"/>
      <c r="B117" s="549" t="str">
        <f t="shared" si="39"/>
        <v>VP-10 - C-31</v>
      </c>
      <c r="C117" s="799" t="s">
        <v>1834</v>
      </c>
      <c r="D117" s="486" t="s">
        <v>1835</v>
      </c>
      <c r="E117" s="800">
        <v>3.760273290439736</v>
      </c>
      <c r="F117" s="800">
        <v>90</v>
      </c>
      <c r="G117" s="800">
        <f t="shared" si="37"/>
        <v>3.5433070866141736</v>
      </c>
      <c r="H117" s="486"/>
      <c r="I117" s="486"/>
      <c r="J117" s="486"/>
      <c r="K117" s="486" t="s">
        <v>1844</v>
      </c>
      <c r="L117" s="533" t="s">
        <v>17</v>
      </c>
      <c r="M117" s="801">
        <v>0.6</v>
      </c>
      <c r="N117" s="490">
        <v>1.1000000000000001</v>
      </c>
      <c r="O117" s="490">
        <f t="shared" si="38"/>
        <v>2.4817803716902258</v>
      </c>
      <c r="P117" s="490">
        <f t="shared" si="40"/>
        <v>0</v>
      </c>
      <c r="Q117" s="490">
        <f t="shared" si="40"/>
        <v>0</v>
      </c>
      <c r="R117" s="490">
        <f t="shared" si="41"/>
        <v>0.45123279485276835</v>
      </c>
      <c r="S117" s="490">
        <f t="shared" si="42"/>
        <v>2.2336023345212035</v>
      </c>
      <c r="T117" s="490">
        <f t="shared" si="42"/>
        <v>0</v>
      </c>
      <c r="U117" s="490">
        <f t="shared" si="43"/>
        <v>0.74317392618661704</v>
      </c>
      <c r="V117" s="490">
        <v>0</v>
      </c>
      <c r="W117" s="490">
        <f t="shared" si="44"/>
        <v>2.1433557755506492</v>
      </c>
      <c r="X117" s="490">
        <f t="shared" si="45"/>
        <v>0.6</v>
      </c>
      <c r="Y117" s="490">
        <f t="shared" si="46"/>
        <v>0.40610951536749157</v>
      </c>
      <c r="Z117" s="490">
        <f t="shared" si="47"/>
        <v>0.4</v>
      </c>
      <c r="AA117" s="802"/>
      <c r="AB117" s="803"/>
      <c r="AC117" s="804"/>
    </row>
    <row r="118" spans="1:29" s="805" customFormat="1" ht="25.15" customHeight="1" x14ac:dyDescent="0.4">
      <c r="A118" s="798"/>
      <c r="B118" s="549" t="str">
        <f t="shared" si="39"/>
        <v>C-31 - C-30</v>
      </c>
      <c r="C118" s="799" t="s">
        <v>1835</v>
      </c>
      <c r="D118" s="486" t="s">
        <v>1836</v>
      </c>
      <c r="E118" s="800">
        <v>43.857702002824603</v>
      </c>
      <c r="F118" s="800">
        <v>90</v>
      </c>
      <c r="G118" s="800">
        <f t="shared" si="37"/>
        <v>3.5433070866141736</v>
      </c>
      <c r="H118" s="486"/>
      <c r="I118" s="486"/>
      <c r="J118" s="486"/>
      <c r="K118" s="486" t="s">
        <v>1844</v>
      </c>
      <c r="L118" s="533" t="s">
        <v>17</v>
      </c>
      <c r="M118" s="801">
        <v>0.6</v>
      </c>
      <c r="N118" s="490">
        <v>1.1000000000000001</v>
      </c>
      <c r="O118" s="490">
        <f t="shared" si="38"/>
        <v>28.94608332186424</v>
      </c>
      <c r="P118" s="490">
        <f t="shared" si="40"/>
        <v>0</v>
      </c>
      <c r="Q118" s="490">
        <f t="shared" si="40"/>
        <v>0</v>
      </c>
      <c r="R118" s="490">
        <f t="shared" si="41"/>
        <v>5.2629242403389522</v>
      </c>
      <c r="S118" s="490">
        <f t="shared" si="42"/>
        <v>26.051474989677818</v>
      </c>
      <c r="T118" s="490">
        <f t="shared" si="42"/>
        <v>0</v>
      </c>
      <c r="U118" s="490">
        <f t="shared" si="43"/>
        <v>8.6679605638850248</v>
      </c>
      <c r="V118" s="490">
        <v>0</v>
      </c>
      <c r="W118" s="490">
        <f t="shared" si="44"/>
        <v>24.998890141610019</v>
      </c>
      <c r="X118" s="490">
        <f t="shared" si="45"/>
        <v>6.8</v>
      </c>
      <c r="Y118" s="490">
        <f t="shared" si="46"/>
        <v>4.7366318163050574</v>
      </c>
      <c r="Z118" s="490">
        <f t="shared" si="47"/>
        <v>4.4000000000000004</v>
      </c>
      <c r="AA118" s="802"/>
      <c r="AB118" s="803"/>
      <c r="AC118" s="804"/>
    </row>
    <row r="119" spans="1:29" s="805" customFormat="1" ht="25.15" customHeight="1" x14ac:dyDescent="0.4">
      <c r="A119" s="798"/>
      <c r="B119" s="549" t="str">
        <f t="shared" si="39"/>
        <v>C-30 - C-29</v>
      </c>
      <c r="C119" s="799" t="s">
        <v>1836</v>
      </c>
      <c r="D119" s="486" t="s">
        <v>1837</v>
      </c>
      <c r="E119" s="800">
        <v>172.26210907889731</v>
      </c>
      <c r="F119" s="800">
        <v>90</v>
      </c>
      <c r="G119" s="800">
        <f t="shared" si="37"/>
        <v>3.5433070866141736</v>
      </c>
      <c r="H119" s="486"/>
      <c r="I119" s="486"/>
      <c r="J119" s="486"/>
      <c r="K119" s="486" t="s">
        <v>1844</v>
      </c>
      <c r="L119" s="533" t="s">
        <v>17</v>
      </c>
      <c r="M119" s="801">
        <v>0.6</v>
      </c>
      <c r="N119" s="490">
        <v>1.1000000000000001</v>
      </c>
      <c r="O119" s="490">
        <f t="shared" si="38"/>
        <v>113.69299199207224</v>
      </c>
      <c r="P119" s="490">
        <f t="shared" si="40"/>
        <v>0</v>
      </c>
      <c r="Q119" s="490">
        <f t="shared" si="40"/>
        <v>0</v>
      </c>
      <c r="R119" s="490">
        <f t="shared" si="41"/>
        <v>20.671453089467676</v>
      </c>
      <c r="S119" s="490">
        <f t="shared" si="42"/>
        <v>102.32369279286502</v>
      </c>
      <c r="T119" s="490">
        <f t="shared" si="42"/>
        <v>0</v>
      </c>
      <c r="U119" s="490">
        <f t="shared" si="43"/>
        <v>34.045586064937403</v>
      </c>
      <c r="V119" s="490">
        <v>0</v>
      </c>
      <c r="W119" s="490">
        <f t="shared" si="44"/>
        <v>98.189402174971448</v>
      </c>
      <c r="X119" s="490">
        <f t="shared" si="45"/>
        <v>26.6</v>
      </c>
      <c r="Y119" s="490">
        <f t="shared" si="46"/>
        <v>18.604307780520909</v>
      </c>
      <c r="Z119" s="490">
        <f t="shared" si="47"/>
        <v>17.2</v>
      </c>
      <c r="AA119" s="802"/>
      <c r="AB119" s="803"/>
      <c r="AC119" s="804"/>
    </row>
    <row r="120" spans="1:29" s="805" customFormat="1" ht="25.15" customHeight="1" x14ac:dyDescent="0.4">
      <c r="A120" s="798"/>
      <c r="B120" s="549" t="str">
        <f t="shared" si="39"/>
        <v>C-29 - C-28</v>
      </c>
      <c r="C120" s="799" t="s">
        <v>1837</v>
      </c>
      <c r="D120" s="486" t="s">
        <v>1838</v>
      </c>
      <c r="E120" s="800">
        <v>1.402067277230292</v>
      </c>
      <c r="F120" s="800">
        <v>90</v>
      </c>
      <c r="G120" s="800">
        <f t="shared" si="37"/>
        <v>3.5433070866141736</v>
      </c>
      <c r="H120" s="486"/>
      <c r="I120" s="486"/>
      <c r="J120" s="486"/>
      <c r="K120" s="486" t="s">
        <v>1844</v>
      </c>
      <c r="L120" s="533" t="s">
        <v>17</v>
      </c>
      <c r="M120" s="801">
        <v>0.6</v>
      </c>
      <c r="N120" s="490">
        <v>1.1000000000000001</v>
      </c>
      <c r="O120" s="490">
        <f t="shared" si="38"/>
        <v>0.92536440297199274</v>
      </c>
      <c r="P120" s="490">
        <f t="shared" si="40"/>
        <v>0</v>
      </c>
      <c r="Q120" s="490">
        <f t="shared" si="40"/>
        <v>0</v>
      </c>
      <c r="R120" s="490">
        <f t="shared" si="41"/>
        <v>0.16824807326763505</v>
      </c>
      <c r="S120" s="490">
        <f t="shared" si="42"/>
        <v>0.83282796267479353</v>
      </c>
      <c r="T120" s="490">
        <f t="shared" si="42"/>
        <v>0</v>
      </c>
      <c r="U120" s="490">
        <f t="shared" si="43"/>
        <v>0.27710215793255932</v>
      </c>
      <c r="V120" s="490">
        <v>0</v>
      </c>
      <c r="W120" s="490">
        <f t="shared" si="44"/>
        <v>0.79917834802126642</v>
      </c>
      <c r="X120" s="490">
        <f t="shared" si="45"/>
        <v>0.2</v>
      </c>
      <c r="Y120" s="490">
        <f t="shared" si="46"/>
        <v>0.15142326594087155</v>
      </c>
      <c r="Z120" s="490">
        <f t="shared" si="47"/>
        <v>0.1</v>
      </c>
      <c r="AA120" s="802"/>
      <c r="AB120" s="803"/>
      <c r="AC120" s="804"/>
    </row>
    <row r="121" spans="1:29" s="805" customFormat="1" ht="25.15" customHeight="1" x14ac:dyDescent="0.4">
      <c r="A121" s="798"/>
      <c r="B121" s="549" t="str">
        <f t="shared" si="39"/>
        <v>C-28 - TP-07</v>
      </c>
      <c r="C121" s="799" t="s">
        <v>1838</v>
      </c>
      <c r="D121" s="486" t="s">
        <v>1673</v>
      </c>
      <c r="E121" s="800">
        <v>65.968540167347456</v>
      </c>
      <c r="F121" s="800">
        <v>90</v>
      </c>
      <c r="G121" s="800">
        <f t="shared" si="37"/>
        <v>3.5433070866141736</v>
      </c>
      <c r="H121" s="486"/>
      <c r="I121" s="486"/>
      <c r="J121" s="486"/>
      <c r="K121" s="486" t="s">
        <v>1844</v>
      </c>
      <c r="L121" s="533" t="s">
        <v>17</v>
      </c>
      <c r="M121" s="801">
        <v>0.6</v>
      </c>
      <c r="N121" s="490">
        <v>1.1000000000000001</v>
      </c>
      <c r="O121" s="490">
        <f t="shared" si="38"/>
        <v>43.539236510449321</v>
      </c>
      <c r="P121" s="490">
        <f t="shared" si="40"/>
        <v>0</v>
      </c>
      <c r="Q121" s="490">
        <f t="shared" si="40"/>
        <v>0</v>
      </c>
      <c r="R121" s="490">
        <f t="shared" si="41"/>
        <v>7.9162248200816947</v>
      </c>
      <c r="S121" s="490">
        <f t="shared" si="42"/>
        <v>39.185312859404391</v>
      </c>
      <c r="T121" s="490">
        <f t="shared" si="42"/>
        <v>0</v>
      </c>
      <c r="U121" s="490">
        <f t="shared" si="43"/>
        <v>13.037908474794373</v>
      </c>
      <c r="V121" s="490">
        <v>0</v>
      </c>
      <c r="W121" s="490">
        <f t="shared" si="44"/>
        <v>37.602067895388046</v>
      </c>
      <c r="X121" s="490">
        <f t="shared" si="45"/>
        <v>10.199999999999999</v>
      </c>
      <c r="Y121" s="490">
        <f t="shared" si="46"/>
        <v>7.1246023380735259</v>
      </c>
      <c r="Z121" s="490">
        <f t="shared" si="47"/>
        <v>6.6</v>
      </c>
      <c r="AA121" s="802"/>
      <c r="AB121" s="803"/>
      <c r="AC121" s="804"/>
    </row>
    <row r="122" spans="1:29" s="805" customFormat="1" ht="25.15" customHeight="1" x14ac:dyDescent="0.4">
      <c r="A122" s="798"/>
      <c r="B122" s="549" t="str">
        <f t="shared" si="39"/>
        <v>TEE-34 - VV-11</v>
      </c>
      <c r="C122" s="799" t="s">
        <v>1658</v>
      </c>
      <c r="D122" s="486" t="s">
        <v>1839</v>
      </c>
      <c r="E122" s="800">
        <v>4.6990411415442805</v>
      </c>
      <c r="F122" s="800">
        <v>90</v>
      </c>
      <c r="G122" s="800">
        <f t="shared" si="37"/>
        <v>3.5433070866141736</v>
      </c>
      <c r="H122" s="486"/>
      <c r="I122" s="486"/>
      <c r="J122" s="486"/>
      <c r="K122" s="486" t="s">
        <v>1844</v>
      </c>
      <c r="L122" s="533" t="s">
        <v>17</v>
      </c>
      <c r="M122" s="801">
        <v>0.6</v>
      </c>
      <c r="N122" s="490">
        <v>1.1000000000000001</v>
      </c>
      <c r="O122" s="490">
        <f t="shared" si="38"/>
        <v>3.1013671534192251</v>
      </c>
      <c r="P122" s="490">
        <f t="shared" si="40"/>
        <v>0</v>
      </c>
      <c r="Q122" s="490">
        <f t="shared" si="40"/>
        <v>0</v>
      </c>
      <c r="R122" s="490">
        <f t="shared" si="41"/>
        <v>0.56388493698531361</v>
      </c>
      <c r="S122" s="490">
        <f t="shared" si="42"/>
        <v>2.7912304380773025</v>
      </c>
      <c r="T122" s="490">
        <f t="shared" si="42"/>
        <v>0</v>
      </c>
      <c r="U122" s="490">
        <f t="shared" si="43"/>
        <v>0.92871038478841994</v>
      </c>
      <c r="V122" s="490">
        <v>0</v>
      </c>
      <c r="W122" s="490">
        <f t="shared" si="44"/>
        <v>2.6784534506802395</v>
      </c>
      <c r="X122" s="490">
        <f t="shared" si="45"/>
        <v>0.7</v>
      </c>
      <c r="Y122" s="490">
        <f t="shared" si="46"/>
        <v>0.50749644328678234</v>
      </c>
      <c r="Z122" s="490">
        <f t="shared" si="47"/>
        <v>0.5</v>
      </c>
      <c r="AA122" s="802"/>
      <c r="AB122" s="803"/>
      <c r="AC122" s="804"/>
    </row>
    <row r="123" spans="1:29" s="805" customFormat="1" ht="25.15" customHeight="1" x14ac:dyDescent="0.4">
      <c r="A123" s="798"/>
      <c r="B123" s="549" t="str">
        <f t="shared" si="39"/>
        <v>VV-11 - TP-18</v>
      </c>
      <c r="C123" s="799" t="s">
        <v>1839</v>
      </c>
      <c r="D123" s="486" t="s">
        <v>1843</v>
      </c>
      <c r="E123" s="800">
        <v>31.597409533883607</v>
      </c>
      <c r="F123" s="800">
        <v>90</v>
      </c>
      <c r="G123" s="800">
        <f t="shared" si="37"/>
        <v>3.5433070866141736</v>
      </c>
      <c r="H123" s="486"/>
      <c r="I123" s="486"/>
      <c r="J123" s="486"/>
      <c r="K123" s="486" t="s">
        <v>1844</v>
      </c>
      <c r="L123" s="533" t="s">
        <v>17</v>
      </c>
      <c r="M123" s="801">
        <v>0.6</v>
      </c>
      <c r="N123" s="490">
        <v>1.1000000000000001</v>
      </c>
      <c r="O123" s="490">
        <f t="shared" si="38"/>
        <v>20.854290292363181</v>
      </c>
      <c r="P123" s="490">
        <f t="shared" si="40"/>
        <v>0</v>
      </c>
      <c r="Q123" s="490">
        <f t="shared" si="40"/>
        <v>0</v>
      </c>
      <c r="R123" s="490">
        <f t="shared" si="41"/>
        <v>3.7916891440660332</v>
      </c>
      <c r="S123" s="490">
        <f t="shared" si="42"/>
        <v>18.768861263126865</v>
      </c>
      <c r="T123" s="490">
        <f t="shared" si="42"/>
        <v>0</v>
      </c>
      <c r="U123" s="490">
        <f t="shared" si="43"/>
        <v>6.2448575108424196</v>
      </c>
      <c r="V123" s="490">
        <v>0</v>
      </c>
      <c r="W123" s="490">
        <f t="shared" si="44"/>
        <v>18.010523434313654</v>
      </c>
      <c r="X123" s="490">
        <f t="shared" si="45"/>
        <v>4.9000000000000004</v>
      </c>
      <c r="Y123" s="490">
        <f t="shared" si="46"/>
        <v>3.4125202296594299</v>
      </c>
      <c r="Z123" s="490">
        <f t="shared" si="47"/>
        <v>3.2</v>
      </c>
      <c r="AA123" s="802"/>
      <c r="AB123" s="803"/>
      <c r="AC123" s="804"/>
    </row>
    <row r="124" spans="1:29" ht="30.75" x14ac:dyDescent="0.4">
      <c r="A124" s="525"/>
      <c r="B124" s="779"/>
      <c r="C124" s="780"/>
      <c r="D124" s="781"/>
      <c r="E124" s="782"/>
      <c r="F124" s="782"/>
      <c r="G124" s="782"/>
      <c r="H124" s="783"/>
      <c r="I124" s="783"/>
      <c r="J124" s="783"/>
      <c r="K124" s="784"/>
      <c r="L124" s="783"/>
      <c r="M124" s="785"/>
      <c r="N124" s="785"/>
      <c r="O124" s="785"/>
      <c r="P124" s="785"/>
      <c r="Q124" s="785"/>
      <c r="R124" s="785"/>
      <c r="S124" s="785"/>
      <c r="T124" s="785"/>
      <c r="U124" s="785"/>
      <c r="V124" s="785"/>
      <c r="W124" s="785"/>
      <c r="X124" s="785"/>
      <c r="Y124" s="785"/>
      <c r="Z124" s="785"/>
      <c r="AA124" s="785"/>
      <c r="AB124" s="785"/>
    </row>
    <row r="125" spans="1:29" ht="21.6" customHeight="1" x14ac:dyDescent="0.2">
      <c r="A125" s="525"/>
      <c r="B125" s="1463" t="s">
        <v>1866</v>
      </c>
      <c r="C125" s="1464"/>
      <c r="D125" s="1464"/>
      <c r="E125" s="1464"/>
      <c r="F125" s="1464"/>
      <c r="G125" s="1464"/>
      <c r="H125" s="1464"/>
      <c r="I125" s="1464"/>
      <c r="J125" s="1464"/>
      <c r="K125" s="1464"/>
      <c r="L125" s="1464"/>
      <c r="M125" s="1464"/>
      <c r="N125" s="1465"/>
      <c r="O125" s="789" t="s">
        <v>703</v>
      </c>
      <c r="P125" s="790" t="s">
        <v>721</v>
      </c>
      <c r="Q125" s="790" t="s">
        <v>722</v>
      </c>
      <c r="R125" s="790" t="s">
        <v>862</v>
      </c>
      <c r="S125" s="791" t="s">
        <v>723</v>
      </c>
      <c r="T125" s="791" t="s">
        <v>722</v>
      </c>
      <c r="U125" s="792" t="s">
        <v>704</v>
      </c>
      <c r="V125" s="793" t="s">
        <v>705</v>
      </c>
      <c r="W125" s="793" t="s">
        <v>1868</v>
      </c>
      <c r="X125" s="793" t="s">
        <v>1864</v>
      </c>
      <c r="Y125" s="794"/>
      <c r="Z125" s="794"/>
      <c r="AA125" s="794"/>
      <c r="AB125" s="795"/>
    </row>
    <row r="126" spans="1:29" ht="25.9" customHeight="1" x14ac:dyDescent="0.2">
      <c r="A126" s="525"/>
      <c r="B126" s="1466"/>
      <c r="C126" s="1467"/>
      <c r="D126" s="1467"/>
      <c r="E126" s="1467"/>
      <c r="F126" s="1467"/>
      <c r="G126" s="1467"/>
      <c r="H126" s="1467"/>
      <c r="I126" s="1467"/>
      <c r="J126" s="1467"/>
      <c r="K126" s="1467"/>
      <c r="L126" s="1467"/>
      <c r="M126" s="1467"/>
      <c r="N126" s="1468"/>
      <c r="O126" s="796">
        <f>SUM(O128:O207)</f>
        <v>866.36000000000013</v>
      </c>
      <c r="P126" s="796">
        <f>SUM(P128:P207)</f>
        <v>0</v>
      </c>
      <c r="Q126" s="796">
        <f t="shared" ref="Q126:R126" si="48">SUM(Q128:Q207)</f>
        <v>0</v>
      </c>
      <c r="R126" s="796">
        <f t="shared" si="48"/>
        <v>0</v>
      </c>
      <c r="S126" s="796">
        <f>SUM(S128:S207)</f>
        <v>0</v>
      </c>
      <c r="T126" s="796">
        <f>SUM(T128:T207)</f>
        <v>0</v>
      </c>
      <c r="U126" s="796">
        <f>SUM(U128:U207)</f>
        <v>215.62346938516905</v>
      </c>
      <c r="V126" s="796">
        <f>SUM(V128:V207)</f>
        <v>0</v>
      </c>
      <c r="W126" s="796">
        <f>+W128</f>
        <v>748.22</v>
      </c>
      <c r="X126" s="796">
        <f>SUM(X128:X207)</f>
        <v>304.39999999999998</v>
      </c>
      <c r="Y126" s="794"/>
      <c r="Z126" s="794"/>
      <c r="AA126" s="794"/>
      <c r="AB126" s="795"/>
    </row>
    <row r="127" spans="1:29" ht="21.6" customHeight="1" x14ac:dyDescent="0.2">
      <c r="A127" s="525"/>
      <c r="B127" s="551" t="s">
        <v>712</v>
      </c>
      <c r="C127" s="474" t="s">
        <v>713</v>
      </c>
      <c r="D127" s="474" t="s">
        <v>714</v>
      </c>
      <c r="E127" s="474" t="s">
        <v>715</v>
      </c>
      <c r="F127" s="474" t="s">
        <v>914</v>
      </c>
      <c r="G127" s="797" t="s">
        <v>716</v>
      </c>
      <c r="H127" s="474" t="s">
        <v>913</v>
      </c>
      <c r="I127" s="474" t="s">
        <v>1448</v>
      </c>
      <c r="J127" s="474" t="s">
        <v>915</v>
      </c>
      <c r="K127" s="778" t="s">
        <v>717</v>
      </c>
      <c r="L127" s="474" t="s">
        <v>718</v>
      </c>
      <c r="M127" s="474" t="s">
        <v>675</v>
      </c>
      <c r="N127" s="474" t="s">
        <v>719</v>
      </c>
      <c r="O127" s="789" t="s">
        <v>703</v>
      </c>
      <c r="P127" s="790" t="s">
        <v>721</v>
      </c>
      <c r="Q127" s="790" t="s">
        <v>722</v>
      </c>
      <c r="R127" s="790" t="s">
        <v>862</v>
      </c>
      <c r="S127" s="791" t="s">
        <v>723</v>
      </c>
      <c r="T127" s="791" t="s">
        <v>722</v>
      </c>
      <c r="U127" s="793" t="s">
        <v>704</v>
      </c>
      <c r="V127" s="793" t="s">
        <v>705</v>
      </c>
      <c r="W127" s="793" t="str">
        <f>+W125</f>
        <v>M. Exca</v>
      </c>
      <c r="X127" s="793" t="str">
        <f>+X125</f>
        <v>Sardinel</v>
      </c>
      <c r="Y127" s="794"/>
      <c r="Z127" s="794"/>
      <c r="AA127" s="794"/>
      <c r="AB127" s="795"/>
    </row>
    <row r="128" spans="1:29" s="805" customFormat="1" ht="25.15" customHeight="1" x14ac:dyDescent="0.4">
      <c r="A128" s="798"/>
      <c r="B128" s="549"/>
      <c r="C128" s="799" t="s">
        <v>1861</v>
      </c>
      <c r="D128" s="486" t="s">
        <v>1862</v>
      </c>
      <c r="E128" s="800">
        <v>1969</v>
      </c>
      <c r="F128" s="800">
        <v>12.7</v>
      </c>
      <c r="G128" s="800">
        <f t="shared" ref="G128" si="49">F128/25.4</f>
        <v>0.5</v>
      </c>
      <c r="H128" s="486"/>
      <c r="I128" s="486"/>
      <c r="J128" s="486"/>
      <c r="K128" s="486" t="s">
        <v>1867</v>
      </c>
      <c r="L128" s="533" t="s">
        <v>7</v>
      </c>
      <c r="M128" s="801">
        <v>0.4</v>
      </c>
      <c r="N128" s="490">
        <v>1.1000000000000001</v>
      </c>
      <c r="O128" s="490">
        <f>M128*N128*E128</f>
        <v>866.36000000000013</v>
      </c>
      <c r="P128" s="490">
        <f t="shared" ref="P128:R128" si="50">IF($L128=$N$21,$O128*P$20,0)</f>
        <v>0</v>
      </c>
      <c r="Q128" s="490">
        <f t="shared" si="50"/>
        <v>0</v>
      </c>
      <c r="R128" s="490">
        <f t="shared" si="50"/>
        <v>0</v>
      </c>
      <c r="S128" s="490">
        <f t="shared" ref="S128:T128" si="51">IF($L128=$N$22,$O128*S$20,0)</f>
        <v>0</v>
      </c>
      <c r="T128" s="490">
        <f t="shared" si="51"/>
        <v>0</v>
      </c>
      <c r="U128" s="490">
        <f>(M128*E128*0.275)-((PI()*((0.025/2)^2))*E128)</f>
        <v>215.62346938516905</v>
      </c>
      <c r="V128" s="490"/>
      <c r="W128" s="490">
        <f>+M128*E128*0.95</f>
        <v>748.22</v>
      </c>
      <c r="X128" s="490">
        <f>ROUND((E128/10)*1.546*1,1)</f>
        <v>304.39999999999998</v>
      </c>
      <c r="Y128" s="802"/>
      <c r="Z128" s="802"/>
      <c r="AA128" s="802"/>
      <c r="AB128" s="803"/>
      <c r="AC128" s="804"/>
    </row>
    <row r="129" spans="1:28" ht="15" customHeight="1" x14ac:dyDescent="0.2">
      <c r="A129" s="525"/>
      <c r="B129" s="524"/>
      <c r="C129" s="141"/>
      <c r="D129" s="141"/>
      <c r="E129" s="141"/>
      <c r="F129" s="141"/>
      <c r="G129" s="535"/>
      <c r="H129" s="141"/>
      <c r="I129" s="141"/>
      <c r="J129" s="141"/>
      <c r="K129" s="141"/>
      <c r="L129" s="141"/>
      <c r="M129" s="141"/>
      <c r="N129" s="141"/>
      <c r="O129" s="141"/>
      <c r="P129" s="141"/>
      <c r="Q129" s="141"/>
      <c r="R129" s="141"/>
      <c r="S129" s="141"/>
      <c r="T129" s="141"/>
      <c r="U129" s="141"/>
      <c r="V129" s="141"/>
      <c r="W129" s="141"/>
      <c r="X129" s="141"/>
      <c r="Y129" s="141"/>
      <c r="Z129" s="141"/>
      <c r="AA129" s="141"/>
      <c r="AB129" s="525"/>
    </row>
    <row r="130" spans="1:28" ht="15" customHeight="1" x14ac:dyDescent="0.2">
      <c r="A130" s="525"/>
      <c r="B130" s="524"/>
      <c r="C130" s="141"/>
      <c r="D130" s="141"/>
      <c r="E130" s="141"/>
      <c r="F130" s="141"/>
      <c r="G130" s="535"/>
      <c r="H130" s="141"/>
      <c r="I130" s="141"/>
      <c r="J130" s="141"/>
      <c r="K130" s="141"/>
      <c r="L130" s="141"/>
      <c r="M130" s="141"/>
      <c r="N130" s="141"/>
      <c r="O130" s="141"/>
      <c r="P130" s="141"/>
      <c r="Q130" s="141"/>
      <c r="R130" s="141"/>
      <c r="S130" s="141"/>
      <c r="T130" s="141"/>
      <c r="U130" s="141"/>
      <c r="V130" s="141"/>
      <c r="W130" s="141"/>
      <c r="X130" s="141"/>
      <c r="Y130" s="141"/>
      <c r="Z130" s="141"/>
      <c r="AA130" s="141"/>
      <c r="AB130" s="525"/>
    </row>
    <row r="131" spans="1:28" ht="15" customHeight="1" x14ac:dyDescent="0.2">
      <c r="A131" s="525"/>
      <c r="B131" s="524"/>
      <c r="C131" s="141"/>
      <c r="D131" s="141"/>
      <c r="E131" s="141"/>
      <c r="F131" s="141"/>
      <c r="G131" s="535"/>
      <c r="H131" s="141"/>
      <c r="I131" s="141"/>
      <c r="J131" s="141"/>
      <c r="K131" s="141"/>
      <c r="L131" s="141"/>
      <c r="M131" s="141"/>
      <c r="N131" s="141"/>
      <c r="O131" s="141"/>
      <c r="P131" s="141"/>
      <c r="Q131" s="141"/>
      <c r="R131" s="141"/>
      <c r="S131" s="141"/>
      <c r="T131" s="141"/>
      <c r="U131" s="141"/>
      <c r="V131" s="141"/>
      <c r="W131" s="141"/>
      <c r="X131" s="141"/>
      <c r="Y131" s="141"/>
      <c r="Z131" s="141"/>
      <c r="AA131" s="141"/>
      <c r="AB131" s="525"/>
    </row>
    <row r="132" spans="1:28" ht="15" customHeight="1" x14ac:dyDescent="0.2">
      <c r="A132" s="525"/>
      <c r="B132" s="524"/>
      <c r="C132" s="141"/>
      <c r="D132" s="141"/>
      <c r="E132" s="141"/>
      <c r="F132" s="141"/>
      <c r="G132" s="535"/>
      <c r="H132" s="141"/>
      <c r="I132" s="141"/>
      <c r="J132" s="141"/>
      <c r="K132" s="141"/>
      <c r="L132" s="141"/>
      <c r="M132" s="141"/>
      <c r="N132" s="141"/>
      <c r="O132" s="141"/>
      <c r="P132" s="141"/>
      <c r="Q132" s="141"/>
      <c r="R132" s="141"/>
      <c r="S132" s="141"/>
      <c r="T132" s="141"/>
      <c r="U132" s="141"/>
      <c r="V132" s="141"/>
      <c r="W132" s="141"/>
      <c r="X132" s="141"/>
      <c r="Y132" s="141"/>
      <c r="Z132" s="141"/>
      <c r="AA132" s="141"/>
      <c r="AB132" s="525"/>
    </row>
    <row r="133" spans="1:28" ht="15" customHeight="1" x14ac:dyDescent="0.2">
      <c r="A133" s="525"/>
      <c r="B133" s="524"/>
      <c r="C133" s="141"/>
      <c r="D133" s="141"/>
      <c r="E133" s="141"/>
      <c r="F133" s="141"/>
      <c r="G133" s="535"/>
      <c r="H133" s="141"/>
      <c r="I133" s="141"/>
      <c r="J133" s="141"/>
      <c r="K133" s="141"/>
      <c r="L133" s="141"/>
      <c r="M133" s="141"/>
      <c r="N133" s="141"/>
      <c r="O133" s="141"/>
      <c r="P133" s="141"/>
      <c r="Q133" s="141"/>
      <c r="R133" s="141"/>
      <c r="S133" s="141"/>
      <c r="T133" s="141"/>
      <c r="U133" s="141"/>
      <c r="V133" s="141"/>
      <c r="W133" s="141"/>
      <c r="X133" s="141"/>
      <c r="Y133" s="141"/>
      <c r="Z133" s="141"/>
      <c r="AA133" s="141"/>
      <c r="AB133" s="525"/>
    </row>
    <row r="134" spans="1:28" x14ac:dyDescent="0.2">
      <c r="A134" s="525"/>
      <c r="B134" s="524"/>
      <c r="C134" s="141"/>
      <c r="D134" s="141"/>
      <c r="E134" s="141"/>
      <c r="F134" s="141"/>
      <c r="G134" s="535"/>
      <c r="H134" s="141"/>
      <c r="I134" s="141"/>
      <c r="J134" s="141"/>
      <c r="K134" s="141"/>
      <c r="L134" s="141"/>
      <c r="M134" s="141"/>
      <c r="N134" s="141"/>
      <c r="O134" s="141"/>
      <c r="P134" s="141"/>
      <c r="Q134" s="141"/>
      <c r="R134" s="141"/>
      <c r="S134" s="141"/>
      <c r="T134" s="141"/>
      <c r="U134" s="141"/>
      <c r="V134" s="141"/>
      <c r="W134" s="141"/>
      <c r="X134" s="141"/>
      <c r="Y134" s="141"/>
      <c r="Z134" s="141"/>
      <c r="AA134" s="141"/>
      <c r="AB134" s="525"/>
    </row>
    <row r="135" spans="1:28" ht="15" customHeight="1" x14ac:dyDescent="0.2">
      <c r="A135" s="525"/>
      <c r="B135" s="524"/>
      <c r="C135" s="141"/>
      <c r="D135" s="141"/>
      <c r="E135" s="141"/>
      <c r="F135" s="141"/>
      <c r="G135" s="535"/>
      <c r="H135" s="141"/>
      <c r="I135" s="141"/>
      <c r="J135" s="141"/>
      <c r="K135" s="141"/>
      <c r="L135" s="141"/>
      <c r="M135" s="141"/>
      <c r="N135" s="141"/>
      <c r="O135" s="141"/>
      <c r="P135" s="141"/>
      <c r="Q135" s="141"/>
      <c r="R135" s="141"/>
      <c r="S135" s="141"/>
      <c r="T135" s="141"/>
      <c r="U135" s="141"/>
      <c r="V135" s="141"/>
      <c r="W135" s="141"/>
      <c r="X135" s="141"/>
      <c r="Y135" s="141"/>
      <c r="Z135" s="141"/>
      <c r="AA135" s="141"/>
      <c r="AB135" s="525"/>
    </row>
    <row r="136" spans="1:28" ht="15" customHeight="1" x14ac:dyDescent="0.2">
      <c r="A136" s="525"/>
      <c r="B136" s="524"/>
      <c r="C136" s="141"/>
      <c r="D136" s="141"/>
      <c r="E136" s="141"/>
      <c r="F136" s="141"/>
      <c r="G136" s="535"/>
      <c r="H136" s="141"/>
      <c r="I136" s="141"/>
      <c r="J136" s="141"/>
      <c r="K136" s="141"/>
      <c r="L136" s="141"/>
      <c r="M136" s="141"/>
      <c r="N136" s="141"/>
      <c r="O136" s="141"/>
      <c r="P136" s="141"/>
      <c r="Q136" s="141"/>
      <c r="R136" s="141"/>
      <c r="S136" s="141"/>
      <c r="T136" s="141"/>
      <c r="U136" s="141"/>
      <c r="V136" s="141"/>
      <c r="W136" s="141"/>
      <c r="X136" s="141"/>
      <c r="Y136" s="141"/>
      <c r="Z136" s="141"/>
      <c r="AA136" s="141"/>
      <c r="AB136" s="525"/>
    </row>
    <row r="137" spans="1:28" ht="15" customHeight="1" thickBot="1" x14ac:dyDescent="0.45">
      <c r="A137" s="525"/>
      <c r="B137" s="524"/>
      <c r="C137" s="141"/>
      <c r="D137" s="141"/>
      <c r="E137" s="141"/>
      <c r="F137" s="469"/>
      <c r="G137" s="862"/>
      <c r="H137" s="862"/>
      <c r="I137" s="862"/>
      <c r="J137" s="862"/>
      <c r="K137" s="862"/>
      <c r="L137" s="469"/>
      <c r="M137" s="469"/>
      <c r="N137" s="469"/>
      <c r="O137" s="469"/>
      <c r="P137" s="469"/>
      <c r="Q137" s="469"/>
      <c r="R137" s="469"/>
      <c r="S137" s="469"/>
      <c r="T137" s="469"/>
      <c r="U137" s="469"/>
      <c r="V137" s="469"/>
      <c r="W137" s="469"/>
      <c r="X137" s="141"/>
      <c r="Y137" s="141"/>
      <c r="Z137" s="141"/>
      <c r="AA137" s="141"/>
      <c r="AB137" s="525"/>
    </row>
    <row r="138" spans="1:28" ht="27" customHeight="1" x14ac:dyDescent="0.2">
      <c r="A138" s="525"/>
      <c r="B138" s="524"/>
      <c r="C138" s="141"/>
      <c r="D138" s="141"/>
      <c r="E138" s="141"/>
      <c r="F138" s="141"/>
      <c r="G138" s="1478" t="s">
        <v>1961</v>
      </c>
      <c r="H138" s="1478"/>
      <c r="I138" s="1478"/>
      <c r="J138" s="1478"/>
      <c r="K138" s="1478"/>
      <c r="L138" s="470"/>
      <c r="M138" s="472"/>
      <c r="N138" s="472"/>
      <c r="O138" s="472"/>
      <c r="P138" s="472"/>
      <c r="Q138" s="472"/>
      <c r="R138" s="1478" t="s">
        <v>1964</v>
      </c>
      <c r="S138" s="1478"/>
      <c r="T138" s="1478"/>
      <c r="U138" s="1478"/>
      <c r="V138" s="1478"/>
      <c r="W138" s="776"/>
      <c r="X138" s="141"/>
      <c r="Y138" s="141"/>
      <c r="Z138" s="141"/>
      <c r="AA138" s="141"/>
      <c r="AB138" s="525"/>
    </row>
    <row r="139" spans="1:28" ht="27" customHeight="1" x14ac:dyDescent="0.2">
      <c r="A139" s="525"/>
      <c r="B139" s="524"/>
      <c r="C139" s="141"/>
      <c r="D139" s="141"/>
      <c r="E139" s="141"/>
      <c r="F139" s="141"/>
      <c r="G139" s="1479" t="s">
        <v>1962</v>
      </c>
      <c r="H139" s="1479"/>
      <c r="I139" s="1479"/>
      <c r="J139" s="1479"/>
      <c r="K139" s="1479"/>
      <c r="L139" s="470"/>
      <c r="M139" s="472"/>
      <c r="N139" s="472"/>
      <c r="O139" s="472"/>
      <c r="P139" s="472"/>
      <c r="Q139" s="472"/>
      <c r="R139" s="1479" t="s">
        <v>1965</v>
      </c>
      <c r="S139" s="1479"/>
      <c r="T139" s="1479"/>
      <c r="U139" s="1479"/>
      <c r="V139" s="1479"/>
      <c r="W139" s="777"/>
      <c r="X139" s="141"/>
      <c r="Y139" s="141"/>
      <c r="Z139" s="141"/>
      <c r="AA139" s="141"/>
      <c r="AB139" s="525"/>
    </row>
    <row r="140" spans="1:28" ht="27" customHeight="1" x14ac:dyDescent="0.2">
      <c r="A140" s="525"/>
      <c r="B140" s="524"/>
      <c r="C140" s="141"/>
      <c r="D140" s="141"/>
      <c r="E140" s="141"/>
      <c r="F140" s="141"/>
      <c r="G140" s="1479" t="s">
        <v>1963</v>
      </c>
      <c r="H140" s="1479"/>
      <c r="I140" s="1479"/>
      <c r="J140" s="1479"/>
      <c r="K140" s="1479"/>
      <c r="L140" s="470"/>
      <c r="M140" s="472"/>
      <c r="N140" s="472"/>
      <c r="O140" s="472"/>
      <c r="P140" s="472"/>
      <c r="Q140" s="472"/>
      <c r="R140" s="1479" t="s">
        <v>1966</v>
      </c>
      <c r="S140" s="1479"/>
      <c r="T140" s="1479"/>
      <c r="U140" s="1479"/>
      <c r="V140" s="1479"/>
      <c r="W140" s="777"/>
      <c r="X140" s="141"/>
      <c r="Y140" s="141"/>
      <c r="Z140" s="141"/>
      <c r="AA140" s="141"/>
      <c r="AB140" s="525"/>
    </row>
    <row r="141" spans="1:28" ht="15" customHeight="1" x14ac:dyDescent="0.2">
      <c r="A141" s="525"/>
      <c r="B141" s="524"/>
      <c r="C141" s="141"/>
      <c r="D141" s="141"/>
      <c r="E141" s="141"/>
      <c r="F141" s="141"/>
      <c r="G141" s="535"/>
      <c r="H141" s="141"/>
      <c r="I141" s="141"/>
      <c r="J141" s="141"/>
      <c r="K141" s="141"/>
      <c r="L141" s="141"/>
      <c r="M141" s="141"/>
      <c r="N141" s="141"/>
      <c r="O141" s="141"/>
      <c r="P141" s="141"/>
      <c r="Q141" s="141"/>
      <c r="R141" s="141"/>
      <c r="S141" s="141"/>
      <c r="T141" s="141"/>
      <c r="U141" s="141"/>
      <c r="V141" s="141"/>
      <c r="W141" s="141"/>
      <c r="X141" s="141"/>
      <c r="Y141" s="141"/>
      <c r="Z141" s="141"/>
      <c r="AA141" s="141"/>
      <c r="AB141" s="525"/>
    </row>
    <row r="142" spans="1:28" ht="15" customHeight="1" x14ac:dyDescent="0.2">
      <c r="A142" s="525"/>
      <c r="B142" s="524"/>
      <c r="C142" s="141"/>
      <c r="D142" s="141"/>
      <c r="E142" s="141"/>
      <c r="F142" s="141"/>
      <c r="G142" s="535"/>
      <c r="H142" s="141"/>
      <c r="I142" s="141"/>
      <c r="J142" s="141"/>
      <c r="K142" s="141"/>
      <c r="L142" s="141"/>
      <c r="M142" s="141"/>
      <c r="N142" s="141"/>
      <c r="O142" s="141"/>
      <c r="P142" s="141"/>
      <c r="Q142" s="141"/>
      <c r="R142" s="141"/>
      <c r="S142" s="141"/>
      <c r="T142" s="141"/>
      <c r="U142" s="141"/>
      <c r="V142" s="141"/>
      <c r="W142" s="141"/>
      <c r="X142" s="141"/>
      <c r="Y142" s="141"/>
      <c r="Z142" s="141"/>
      <c r="AA142" s="141"/>
      <c r="AB142" s="525"/>
    </row>
    <row r="143" spans="1:28" ht="15" customHeight="1" x14ac:dyDescent="0.2">
      <c r="A143" s="525"/>
      <c r="B143" s="524"/>
      <c r="C143" s="141"/>
      <c r="D143" s="141"/>
      <c r="E143" s="141"/>
      <c r="F143" s="141"/>
      <c r="G143" s="535"/>
      <c r="H143" s="141"/>
      <c r="I143" s="141"/>
      <c r="J143" s="141"/>
      <c r="K143" s="141"/>
      <c r="L143" s="141"/>
      <c r="M143" s="141"/>
      <c r="N143" s="141"/>
      <c r="O143" s="141"/>
      <c r="P143" s="141"/>
      <c r="Q143" s="141"/>
      <c r="R143" s="141"/>
      <c r="S143" s="141"/>
      <c r="T143" s="141"/>
      <c r="U143" s="141"/>
      <c r="V143" s="141"/>
      <c r="W143" s="141"/>
      <c r="X143" s="141"/>
      <c r="Y143" s="141"/>
      <c r="Z143" s="141"/>
      <c r="AA143" s="141"/>
      <c r="AB143" s="525"/>
    </row>
    <row r="144" spans="1:28" ht="15" customHeight="1" thickBot="1" x14ac:dyDescent="0.25">
      <c r="A144" s="525"/>
      <c r="B144" s="536"/>
      <c r="C144" s="537"/>
      <c r="D144" s="537"/>
      <c r="E144" s="537"/>
      <c r="F144" s="537"/>
      <c r="G144" s="538"/>
      <c r="H144" s="537"/>
      <c r="I144" s="537"/>
      <c r="J144" s="537"/>
      <c r="K144" s="537"/>
      <c r="L144" s="537"/>
      <c r="M144" s="537"/>
      <c r="N144" s="537"/>
      <c r="O144" s="537"/>
      <c r="P144" s="537"/>
      <c r="Q144" s="537"/>
      <c r="R144" s="537"/>
      <c r="S144" s="537"/>
      <c r="T144" s="537"/>
      <c r="U144" s="537"/>
      <c r="V144" s="537"/>
      <c r="W144" s="537"/>
      <c r="X144" s="537"/>
      <c r="Y144" s="537"/>
      <c r="Z144" s="537"/>
      <c r="AA144" s="537"/>
      <c r="AB144" s="539"/>
    </row>
  </sheetData>
  <mergeCells count="48">
    <mergeCell ref="R138:V138"/>
    <mergeCell ref="R139:V139"/>
    <mergeCell ref="R140:V140"/>
    <mergeCell ref="G138:K138"/>
    <mergeCell ref="G139:K139"/>
    <mergeCell ref="G140:K140"/>
    <mergeCell ref="B125:N126"/>
    <mergeCell ref="Y24:Y25"/>
    <mergeCell ref="Z24:Z25"/>
    <mergeCell ref="AA24:AA26"/>
    <mergeCell ref="AB24:AB25"/>
    <mergeCell ref="B41:N42"/>
    <mergeCell ref="X24:X26"/>
    <mergeCell ref="B24:M25"/>
    <mergeCell ref="G15:H15"/>
    <mergeCell ref="G7:H7"/>
    <mergeCell ref="P12:R12"/>
    <mergeCell ref="P13:R13"/>
    <mergeCell ref="P14:R14"/>
    <mergeCell ref="P15:R15"/>
    <mergeCell ref="P9:R9"/>
    <mergeCell ref="P10:R10"/>
    <mergeCell ref="P11:R11"/>
    <mergeCell ref="P8:R8"/>
    <mergeCell ref="G13:H13"/>
    <mergeCell ref="G12:H12"/>
    <mergeCell ref="G8:H8"/>
    <mergeCell ref="E5:E6"/>
    <mergeCell ref="B11:C11"/>
    <mergeCell ref="B12:C12"/>
    <mergeCell ref="G11:H11"/>
    <mergeCell ref="G14:H14"/>
    <mergeCell ref="P6:R6"/>
    <mergeCell ref="B17:C17"/>
    <mergeCell ref="B2:AB3"/>
    <mergeCell ref="G9:H9"/>
    <mergeCell ref="G10:H10"/>
    <mergeCell ref="G5:H6"/>
    <mergeCell ref="I5:I6"/>
    <mergeCell ref="B7:C7"/>
    <mergeCell ref="B8:C8"/>
    <mergeCell ref="B9:C9"/>
    <mergeCell ref="B10:C10"/>
    <mergeCell ref="P7:R7"/>
    <mergeCell ref="F5:F6"/>
    <mergeCell ref="J5:K6"/>
    <mergeCell ref="P5:S5"/>
    <mergeCell ref="B5:D6"/>
  </mergeCells>
  <phoneticPr fontId="36" type="noConversion"/>
  <conditionalFormatting sqref="Y703:AB703 M703:N703 N22 M707:W2116 M27:AB27 M39:AB40 M124:AB124 M45:M123 O45:Q123 O28:T36 M28:N38 M129:AB137 V45:V123 X28:AB36 N25:W25 S45:T123 U28:W38 M141:AB702 M138:Q140 W138:AB140">
    <cfRule type="cellIs" dxfId="558" priority="20" operator="greaterThan">
      <formula>0</formula>
    </cfRule>
  </conditionalFormatting>
  <conditionalFormatting sqref="Y285:Z703">
    <cfRule type="containsText" dxfId="557" priority="21" operator="containsText" text="mular">
      <formula>NOT(ISERROR(SEARCH(("mular"),(#REF!))))</formula>
    </cfRule>
  </conditionalFormatting>
  <conditionalFormatting sqref="Y27:Z36 Y39:Z40 Y124:Z124 Y129:Z279">
    <cfRule type="containsText" dxfId="556" priority="22" operator="containsText" text="mular">
      <formula>NOT(ISERROR(SEARCH(("mular"),(#REF!))))</formula>
    </cfRule>
  </conditionalFormatting>
  <conditionalFormatting sqref="Y281:Z284">
    <cfRule type="containsText" dxfId="555" priority="23" operator="containsText" text="mular">
      <formula>NOT(ISERROR(SEARCH(("mular"),(#REF!))))</formula>
    </cfRule>
  </conditionalFormatting>
  <conditionalFormatting sqref="Y280:Z280">
    <cfRule type="containsText" dxfId="554" priority="24" operator="containsText" text="mular">
      <formula>NOT(ISERROR(SEARCH(("mular"),(#REF!))))</formula>
    </cfRule>
  </conditionalFormatting>
  <conditionalFormatting sqref="O705:W705">
    <cfRule type="cellIs" dxfId="553" priority="19" operator="greaterThan">
      <formula>0</formula>
    </cfRule>
  </conditionalFormatting>
  <conditionalFormatting sqref="O37:T38 X37:AB38">
    <cfRule type="cellIs" dxfId="552" priority="17" operator="greaterThan">
      <formula>0</formula>
    </cfRule>
  </conditionalFormatting>
  <conditionalFormatting sqref="Y37:Z38">
    <cfRule type="containsText" dxfId="551" priority="18" operator="containsText" text="mular">
      <formula>NOT(ISERROR(SEARCH(("mular"),(#REF!))))</formula>
    </cfRule>
  </conditionalFormatting>
  <conditionalFormatting sqref="O42:Z42">
    <cfRule type="cellIs" dxfId="550" priority="16" operator="greaterThan">
      <formula>0</formula>
    </cfRule>
  </conditionalFormatting>
  <conditionalFormatting sqref="M44:W44 N45:N123 U45:U123 W45:W123 R45:R123">
    <cfRule type="cellIs" dxfId="549" priority="15" operator="greaterThan">
      <formula>0</formula>
    </cfRule>
  </conditionalFormatting>
  <conditionalFormatting sqref="X44:X123">
    <cfRule type="cellIs" dxfId="548" priority="12" operator="greaterThan">
      <formula>0</formula>
    </cfRule>
  </conditionalFormatting>
  <conditionalFormatting sqref="O126:V126 X126">
    <cfRule type="cellIs" dxfId="547" priority="11" operator="greaterThan">
      <formula>0</formula>
    </cfRule>
  </conditionalFormatting>
  <conditionalFormatting sqref="M128:W128">
    <cfRule type="cellIs" dxfId="546" priority="10" operator="greaterThan">
      <formula>0</formula>
    </cfRule>
  </conditionalFormatting>
  <conditionalFormatting sqref="X128">
    <cfRule type="cellIs" dxfId="545" priority="9" operator="greaterThan">
      <formula>0</formula>
    </cfRule>
  </conditionalFormatting>
  <conditionalFormatting sqref="W126">
    <cfRule type="cellIs" dxfId="544" priority="7" operator="greaterThan">
      <formula>0</formula>
    </cfRule>
  </conditionalFormatting>
  <conditionalFormatting sqref="Y44:Y123">
    <cfRule type="cellIs" dxfId="543" priority="6" operator="greaterThan">
      <formula>0</formula>
    </cfRule>
  </conditionalFormatting>
  <conditionalFormatting sqref="Z44:Z123">
    <cfRule type="cellIs" dxfId="542" priority="4" operator="greaterThan">
      <formula>0</formula>
    </cfRule>
  </conditionalFormatting>
  <printOptions horizontalCentered="1" verticalCentered="1"/>
  <pageMargins left="0.1" right="0.1" top="0.1" bottom="0.1" header="0" footer="0"/>
  <pageSetup scale="1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B1:AS496"/>
  <sheetViews>
    <sheetView view="pageBreakPreview" topLeftCell="A187" zoomScale="25" zoomScaleNormal="70" zoomScaleSheetLayoutView="25" workbookViewId="0">
      <selection activeCell="I9" sqref="I9:I10"/>
    </sheetView>
  </sheetViews>
  <sheetFormatPr baseColWidth="10" defaultColWidth="39.28515625" defaultRowHeight="30" x14ac:dyDescent="0.4"/>
  <cols>
    <col min="1" max="3" width="39.28515625" style="552"/>
    <col min="4" max="4" width="39.28515625" style="553"/>
    <col min="5" max="6" width="39.28515625" style="552"/>
    <col min="7" max="7" width="43.28515625" style="552" customWidth="1"/>
    <col min="8" max="8" width="39.28515625" style="552"/>
    <col min="9" max="9" width="59.28515625" style="552" customWidth="1"/>
    <col min="10" max="10" width="63.42578125" style="552" customWidth="1"/>
    <col min="11" max="13" width="39.28515625" style="552"/>
    <col min="14" max="14" width="46.42578125" style="552" customWidth="1"/>
    <col min="15" max="16384" width="39.28515625" style="552"/>
  </cols>
  <sheetData>
    <row r="1" spans="2:26" ht="30.75" thickBot="1" x14ac:dyDescent="0.45"/>
    <row r="2" spans="2:26" ht="52.15" customHeight="1" x14ac:dyDescent="0.4">
      <c r="B2" s="1539" t="s">
        <v>1367</v>
      </c>
      <c r="C2" s="1540"/>
      <c r="D2" s="1540"/>
      <c r="E2" s="1540"/>
      <c r="F2" s="1540"/>
      <c r="G2" s="1540"/>
      <c r="H2" s="1540"/>
      <c r="I2" s="1540"/>
      <c r="J2" s="1540"/>
      <c r="K2" s="1540"/>
      <c r="L2" s="1540"/>
      <c r="M2" s="1540"/>
      <c r="N2" s="1540"/>
      <c r="O2" s="1540"/>
      <c r="P2" s="1540"/>
      <c r="Q2" s="1540"/>
      <c r="R2" s="1540"/>
      <c r="S2" s="1540"/>
      <c r="T2" s="1540"/>
      <c r="U2" s="1540"/>
      <c r="V2" s="1540"/>
      <c r="W2" s="1540"/>
      <c r="X2" s="1540"/>
      <c r="Y2" s="1540"/>
      <c r="Z2" s="1541"/>
    </row>
    <row r="3" spans="2:26" ht="42" customHeight="1" x14ac:dyDescent="0.4">
      <c r="B3" s="1533"/>
      <c r="C3" s="1534"/>
      <c r="D3" s="1534"/>
      <c r="E3" s="1534"/>
      <c r="F3" s="1534"/>
      <c r="G3" s="1534"/>
      <c r="H3" s="1534"/>
      <c r="I3" s="1534"/>
      <c r="J3" s="1534"/>
      <c r="K3" s="1534"/>
      <c r="L3" s="1534"/>
      <c r="M3" s="1534"/>
      <c r="N3" s="1534"/>
      <c r="O3" s="1534"/>
      <c r="P3" s="1534"/>
      <c r="Q3" s="1534"/>
      <c r="R3" s="1534"/>
      <c r="S3" s="1534"/>
      <c r="T3" s="1534"/>
      <c r="U3" s="1534"/>
      <c r="V3" s="1534"/>
      <c r="W3" s="1534"/>
      <c r="X3" s="1534"/>
      <c r="Y3" s="1534"/>
      <c r="Z3" s="1535"/>
    </row>
    <row r="4" spans="2:26" ht="13.15" customHeight="1" x14ac:dyDescent="0.4">
      <c r="B4" s="1536"/>
      <c r="C4" s="1537"/>
      <c r="D4" s="1537"/>
      <c r="E4" s="1537"/>
      <c r="F4" s="1537"/>
      <c r="G4" s="1537"/>
      <c r="H4" s="1537"/>
      <c r="I4" s="1537"/>
      <c r="J4" s="1537"/>
      <c r="K4" s="1537"/>
      <c r="L4" s="1537"/>
      <c r="M4" s="1537"/>
      <c r="N4" s="1537"/>
      <c r="O4" s="1537"/>
      <c r="P4" s="1537"/>
      <c r="Q4" s="1537"/>
      <c r="R4" s="1537"/>
      <c r="S4" s="1537"/>
      <c r="T4" s="1537"/>
      <c r="U4" s="1537"/>
      <c r="V4" s="1537"/>
      <c r="W4" s="1537"/>
      <c r="X4" s="1537"/>
      <c r="Y4" s="1537"/>
      <c r="Z4" s="1538"/>
    </row>
    <row r="5" spans="2:26" ht="13.15" customHeight="1" x14ac:dyDescent="0.4">
      <c r="B5" s="554"/>
      <c r="C5" s="555"/>
      <c r="D5" s="555"/>
      <c r="E5" s="555"/>
      <c r="F5" s="555"/>
      <c r="G5" s="555"/>
      <c r="H5" s="555"/>
      <c r="I5" s="555"/>
      <c r="J5" s="555"/>
      <c r="K5" s="555"/>
      <c r="L5" s="555"/>
      <c r="M5" s="555"/>
      <c r="N5" s="555"/>
      <c r="O5" s="555"/>
      <c r="P5" s="555"/>
      <c r="Q5" s="555"/>
      <c r="R5" s="555"/>
      <c r="S5" s="555"/>
      <c r="T5" s="555"/>
      <c r="U5" s="555"/>
      <c r="V5" s="555"/>
      <c r="W5" s="555"/>
      <c r="X5" s="555"/>
      <c r="Y5" s="555"/>
      <c r="Z5" s="556"/>
    </row>
    <row r="6" spans="2:26" ht="88.5" x14ac:dyDescent="0.4">
      <c r="B6" s="562" t="s">
        <v>1234</v>
      </c>
      <c r="C6" s="563" t="s">
        <v>1235</v>
      </c>
      <c r="D6" s="564" t="s">
        <v>1236</v>
      </c>
      <c r="E6" s="563" t="s">
        <v>806</v>
      </c>
      <c r="F6" s="565" t="s">
        <v>1237</v>
      </c>
      <c r="G6" s="566" t="s">
        <v>1238</v>
      </c>
      <c r="H6" s="566" t="s">
        <v>1239</v>
      </c>
      <c r="I6" s="566" t="s">
        <v>1240</v>
      </c>
      <c r="J6" s="566" t="s">
        <v>1241</v>
      </c>
      <c r="K6" s="567" t="s">
        <v>677</v>
      </c>
      <c r="L6" s="566" t="s">
        <v>717</v>
      </c>
      <c r="M6" s="555"/>
      <c r="N6" s="555"/>
      <c r="O6" s="555"/>
      <c r="P6" s="555"/>
      <c r="Q6" s="555"/>
      <c r="R6" s="555"/>
      <c r="S6" s="555"/>
      <c r="T6" s="555"/>
      <c r="U6" s="555"/>
      <c r="V6" s="555"/>
      <c r="W6" s="555"/>
      <c r="X6" s="555"/>
      <c r="Y6" s="555"/>
      <c r="Z6" s="556"/>
    </row>
    <row r="7" spans="2:26" ht="60" customHeight="1" x14ac:dyDescent="0.55000000000000004">
      <c r="B7" s="568">
        <v>1</v>
      </c>
      <c r="C7" s="569">
        <v>5</v>
      </c>
      <c r="D7" s="570">
        <v>1946.126</v>
      </c>
      <c r="E7" s="571">
        <v>24</v>
      </c>
      <c r="F7" s="572" t="s">
        <v>1242</v>
      </c>
      <c r="G7" s="573">
        <v>1118307.54369</v>
      </c>
      <c r="H7" s="573">
        <v>687996.123242</v>
      </c>
      <c r="I7" s="574" t="s">
        <v>1243</v>
      </c>
      <c r="J7" s="574" t="s">
        <v>1244</v>
      </c>
      <c r="K7" s="575">
        <v>6</v>
      </c>
      <c r="L7" s="575" t="s">
        <v>1245</v>
      </c>
      <c r="M7" s="555"/>
      <c r="N7" s="563" t="s">
        <v>1235</v>
      </c>
      <c r="O7" s="563" t="s">
        <v>696</v>
      </c>
      <c r="P7" s="555"/>
      <c r="Q7" s="555"/>
      <c r="R7" s="555"/>
      <c r="S7" s="555"/>
      <c r="T7" s="555"/>
      <c r="U7" s="555"/>
      <c r="V7" s="555"/>
      <c r="W7" s="555"/>
      <c r="X7" s="555"/>
      <c r="Y7" s="555"/>
      <c r="Z7" s="556"/>
    </row>
    <row r="8" spans="2:26" ht="60" customHeight="1" x14ac:dyDescent="0.55000000000000004">
      <c r="B8" s="568">
        <v>2</v>
      </c>
      <c r="C8" s="569">
        <v>5</v>
      </c>
      <c r="D8" s="570">
        <v>1944.373</v>
      </c>
      <c r="E8" s="571">
        <v>22</v>
      </c>
      <c r="F8" s="572" t="s">
        <v>1242</v>
      </c>
      <c r="G8" s="573">
        <v>1118287.7596400001</v>
      </c>
      <c r="H8" s="573">
        <v>687900.03234699997</v>
      </c>
      <c r="I8" s="574" t="s">
        <v>1246</v>
      </c>
      <c r="J8" s="574" t="s">
        <v>1247</v>
      </c>
      <c r="K8" s="575">
        <v>6</v>
      </c>
      <c r="L8" s="575" t="s">
        <v>1245</v>
      </c>
      <c r="M8" s="555"/>
      <c r="N8" s="581">
        <v>5</v>
      </c>
      <c r="O8" s="581">
        <f>COUNTIF($C$6:$C$65,N8)</f>
        <v>48</v>
      </c>
      <c r="P8" s="555"/>
      <c r="Q8" s="555"/>
      <c r="R8" s="555"/>
      <c r="S8" s="555"/>
      <c r="T8" s="555"/>
      <c r="U8" s="555"/>
      <c r="V8" s="555"/>
      <c r="W8" s="555"/>
      <c r="X8" s="555"/>
      <c r="Y8" s="555"/>
      <c r="Z8" s="556"/>
    </row>
    <row r="9" spans="2:26" ht="60" customHeight="1" x14ac:dyDescent="0.55000000000000004">
      <c r="B9" s="568">
        <v>3</v>
      </c>
      <c r="C9" s="569">
        <v>5</v>
      </c>
      <c r="D9" s="570">
        <v>1874.509</v>
      </c>
      <c r="E9" s="576">
        <v>47.971000000000004</v>
      </c>
      <c r="F9" s="572" t="s">
        <v>1242</v>
      </c>
      <c r="G9" s="573">
        <v>1118012.88057</v>
      </c>
      <c r="H9" s="573">
        <v>687449.65113799996</v>
      </c>
      <c r="I9" s="574" t="s">
        <v>1248</v>
      </c>
      <c r="J9" s="574" t="s">
        <v>1249</v>
      </c>
      <c r="K9" s="575">
        <v>6</v>
      </c>
      <c r="L9" s="575" t="s">
        <v>1245</v>
      </c>
      <c r="M9" s="555"/>
      <c r="N9" s="581">
        <v>10</v>
      </c>
      <c r="O9" s="581">
        <f t="shared" ref="O9:O14" si="0">COUNTIF($C$6:$C$65,N9)</f>
        <v>6</v>
      </c>
      <c r="P9" s="555"/>
      <c r="Q9" s="555"/>
      <c r="R9" s="555"/>
      <c r="S9" s="555"/>
      <c r="T9" s="555"/>
      <c r="U9" s="555"/>
      <c r="V9" s="555"/>
      <c r="W9" s="555"/>
      <c r="X9" s="555"/>
      <c r="Y9" s="555"/>
      <c r="Z9" s="556"/>
    </row>
    <row r="10" spans="2:26" ht="60" customHeight="1" x14ac:dyDescent="0.55000000000000004">
      <c r="B10" s="568">
        <v>4</v>
      </c>
      <c r="C10" s="569">
        <v>5</v>
      </c>
      <c r="D10" s="570">
        <v>1734.816</v>
      </c>
      <c r="E10" s="576">
        <v>187.66399999999999</v>
      </c>
      <c r="F10" s="572" t="s">
        <v>1242</v>
      </c>
      <c r="G10" s="573">
        <v>1117306.24444</v>
      </c>
      <c r="H10" s="573">
        <v>686547.07843600004</v>
      </c>
      <c r="I10" s="574" t="s">
        <v>1254</v>
      </c>
      <c r="J10" s="574" t="s">
        <v>1255</v>
      </c>
      <c r="K10" s="575">
        <v>6</v>
      </c>
      <c r="L10" s="575" t="s">
        <v>1245</v>
      </c>
      <c r="M10" s="555"/>
      <c r="N10" s="581">
        <v>25</v>
      </c>
      <c r="O10" s="581">
        <f t="shared" si="0"/>
        <v>1</v>
      </c>
      <c r="P10" s="555"/>
      <c r="Q10" s="555"/>
      <c r="R10" s="555"/>
      <c r="S10" s="555"/>
      <c r="T10" s="555"/>
      <c r="U10" s="555"/>
      <c r="V10" s="555"/>
      <c r="W10" s="555"/>
      <c r="X10" s="555"/>
      <c r="Y10" s="555"/>
      <c r="Z10" s="556"/>
    </row>
    <row r="11" spans="2:26" ht="60" customHeight="1" x14ac:dyDescent="0.55000000000000004">
      <c r="B11" s="568">
        <v>5</v>
      </c>
      <c r="C11" s="569">
        <v>5</v>
      </c>
      <c r="D11" s="570">
        <v>1709.9380000000001</v>
      </c>
      <c r="E11" s="576">
        <v>212.54199999999992</v>
      </c>
      <c r="F11" s="572" t="s">
        <v>1242</v>
      </c>
      <c r="G11" s="573">
        <v>1117168.12057</v>
      </c>
      <c r="H11" s="573">
        <v>686307.18507799995</v>
      </c>
      <c r="I11" s="574" t="s">
        <v>1256</v>
      </c>
      <c r="J11" s="574" t="s">
        <v>1257</v>
      </c>
      <c r="K11" s="575">
        <v>6</v>
      </c>
      <c r="L11" s="575" t="s">
        <v>1245</v>
      </c>
      <c r="M11" s="555"/>
      <c r="N11" s="581">
        <v>50</v>
      </c>
      <c r="O11" s="581">
        <f t="shared" si="0"/>
        <v>1</v>
      </c>
      <c r="P11" s="555"/>
      <c r="Q11" s="555"/>
      <c r="R11" s="555"/>
      <c r="S11" s="555"/>
      <c r="T11" s="555"/>
      <c r="U11" s="555"/>
      <c r="V11" s="555"/>
      <c r="W11" s="555"/>
      <c r="X11" s="555"/>
      <c r="Y11" s="555"/>
      <c r="Z11" s="556"/>
    </row>
    <row r="12" spans="2:26" ht="60" customHeight="1" x14ac:dyDescent="0.55000000000000004">
      <c r="B12" s="568">
        <v>6</v>
      </c>
      <c r="C12" s="569">
        <v>5</v>
      </c>
      <c r="D12" s="570">
        <v>1707.19</v>
      </c>
      <c r="E12" s="576">
        <v>215.28999999999996</v>
      </c>
      <c r="F12" s="572" t="s">
        <v>1242</v>
      </c>
      <c r="G12" s="573">
        <v>1117038.7606800001</v>
      </c>
      <c r="H12" s="573">
        <v>686225.89360900002</v>
      </c>
      <c r="I12" s="574" t="s">
        <v>1258</v>
      </c>
      <c r="J12" s="574" t="s">
        <v>1259</v>
      </c>
      <c r="K12" s="575">
        <v>6</v>
      </c>
      <c r="L12" s="575" t="s">
        <v>1245</v>
      </c>
      <c r="M12" s="555"/>
      <c r="N12" s="581">
        <v>90</v>
      </c>
      <c r="O12" s="581">
        <f t="shared" si="0"/>
        <v>1</v>
      </c>
      <c r="P12" s="555"/>
      <c r="Q12" s="555"/>
      <c r="R12" s="555"/>
      <c r="S12" s="555"/>
      <c r="T12" s="555"/>
      <c r="U12" s="555"/>
      <c r="V12" s="555"/>
      <c r="W12" s="555"/>
      <c r="X12" s="555"/>
      <c r="Y12" s="555"/>
      <c r="Z12" s="556"/>
    </row>
    <row r="13" spans="2:26" ht="60" customHeight="1" x14ac:dyDescent="0.55000000000000004">
      <c r="B13" s="568">
        <v>7</v>
      </c>
      <c r="C13" s="569">
        <v>5</v>
      </c>
      <c r="D13" s="570">
        <v>1650.35</v>
      </c>
      <c r="E13" s="576">
        <v>272.13000000000011</v>
      </c>
      <c r="F13" s="572" t="s">
        <v>1242</v>
      </c>
      <c r="G13" s="573">
        <v>1116365.49095</v>
      </c>
      <c r="H13" s="573">
        <v>685789.36706399999</v>
      </c>
      <c r="I13" s="574" t="s">
        <v>1264</v>
      </c>
      <c r="J13" s="574" t="s">
        <v>1265</v>
      </c>
      <c r="K13" s="575">
        <v>6</v>
      </c>
      <c r="L13" s="575" t="s">
        <v>1245</v>
      </c>
      <c r="M13" s="555"/>
      <c r="N13" s="582">
        <v>200</v>
      </c>
      <c r="O13" s="582">
        <f t="shared" si="0"/>
        <v>1</v>
      </c>
      <c r="P13" s="555"/>
      <c r="Q13" s="555"/>
      <c r="R13" s="555"/>
      <c r="S13" s="555"/>
      <c r="T13" s="555"/>
      <c r="U13" s="555"/>
      <c r="V13" s="555"/>
      <c r="W13" s="555"/>
      <c r="X13" s="555"/>
      <c r="Y13" s="555"/>
      <c r="Z13" s="556"/>
    </row>
    <row r="14" spans="2:26" ht="60" customHeight="1" x14ac:dyDescent="0.55000000000000004">
      <c r="B14" s="568">
        <v>8</v>
      </c>
      <c r="C14" s="569">
        <v>5</v>
      </c>
      <c r="D14" s="570">
        <v>1651.8330000000001</v>
      </c>
      <c r="E14" s="576">
        <v>270.64699999999993</v>
      </c>
      <c r="F14" s="572" t="s">
        <v>1242</v>
      </c>
      <c r="G14" s="573">
        <v>1116287.01932</v>
      </c>
      <c r="H14" s="573">
        <v>685778.56653800001</v>
      </c>
      <c r="I14" s="574" t="s">
        <v>1266</v>
      </c>
      <c r="J14" s="574" t="s">
        <v>1267</v>
      </c>
      <c r="K14" s="575">
        <v>6</v>
      </c>
      <c r="L14" s="575" t="s">
        <v>1245</v>
      </c>
      <c r="M14" s="555"/>
      <c r="N14" s="582">
        <v>230</v>
      </c>
      <c r="O14" s="582">
        <f t="shared" si="0"/>
        <v>1</v>
      </c>
      <c r="P14" s="555"/>
      <c r="Q14" s="555"/>
      <c r="R14" s="555"/>
      <c r="S14" s="555"/>
      <c r="T14" s="555"/>
      <c r="U14" s="555"/>
      <c r="V14" s="555"/>
      <c r="W14" s="555"/>
      <c r="X14" s="555"/>
      <c r="Y14" s="555"/>
      <c r="Z14" s="556"/>
    </row>
    <row r="15" spans="2:26" ht="60" customHeight="1" x14ac:dyDescent="0.55000000000000004">
      <c r="B15" s="568">
        <v>9</v>
      </c>
      <c r="C15" s="569">
        <v>5</v>
      </c>
      <c r="D15" s="570">
        <v>1688.4059999999999</v>
      </c>
      <c r="E15" s="576">
        <v>234.07400000000007</v>
      </c>
      <c r="F15" s="572" t="s">
        <v>1242</v>
      </c>
      <c r="G15" s="573">
        <v>1116081.96636</v>
      </c>
      <c r="H15" s="573">
        <v>685963.54186600004</v>
      </c>
      <c r="I15" s="574" t="s">
        <v>1270</v>
      </c>
      <c r="J15" s="574" t="s">
        <v>1271</v>
      </c>
      <c r="K15" s="575">
        <v>6</v>
      </c>
      <c r="L15" s="575" t="s">
        <v>1245</v>
      </c>
      <c r="M15" s="555"/>
      <c r="N15" s="555"/>
      <c r="O15" s="555"/>
      <c r="P15" s="555"/>
      <c r="Q15" s="555"/>
      <c r="R15" s="555"/>
      <c r="S15" s="555"/>
      <c r="T15" s="555"/>
      <c r="U15" s="555"/>
      <c r="V15" s="555"/>
      <c r="W15" s="555"/>
      <c r="X15" s="555"/>
      <c r="Y15" s="555"/>
      <c r="Z15" s="556"/>
    </row>
    <row r="16" spans="2:26" ht="60" customHeight="1" x14ac:dyDescent="0.55000000000000004">
      <c r="B16" s="568">
        <v>10</v>
      </c>
      <c r="C16" s="569">
        <v>5</v>
      </c>
      <c r="D16" s="570">
        <v>1692.1020000000001</v>
      </c>
      <c r="E16" s="576">
        <v>230.37799999999993</v>
      </c>
      <c r="F16" s="572" t="s">
        <v>1242</v>
      </c>
      <c r="G16" s="573">
        <v>1115899.7070899999</v>
      </c>
      <c r="H16" s="573">
        <v>686160.81464200001</v>
      </c>
      <c r="I16" s="574" t="s">
        <v>1272</v>
      </c>
      <c r="J16" s="574" t="s">
        <v>1273</v>
      </c>
      <c r="K16" s="575">
        <v>6</v>
      </c>
      <c r="L16" s="575" t="s">
        <v>1245</v>
      </c>
      <c r="M16" s="555"/>
      <c r="N16" s="555"/>
      <c r="O16" s="555"/>
      <c r="P16" s="555"/>
      <c r="Q16" s="555"/>
      <c r="R16" s="555"/>
      <c r="S16" s="555"/>
      <c r="T16" s="555"/>
      <c r="U16" s="555"/>
      <c r="V16" s="555"/>
      <c r="W16" s="555"/>
      <c r="X16" s="555"/>
      <c r="Y16" s="555"/>
      <c r="Z16" s="556"/>
    </row>
    <row r="17" spans="2:26" ht="60" customHeight="1" x14ac:dyDescent="0.55000000000000004">
      <c r="B17" s="568">
        <v>11</v>
      </c>
      <c r="C17" s="569">
        <v>5</v>
      </c>
      <c r="D17" s="570">
        <v>1671.008</v>
      </c>
      <c r="E17" s="576">
        <v>251.47199999999998</v>
      </c>
      <c r="F17" s="572" t="s">
        <v>1242</v>
      </c>
      <c r="G17" s="573">
        <v>1115783.2437</v>
      </c>
      <c r="H17" s="573">
        <v>686413.88008300005</v>
      </c>
      <c r="I17" s="574" t="s">
        <v>1274</v>
      </c>
      <c r="J17" s="574" t="s">
        <v>1275</v>
      </c>
      <c r="K17" s="575">
        <v>6</v>
      </c>
      <c r="L17" s="575" t="s">
        <v>1245</v>
      </c>
      <c r="M17" s="555"/>
      <c r="N17" s="555"/>
      <c r="O17" s="555"/>
      <c r="P17" s="555"/>
      <c r="Q17" s="555"/>
      <c r="R17" s="555"/>
      <c r="S17" s="555"/>
      <c r="T17" s="555"/>
      <c r="U17" s="555"/>
      <c r="V17" s="555"/>
      <c r="W17" s="555"/>
      <c r="X17" s="555"/>
      <c r="Y17" s="555"/>
      <c r="Z17" s="556"/>
    </row>
    <row r="18" spans="2:26" ht="60" customHeight="1" x14ac:dyDescent="0.55000000000000004">
      <c r="B18" s="568">
        <v>12</v>
      </c>
      <c r="C18" s="569">
        <v>5</v>
      </c>
      <c r="D18" s="570">
        <v>1678.106</v>
      </c>
      <c r="E18" s="576">
        <v>244.37400000000002</v>
      </c>
      <c r="F18" s="572" t="s">
        <v>1242</v>
      </c>
      <c r="G18" s="573">
        <v>1115747.2892100001</v>
      </c>
      <c r="H18" s="573">
        <v>686488.18749299995</v>
      </c>
      <c r="I18" s="574" t="s">
        <v>1276</v>
      </c>
      <c r="J18" s="574" t="s">
        <v>1277</v>
      </c>
      <c r="K18" s="575">
        <v>6</v>
      </c>
      <c r="L18" s="575" t="s">
        <v>1245</v>
      </c>
      <c r="M18" s="555"/>
      <c r="N18" s="555"/>
      <c r="O18" s="555"/>
      <c r="P18" s="555"/>
      <c r="Q18" s="555"/>
      <c r="R18" s="555"/>
      <c r="S18" s="555"/>
      <c r="T18" s="555"/>
      <c r="U18" s="555"/>
      <c r="V18" s="555"/>
      <c r="W18" s="555"/>
      <c r="X18" s="555"/>
      <c r="Y18" s="555"/>
      <c r="Z18" s="556"/>
    </row>
    <row r="19" spans="2:26" ht="60" customHeight="1" x14ac:dyDescent="0.55000000000000004">
      <c r="B19" s="568">
        <v>13</v>
      </c>
      <c r="C19" s="569">
        <v>5</v>
      </c>
      <c r="D19" s="570">
        <v>1676.3979999999999</v>
      </c>
      <c r="E19" s="576">
        <v>246.08200000000011</v>
      </c>
      <c r="F19" s="572" t="s">
        <v>1242</v>
      </c>
      <c r="G19" s="573">
        <v>1115710.8629000001</v>
      </c>
      <c r="H19" s="573">
        <v>686545.92073200003</v>
      </c>
      <c r="I19" s="574" t="s">
        <v>1278</v>
      </c>
      <c r="J19" s="574" t="s">
        <v>1279</v>
      </c>
      <c r="K19" s="575">
        <v>6</v>
      </c>
      <c r="L19" s="575" t="s">
        <v>1245</v>
      </c>
      <c r="M19" s="555"/>
      <c r="N19" s="555"/>
      <c r="O19" s="555"/>
      <c r="P19" s="555"/>
      <c r="Q19" s="555"/>
      <c r="R19" s="555"/>
      <c r="S19" s="555"/>
      <c r="T19" s="555"/>
      <c r="U19" s="555"/>
      <c r="V19" s="555"/>
      <c r="W19" s="555"/>
      <c r="X19" s="555"/>
      <c r="Y19" s="555"/>
      <c r="Z19" s="556"/>
    </row>
    <row r="20" spans="2:26" ht="60" customHeight="1" x14ac:dyDescent="0.55000000000000004">
      <c r="B20" s="568">
        <v>14</v>
      </c>
      <c r="C20" s="569">
        <v>5</v>
      </c>
      <c r="D20" s="570">
        <v>1690.7370000000001</v>
      </c>
      <c r="E20" s="576">
        <v>231.74299999999994</v>
      </c>
      <c r="F20" s="572" t="s">
        <v>1242</v>
      </c>
      <c r="G20" s="573">
        <v>1115608.7032300001</v>
      </c>
      <c r="H20" s="573">
        <v>686628.48915100005</v>
      </c>
      <c r="I20" s="574" t="s">
        <v>1280</v>
      </c>
      <c r="J20" s="574" t="s">
        <v>1281</v>
      </c>
      <c r="K20" s="575">
        <v>6</v>
      </c>
      <c r="L20" s="575" t="s">
        <v>1245</v>
      </c>
      <c r="M20" s="555"/>
      <c r="N20" s="555"/>
      <c r="O20" s="555"/>
      <c r="P20" s="555"/>
      <c r="Q20" s="555"/>
      <c r="R20" s="555"/>
      <c r="S20" s="555"/>
      <c r="T20" s="555"/>
      <c r="U20" s="555"/>
      <c r="V20" s="555"/>
      <c r="W20" s="555"/>
      <c r="X20" s="555"/>
      <c r="Y20" s="555"/>
      <c r="Z20" s="556"/>
    </row>
    <row r="21" spans="2:26" ht="60" customHeight="1" x14ac:dyDescent="0.55000000000000004">
      <c r="B21" s="568">
        <v>15</v>
      </c>
      <c r="C21" s="577">
        <v>5</v>
      </c>
      <c r="D21" s="570">
        <v>1652.124</v>
      </c>
      <c r="E21" s="576">
        <v>270.35599999999999</v>
      </c>
      <c r="F21" s="572" t="s">
        <v>1242</v>
      </c>
      <c r="G21" s="573">
        <v>1115445.25905</v>
      </c>
      <c r="H21" s="573">
        <v>686558.55568899994</v>
      </c>
      <c r="I21" s="574" t="s">
        <v>1282</v>
      </c>
      <c r="J21" s="574" t="s">
        <v>1283</v>
      </c>
      <c r="K21" s="575">
        <v>6</v>
      </c>
      <c r="L21" s="575" t="s">
        <v>1245</v>
      </c>
      <c r="M21" s="555"/>
      <c r="N21" s="555"/>
      <c r="O21" s="555"/>
      <c r="P21" s="555"/>
      <c r="Q21" s="555"/>
      <c r="R21" s="555"/>
      <c r="S21" s="555"/>
      <c r="T21" s="555"/>
      <c r="U21" s="555"/>
      <c r="V21" s="555"/>
      <c r="W21" s="555"/>
      <c r="X21" s="555"/>
      <c r="Y21" s="555"/>
      <c r="Z21" s="556"/>
    </row>
    <row r="22" spans="2:26" ht="60" customHeight="1" x14ac:dyDescent="0.55000000000000004">
      <c r="B22" s="568">
        <v>16</v>
      </c>
      <c r="C22" s="577">
        <v>5</v>
      </c>
      <c r="D22" s="570">
        <v>1672.91</v>
      </c>
      <c r="E22" s="576">
        <v>249.56999999999994</v>
      </c>
      <c r="F22" s="572" t="s">
        <v>1242</v>
      </c>
      <c r="G22" s="573">
        <v>1115412.22123</v>
      </c>
      <c r="H22" s="573">
        <v>686706.32647299999</v>
      </c>
      <c r="I22" s="574" t="s">
        <v>1284</v>
      </c>
      <c r="J22" s="574" t="s">
        <v>1285</v>
      </c>
      <c r="K22" s="575">
        <v>6</v>
      </c>
      <c r="L22" s="575" t="s">
        <v>1245</v>
      </c>
      <c r="M22" s="555"/>
      <c r="N22" s="555"/>
      <c r="O22" s="555"/>
      <c r="P22" s="555"/>
      <c r="Q22" s="555"/>
      <c r="R22" s="555"/>
      <c r="S22" s="555"/>
      <c r="T22" s="555"/>
      <c r="U22" s="555"/>
      <c r="V22" s="555"/>
      <c r="W22" s="555"/>
      <c r="X22" s="555"/>
      <c r="Y22" s="555"/>
      <c r="Z22" s="556"/>
    </row>
    <row r="23" spans="2:26" ht="60" customHeight="1" x14ac:dyDescent="0.55000000000000004">
      <c r="B23" s="568">
        <v>17</v>
      </c>
      <c r="C23" s="577">
        <v>5</v>
      </c>
      <c r="D23" s="570">
        <v>1670.806</v>
      </c>
      <c r="E23" s="576">
        <v>251.67399999999998</v>
      </c>
      <c r="F23" s="572" t="s">
        <v>1242</v>
      </c>
      <c r="G23" s="573">
        <v>1115402.4421999999</v>
      </c>
      <c r="H23" s="573">
        <v>686716.39300499996</v>
      </c>
      <c r="I23" s="574" t="s">
        <v>1286</v>
      </c>
      <c r="J23" s="574" t="s">
        <v>1287</v>
      </c>
      <c r="K23" s="575">
        <v>6</v>
      </c>
      <c r="L23" s="575" t="s">
        <v>1245</v>
      </c>
      <c r="M23" s="555"/>
      <c r="N23" s="555"/>
      <c r="O23" s="555"/>
      <c r="P23" s="555"/>
      <c r="Q23" s="555"/>
      <c r="R23" s="555"/>
      <c r="S23" s="555"/>
      <c r="T23" s="555"/>
      <c r="U23" s="555"/>
      <c r="V23" s="555"/>
      <c r="W23" s="555"/>
      <c r="X23" s="555"/>
      <c r="Y23" s="555"/>
      <c r="Z23" s="556"/>
    </row>
    <row r="24" spans="2:26" ht="60" customHeight="1" x14ac:dyDescent="0.55000000000000004">
      <c r="B24" s="568">
        <v>18</v>
      </c>
      <c r="C24" s="577">
        <v>5</v>
      </c>
      <c r="D24" s="570">
        <v>1662.588</v>
      </c>
      <c r="E24" s="576">
        <v>259.89200000000005</v>
      </c>
      <c r="F24" s="572" t="s">
        <v>1242</v>
      </c>
      <c r="G24" s="573">
        <v>1115320.7287900001</v>
      </c>
      <c r="H24" s="573">
        <v>686726.63371199998</v>
      </c>
      <c r="I24" s="574" t="s">
        <v>1288</v>
      </c>
      <c r="J24" s="574" t="s">
        <v>1289</v>
      </c>
      <c r="K24" s="575">
        <v>6</v>
      </c>
      <c r="L24" s="575" t="s">
        <v>1245</v>
      </c>
      <c r="M24" s="555"/>
      <c r="N24" s="555"/>
      <c r="O24" s="555"/>
      <c r="P24" s="555"/>
      <c r="Q24" s="555"/>
      <c r="R24" s="555"/>
      <c r="S24" s="555"/>
      <c r="T24" s="555"/>
      <c r="U24" s="555"/>
      <c r="V24" s="555"/>
      <c r="W24" s="555"/>
      <c r="X24" s="555"/>
      <c r="Y24" s="555"/>
      <c r="Z24" s="556"/>
    </row>
    <row r="25" spans="2:26" ht="60" customHeight="1" x14ac:dyDescent="0.55000000000000004">
      <c r="B25" s="568">
        <v>19</v>
      </c>
      <c r="C25" s="577">
        <v>5</v>
      </c>
      <c r="D25" s="578">
        <v>1663.7860000000001</v>
      </c>
      <c r="E25" s="576">
        <v>258.69399999999996</v>
      </c>
      <c r="F25" s="572" t="s">
        <v>1242</v>
      </c>
      <c r="G25" s="579">
        <v>1115253.2703100001</v>
      </c>
      <c r="H25" s="579">
        <v>686770.45369999995</v>
      </c>
      <c r="I25" s="574" t="s">
        <v>1290</v>
      </c>
      <c r="J25" s="574" t="s">
        <v>1291</v>
      </c>
      <c r="K25" s="575">
        <v>6</v>
      </c>
      <c r="L25" s="575" t="s">
        <v>1245</v>
      </c>
      <c r="M25" s="555"/>
      <c r="N25" s="555"/>
      <c r="O25" s="555"/>
      <c r="P25" s="555"/>
      <c r="Q25" s="555"/>
      <c r="R25" s="555"/>
      <c r="S25" s="555"/>
      <c r="T25" s="555"/>
      <c r="U25" s="555"/>
      <c r="V25" s="555"/>
      <c r="W25" s="555"/>
      <c r="X25" s="555"/>
      <c r="Y25" s="555"/>
      <c r="Z25" s="556"/>
    </row>
    <row r="26" spans="2:26" ht="60" customHeight="1" x14ac:dyDescent="0.55000000000000004">
      <c r="B26" s="568">
        <v>20</v>
      </c>
      <c r="C26" s="577">
        <v>5</v>
      </c>
      <c r="D26" s="578">
        <v>1675.8340000000001</v>
      </c>
      <c r="E26" s="576">
        <v>246.64599999999996</v>
      </c>
      <c r="F26" s="572" t="s">
        <v>1242</v>
      </c>
      <c r="G26" s="579">
        <v>1115222.2664000001</v>
      </c>
      <c r="H26" s="579">
        <v>686848.29882000003</v>
      </c>
      <c r="I26" s="574" t="s">
        <v>1292</v>
      </c>
      <c r="J26" s="574" t="s">
        <v>1293</v>
      </c>
      <c r="K26" s="575">
        <v>6</v>
      </c>
      <c r="L26" s="575" t="s">
        <v>1245</v>
      </c>
      <c r="M26" s="555"/>
      <c r="N26" s="555"/>
      <c r="O26" s="555"/>
      <c r="P26" s="555"/>
      <c r="Q26" s="555"/>
      <c r="R26" s="555"/>
      <c r="S26" s="555"/>
      <c r="T26" s="555"/>
      <c r="U26" s="555"/>
      <c r="V26" s="555"/>
      <c r="W26" s="555"/>
      <c r="X26" s="555"/>
      <c r="Y26" s="555"/>
      <c r="Z26" s="556"/>
    </row>
    <row r="27" spans="2:26" ht="60" customHeight="1" x14ac:dyDescent="0.55000000000000004">
      <c r="B27" s="568">
        <v>21</v>
      </c>
      <c r="C27" s="577">
        <v>5</v>
      </c>
      <c r="D27" s="578">
        <v>1655.4670000000001</v>
      </c>
      <c r="E27" s="576">
        <v>267.01299999999992</v>
      </c>
      <c r="F27" s="572" t="s">
        <v>1242</v>
      </c>
      <c r="G27" s="579">
        <v>1115100.6696899999</v>
      </c>
      <c r="H27" s="579">
        <v>686771.14445699996</v>
      </c>
      <c r="I27" s="574" t="s">
        <v>1294</v>
      </c>
      <c r="J27" s="574" t="s">
        <v>1295</v>
      </c>
      <c r="K27" s="575">
        <v>6</v>
      </c>
      <c r="L27" s="575" t="s">
        <v>1245</v>
      </c>
      <c r="M27" s="555"/>
      <c r="N27" s="555"/>
      <c r="O27" s="555"/>
      <c r="P27" s="555"/>
      <c r="Q27" s="555"/>
      <c r="R27" s="555"/>
      <c r="S27" s="555"/>
      <c r="T27" s="555"/>
      <c r="U27" s="555"/>
      <c r="V27" s="555"/>
      <c r="W27" s="555"/>
      <c r="X27" s="555"/>
      <c r="Y27" s="555"/>
      <c r="Z27" s="556"/>
    </row>
    <row r="28" spans="2:26" ht="60" customHeight="1" x14ac:dyDescent="0.55000000000000004">
      <c r="B28" s="568">
        <v>22</v>
      </c>
      <c r="C28" s="577">
        <v>5</v>
      </c>
      <c r="D28" s="578">
        <v>1597.376</v>
      </c>
      <c r="E28" s="576">
        <v>325.10400000000004</v>
      </c>
      <c r="F28" s="572" t="s">
        <v>1242</v>
      </c>
      <c r="G28" s="579">
        <v>1113859.1597200001</v>
      </c>
      <c r="H28" s="579">
        <v>687758.40948300005</v>
      </c>
      <c r="I28" s="574" t="s">
        <v>1296</v>
      </c>
      <c r="J28" s="574" t="s">
        <v>1297</v>
      </c>
      <c r="K28" s="575">
        <v>6</v>
      </c>
      <c r="L28" s="575" t="s">
        <v>1245</v>
      </c>
      <c r="M28" s="555"/>
      <c r="N28" s="555"/>
      <c r="O28" s="555"/>
      <c r="P28" s="555"/>
      <c r="Q28" s="555"/>
      <c r="R28" s="555"/>
      <c r="S28" s="555"/>
      <c r="T28" s="555"/>
      <c r="U28" s="555"/>
      <c r="V28" s="555"/>
      <c r="W28" s="555"/>
      <c r="X28" s="555"/>
      <c r="Y28" s="555"/>
      <c r="Z28" s="556"/>
    </row>
    <row r="29" spans="2:26" ht="60" customHeight="1" x14ac:dyDescent="0.55000000000000004">
      <c r="B29" s="568">
        <v>23</v>
      </c>
      <c r="C29" s="577">
        <v>5</v>
      </c>
      <c r="D29" s="578">
        <v>1512.777</v>
      </c>
      <c r="E29" s="576">
        <v>409.70299999999997</v>
      </c>
      <c r="F29" s="572" t="s">
        <v>1242</v>
      </c>
      <c r="G29" s="579">
        <v>1113767.2236500001</v>
      </c>
      <c r="H29" s="579">
        <v>687897.44896399998</v>
      </c>
      <c r="I29" s="574" t="s">
        <v>1298</v>
      </c>
      <c r="J29" s="574" t="s">
        <v>1299</v>
      </c>
      <c r="K29" s="575">
        <v>6</v>
      </c>
      <c r="L29" s="575" t="s">
        <v>1245</v>
      </c>
      <c r="M29" s="555"/>
      <c r="N29" s="555"/>
      <c r="O29" s="555"/>
      <c r="P29" s="555"/>
      <c r="Q29" s="555"/>
      <c r="R29" s="555"/>
      <c r="S29" s="555"/>
      <c r="T29" s="555"/>
      <c r="U29" s="555"/>
      <c r="V29" s="555"/>
      <c r="W29" s="555"/>
      <c r="X29" s="555"/>
      <c r="Y29" s="555"/>
      <c r="Z29" s="556"/>
    </row>
    <row r="30" spans="2:26" ht="60" customHeight="1" x14ac:dyDescent="0.55000000000000004">
      <c r="B30" s="568">
        <v>24</v>
      </c>
      <c r="C30" s="577">
        <v>5</v>
      </c>
      <c r="D30" s="578">
        <v>1445.665</v>
      </c>
      <c r="E30" s="576">
        <v>476.81500000000005</v>
      </c>
      <c r="F30" s="572" t="s">
        <v>1242</v>
      </c>
      <c r="G30" s="579">
        <v>1113662.26462</v>
      </c>
      <c r="H30" s="579">
        <v>688016.95845799998</v>
      </c>
      <c r="I30" s="574" t="s">
        <v>1300</v>
      </c>
      <c r="J30" s="574" t="s">
        <v>1301</v>
      </c>
      <c r="K30" s="575">
        <v>6</v>
      </c>
      <c r="L30" s="575" t="s">
        <v>1245</v>
      </c>
      <c r="M30" s="555"/>
      <c r="N30" s="555"/>
      <c r="O30" s="555"/>
      <c r="P30" s="555"/>
      <c r="Q30" s="555"/>
      <c r="R30" s="555"/>
      <c r="S30" s="555"/>
      <c r="T30" s="555"/>
      <c r="U30" s="555"/>
      <c r="V30" s="555"/>
      <c r="W30" s="555"/>
      <c r="X30" s="555"/>
      <c r="Y30" s="555"/>
      <c r="Z30" s="556"/>
    </row>
    <row r="31" spans="2:26" ht="60" customHeight="1" x14ac:dyDescent="0.55000000000000004">
      <c r="B31" s="568">
        <v>25</v>
      </c>
      <c r="C31" s="577">
        <v>5</v>
      </c>
      <c r="D31" s="578">
        <v>1524.8810000000001</v>
      </c>
      <c r="E31" s="576">
        <v>397.59899999999993</v>
      </c>
      <c r="F31" s="572" t="s">
        <v>1242</v>
      </c>
      <c r="G31" s="579">
        <v>1113532.4219500001</v>
      </c>
      <c r="H31" s="579">
        <v>688110.75216999999</v>
      </c>
      <c r="I31" s="574" t="s">
        <v>1302</v>
      </c>
      <c r="J31" s="574" t="s">
        <v>1303</v>
      </c>
      <c r="K31" s="575">
        <v>6</v>
      </c>
      <c r="L31" s="575" t="s">
        <v>1245</v>
      </c>
      <c r="M31" s="555"/>
      <c r="N31" s="555"/>
      <c r="O31" s="555"/>
      <c r="P31" s="555"/>
      <c r="Q31" s="555"/>
      <c r="R31" s="555"/>
      <c r="S31" s="555"/>
      <c r="T31" s="555"/>
      <c r="U31" s="555"/>
      <c r="V31" s="555"/>
      <c r="W31" s="555"/>
      <c r="X31" s="555"/>
      <c r="Y31" s="555"/>
      <c r="Z31" s="556"/>
    </row>
    <row r="32" spans="2:26" ht="60" customHeight="1" x14ac:dyDescent="0.55000000000000004">
      <c r="B32" s="568">
        <v>26</v>
      </c>
      <c r="C32" s="577">
        <v>5</v>
      </c>
      <c r="D32" s="578">
        <v>1583.9380000000001</v>
      </c>
      <c r="E32" s="576">
        <v>338.54199999999992</v>
      </c>
      <c r="F32" s="572" t="s">
        <v>1242</v>
      </c>
      <c r="G32" s="579">
        <v>1113295.6054799999</v>
      </c>
      <c r="H32" s="579">
        <v>688153.87663099996</v>
      </c>
      <c r="I32" s="574" t="s">
        <v>1304</v>
      </c>
      <c r="J32" s="574" t="s">
        <v>1305</v>
      </c>
      <c r="K32" s="575">
        <v>6</v>
      </c>
      <c r="L32" s="575" t="s">
        <v>1245</v>
      </c>
      <c r="M32" s="555"/>
      <c r="N32" s="555"/>
      <c r="O32" s="555"/>
      <c r="P32" s="555"/>
      <c r="Q32" s="555"/>
      <c r="R32" s="555"/>
      <c r="S32" s="555"/>
      <c r="T32" s="555"/>
      <c r="U32" s="555"/>
      <c r="V32" s="555"/>
      <c r="W32" s="555"/>
      <c r="X32" s="555"/>
      <c r="Y32" s="555"/>
      <c r="Z32" s="556"/>
    </row>
    <row r="33" spans="2:26" ht="60" customHeight="1" x14ac:dyDescent="0.55000000000000004">
      <c r="B33" s="568">
        <v>27</v>
      </c>
      <c r="C33" s="577">
        <v>5</v>
      </c>
      <c r="D33" s="578">
        <v>1617.7719999999999</v>
      </c>
      <c r="E33" s="576">
        <v>304.70800000000008</v>
      </c>
      <c r="F33" s="572" t="s">
        <v>1242</v>
      </c>
      <c r="G33" s="579">
        <v>1113130.92047</v>
      </c>
      <c r="H33" s="579">
        <v>688266.312255</v>
      </c>
      <c r="I33" s="574" t="s">
        <v>1306</v>
      </c>
      <c r="J33" s="574" t="s">
        <v>1307</v>
      </c>
      <c r="K33" s="575">
        <v>6</v>
      </c>
      <c r="L33" s="575" t="s">
        <v>1245</v>
      </c>
      <c r="M33" s="555"/>
      <c r="N33" s="555"/>
      <c r="O33" s="555"/>
      <c r="P33" s="555"/>
      <c r="Q33" s="555"/>
      <c r="R33" s="555"/>
      <c r="S33" s="555"/>
      <c r="T33" s="555"/>
      <c r="U33" s="555"/>
      <c r="V33" s="555"/>
      <c r="W33" s="555"/>
      <c r="X33" s="555"/>
      <c r="Y33" s="555"/>
      <c r="Z33" s="556"/>
    </row>
    <row r="34" spans="2:26" ht="60" customHeight="1" x14ac:dyDescent="0.55000000000000004">
      <c r="B34" s="568">
        <v>28</v>
      </c>
      <c r="C34" s="577">
        <v>5</v>
      </c>
      <c r="D34" s="578">
        <v>1351.19</v>
      </c>
      <c r="E34" s="576">
        <v>571.29</v>
      </c>
      <c r="F34" s="572" t="s">
        <v>1242</v>
      </c>
      <c r="G34" s="579">
        <v>1112309.8431299999</v>
      </c>
      <c r="H34" s="579">
        <v>688940.55085300002</v>
      </c>
      <c r="I34" s="574" t="s">
        <v>1308</v>
      </c>
      <c r="J34" s="574" t="s">
        <v>1309</v>
      </c>
      <c r="K34" s="575">
        <v>6</v>
      </c>
      <c r="L34" s="575" t="s">
        <v>1245</v>
      </c>
      <c r="M34" s="555"/>
      <c r="N34" s="555"/>
      <c r="O34" s="555"/>
      <c r="P34" s="555"/>
      <c r="Q34" s="555"/>
      <c r="R34" s="555"/>
      <c r="S34" s="555"/>
      <c r="T34" s="555"/>
      <c r="U34" s="555"/>
      <c r="V34" s="555"/>
      <c r="W34" s="555"/>
      <c r="X34" s="555"/>
      <c r="Y34" s="555"/>
      <c r="Z34" s="556"/>
    </row>
    <row r="35" spans="2:26" ht="60" customHeight="1" x14ac:dyDescent="0.55000000000000004">
      <c r="B35" s="568">
        <v>29</v>
      </c>
      <c r="C35" s="577">
        <v>5</v>
      </c>
      <c r="D35" s="578">
        <v>1314.8989999999999</v>
      </c>
      <c r="E35" s="576">
        <v>607.58100000000013</v>
      </c>
      <c r="F35" s="572" t="s">
        <v>1242</v>
      </c>
      <c r="G35" s="579">
        <v>1112068.44022</v>
      </c>
      <c r="H35" s="579">
        <v>689024.62837699999</v>
      </c>
      <c r="I35" s="574" t="s">
        <v>1310</v>
      </c>
      <c r="J35" s="574" t="s">
        <v>1311</v>
      </c>
      <c r="K35" s="575">
        <v>6</v>
      </c>
      <c r="L35" s="575" t="s">
        <v>1245</v>
      </c>
      <c r="M35" s="555"/>
      <c r="N35" s="555"/>
      <c r="O35" s="555"/>
      <c r="P35" s="555"/>
      <c r="Q35" s="555"/>
      <c r="R35" s="555"/>
      <c r="S35" s="555"/>
      <c r="T35" s="555"/>
      <c r="U35" s="555"/>
      <c r="V35" s="555"/>
      <c r="W35" s="555"/>
      <c r="X35" s="555"/>
      <c r="Y35" s="555"/>
      <c r="Z35" s="556"/>
    </row>
    <row r="36" spans="2:26" ht="60" customHeight="1" x14ac:dyDescent="0.55000000000000004">
      <c r="B36" s="568">
        <v>30</v>
      </c>
      <c r="C36" s="577">
        <v>5</v>
      </c>
      <c r="D36" s="578">
        <v>1352.723</v>
      </c>
      <c r="E36" s="576">
        <v>569.75700000000006</v>
      </c>
      <c r="F36" s="572" t="s">
        <v>1242</v>
      </c>
      <c r="G36" s="579">
        <v>1111047.29752</v>
      </c>
      <c r="H36" s="579">
        <v>689833.76830700005</v>
      </c>
      <c r="I36" s="574" t="s">
        <v>1312</v>
      </c>
      <c r="J36" s="574" t="s">
        <v>1313</v>
      </c>
      <c r="K36" s="575">
        <v>6</v>
      </c>
      <c r="L36" s="575" t="s">
        <v>1245</v>
      </c>
      <c r="M36" s="555"/>
      <c r="N36" s="555"/>
      <c r="O36" s="555"/>
      <c r="P36" s="555"/>
      <c r="Q36" s="555"/>
      <c r="R36" s="555"/>
      <c r="S36" s="555"/>
      <c r="T36" s="555"/>
      <c r="U36" s="555"/>
      <c r="V36" s="555"/>
      <c r="W36" s="555"/>
      <c r="X36" s="555"/>
      <c r="Y36" s="555"/>
      <c r="Z36" s="556"/>
    </row>
    <row r="37" spans="2:26" ht="60" customHeight="1" x14ac:dyDescent="0.55000000000000004">
      <c r="B37" s="568">
        <v>31</v>
      </c>
      <c r="C37" s="577">
        <v>5</v>
      </c>
      <c r="D37" s="578">
        <v>1386.3489999999999</v>
      </c>
      <c r="E37" s="576">
        <v>536.13100000000009</v>
      </c>
      <c r="F37" s="572" t="s">
        <v>1242</v>
      </c>
      <c r="G37" s="579">
        <v>1110821.56919</v>
      </c>
      <c r="H37" s="579">
        <v>690003.53946</v>
      </c>
      <c r="I37" s="574" t="s">
        <v>1314</v>
      </c>
      <c r="J37" s="574" t="s">
        <v>1315</v>
      </c>
      <c r="K37" s="575">
        <v>6</v>
      </c>
      <c r="L37" s="575" t="s">
        <v>1245</v>
      </c>
      <c r="M37" s="555"/>
      <c r="N37" s="555"/>
      <c r="O37" s="555"/>
      <c r="P37" s="555"/>
      <c r="Q37" s="555"/>
      <c r="R37" s="555"/>
      <c r="S37" s="555"/>
      <c r="T37" s="555"/>
      <c r="U37" s="555"/>
      <c r="V37" s="555"/>
      <c r="W37" s="555"/>
      <c r="X37" s="555"/>
      <c r="Y37" s="555"/>
      <c r="Z37" s="556"/>
    </row>
    <row r="38" spans="2:26" ht="60" customHeight="1" x14ac:dyDescent="0.55000000000000004">
      <c r="B38" s="568">
        <v>32</v>
      </c>
      <c r="C38" s="577">
        <v>5</v>
      </c>
      <c r="D38" s="578">
        <v>1516.884</v>
      </c>
      <c r="E38" s="576">
        <v>405.596</v>
      </c>
      <c r="F38" s="572" t="s">
        <v>1242</v>
      </c>
      <c r="G38" s="579">
        <v>1110340.1684900001</v>
      </c>
      <c r="H38" s="579">
        <v>690388.33042000001</v>
      </c>
      <c r="I38" s="574" t="s">
        <v>1316</v>
      </c>
      <c r="J38" s="574" t="s">
        <v>1317</v>
      </c>
      <c r="K38" s="575">
        <v>6</v>
      </c>
      <c r="L38" s="575" t="s">
        <v>1245</v>
      </c>
      <c r="M38" s="555"/>
      <c r="N38" s="555"/>
      <c r="O38" s="555"/>
      <c r="P38" s="555"/>
      <c r="Q38" s="555"/>
      <c r="R38" s="555"/>
      <c r="S38" s="555"/>
      <c r="T38" s="555"/>
      <c r="U38" s="555"/>
      <c r="V38" s="555"/>
      <c r="W38" s="555"/>
      <c r="X38" s="555"/>
      <c r="Y38" s="555"/>
      <c r="Z38" s="556"/>
    </row>
    <row r="39" spans="2:26" ht="60" customHeight="1" x14ac:dyDescent="0.55000000000000004">
      <c r="B39" s="568">
        <v>33</v>
      </c>
      <c r="C39" s="577">
        <v>5</v>
      </c>
      <c r="D39" s="578">
        <v>1543.6690000000001</v>
      </c>
      <c r="E39" s="576">
        <v>378.81099999999992</v>
      </c>
      <c r="F39" s="572" t="s">
        <v>1242</v>
      </c>
      <c r="G39" s="579">
        <v>1110234.59525</v>
      </c>
      <c r="H39" s="579">
        <v>690488.83349500003</v>
      </c>
      <c r="I39" s="574" t="s">
        <v>1318</v>
      </c>
      <c r="J39" s="574" t="s">
        <v>1319</v>
      </c>
      <c r="K39" s="575">
        <v>6</v>
      </c>
      <c r="L39" s="575" t="s">
        <v>1245</v>
      </c>
      <c r="M39" s="555"/>
      <c r="N39" s="555"/>
      <c r="O39" s="555"/>
      <c r="P39" s="555"/>
      <c r="Q39" s="555"/>
      <c r="R39" s="555"/>
      <c r="S39" s="555"/>
      <c r="T39" s="555"/>
      <c r="U39" s="555"/>
      <c r="V39" s="555"/>
      <c r="W39" s="555"/>
      <c r="X39" s="555"/>
      <c r="Y39" s="555"/>
      <c r="Z39" s="556"/>
    </row>
    <row r="40" spans="2:26" ht="60" customHeight="1" x14ac:dyDescent="0.55000000000000004">
      <c r="B40" s="568">
        <v>34</v>
      </c>
      <c r="C40" s="577">
        <v>5</v>
      </c>
      <c r="D40" s="578">
        <v>1597.3510000000001</v>
      </c>
      <c r="E40" s="576">
        <v>325.12899999999991</v>
      </c>
      <c r="F40" s="572" t="s">
        <v>1242</v>
      </c>
      <c r="G40" s="579">
        <v>1110135.93826</v>
      </c>
      <c r="H40" s="579">
        <v>690637.623227</v>
      </c>
      <c r="I40" s="574" t="s">
        <v>1320</v>
      </c>
      <c r="J40" s="574" t="s">
        <v>1321</v>
      </c>
      <c r="K40" s="575">
        <v>6</v>
      </c>
      <c r="L40" s="575" t="s">
        <v>1245</v>
      </c>
      <c r="M40" s="555"/>
      <c r="N40" s="555"/>
      <c r="O40" s="555"/>
      <c r="P40" s="555"/>
      <c r="Q40" s="555"/>
      <c r="R40" s="555"/>
      <c r="S40" s="555"/>
      <c r="T40" s="555"/>
      <c r="U40" s="555"/>
      <c r="V40" s="555"/>
      <c r="W40" s="555"/>
      <c r="X40" s="555"/>
      <c r="Y40" s="555"/>
      <c r="Z40" s="556"/>
    </row>
    <row r="41" spans="2:26" ht="60" customHeight="1" x14ac:dyDescent="0.55000000000000004">
      <c r="B41" s="568">
        <v>35</v>
      </c>
      <c r="C41" s="569">
        <v>5</v>
      </c>
      <c r="D41" s="578">
        <v>1678.8530000000001</v>
      </c>
      <c r="E41" s="576">
        <v>243.62699999999995</v>
      </c>
      <c r="F41" s="572" t="s">
        <v>1242</v>
      </c>
      <c r="G41" s="579">
        <v>1109795.45857</v>
      </c>
      <c r="H41" s="579">
        <v>690740.904369</v>
      </c>
      <c r="I41" s="574" t="s">
        <v>1324</v>
      </c>
      <c r="J41" s="574" t="s">
        <v>1325</v>
      </c>
      <c r="K41" s="575">
        <v>6</v>
      </c>
      <c r="L41" s="575" t="s">
        <v>1245</v>
      </c>
      <c r="M41" s="555"/>
      <c r="N41" s="555"/>
      <c r="O41" s="555"/>
      <c r="P41" s="555"/>
      <c r="Q41" s="555"/>
      <c r="R41" s="555"/>
      <c r="S41" s="555"/>
      <c r="T41" s="555"/>
      <c r="U41" s="555"/>
      <c r="V41" s="555"/>
      <c r="W41" s="555"/>
      <c r="X41" s="555"/>
      <c r="Y41" s="555"/>
      <c r="Z41" s="556"/>
    </row>
    <row r="42" spans="2:26" ht="60" customHeight="1" x14ac:dyDescent="0.55000000000000004">
      <c r="B42" s="568">
        <v>36</v>
      </c>
      <c r="C42" s="569">
        <v>5</v>
      </c>
      <c r="D42" s="578">
        <v>1718.0540000000001</v>
      </c>
      <c r="E42" s="576">
        <v>204.42599999999993</v>
      </c>
      <c r="F42" s="572" t="s">
        <v>1242</v>
      </c>
      <c r="G42" s="579">
        <v>1109622.1967</v>
      </c>
      <c r="H42" s="579">
        <v>690786.30314099998</v>
      </c>
      <c r="I42" s="574" t="s">
        <v>1326</v>
      </c>
      <c r="J42" s="574" t="s">
        <v>1327</v>
      </c>
      <c r="K42" s="575">
        <v>6</v>
      </c>
      <c r="L42" s="575" t="s">
        <v>1245</v>
      </c>
      <c r="M42" s="555"/>
      <c r="N42" s="555"/>
      <c r="O42" s="555"/>
      <c r="P42" s="555"/>
      <c r="Q42" s="555"/>
      <c r="R42" s="555"/>
      <c r="S42" s="555"/>
      <c r="T42" s="555"/>
      <c r="U42" s="555"/>
      <c r="V42" s="555"/>
      <c r="W42" s="555"/>
      <c r="X42" s="555"/>
      <c r="Y42" s="555"/>
      <c r="Z42" s="556"/>
    </row>
    <row r="43" spans="2:26" ht="60" customHeight="1" x14ac:dyDescent="0.55000000000000004">
      <c r="B43" s="568">
        <v>37</v>
      </c>
      <c r="C43" s="569">
        <v>5</v>
      </c>
      <c r="D43" s="578">
        <v>1730.37</v>
      </c>
      <c r="E43" s="576">
        <v>192.11000000000013</v>
      </c>
      <c r="F43" s="572" t="s">
        <v>1242</v>
      </c>
      <c r="G43" s="579">
        <v>1110488.80116</v>
      </c>
      <c r="H43" s="579">
        <v>691331.07431299996</v>
      </c>
      <c r="I43" s="574" t="s">
        <v>1328</v>
      </c>
      <c r="J43" s="574" t="s">
        <v>1329</v>
      </c>
      <c r="K43" s="575">
        <v>6</v>
      </c>
      <c r="L43" s="575" t="s">
        <v>1245</v>
      </c>
      <c r="M43" s="555"/>
      <c r="N43" s="555"/>
      <c r="O43" s="555"/>
      <c r="P43" s="555"/>
      <c r="Q43" s="555"/>
      <c r="R43" s="555"/>
      <c r="S43" s="555"/>
      <c r="T43" s="555"/>
      <c r="U43" s="555"/>
      <c r="V43" s="555"/>
      <c r="W43" s="555"/>
      <c r="X43" s="555"/>
      <c r="Y43" s="555"/>
      <c r="Z43" s="556"/>
    </row>
    <row r="44" spans="2:26" ht="60" customHeight="1" x14ac:dyDescent="0.55000000000000004">
      <c r="B44" s="568">
        <v>38</v>
      </c>
      <c r="C44" s="569">
        <v>5</v>
      </c>
      <c r="D44" s="578">
        <v>1719.104</v>
      </c>
      <c r="E44" s="576">
        <v>203.37599999999998</v>
      </c>
      <c r="F44" s="572" t="s">
        <v>1242</v>
      </c>
      <c r="G44" s="579">
        <v>1110509.8780499999</v>
      </c>
      <c r="H44" s="579">
        <v>691416.35000700003</v>
      </c>
      <c r="I44" s="574" t="s">
        <v>1330</v>
      </c>
      <c r="J44" s="574" t="s">
        <v>1331</v>
      </c>
      <c r="K44" s="575">
        <v>6</v>
      </c>
      <c r="L44" s="575" t="s">
        <v>1245</v>
      </c>
      <c r="M44" s="555"/>
      <c r="N44" s="555"/>
      <c r="O44" s="555"/>
      <c r="P44" s="555"/>
      <c r="Q44" s="555"/>
      <c r="R44" s="555"/>
      <c r="S44" s="555"/>
      <c r="T44" s="555"/>
      <c r="U44" s="555"/>
      <c r="V44" s="555"/>
      <c r="W44" s="555"/>
      <c r="X44" s="555"/>
      <c r="Y44" s="555"/>
      <c r="Z44" s="556"/>
    </row>
    <row r="45" spans="2:26" ht="60" customHeight="1" x14ac:dyDescent="0.55000000000000004">
      <c r="B45" s="568">
        <v>39</v>
      </c>
      <c r="C45" s="569">
        <v>5</v>
      </c>
      <c r="D45" s="578">
        <v>1719.2529999999999</v>
      </c>
      <c r="E45" s="576">
        <v>203.22700000000009</v>
      </c>
      <c r="F45" s="572" t="s">
        <v>1242</v>
      </c>
      <c r="G45" s="579">
        <v>1110483.01997</v>
      </c>
      <c r="H45" s="579">
        <v>691456.03270500002</v>
      </c>
      <c r="I45" s="574" t="s">
        <v>1332</v>
      </c>
      <c r="J45" s="574" t="s">
        <v>1333</v>
      </c>
      <c r="K45" s="575">
        <v>6</v>
      </c>
      <c r="L45" s="575" t="s">
        <v>1245</v>
      </c>
      <c r="M45" s="555"/>
      <c r="N45" s="555"/>
      <c r="O45" s="555"/>
      <c r="P45" s="555"/>
      <c r="Q45" s="555"/>
      <c r="R45" s="555"/>
      <c r="S45" s="555"/>
      <c r="T45" s="555"/>
      <c r="U45" s="555"/>
      <c r="V45" s="555"/>
      <c r="W45" s="555"/>
      <c r="X45" s="555"/>
      <c r="Y45" s="555"/>
      <c r="Z45" s="556"/>
    </row>
    <row r="46" spans="2:26" ht="60" customHeight="1" x14ac:dyDescent="0.55000000000000004">
      <c r="B46" s="568">
        <v>40</v>
      </c>
      <c r="C46" s="569">
        <v>5</v>
      </c>
      <c r="D46" s="578">
        <v>1700.3209999999999</v>
      </c>
      <c r="E46" s="576">
        <v>222.15900000000011</v>
      </c>
      <c r="F46" s="572" t="s">
        <v>1242</v>
      </c>
      <c r="G46" s="579">
        <v>1110470.76401</v>
      </c>
      <c r="H46" s="579">
        <v>691561.53894200001</v>
      </c>
      <c r="I46" s="574" t="s">
        <v>1334</v>
      </c>
      <c r="J46" s="574" t="s">
        <v>1335</v>
      </c>
      <c r="K46" s="575">
        <v>6</v>
      </c>
      <c r="L46" s="575" t="s">
        <v>1245</v>
      </c>
      <c r="M46" s="555"/>
      <c r="N46" s="555"/>
      <c r="O46" s="555"/>
      <c r="P46" s="555"/>
      <c r="Q46" s="555"/>
      <c r="R46" s="555"/>
      <c r="S46" s="555"/>
      <c r="T46" s="555"/>
      <c r="U46" s="555"/>
      <c r="V46" s="555"/>
      <c r="W46" s="555"/>
      <c r="X46" s="555"/>
      <c r="Y46" s="555"/>
      <c r="Z46" s="556"/>
    </row>
    <row r="47" spans="2:26" ht="60" customHeight="1" x14ac:dyDescent="0.55000000000000004">
      <c r="B47" s="568">
        <v>41</v>
      </c>
      <c r="C47" s="569">
        <v>5</v>
      </c>
      <c r="D47" s="578">
        <v>1685.547</v>
      </c>
      <c r="E47" s="576">
        <v>236.93299999999999</v>
      </c>
      <c r="F47" s="572" t="s">
        <v>1242</v>
      </c>
      <c r="G47" s="579">
        <v>1110359.08546</v>
      </c>
      <c r="H47" s="579">
        <v>691593.66091199999</v>
      </c>
      <c r="I47" s="574" t="s">
        <v>1336</v>
      </c>
      <c r="J47" s="574" t="s">
        <v>1337</v>
      </c>
      <c r="K47" s="575">
        <v>6</v>
      </c>
      <c r="L47" s="575" t="s">
        <v>1245</v>
      </c>
      <c r="M47" s="555"/>
      <c r="N47" s="555"/>
      <c r="O47" s="555"/>
      <c r="P47" s="555"/>
      <c r="Q47" s="555"/>
      <c r="R47" s="555"/>
      <c r="S47" s="555"/>
      <c r="T47" s="555"/>
      <c r="U47" s="555"/>
      <c r="V47" s="555"/>
      <c r="W47" s="555"/>
      <c r="X47" s="555"/>
      <c r="Y47" s="555"/>
      <c r="Z47" s="556"/>
    </row>
    <row r="48" spans="2:26" ht="60" customHeight="1" x14ac:dyDescent="0.55000000000000004">
      <c r="B48" s="568">
        <v>42</v>
      </c>
      <c r="C48" s="569">
        <v>5</v>
      </c>
      <c r="D48" s="580">
        <v>1665.14</v>
      </c>
      <c r="E48" s="576">
        <v>257.33999999999992</v>
      </c>
      <c r="F48" s="572" t="s">
        <v>1242</v>
      </c>
      <c r="G48" s="579">
        <v>1110403.82125</v>
      </c>
      <c r="H48" s="579">
        <v>691713.56515499996</v>
      </c>
      <c r="I48" s="574" t="s">
        <v>1338</v>
      </c>
      <c r="J48" s="574" t="s">
        <v>1339</v>
      </c>
      <c r="K48" s="575">
        <v>6</v>
      </c>
      <c r="L48" s="575" t="s">
        <v>1245</v>
      </c>
      <c r="M48" s="555"/>
      <c r="N48" s="555"/>
      <c r="O48" s="555"/>
      <c r="P48" s="555"/>
      <c r="Q48" s="555"/>
      <c r="R48" s="555"/>
      <c r="S48" s="555"/>
      <c r="T48" s="555"/>
      <c r="U48" s="555"/>
      <c r="V48" s="555"/>
      <c r="W48" s="555"/>
      <c r="X48" s="555"/>
      <c r="Y48" s="555"/>
      <c r="Z48" s="556"/>
    </row>
    <row r="49" spans="2:26" ht="60" customHeight="1" x14ac:dyDescent="0.55000000000000004">
      <c r="B49" s="568">
        <v>43</v>
      </c>
      <c r="C49" s="569">
        <v>5</v>
      </c>
      <c r="D49" s="578">
        <v>1657.9580000000001</v>
      </c>
      <c r="E49" s="576">
        <v>264.52199999999993</v>
      </c>
      <c r="F49" s="572" t="s">
        <v>1242</v>
      </c>
      <c r="G49" s="579">
        <v>1110398.0844099999</v>
      </c>
      <c r="H49" s="579">
        <v>691751.17029299994</v>
      </c>
      <c r="I49" s="574" t="s">
        <v>1340</v>
      </c>
      <c r="J49" s="574" t="s">
        <v>1341</v>
      </c>
      <c r="K49" s="575">
        <v>6</v>
      </c>
      <c r="L49" s="575" t="s">
        <v>1245</v>
      </c>
      <c r="M49" s="555"/>
      <c r="N49" s="555"/>
      <c r="O49" s="555"/>
      <c r="P49" s="555"/>
      <c r="Q49" s="555"/>
      <c r="R49" s="555"/>
      <c r="S49" s="555"/>
      <c r="T49" s="555"/>
      <c r="U49" s="555"/>
      <c r="V49" s="555"/>
      <c r="W49" s="555"/>
      <c r="X49" s="555"/>
      <c r="Y49" s="555"/>
      <c r="Z49" s="556"/>
    </row>
    <row r="50" spans="2:26" ht="60" customHeight="1" x14ac:dyDescent="0.55000000000000004">
      <c r="B50" s="568">
        <v>44</v>
      </c>
      <c r="C50" s="569">
        <v>5</v>
      </c>
      <c r="D50" s="578">
        <v>1665.297</v>
      </c>
      <c r="E50" s="576">
        <v>257.18299999999999</v>
      </c>
      <c r="F50" s="572" t="s">
        <v>1242</v>
      </c>
      <c r="G50" s="579">
        <v>1110312.2819600001</v>
      </c>
      <c r="H50" s="579">
        <v>691757.61749600002</v>
      </c>
      <c r="I50" s="574" t="s">
        <v>1342</v>
      </c>
      <c r="J50" s="574" t="s">
        <v>1343</v>
      </c>
      <c r="K50" s="575">
        <v>6</v>
      </c>
      <c r="L50" s="575" t="s">
        <v>1245</v>
      </c>
      <c r="M50" s="555"/>
      <c r="N50" s="555"/>
      <c r="O50" s="555"/>
      <c r="P50" s="555"/>
      <c r="Q50" s="555"/>
      <c r="R50" s="555"/>
      <c r="S50" s="555"/>
      <c r="T50" s="555"/>
      <c r="U50" s="555"/>
      <c r="V50" s="555"/>
      <c r="W50" s="555"/>
      <c r="X50" s="555"/>
      <c r="Y50" s="555"/>
      <c r="Z50" s="556"/>
    </row>
    <row r="51" spans="2:26" ht="60" customHeight="1" x14ac:dyDescent="0.55000000000000004">
      <c r="B51" s="568">
        <v>45</v>
      </c>
      <c r="C51" s="569">
        <v>5</v>
      </c>
      <c r="D51" s="578">
        <v>1658.2059999999999</v>
      </c>
      <c r="E51" s="576">
        <v>264.27400000000011</v>
      </c>
      <c r="F51" s="572" t="s">
        <v>1242</v>
      </c>
      <c r="G51" s="579">
        <v>1110223.8690899999</v>
      </c>
      <c r="H51" s="579">
        <v>691783.89080000005</v>
      </c>
      <c r="I51" s="574" t="s">
        <v>1344</v>
      </c>
      <c r="J51" s="574" t="s">
        <v>1345</v>
      </c>
      <c r="K51" s="575">
        <v>6</v>
      </c>
      <c r="L51" s="575" t="s">
        <v>1245</v>
      </c>
      <c r="M51" s="555"/>
      <c r="N51" s="555"/>
      <c r="O51" s="555"/>
      <c r="P51" s="555"/>
      <c r="Q51" s="555"/>
      <c r="R51" s="555"/>
      <c r="S51" s="555"/>
      <c r="T51" s="555"/>
      <c r="U51" s="555"/>
      <c r="V51" s="555"/>
      <c r="W51" s="555"/>
      <c r="X51" s="555"/>
      <c r="Y51" s="555"/>
      <c r="Z51" s="556"/>
    </row>
    <row r="52" spans="2:26" ht="60" customHeight="1" x14ac:dyDescent="0.55000000000000004">
      <c r="B52" s="568">
        <v>46</v>
      </c>
      <c r="C52" s="569">
        <v>5</v>
      </c>
      <c r="D52" s="578">
        <v>1613.124</v>
      </c>
      <c r="E52" s="576">
        <v>309.35599999999999</v>
      </c>
      <c r="F52" s="572" t="s">
        <v>1242</v>
      </c>
      <c r="G52" s="579">
        <v>1110168.11308</v>
      </c>
      <c r="H52" s="579">
        <v>692172.03268399998</v>
      </c>
      <c r="I52" s="574" t="s">
        <v>1346</v>
      </c>
      <c r="J52" s="574" t="s">
        <v>1347</v>
      </c>
      <c r="K52" s="575">
        <v>6</v>
      </c>
      <c r="L52" s="575" t="s">
        <v>1245</v>
      </c>
      <c r="M52" s="555"/>
      <c r="N52" s="555"/>
      <c r="O52" s="555"/>
      <c r="P52" s="555"/>
      <c r="Q52" s="555"/>
      <c r="R52" s="555"/>
      <c r="S52" s="555"/>
      <c r="T52" s="555"/>
      <c r="U52" s="555"/>
      <c r="V52" s="555"/>
      <c r="W52" s="555"/>
      <c r="X52" s="555"/>
      <c r="Y52" s="555"/>
      <c r="Z52" s="556"/>
    </row>
    <row r="53" spans="2:26" ht="60" customHeight="1" x14ac:dyDescent="0.55000000000000004">
      <c r="B53" s="568">
        <v>47</v>
      </c>
      <c r="C53" s="569">
        <v>5</v>
      </c>
      <c r="D53" s="578">
        <v>1604.1289999999999</v>
      </c>
      <c r="E53" s="576">
        <v>318.35100000000011</v>
      </c>
      <c r="F53" s="572" t="s">
        <v>1242</v>
      </c>
      <c r="G53" s="579">
        <v>1110176.1350499999</v>
      </c>
      <c r="H53" s="579">
        <v>692251.52883700002</v>
      </c>
      <c r="I53" s="574" t="s">
        <v>1348</v>
      </c>
      <c r="J53" s="574" t="s">
        <v>1349</v>
      </c>
      <c r="K53" s="575">
        <v>6</v>
      </c>
      <c r="L53" s="575" t="s">
        <v>1245</v>
      </c>
      <c r="M53" s="555"/>
      <c r="N53" s="555"/>
      <c r="O53" s="555"/>
      <c r="P53" s="555"/>
      <c r="Q53" s="555"/>
      <c r="R53" s="555"/>
      <c r="S53" s="555"/>
      <c r="T53" s="555"/>
      <c r="U53" s="555"/>
      <c r="V53" s="555"/>
      <c r="W53" s="555"/>
      <c r="X53" s="555"/>
      <c r="Y53" s="555"/>
      <c r="Z53" s="556"/>
    </row>
    <row r="54" spans="2:26" ht="60" customHeight="1" x14ac:dyDescent="0.55000000000000004">
      <c r="B54" s="568">
        <v>48</v>
      </c>
      <c r="C54" s="569">
        <v>5</v>
      </c>
      <c r="D54" s="578">
        <v>1597.511</v>
      </c>
      <c r="E54" s="576">
        <v>324.96900000000005</v>
      </c>
      <c r="F54" s="572" t="s">
        <v>1242</v>
      </c>
      <c r="G54" s="579">
        <v>1110159.80351</v>
      </c>
      <c r="H54" s="579">
        <v>692321.44789800001</v>
      </c>
      <c r="I54" s="574" t="s">
        <v>1350</v>
      </c>
      <c r="J54" s="574" t="s">
        <v>1351</v>
      </c>
      <c r="K54" s="575">
        <v>6</v>
      </c>
      <c r="L54" s="575" t="s">
        <v>1245</v>
      </c>
      <c r="M54" s="555"/>
      <c r="N54" s="555"/>
      <c r="O54" s="555"/>
      <c r="P54" s="555"/>
      <c r="Q54" s="555"/>
      <c r="R54" s="555"/>
      <c r="S54" s="555"/>
      <c r="T54" s="555"/>
      <c r="U54" s="555"/>
      <c r="V54" s="555"/>
      <c r="W54" s="555"/>
      <c r="X54" s="555"/>
      <c r="Y54" s="555"/>
      <c r="Z54" s="556"/>
    </row>
    <row r="55" spans="2:26" ht="60" customHeight="1" x14ac:dyDescent="0.55000000000000004">
      <c r="B55" s="568">
        <v>49</v>
      </c>
      <c r="C55" s="569">
        <v>10</v>
      </c>
      <c r="D55" s="570">
        <v>1792.0619999999999</v>
      </c>
      <c r="E55" s="576">
        <v>130.41800000000012</v>
      </c>
      <c r="F55" s="572" t="s">
        <v>747</v>
      </c>
      <c r="G55" s="573">
        <v>1117596.9623199999</v>
      </c>
      <c r="H55" s="573">
        <v>687047.77468200005</v>
      </c>
      <c r="I55" s="574" t="s">
        <v>1250</v>
      </c>
      <c r="J55" s="574" t="s">
        <v>1251</v>
      </c>
      <c r="K55" s="575">
        <v>6</v>
      </c>
      <c r="L55" s="575" t="s">
        <v>1245</v>
      </c>
      <c r="M55" s="555"/>
      <c r="N55" s="555"/>
      <c r="O55" s="555"/>
      <c r="P55" s="555"/>
      <c r="Q55" s="555"/>
      <c r="R55" s="555"/>
      <c r="S55" s="555"/>
      <c r="T55" s="555"/>
      <c r="U55" s="555"/>
      <c r="V55" s="555"/>
      <c r="W55" s="555"/>
      <c r="X55" s="555"/>
      <c r="Y55" s="555"/>
      <c r="Z55" s="556"/>
    </row>
    <row r="56" spans="2:26" ht="60" customHeight="1" x14ac:dyDescent="0.55000000000000004">
      <c r="B56" s="568">
        <v>50</v>
      </c>
      <c r="C56" s="569">
        <v>10</v>
      </c>
      <c r="D56" s="570">
        <v>1760.9490000000001</v>
      </c>
      <c r="E56" s="576">
        <v>161.53099999999995</v>
      </c>
      <c r="F56" s="572" t="s">
        <v>747</v>
      </c>
      <c r="G56" s="573">
        <v>1117477.1403099999</v>
      </c>
      <c r="H56" s="573">
        <v>686811.10562599998</v>
      </c>
      <c r="I56" s="574" t="s">
        <v>1252</v>
      </c>
      <c r="J56" s="574" t="s">
        <v>1253</v>
      </c>
      <c r="K56" s="575">
        <v>6</v>
      </c>
      <c r="L56" s="575" t="s">
        <v>1245</v>
      </c>
      <c r="M56" s="555"/>
      <c r="N56" s="555"/>
      <c r="O56" s="555"/>
      <c r="P56" s="555"/>
      <c r="Q56" s="555"/>
      <c r="R56" s="555"/>
      <c r="S56" s="555"/>
      <c r="T56" s="555"/>
      <c r="U56" s="555"/>
      <c r="V56" s="555"/>
      <c r="W56" s="555"/>
      <c r="X56" s="555"/>
      <c r="Y56" s="555"/>
      <c r="Z56" s="556"/>
    </row>
    <row r="57" spans="2:26" ht="60" customHeight="1" x14ac:dyDescent="0.55000000000000004">
      <c r="B57" s="568">
        <v>51</v>
      </c>
      <c r="C57" s="569">
        <v>10</v>
      </c>
      <c r="D57" s="570">
        <v>1682.855</v>
      </c>
      <c r="E57" s="576">
        <v>239.625</v>
      </c>
      <c r="F57" s="572" t="s">
        <v>747</v>
      </c>
      <c r="G57" s="573">
        <v>1116871.4156599999</v>
      </c>
      <c r="H57" s="573">
        <v>685961.33469399996</v>
      </c>
      <c r="I57" s="574" t="s">
        <v>1260</v>
      </c>
      <c r="J57" s="574" t="s">
        <v>1261</v>
      </c>
      <c r="K57" s="575">
        <v>6</v>
      </c>
      <c r="L57" s="575" t="s">
        <v>1245</v>
      </c>
      <c r="M57" s="555"/>
      <c r="N57" s="555"/>
      <c r="O57" s="555"/>
      <c r="P57" s="555"/>
      <c r="Q57" s="555"/>
      <c r="R57" s="555"/>
      <c r="S57" s="555"/>
      <c r="T57" s="555"/>
      <c r="U57" s="555"/>
      <c r="V57" s="555"/>
      <c r="W57" s="555"/>
      <c r="X57" s="555"/>
      <c r="Y57" s="555"/>
      <c r="Z57" s="556"/>
    </row>
    <row r="58" spans="2:26" ht="60" customHeight="1" x14ac:dyDescent="0.55000000000000004">
      <c r="B58" s="568">
        <v>52</v>
      </c>
      <c r="C58" s="569">
        <v>10</v>
      </c>
      <c r="D58" s="570">
        <v>1657.1089999999999</v>
      </c>
      <c r="E58" s="576">
        <v>265.37100000000009</v>
      </c>
      <c r="F58" s="572" t="s">
        <v>747</v>
      </c>
      <c r="G58" s="573">
        <v>1116475.3323900001</v>
      </c>
      <c r="H58" s="573">
        <v>685883.36814999999</v>
      </c>
      <c r="I58" s="574" t="s">
        <v>1262</v>
      </c>
      <c r="J58" s="574" t="s">
        <v>1263</v>
      </c>
      <c r="K58" s="575">
        <v>6</v>
      </c>
      <c r="L58" s="575" t="s">
        <v>1245</v>
      </c>
      <c r="M58" s="555"/>
      <c r="N58" s="555"/>
      <c r="O58" s="555"/>
      <c r="P58" s="555"/>
      <c r="Q58" s="555"/>
      <c r="R58" s="555"/>
      <c r="S58" s="555"/>
      <c r="T58" s="555"/>
      <c r="U58" s="555"/>
      <c r="V58" s="555"/>
      <c r="W58" s="555"/>
      <c r="X58" s="555"/>
      <c r="Y58" s="555"/>
      <c r="Z58" s="556"/>
    </row>
    <row r="59" spans="2:26" ht="60" customHeight="1" x14ac:dyDescent="0.55000000000000004">
      <c r="B59" s="568">
        <v>53</v>
      </c>
      <c r="C59" s="569">
        <v>10</v>
      </c>
      <c r="D59" s="570">
        <v>1668.3869999999999</v>
      </c>
      <c r="E59" s="576">
        <v>254.09300000000007</v>
      </c>
      <c r="F59" s="572" t="s">
        <v>747</v>
      </c>
      <c r="G59" s="573">
        <v>1116161.34791</v>
      </c>
      <c r="H59" s="573">
        <v>685824.72869500006</v>
      </c>
      <c r="I59" s="574" t="s">
        <v>1268</v>
      </c>
      <c r="J59" s="574" t="s">
        <v>1269</v>
      </c>
      <c r="K59" s="575">
        <v>6</v>
      </c>
      <c r="L59" s="575" t="s">
        <v>1245</v>
      </c>
      <c r="M59" s="555"/>
      <c r="N59" s="555"/>
      <c r="O59" s="555"/>
      <c r="P59" s="555"/>
      <c r="Q59" s="555"/>
      <c r="R59" s="555"/>
      <c r="S59" s="555"/>
      <c r="T59" s="555"/>
      <c r="U59" s="555"/>
      <c r="V59" s="555"/>
      <c r="W59" s="555"/>
      <c r="X59" s="555"/>
      <c r="Y59" s="555"/>
      <c r="Z59" s="556"/>
    </row>
    <row r="60" spans="2:26" ht="60" customHeight="1" x14ac:dyDescent="0.55000000000000004">
      <c r="B60" s="568">
        <v>54</v>
      </c>
      <c r="C60" s="577">
        <v>10</v>
      </c>
      <c r="D60" s="578">
        <v>1620.317</v>
      </c>
      <c r="E60" s="576">
        <v>302.16300000000001</v>
      </c>
      <c r="F60" s="572" t="s">
        <v>747</v>
      </c>
      <c r="G60" s="579">
        <v>1110086.0154500001</v>
      </c>
      <c r="H60" s="579">
        <v>690675.68525700003</v>
      </c>
      <c r="I60" s="574" t="s">
        <v>1322</v>
      </c>
      <c r="J60" s="574" t="s">
        <v>1323</v>
      </c>
      <c r="K60" s="575">
        <v>6</v>
      </c>
      <c r="L60" s="575" t="s">
        <v>1245</v>
      </c>
      <c r="M60" s="555"/>
      <c r="N60" s="555"/>
      <c r="O60" s="555"/>
      <c r="P60" s="555"/>
      <c r="Q60" s="555"/>
      <c r="R60" s="555"/>
      <c r="S60" s="555"/>
      <c r="T60" s="555"/>
      <c r="U60" s="555"/>
      <c r="V60" s="555"/>
      <c r="W60" s="555"/>
      <c r="X60" s="555"/>
      <c r="Y60" s="555"/>
      <c r="Z60" s="556"/>
    </row>
    <row r="61" spans="2:26" ht="60" customHeight="1" x14ac:dyDescent="0.55000000000000004">
      <c r="B61" s="568">
        <v>55</v>
      </c>
      <c r="C61" s="577">
        <v>25</v>
      </c>
      <c r="D61" s="570">
        <v>1506.9639999999999</v>
      </c>
      <c r="E61" s="576">
        <v>415.51600000000008</v>
      </c>
      <c r="F61" s="572" t="s">
        <v>747</v>
      </c>
      <c r="G61" s="574">
        <v>1114697.76804</v>
      </c>
      <c r="H61" s="574">
        <v>686953.21887600003</v>
      </c>
      <c r="I61" s="574" t="s">
        <v>1352</v>
      </c>
      <c r="J61" s="574" t="s">
        <v>1353</v>
      </c>
      <c r="K61" s="575">
        <v>6</v>
      </c>
      <c r="L61" s="575" t="s">
        <v>1245</v>
      </c>
      <c r="M61" s="555"/>
      <c r="N61" s="555"/>
      <c r="O61" s="555"/>
      <c r="P61" s="555"/>
      <c r="Q61" s="555"/>
      <c r="R61" s="555"/>
      <c r="S61" s="555"/>
      <c r="T61" s="555"/>
      <c r="U61" s="555"/>
      <c r="V61" s="555"/>
      <c r="W61" s="555"/>
      <c r="X61" s="555"/>
      <c r="Y61" s="555"/>
      <c r="Z61" s="556"/>
    </row>
    <row r="62" spans="2:26" ht="60" customHeight="1" x14ac:dyDescent="0.55000000000000004">
      <c r="B62" s="568">
        <v>56</v>
      </c>
      <c r="C62" s="577">
        <v>50</v>
      </c>
      <c r="D62" s="570">
        <v>1753.626</v>
      </c>
      <c r="E62" s="576">
        <v>168.85400000000004</v>
      </c>
      <c r="F62" s="572" t="s">
        <v>747</v>
      </c>
      <c r="G62" s="574">
        <v>1107965.6417400001</v>
      </c>
      <c r="H62" s="574">
        <v>690626.62207699998</v>
      </c>
      <c r="I62" s="574" t="s">
        <v>1358</v>
      </c>
      <c r="J62" s="574" t="s">
        <v>1359</v>
      </c>
      <c r="K62" s="575">
        <v>6</v>
      </c>
      <c r="L62" s="575" t="s">
        <v>1245</v>
      </c>
      <c r="M62" s="555"/>
      <c r="N62" s="555"/>
      <c r="O62" s="555"/>
      <c r="P62" s="555"/>
      <c r="Q62" s="555"/>
      <c r="R62" s="555"/>
      <c r="S62" s="555"/>
      <c r="T62" s="555"/>
      <c r="U62" s="555"/>
      <c r="V62" s="555"/>
      <c r="W62" s="555"/>
      <c r="X62" s="555"/>
      <c r="Y62" s="555"/>
      <c r="Z62" s="556"/>
    </row>
    <row r="63" spans="2:26" ht="60" customHeight="1" x14ac:dyDescent="0.55000000000000004">
      <c r="B63" s="568">
        <v>57</v>
      </c>
      <c r="C63" s="577">
        <v>90</v>
      </c>
      <c r="D63" s="570">
        <v>1301.107</v>
      </c>
      <c r="E63" s="576">
        <v>621.37300000000005</v>
      </c>
      <c r="F63" s="572" t="s">
        <v>747</v>
      </c>
      <c r="G63" s="574">
        <v>1111769.4243900001</v>
      </c>
      <c r="H63" s="574">
        <v>689059.57896800002</v>
      </c>
      <c r="I63" s="574" t="s">
        <v>1354</v>
      </c>
      <c r="J63" s="574" t="s">
        <v>1355</v>
      </c>
      <c r="K63" s="575">
        <v>6</v>
      </c>
      <c r="L63" s="575" t="s">
        <v>1245</v>
      </c>
      <c r="M63" s="555"/>
      <c r="N63" s="555"/>
      <c r="O63" s="555"/>
      <c r="P63" s="555"/>
      <c r="Q63" s="555"/>
      <c r="R63" s="555"/>
      <c r="S63" s="555"/>
      <c r="T63" s="555"/>
      <c r="U63" s="555"/>
      <c r="V63" s="555"/>
      <c r="W63" s="555"/>
      <c r="X63" s="555"/>
      <c r="Y63" s="555"/>
      <c r="Z63" s="556"/>
    </row>
    <row r="64" spans="2:26" ht="60" customHeight="1" x14ac:dyDescent="0.55000000000000004">
      <c r="B64" s="568">
        <v>58</v>
      </c>
      <c r="C64" s="577">
        <v>200</v>
      </c>
      <c r="D64" s="570">
        <v>1656.9960000000001</v>
      </c>
      <c r="E64" s="576">
        <v>265.48399999999992</v>
      </c>
      <c r="F64" s="572" t="s">
        <v>747</v>
      </c>
      <c r="G64" s="574">
        <v>1108204.10044</v>
      </c>
      <c r="H64" s="574">
        <v>690817.88086300006</v>
      </c>
      <c r="I64" s="574" t="s">
        <v>1356</v>
      </c>
      <c r="J64" s="574" t="s">
        <v>1357</v>
      </c>
      <c r="K64" s="575">
        <v>6</v>
      </c>
      <c r="L64" s="575" t="s">
        <v>1245</v>
      </c>
      <c r="M64" s="555"/>
      <c r="N64" s="555"/>
      <c r="O64" s="555"/>
      <c r="P64" s="555"/>
      <c r="Q64" s="555"/>
      <c r="R64" s="555"/>
      <c r="S64" s="555"/>
      <c r="T64" s="555"/>
      <c r="U64" s="555"/>
      <c r="V64" s="555"/>
      <c r="W64" s="555"/>
      <c r="X64" s="555"/>
      <c r="Y64" s="555"/>
      <c r="Z64" s="556"/>
    </row>
    <row r="65" spans="2:26" ht="60" customHeight="1" x14ac:dyDescent="0.55000000000000004">
      <c r="B65" s="568">
        <v>59</v>
      </c>
      <c r="C65" s="577">
        <v>230</v>
      </c>
      <c r="D65" s="570">
        <v>1659.088</v>
      </c>
      <c r="E65" s="576">
        <v>263.39200000000005</v>
      </c>
      <c r="F65" s="572" t="s">
        <v>747</v>
      </c>
      <c r="G65" s="574">
        <v>1107304.60259</v>
      </c>
      <c r="H65" s="574">
        <v>690825.89659500006</v>
      </c>
      <c r="I65" s="574" t="s">
        <v>1360</v>
      </c>
      <c r="J65" s="574" t="s">
        <v>1361</v>
      </c>
      <c r="K65" s="575">
        <v>6</v>
      </c>
      <c r="L65" s="575" t="s">
        <v>1245</v>
      </c>
      <c r="M65" s="555"/>
      <c r="N65" s="555"/>
      <c r="O65" s="555"/>
      <c r="P65" s="555"/>
      <c r="Q65" s="555"/>
      <c r="R65" s="555"/>
      <c r="S65" s="555"/>
      <c r="T65" s="555"/>
      <c r="U65" s="555"/>
      <c r="V65" s="555"/>
      <c r="W65" s="555"/>
      <c r="X65" s="555"/>
      <c r="Y65" s="555"/>
      <c r="Z65" s="556"/>
    </row>
    <row r="66" spans="2:26" x14ac:dyDescent="0.4">
      <c r="B66" s="554"/>
      <c r="C66" s="555"/>
      <c r="D66" s="557"/>
      <c r="E66" s="555"/>
      <c r="F66" s="555"/>
      <c r="G66" s="555"/>
      <c r="H66" s="555"/>
      <c r="I66" s="555"/>
      <c r="J66" s="555"/>
      <c r="K66" s="555"/>
      <c r="L66" s="555"/>
      <c r="M66" s="555"/>
      <c r="N66" s="555"/>
      <c r="O66" s="555"/>
      <c r="P66" s="555"/>
      <c r="Q66" s="555"/>
      <c r="R66" s="555"/>
      <c r="S66" s="555"/>
      <c r="T66" s="555"/>
      <c r="U66" s="555"/>
      <c r="V66" s="555"/>
      <c r="W66" s="555"/>
      <c r="X66" s="555"/>
      <c r="Y66" s="555"/>
      <c r="Z66" s="556"/>
    </row>
    <row r="67" spans="2:26" ht="50.45" customHeight="1" x14ac:dyDescent="0.4">
      <c r="B67" s="1530" t="s">
        <v>1367</v>
      </c>
      <c r="C67" s="1531"/>
      <c r="D67" s="1531"/>
      <c r="E67" s="1531"/>
      <c r="F67" s="1531"/>
      <c r="G67" s="1531"/>
      <c r="H67" s="1531"/>
      <c r="I67" s="1531"/>
      <c r="J67" s="1531"/>
      <c r="K67" s="1531"/>
      <c r="L67" s="1531"/>
      <c r="M67" s="1531"/>
      <c r="N67" s="1531"/>
      <c r="O67" s="1531"/>
      <c r="P67" s="1531"/>
      <c r="Q67" s="1531"/>
      <c r="R67" s="1531"/>
      <c r="S67" s="1531"/>
      <c r="T67" s="1531"/>
      <c r="U67" s="1531"/>
      <c r="V67" s="1531"/>
      <c r="W67" s="1531"/>
      <c r="X67" s="1531"/>
      <c r="Y67" s="1531"/>
      <c r="Z67" s="1532"/>
    </row>
    <row r="68" spans="2:26" ht="42.6" customHeight="1" x14ac:dyDescent="0.4">
      <c r="B68" s="1533"/>
      <c r="C68" s="1534"/>
      <c r="D68" s="1534"/>
      <c r="E68" s="1534"/>
      <c r="F68" s="1534"/>
      <c r="G68" s="1534"/>
      <c r="H68" s="1534"/>
      <c r="I68" s="1534"/>
      <c r="J68" s="1534"/>
      <c r="K68" s="1534"/>
      <c r="L68" s="1534"/>
      <c r="M68" s="1534"/>
      <c r="N68" s="1534"/>
      <c r="O68" s="1534"/>
      <c r="P68" s="1534"/>
      <c r="Q68" s="1534"/>
      <c r="R68" s="1534"/>
      <c r="S68" s="1534"/>
      <c r="T68" s="1534"/>
      <c r="U68" s="1534"/>
      <c r="V68" s="1534"/>
      <c r="W68" s="1534"/>
      <c r="X68" s="1534"/>
      <c r="Y68" s="1534"/>
      <c r="Z68" s="1535"/>
    </row>
    <row r="69" spans="2:26" ht="13.15" customHeight="1" x14ac:dyDescent="0.4">
      <c r="B69" s="1536"/>
      <c r="C69" s="1537"/>
      <c r="D69" s="1537"/>
      <c r="E69" s="1537"/>
      <c r="F69" s="1537"/>
      <c r="G69" s="1537"/>
      <c r="H69" s="1537"/>
      <c r="I69" s="1537"/>
      <c r="J69" s="1537"/>
      <c r="K69" s="1537"/>
      <c r="L69" s="1537"/>
      <c r="M69" s="1537"/>
      <c r="N69" s="1537"/>
      <c r="O69" s="1537"/>
      <c r="P69" s="1537"/>
      <c r="Q69" s="1537"/>
      <c r="R69" s="1537"/>
      <c r="S69" s="1537"/>
      <c r="T69" s="1537"/>
      <c r="U69" s="1537"/>
      <c r="V69" s="1537"/>
      <c r="W69" s="1537"/>
      <c r="X69" s="1537"/>
      <c r="Y69" s="1537"/>
      <c r="Z69" s="1538"/>
    </row>
    <row r="70" spans="2:26" ht="44.25" x14ac:dyDescent="0.55000000000000004">
      <c r="B70" s="583"/>
      <c r="C70" s="584"/>
      <c r="D70" s="584"/>
      <c r="E70" s="584"/>
      <c r="F70" s="584"/>
      <c r="G70" s="584"/>
      <c r="H70" s="584"/>
      <c r="I70" s="584"/>
      <c r="J70" s="584"/>
      <c r="K70" s="584"/>
      <c r="L70" s="584"/>
      <c r="M70" s="584"/>
      <c r="N70" s="584"/>
      <c r="O70" s="584"/>
      <c r="P70" s="584"/>
      <c r="Q70" s="584"/>
      <c r="R70" s="584"/>
      <c r="S70" s="584"/>
      <c r="T70" s="584"/>
      <c r="U70" s="584"/>
      <c r="V70" s="584"/>
      <c r="W70" s="584"/>
      <c r="X70" s="584"/>
      <c r="Y70" s="584"/>
      <c r="Z70" s="585"/>
    </row>
    <row r="71" spans="2:26" ht="60" customHeight="1" x14ac:dyDescent="0.55000000000000004">
      <c r="B71" s="1510" t="s">
        <v>38</v>
      </c>
      <c r="C71" s="1511"/>
      <c r="D71" s="586" t="s">
        <v>397</v>
      </c>
      <c r="E71" s="1512" t="s">
        <v>673</v>
      </c>
      <c r="F71" s="1501"/>
      <c r="G71" s="1487" t="s">
        <v>1362</v>
      </c>
      <c r="H71" s="1488"/>
      <c r="I71" s="1485" t="s">
        <v>1216</v>
      </c>
      <c r="J71" s="1486"/>
      <c r="K71" s="1487" t="s">
        <v>1363</v>
      </c>
      <c r="L71" s="1488"/>
      <c r="M71" s="1485" t="s">
        <v>1216</v>
      </c>
      <c r="N71" s="1486"/>
      <c r="O71" s="1487" t="s">
        <v>1364</v>
      </c>
      <c r="P71" s="1488"/>
      <c r="Q71" s="1485" t="s">
        <v>1216</v>
      </c>
      <c r="R71" s="1486"/>
      <c r="S71" s="1487" t="s">
        <v>1365</v>
      </c>
      <c r="T71" s="1488"/>
      <c r="U71" s="1485" t="s">
        <v>1216</v>
      </c>
      <c r="V71" s="1486"/>
      <c r="W71" s="1487" t="s">
        <v>1366</v>
      </c>
      <c r="X71" s="1488"/>
      <c r="Y71" s="1485" t="s">
        <v>1216</v>
      </c>
      <c r="Z71" s="1513"/>
    </row>
    <row r="72" spans="2:26" ht="60" customHeight="1" x14ac:dyDescent="0.55000000000000004">
      <c r="B72" s="1516" t="s">
        <v>442</v>
      </c>
      <c r="C72" s="1517"/>
      <c r="D72" s="1517"/>
      <c r="E72" s="1515" t="s">
        <v>201</v>
      </c>
      <c r="F72" s="1490"/>
      <c r="G72" s="587">
        <f>+G73*G79</f>
        <v>1.3049999999999999</v>
      </c>
      <c r="H72" s="1503"/>
      <c r="I72" s="1494"/>
      <c r="J72" s="1495"/>
      <c r="K72" s="588">
        <f>+K73*K79</f>
        <v>1.3049999999999999</v>
      </c>
      <c r="L72" s="1503"/>
      <c r="M72" s="1494"/>
      <c r="N72" s="1495"/>
      <c r="O72" s="588">
        <f>+O73*O79</f>
        <v>1.3049999999999999</v>
      </c>
      <c r="P72" s="1503"/>
      <c r="Q72" s="1494"/>
      <c r="R72" s="1495"/>
      <c r="S72" s="589">
        <f>+S74*S73</f>
        <v>12</v>
      </c>
      <c r="T72" s="1503"/>
      <c r="U72" s="1522"/>
      <c r="V72" s="1523"/>
      <c r="W72" s="589"/>
      <c r="X72" s="1503" t="s">
        <v>695</v>
      </c>
      <c r="Y72" s="1494"/>
      <c r="Z72" s="1507"/>
    </row>
    <row r="73" spans="2:26" ht="60" customHeight="1" x14ac:dyDescent="0.55000000000000004">
      <c r="B73" s="1518"/>
      <c r="C73" s="1519"/>
      <c r="D73" s="1519"/>
      <c r="E73" s="1515" t="s">
        <v>132</v>
      </c>
      <c r="F73" s="1490"/>
      <c r="G73" s="590">
        <v>1</v>
      </c>
      <c r="H73" s="1504"/>
      <c r="I73" s="1497"/>
      <c r="J73" s="1498"/>
      <c r="K73" s="590">
        <v>1</v>
      </c>
      <c r="L73" s="1504"/>
      <c r="M73" s="1497"/>
      <c r="N73" s="1498"/>
      <c r="O73" s="590">
        <v>1</v>
      </c>
      <c r="P73" s="1504"/>
      <c r="Q73" s="1497"/>
      <c r="R73" s="1498"/>
      <c r="S73" s="590">
        <v>1</v>
      </c>
      <c r="T73" s="1524"/>
      <c r="U73" s="1525"/>
      <c r="V73" s="1526"/>
      <c r="W73" s="590"/>
      <c r="X73" s="1504"/>
      <c r="Y73" s="1497"/>
      <c r="Z73" s="1508"/>
    </row>
    <row r="74" spans="2:26" ht="60" customHeight="1" x14ac:dyDescent="0.55000000000000004">
      <c r="B74" s="1518"/>
      <c r="C74" s="1519"/>
      <c r="D74" s="1519"/>
      <c r="E74" s="1515" t="s">
        <v>674</v>
      </c>
      <c r="F74" s="1490"/>
      <c r="G74" s="590">
        <v>1.45</v>
      </c>
      <c r="H74" s="1504"/>
      <c r="I74" s="1497"/>
      <c r="J74" s="1498"/>
      <c r="K74" s="590">
        <v>1.45</v>
      </c>
      <c r="L74" s="1504"/>
      <c r="M74" s="1497"/>
      <c r="N74" s="1498"/>
      <c r="O74" s="590">
        <v>1.45</v>
      </c>
      <c r="P74" s="1504"/>
      <c r="Q74" s="1497"/>
      <c r="R74" s="1498"/>
      <c r="S74" s="590">
        <v>12</v>
      </c>
      <c r="T74" s="1524"/>
      <c r="U74" s="1525"/>
      <c r="V74" s="1526"/>
      <c r="W74" s="590"/>
      <c r="X74" s="1504"/>
      <c r="Y74" s="1497"/>
      <c r="Z74" s="1508"/>
    </row>
    <row r="75" spans="2:26" ht="60" customHeight="1" x14ac:dyDescent="0.55000000000000004">
      <c r="B75" s="1518"/>
      <c r="C75" s="1519"/>
      <c r="D75" s="1519"/>
      <c r="E75" s="1515" t="s">
        <v>675</v>
      </c>
      <c r="F75" s="1490"/>
      <c r="G75" s="590">
        <v>0.9</v>
      </c>
      <c r="H75" s="1504"/>
      <c r="I75" s="1497"/>
      <c r="J75" s="1498"/>
      <c r="K75" s="590">
        <v>0.9</v>
      </c>
      <c r="L75" s="1504"/>
      <c r="M75" s="1497"/>
      <c r="N75" s="1498"/>
      <c r="O75" s="590">
        <v>0.9</v>
      </c>
      <c r="P75" s="1504"/>
      <c r="Q75" s="1497"/>
      <c r="R75" s="1498"/>
      <c r="S75" s="591"/>
      <c r="T75" s="1524"/>
      <c r="U75" s="1525"/>
      <c r="V75" s="1526"/>
      <c r="W75" s="590"/>
      <c r="X75" s="1504"/>
      <c r="Y75" s="1497"/>
      <c r="Z75" s="1508"/>
    </row>
    <row r="76" spans="2:26" ht="60" customHeight="1" x14ac:dyDescent="0.55000000000000004">
      <c r="B76" s="1518"/>
      <c r="C76" s="1519"/>
      <c r="D76" s="1519"/>
      <c r="E76" s="1515" t="s">
        <v>676</v>
      </c>
      <c r="F76" s="1490"/>
      <c r="G76" s="590"/>
      <c r="H76" s="1504"/>
      <c r="I76" s="1497"/>
      <c r="J76" s="1498"/>
      <c r="K76" s="590"/>
      <c r="L76" s="1504"/>
      <c r="M76" s="1497"/>
      <c r="N76" s="1498"/>
      <c r="O76" s="590"/>
      <c r="P76" s="1504"/>
      <c r="Q76" s="1497"/>
      <c r="R76" s="1498"/>
      <c r="S76" s="590"/>
      <c r="T76" s="1524"/>
      <c r="U76" s="1525"/>
      <c r="V76" s="1526"/>
      <c r="W76" s="590"/>
      <c r="X76" s="1504"/>
      <c r="Y76" s="1497"/>
      <c r="Z76" s="1508"/>
    </row>
    <row r="77" spans="2:26" ht="60" customHeight="1" x14ac:dyDescent="0.55000000000000004">
      <c r="B77" s="1518"/>
      <c r="C77" s="1519"/>
      <c r="D77" s="1519"/>
      <c r="E77" s="1515" t="s">
        <v>677</v>
      </c>
      <c r="F77" s="1490"/>
      <c r="G77" s="590"/>
      <c r="H77" s="1504"/>
      <c r="I77" s="1497"/>
      <c r="J77" s="1498"/>
      <c r="K77" s="590"/>
      <c r="L77" s="1504"/>
      <c r="M77" s="1497"/>
      <c r="N77" s="1498"/>
      <c r="O77" s="590"/>
      <c r="P77" s="1504"/>
      <c r="Q77" s="1497"/>
      <c r="R77" s="1498"/>
      <c r="S77" s="590"/>
      <c r="T77" s="1524"/>
      <c r="U77" s="1525"/>
      <c r="V77" s="1526"/>
      <c r="W77" s="590"/>
      <c r="X77" s="1504"/>
      <c r="Y77" s="1497"/>
      <c r="Z77" s="1508"/>
    </row>
    <row r="78" spans="2:26" ht="60" customHeight="1" x14ac:dyDescent="0.55000000000000004">
      <c r="B78" s="1518"/>
      <c r="C78" s="1519"/>
      <c r="D78" s="1519"/>
      <c r="E78" s="1515" t="s">
        <v>678</v>
      </c>
      <c r="F78" s="1490"/>
      <c r="G78" s="590"/>
      <c r="H78" s="1504"/>
      <c r="I78" s="1497"/>
      <c r="J78" s="1498"/>
      <c r="K78" s="590"/>
      <c r="L78" s="1504"/>
      <c r="M78" s="1497"/>
      <c r="N78" s="1498"/>
      <c r="O78" s="590"/>
      <c r="P78" s="1504"/>
      <c r="Q78" s="1497"/>
      <c r="R78" s="1498"/>
      <c r="S78" s="590"/>
      <c r="T78" s="1524"/>
      <c r="U78" s="1525"/>
      <c r="V78" s="1526"/>
      <c r="W78" s="590"/>
      <c r="X78" s="1504"/>
      <c r="Y78" s="1497"/>
      <c r="Z78" s="1508"/>
    </row>
    <row r="79" spans="2:26" ht="60" customHeight="1" x14ac:dyDescent="0.55000000000000004">
      <c r="B79" s="1518"/>
      <c r="C79" s="1519"/>
      <c r="D79" s="1519"/>
      <c r="E79" s="1515" t="s">
        <v>1452</v>
      </c>
      <c r="F79" s="1490"/>
      <c r="G79" s="590">
        <f>+G74*G75</f>
        <v>1.3049999999999999</v>
      </c>
      <c r="H79" s="1504"/>
      <c r="I79" s="1497"/>
      <c r="J79" s="1498"/>
      <c r="K79" s="590">
        <f>+K74*K75</f>
        <v>1.3049999999999999</v>
      </c>
      <c r="L79" s="1504"/>
      <c r="M79" s="1497"/>
      <c r="N79" s="1498"/>
      <c r="O79" s="590">
        <f>+O74*O75</f>
        <v>1.3049999999999999</v>
      </c>
      <c r="P79" s="1504"/>
      <c r="Q79" s="1497"/>
      <c r="R79" s="1498"/>
      <c r="S79" s="591"/>
      <c r="T79" s="1524"/>
      <c r="U79" s="1525"/>
      <c r="V79" s="1526"/>
      <c r="W79" s="591"/>
      <c r="X79" s="1504"/>
      <c r="Y79" s="1497"/>
      <c r="Z79" s="1508"/>
    </row>
    <row r="80" spans="2:26" ht="60" customHeight="1" x14ac:dyDescent="0.55000000000000004">
      <c r="B80" s="1520"/>
      <c r="C80" s="1521"/>
      <c r="D80" s="1521"/>
      <c r="E80" s="1515" t="s">
        <v>1453</v>
      </c>
      <c r="F80" s="1490"/>
      <c r="G80" s="590"/>
      <c r="H80" s="1505"/>
      <c r="I80" s="1500"/>
      <c r="J80" s="1501"/>
      <c r="K80" s="590"/>
      <c r="L80" s="1505"/>
      <c r="M80" s="1500"/>
      <c r="N80" s="1501"/>
      <c r="O80" s="590"/>
      <c r="P80" s="1505"/>
      <c r="Q80" s="1500"/>
      <c r="R80" s="1501"/>
      <c r="S80" s="590"/>
      <c r="T80" s="1527"/>
      <c r="U80" s="1528"/>
      <c r="V80" s="1529"/>
      <c r="W80" s="590"/>
      <c r="X80" s="1505"/>
      <c r="Y80" s="1500"/>
      <c r="Z80" s="1509"/>
    </row>
    <row r="81" spans="2:26" ht="60" customHeight="1" x14ac:dyDescent="0.55000000000000004">
      <c r="B81" s="583"/>
      <c r="C81" s="584"/>
      <c r="D81" s="592"/>
      <c r="E81" s="584"/>
      <c r="F81" s="584"/>
      <c r="G81" s="584"/>
      <c r="H81" s="584"/>
      <c r="I81" s="584"/>
      <c r="J81" s="584"/>
      <c r="K81" s="584"/>
      <c r="L81" s="584"/>
      <c r="M81" s="584"/>
      <c r="N81" s="584"/>
      <c r="O81" s="584"/>
      <c r="P81" s="584"/>
      <c r="Q81" s="584"/>
      <c r="R81" s="584"/>
      <c r="S81" s="584"/>
      <c r="T81" s="584"/>
      <c r="U81" s="584"/>
      <c r="V81" s="584"/>
      <c r="W81" s="584"/>
      <c r="X81" s="584"/>
      <c r="Y81" s="584"/>
      <c r="Z81" s="585"/>
    </row>
    <row r="82" spans="2:26" ht="60" customHeight="1" x14ac:dyDescent="0.55000000000000004">
      <c r="B82" s="1510" t="s">
        <v>38</v>
      </c>
      <c r="C82" s="1511"/>
      <c r="D82" s="586" t="s">
        <v>397</v>
      </c>
      <c r="E82" s="1512" t="s">
        <v>673</v>
      </c>
      <c r="F82" s="1501"/>
      <c r="G82" s="1487" t="s">
        <v>1362</v>
      </c>
      <c r="H82" s="1488"/>
      <c r="I82" s="1485" t="s">
        <v>1216</v>
      </c>
      <c r="J82" s="1486"/>
      <c r="K82" s="1487" t="s">
        <v>1363</v>
      </c>
      <c r="L82" s="1488"/>
      <c r="M82" s="1485" t="s">
        <v>1216</v>
      </c>
      <c r="N82" s="1486"/>
      <c r="O82" s="1487" t="s">
        <v>1364</v>
      </c>
      <c r="P82" s="1488"/>
      <c r="Q82" s="1485" t="s">
        <v>1216</v>
      </c>
      <c r="R82" s="1486"/>
      <c r="S82" s="1487" t="s">
        <v>1365</v>
      </c>
      <c r="T82" s="1488"/>
      <c r="U82" s="1485"/>
      <c r="V82" s="1486"/>
      <c r="W82" s="1487" t="s">
        <v>1366</v>
      </c>
      <c r="X82" s="1488"/>
      <c r="Y82" s="1485" t="s">
        <v>1216</v>
      </c>
      <c r="Z82" s="1513"/>
    </row>
    <row r="83" spans="2:26" ht="60" customHeight="1" x14ac:dyDescent="0.55000000000000004">
      <c r="B83" s="1516" t="s">
        <v>1372</v>
      </c>
      <c r="C83" s="1517"/>
      <c r="D83" s="1517"/>
      <c r="E83" s="1515" t="s">
        <v>201</v>
      </c>
      <c r="F83" s="1490"/>
      <c r="G83" s="587">
        <f>+G84*G90</f>
        <v>2.2000000000000002</v>
      </c>
      <c r="H83" s="1503"/>
      <c r="I83" s="1494"/>
      <c r="J83" s="1495"/>
      <c r="K83" s="588">
        <f>+K84*K90</f>
        <v>2.2000000000000002</v>
      </c>
      <c r="L83" s="1503"/>
      <c r="M83" s="1494"/>
      <c r="N83" s="1495"/>
      <c r="O83" s="588">
        <f>+O84*O90</f>
        <v>2.2000000000000002</v>
      </c>
      <c r="P83" s="1503"/>
      <c r="Q83" s="1494"/>
      <c r="R83" s="1495"/>
      <c r="S83" s="589"/>
      <c r="T83" s="1503" t="s">
        <v>695</v>
      </c>
      <c r="U83" s="1522"/>
      <c r="V83" s="1523"/>
      <c r="W83" s="589"/>
      <c r="X83" s="1503" t="s">
        <v>695</v>
      </c>
      <c r="Y83" s="1494"/>
      <c r="Z83" s="1507"/>
    </row>
    <row r="84" spans="2:26" ht="60" customHeight="1" x14ac:dyDescent="0.55000000000000004">
      <c r="B84" s="1518"/>
      <c r="C84" s="1519"/>
      <c r="D84" s="1519"/>
      <c r="E84" s="1515" t="s">
        <v>132</v>
      </c>
      <c r="F84" s="1490"/>
      <c r="G84" s="590">
        <v>1</v>
      </c>
      <c r="H84" s="1504"/>
      <c r="I84" s="1497"/>
      <c r="J84" s="1498"/>
      <c r="K84" s="590">
        <v>1</v>
      </c>
      <c r="L84" s="1504"/>
      <c r="M84" s="1497"/>
      <c r="N84" s="1498"/>
      <c r="O84" s="590">
        <v>1</v>
      </c>
      <c r="P84" s="1504"/>
      <c r="Q84" s="1497"/>
      <c r="R84" s="1498"/>
      <c r="S84" s="589"/>
      <c r="T84" s="1524"/>
      <c r="U84" s="1525"/>
      <c r="V84" s="1526"/>
      <c r="W84" s="590"/>
      <c r="X84" s="1504"/>
      <c r="Y84" s="1497"/>
      <c r="Z84" s="1508"/>
    </row>
    <row r="85" spans="2:26" ht="60" customHeight="1" x14ac:dyDescent="0.55000000000000004">
      <c r="B85" s="1518"/>
      <c r="C85" s="1519"/>
      <c r="D85" s="1519"/>
      <c r="E85" s="1515" t="s">
        <v>674</v>
      </c>
      <c r="F85" s="1490"/>
      <c r="G85" s="590">
        <v>2</v>
      </c>
      <c r="H85" s="1504"/>
      <c r="I85" s="1497"/>
      <c r="J85" s="1498"/>
      <c r="K85" s="590">
        <v>2</v>
      </c>
      <c r="L85" s="1504"/>
      <c r="M85" s="1497"/>
      <c r="N85" s="1498"/>
      <c r="O85" s="590">
        <v>2</v>
      </c>
      <c r="P85" s="1504"/>
      <c r="Q85" s="1497"/>
      <c r="R85" s="1498"/>
      <c r="S85" s="589"/>
      <c r="T85" s="1524"/>
      <c r="U85" s="1525"/>
      <c r="V85" s="1526"/>
      <c r="W85" s="590"/>
      <c r="X85" s="1504"/>
      <c r="Y85" s="1497"/>
      <c r="Z85" s="1508"/>
    </row>
    <row r="86" spans="2:26" ht="60" customHeight="1" x14ac:dyDescent="0.55000000000000004">
      <c r="B86" s="1518"/>
      <c r="C86" s="1519"/>
      <c r="D86" s="1519"/>
      <c r="E86" s="1515" t="s">
        <v>675</v>
      </c>
      <c r="F86" s="1490"/>
      <c r="G86" s="590">
        <v>1.1000000000000001</v>
      </c>
      <c r="H86" s="1504"/>
      <c r="I86" s="1497"/>
      <c r="J86" s="1498"/>
      <c r="K86" s="590">
        <v>1.1000000000000001</v>
      </c>
      <c r="L86" s="1504"/>
      <c r="M86" s="1497"/>
      <c r="N86" s="1498"/>
      <c r="O86" s="590">
        <v>1.1000000000000001</v>
      </c>
      <c r="P86" s="1504"/>
      <c r="Q86" s="1497"/>
      <c r="R86" s="1498"/>
      <c r="S86" s="589"/>
      <c r="T86" s="1524"/>
      <c r="U86" s="1525"/>
      <c r="V86" s="1526"/>
      <c r="W86" s="590"/>
      <c r="X86" s="1504"/>
      <c r="Y86" s="1497"/>
      <c r="Z86" s="1508"/>
    </row>
    <row r="87" spans="2:26" ht="60" customHeight="1" x14ac:dyDescent="0.55000000000000004">
      <c r="B87" s="1518"/>
      <c r="C87" s="1519"/>
      <c r="D87" s="1519"/>
      <c r="E87" s="1515" t="s">
        <v>676</v>
      </c>
      <c r="F87" s="1490"/>
      <c r="G87" s="590"/>
      <c r="H87" s="1504"/>
      <c r="I87" s="1497"/>
      <c r="J87" s="1498"/>
      <c r="K87" s="590"/>
      <c r="L87" s="1504"/>
      <c r="M87" s="1497"/>
      <c r="N87" s="1498"/>
      <c r="O87" s="590"/>
      <c r="P87" s="1504"/>
      <c r="Q87" s="1497"/>
      <c r="R87" s="1498"/>
      <c r="S87" s="590"/>
      <c r="T87" s="1524"/>
      <c r="U87" s="1525"/>
      <c r="V87" s="1526"/>
      <c r="W87" s="590"/>
      <c r="X87" s="1504"/>
      <c r="Y87" s="1497"/>
      <c r="Z87" s="1508"/>
    </row>
    <row r="88" spans="2:26" ht="60" customHeight="1" x14ac:dyDescent="0.55000000000000004">
      <c r="B88" s="1518"/>
      <c r="C88" s="1519"/>
      <c r="D88" s="1519"/>
      <c r="E88" s="1515" t="s">
        <v>677</v>
      </c>
      <c r="F88" s="1490"/>
      <c r="G88" s="590"/>
      <c r="H88" s="1504"/>
      <c r="I88" s="1497"/>
      <c r="J88" s="1498"/>
      <c r="K88" s="590"/>
      <c r="L88" s="1504"/>
      <c r="M88" s="1497"/>
      <c r="N88" s="1498"/>
      <c r="O88" s="590"/>
      <c r="P88" s="1504"/>
      <c r="Q88" s="1497"/>
      <c r="R88" s="1498"/>
      <c r="S88" s="590"/>
      <c r="T88" s="1524"/>
      <c r="U88" s="1525"/>
      <c r="V88" s="1526"/>
      <c r="W88" s="590"/>
      <c r="X88" s="1504"/>
      <c r="Y88" s="1497"/>
      <c r="Z88" s="1508"/>
    </row>
    <row r="89" spans="2:26" ht="60" customHeight="1" x14ac:dyDescent="0.55000000000000004">
      <c r="B89" s="1518"/>
      <c r="C89" s="1519"/>
      <c r="D89" s="1519"/>
      <c r="E89" s="1515" t="s">
        <v>678</v>
      </c>
      <c r="F89" s="1490"/>
      <c r="G89" s="590"/>
      <c r="H89" s="1504"/>
      <c r="I89" s="1497"/>
      <c r="J89" s="1498"/>
      <c r="K89" s="590"/>
      <c r="L89" s="1504"/>
      <c r="M89" s="1497"/>
      <c r="N89" s="1498"/>
      <c r="O89" s="590"/>
      <c r="P89" s="1504"/>
      <c r="Q89" s="1497"/>
      <c r="R89" s="1498"/>
      <c r="S89" s="590"/>
      <c r="T89" s="1524"/>
      <c r="U89" s="1525"/>
      <c r="V89" s="1526"/>
      <c r="W89" s="590"/>
      <c r="X89" s="1504"/>
      <c r="Y89" s="1497"/>
      <c r="Z89" s="1508"/>
    </row>
    <row r="90" spans="2:26" ht="60" customHeight="1" x14ac:dyDescent="0.55000000000000004">
      <c r="B90" s="1518"/>
      <c r="C90" s="1519"/>
      <c r="D90" s="1519"/>
      <c r="E90" s="1515" t="s">
        <v>1452</v>
      </c>
      <c r="F90" s="1490"/>
      <c r="G90" s="590">
        <f>+G85*G86</f>
        <v>2.2000000000000002</v>
      </c>
      <c r="H90" s="1504"/>
      <c r="I90" s="1497"/>
      <c r="J90" s="1498"/>
      <c r="K90" s="590">
        <f>+K85*K86</f>
        <v>2.2000000000000002</v>
      </c>
      <c r="L90" s="1504"/>
      <c r="M90" s="1497"/>
      <c r="N90" s="1498"/>
      <c r="O90" s="590">
        <f>+O85*O86</f>
        <v>2.2000000000000002</v>
      </c>
      <c r="P90" s="1504"/>
      <c r="Q90" s="1497"/>
      <c r="R90" s="1498"/>
      <c r="S90" s="591"/>
      <c r="T90" s="1524"/>
      <c r="U90" s="1525"/>
      <c r="V90" s="1526"/>
      <c r="W90" s="591"/>
      <c r="X90" s="1504"/>
      <c r="Y90" s="1497"/>
      <c r="Z90" s="1508"/>
    </row>
    <row r="91" spans="2:26" ht="60" customHeight="1" x14ac:dyDescent="0.55000000000000004">
      <c r="B91" s="1520"/>
      <c r="C91" s="1521"/>
      <c r="D91" s="1521"/>
      <c r="E91" s="1515" t="s">
        <v>1453</v>
      </c>
      <c r="F91" s="1490"/>
      <c r="G91" s="590"/>
      <c r="H91" s="1505"/>
      <c r="I91" s="1500"/>
      <c r="J91" s="1501"/>
      <c r="K91" s="590"/>
      <c r="L91" s="1505"/>
      <c r="M91" s="1500"/>
      <c r="N91" s="1501"/>
      <c r="O91" s="590"/>
      <c r="P91" s="1505"/>
      <c r="Q91" s="1500"/>
      <c r="R91" s="1501"/>
      <c r="S91" s="590"/>
      <c r="T91" s="1527"/>
      <c r="U91" s="1528"/>
      <c r="V91" s="1529"/>
      <c r="W91" s="590"/>
      <c r="X91" s="1505"/>
      <c r="Y91" s="1500"/>
      <c r="Z91" s="1509"/>
    </row>
    <row r="92" spans="2:26" ht="60" customHeight="1" x14ac:dyDescent="0.55000000000000004">
      <c r="B92" s="583"/>
      <c r="C92" s="584"/>
      <c r="D92" s="592"/>
      <c r="E92" s="584"/>
      <c r="F92" s="584"/>
      <c r="G92" s="584"/>
      <c r="H92" s="584"/>
      <c r="I92" s="584"/>
      <c r="J92" s="584"/>
      <c r="K92" s="584"/>
      <c r="L92" s="584"/>
      <c r="M92" s="584"/>
      <c r="N92" s="584"/>
      <c r="O92" s="584"/>
      <c r="P92" s="584"/>
      <c r="Q92" s="584"/>
      <c r="R92" s="584"/>
      <c r="S92" s="584"/>
      <c r="T92" s="584"/>
      <c r="U92" s="584"/>
      <c r="V92" s="584"/>
      <c r="W92" s="584"/>
      <c r="X92" s="584"/>
      <c r="Y92" s="584"/>
      <c r="Z92" s="585"/>
    </row>
    <row r="93" spans="2:26" ht="60" customHeight="1" x14ac:dyDescent="0.55000000000000004">
      <c r="B93" s="1510" t="s">
        <v>38</v>
      </c>
      <c r="C93" s="1511"/>
      <c r="D93" s="586" t="s">
        <v>397</v>
      </c>
      <c r="E93" s="1512" t="s">
        <v>673</v>
      </c>
      <c r="F93" s="1501"/>
      <c r="G93" s="1487" t="s">
        <v>1362</v>
      </c>
      <c r="H93" s="1488"/>
      <c r="I93" s="1485" t="s">
        <v>1394</v>
      </c>
      <c r="J93" s="1486"/>
      <c r="K93" s="1487" t="s">
        <v>1363</v>
      </c>
      <c r="L93" s="1488"/>
      <c r="M93" s="1485" t="s">
        <v>1216</v>
      </c>
      <c r="N93" s="1486"/>
      <c r="O93" s="1487" t="s">
        <v>1364</v>
      </c>
      <c r="P93" s="1488"/>
      <c r="Q93" s="1485" t="s">
        <v>1216</v>
      </c>
      <c r="R93" s="1486"/>
      <c r="S93" s="1487" t="s">
        <v>1365</v>
      </c>
      <c r="T93" s="1488"/>
      <c r="U93" s="1485"/>
      <c r="V93" s="1486"/>
      <c r="W93" s="1487" t="s">
        <v>1366</v>
      </c>
      <c r="X93" s="1488"/>
      <c r="Y93" s="1485" t="s">
        <v>1216</v>
      </c>
      <c r="Z93" s="1513"/>
    </row>
    <row r="94" spans="2:26" ht="60" customHeight="1" x14ac:dyDescent="0.55000000000000004">
      <c r="B94" s="1516" t="s">
        <v>1373</v>
      </c>
      <c r="C94" s="1517"/>
      <c r="D94" s="1517"/>
      <c r="E94" s="1515" t="s">
        <v>201</v>
      </c>
      <c r="F94" s="1490"/>
      <c r="G94" s="587">
        <f>+G95*G96</f>
        <v>104</v>
      </c>
      <c r="H94" s="1503"/>
      <c r="I94" s="1494"/>
      <c r="J94" s="1495"/>
      <c r="K94" s="588">
        <f>+K95*K96</f>
        <v>63</v>
      </c>
      <c r="L94" s="1503"/>
      <c r="M94" s="1494"/>
      <c r="N94" s="1495"/>
      <c r="O94" s="588">
        <f>+O95*O96</f>
        <v>37</v>
      </c>
      <c r="P94" s="1503"/>
      <c r="Q94" s="1494"/>
      <c r="R94" s="1495"/>
      <c r="S94" s="589"/>
      <c r="T94" s="1503" t="s">
        <v>695</v>
      </c>
      <c r="U94" s="1494"/>
      <c r="V94" s="1495"/>
      <c r="W94" s="589"/>
      <c r="X94" s="1503" t="s">
        <v>695</v>
      </c>
      <c r="Y94" s="1494"/>
      <c r="Z94" s="1507"/>
    </row>
    <row r="95" spans="2:26" ht="60" customHeight="1" x14ac:dyDescent="0.55000000000000004">
      <c r="B95" s="1518"/>
      <c r="C95" s="1519"/>
      <c r="D95" s="1519"/>
      <c r="E95" s="1515" t="s">
        <v>132</v>
      </c>
      <c r="F95" s="1490"/>
      <c r="G95" s="590">
        <v>1</v>
      </c>
      <c r="H95" s="1504"/>
      <c r="I95" s="1497"/>
      <c r="J95" s="1498"/>
      <c r="K95" s="590">
        <v>1</v>
      </c>
      <c r="L95" s="1504"/>
      <c r="M95" s="1497"/>
      <c r="N95" s="1498"/>
      <c r="O95" s="590">
        <v>1</v>
      </c>
      <c r="P95" s="1504"/>
      <c r="Q95" s="1497"/>
      <c r="R95" s="1498"/>
      <c r="S95" s="590"/>
      <c r="T95" s="1504"/>
      <c r="U95" s="1497"/>
      <c r="V95" s="1498"/>
      <c r="W95" s="590"/>
      <c r="X95" s="1504"/>
      <c r="Y95" s="1497"/>
      <c r="Z95" s="1508"/>
    </row>
    <row r="96" spans="2:26" ht="60" customHeight="1" x14ac:dyDescent="0.55000000000000004">
      <c r="B96" s="1518"/>
      <c r="C96" s="1519"/>
      <c r="D96" s="1519"/>
      <c r="E96" s="1515" t="s">
        <v>674</v>
      </c>
      <c r="F96" s="1490"/>
      <c r="G96" s="590">
        <f>90+7+7</f>
        <v>104</v>
      </c>
      <c r="H96" s="1504"/>
      <c r="I96" s="1497"/>
      <c r="J96" s="1498"/>
      <c r="K96" s="590">
        <f>50+6.5+6.5</f>
        <v>63</v>
      </c>
      <c r="L96" s="1504"/>
      <c r="M96" s="1497"/>
      <c r="N96" s="1498"/>
      <c r="O96" s="590">
        <f>25+6+6</f>
        <v>37</v>
      </c>
      <c r="P96" s="1504"/>
      <c r="Q96" s="1497"/>
      <c r="R96" s="1498"/>
      <c r="S96" s="590"/>
      <c r="T96" s="1504"/>
      <c r="U96" s="1497"/>
      <c r="V96" s="1498"/>
      <c r="W96" s="590"/>
      <c r="X96" s="1504"/>
      <c r="Y96" s="1497"/>
      <c r="Z96" s="1508"/>
    </row>
    <row r="97" spans="2:26" ht="60" customHeight="1" x14ac:dyDescent="0.55000000000000004">
      <c r="B97" s="1518"/>
      <c r="C97" s="1519"/>
      <c r="D97" s="1519"/>
      <c r="E97" s="1515" t="s">
        <v>675</v>
      </c>
      <c r="F97" s="1490"/>
      <c r="G97" s="590"/>
      <c r="H97" s="1504"/>
      <c r="I97" s="1497"/>
      <c r="J97" s="1498"/>
      <c r="K97" s="590"/>
      <c r="L97" s="1504"/>
      <c r="M97" s="1497"/>
      <c r="N97" s="1498"/>
      <c r="O97" s="590"/>
      <c r="P97" s="1504"/>
      <c r="Q97" s="1497"/>
      <c r="R97" s="1498"/>
      <c r="S97" s="590"/>
      <c r="T97" s="1504"/>
      <c r="U97" s="1497"/>
      <c r="V97" s="1498"/>
      <c r="W97" s="590"/>
      <c r="X97" s="1504"/>
      <c r="Y97" s="1497"/>
      <c r="Z97" s="1508"/>
    </row>
    <row r="98" spans="2:26" ht="60" customHeight="1" x14ac:dyDescent="0.55000000000000004">
      <c r="B98" s="1518"/>
      <c r="C98" s="1519"/>
      <c r="D98" s="1519"/>
      <c r="E98" s="1515" t="s">
        <v>676</v>
      </c>
      <c r="F98" s="1490"/>
      <c r="G98" s="590"/>
      <c r="H98" s="1504"/>
      <c r="I98" s="1497"/>
      <c r="J98" s="1498"/>
      <c r="K98" s="590"/>
      <c r="L98" s="1504"/>
      <c r="M98" s="1497"/>
      <c r="N98" s="1498"/>
      <c r="O98" s="590"/>
      <c r="P98" s="1504"/>
      <c r="Q98" s="1497"/>
      <c r="R98" s="1498"/>
      <c r="S98" s="590"/>
      <c r="T98" s="1504"/>
      <c r="U98" s="1497"/>
      <c r="V98" s="1498"/>
      <c r="W98" s="590"/>
      <c r="X98" s="1504"/>
      <c r="Y98" s="1497"/>
      <c r="Z98" s="1508"/>
    </row>
    <row r="99" spans="2:26" ht="60" customHeight="1" x14ac:dyDescent="0.55000000000000004">
      <c r="B99" s="1518"/>
      <c r="C99" s="1519"/>
      <c r="D99" s="1519"/>
      <c r="E99" s="1515" t="s">
        <v>677</v>
      </c>
      <c r="F99" s="1490"/>
      <c r="G99" s="590"/>
      <c r="H99" s="1504"/>
      <c r="I99" s="1497"/>
      <c r="J99" s="1498"/>
      <c r="K99" s="590"/>
      <c r="L99" s="1504"/>
      <c r="M99" s="1497"/>
      <c r="N99" s="1498"/>
      <c r="O99" s="590"/>
      <c r="P99" s="1504"/>
      <c r="Q99" s="1497"/>
      <c r="R99" s="1498"/>
      <c r="S99" s="590"/>
      <c r="T99" s="1504"/>
      <c r="U99" s="1497"/>
      <c r="V99" s="1498"/>
      <c r="W99" s="590"/>
      <c r="X99" s="1504"/>
      <c r="Y99" s="1497"/>
      <c r="Z99" s="1508"/>
    </row>
    <row r="100" spans="2:26" ht="60" customHeight="1" x14ac:dyDescent="0.55000000000000004">
      <c r="B100" s="1518"/>
      <c r="C100" s="1519"/>
      <c r="D100" s="1519"/>
      <c r="E100" s="1515" t="s">
        <v>678</v>
      </c>
      <c r="F100" s="1490"/>
      <c r="G100" s="590"/>
      <c r="H100" s="1504"/>
      <c r="I100" s="1497"/>
      <c r="J100" s="1498"/>
      <c r="K100" s="590"/>
      <c r="L100" s="1504"/>
      <c r="M100" s="1497"/>
      <c r="N100" s="1498"/>
      <c r="O100" s="590"/>
      <c r="P100" s="1504"/>
      <c r="Q100" s="1497"/>
      <c r="R100" s="1498"/>
      <c r="S100" s="590"/>
      <c r="T100" s="1504"/>
      <c r="U100" s="1497"/>
      <c r="V100" s="1498"/>
      <c r="W100" s="590"/>
      <c r="X100" s="1504"/>
      <c r="Y100" s="1497"/>
      <c r="Z100" s="1508"/>
    </row>
    <row r="101" spans="2:26" ht="60" customHeight="1" x14ac:dyDescent="0.55000000000000004">
      <c r="B101" s="1518"/>
      <c r="C101" s="1519"/>
      <c r="D101" s="1519"/>
      <c r="E101" s="1515" t="s">
        <v>1452</v>
      </c>
      <c r="F101" s="1490"/>
      <c r="G101" s="590"/>
      <c r="H101" s="1504"/>
      <c r="I101" s="1497"/>
      <c r="J101" s="1498"/>
      <c r="K101" s="590"/>
      <c r="L101" s="1504"/>
      <c r="M101" s="1497"/>
      <c r="N101" s="1498"/>
      <c r="O101" s="590"/>
      <c r="P101" s="1504"/>
      <c r="Q101" s="1497"/>
      <c r="R101" s="1498"/>
      <c r="S101" s="591"/>
      <c r="T101" s="1504"/>
      <c r="U101" s="1497"/>
      <c r="V101" s="1498"/>
      <c r="W101" s="591"/>
      <c r="X101" s="1504"/>
      <c r="Y101" s="1497"/>
      <c r="Z101" s="1508"/>
    </row>
    <row r="102" spans="2:26" ht="60" customHeight="1" x14ac:dyDescent="0.55000000000000004">
      <c r="B102" s="1520"/>
      <c r="C102" s="1521"/>
      <c r="D102" s="1521"/>
      <c r="E102" s="1515" t="s">
        <v>1453</v>
      </c>
      <c r="F102" s="1490"/>
      <c r="G102" s="590"/>
      <c r="H102" s="1505"/>
      <c r="I102" s="1500"/>
      <c r="J102" s="1501"/>
      <c r="K102" s="590"/>
      <c r="L102" s="1505"/>
      <c r="M102" s="1500"/>
      <c r="N102" s="1501"/>
      <c r="O102" s="590"/>
      <c r="P102" s="1505"/>
      <c r="Q102" s="1500"/>
      <c r="R102" s="1501"/>
      <c r="S102" s="590"/>
      <c r="T102" s="1505"/>
      <c r="U102" s="1500"/>
      <c r="V102" s="1501"/>
      <c r="W102" s="590"/>
      <c r="X102" s="1505"/>
      <c r="Y102" s="1500"/>
      <c r="Z102" s="1509"/>
    </row>
    <row r="103" spans="2:26" ht="60" customHeight="1" x14ac:dyDescent="0.55000000000000004">
      <c r="B103" s="583"/>
      <c r="C103" s="584"/>
      <c r="D103" s="592"/>
      <c r="E103" s="584"/>
      <c r="F103" s="584"/>
      <c r="G103" s="584"/>
      <c r="H103" s="584"/>
      <c r="I103" s="584"/>
      <c r="J103" s="584"/>
      <c r="K103" s="584"/>
      <c r="L103" s="584"/>
      <c r="M103" s="584"/>
      <c r="N103" s="584"/>
      <c r="O103" s="584"/>
      <c r="P103" s="584"/>
      <c r="Q103" s="584"/>
      <c r="R103" s="584"/>
      <c r="S103" s="584"/>
      <c r="T103" s="584"/>
      <c r="U103" s="584"/>
      <c r="V103" s="584"/>
      <c r="W103" s="584"/>
      <c r="X103" s="584"/>
      <c r="Y103" s="584"/>
      <c r="Z103" s="585"/>
    </row>
    <row r="104" spans="2:26" ht="60" customHeight="1" x14ac:dyDescent="0.55000000000000004">
      <c r="B104" s="1510" t="s">
        <v>38</v>
      </c>
      <c r="C104" s="1511"/>
      <c r="D104" s="586" t="s">
        <v>399</v>
      </c>
      <c r="E104" s="1512" t="s">
        <v>673</v>
      </c>
      <c r="F104" s="1501"/>
      <c r="G104" s="1487" t="s">
        <v>1362</v>
      </c>
      <c r="H104" s="1488"/>
      <c r="I104" s="1485" t="s">
        <v>1217</v>
      </c>
      <c r="J104" s="1486"/>
      <c r="K104" s="1487" t="s">
        <v>1363</v>
      </c>
      <c r="L104" s="1488"/>
      <c r="M104" s="1485" t="s">
        <v>1216</v>
      </c>
      <c r="N104" s="1486"/>
      <c r="O104" s="1487" t="s">
        <v>1364</v>
      </c>
      <c r="P104" s="1488"/>
      <c r="Q104" s="1485" t="s">
        <v>1216</v>
      </c>
      <c r="R104" s="1486"/>
      <c r="S104" s="1487" t="s">
        <v>1365</v>
      </c>
      <c r="T104" s="1488"/>
      <c r="U104" s="1485" t="s">
        <v>1217</v>
      </c>
      <c r="V104" s="1486"/>
      <c r="W104" s="1487" t="s">
        <v>1366</v>
      </c>
      <c r="X104" s="1488"/>
      <c r="Y104" s="1485" t="s">
        <v>1216</v>
      </c>
      <c r="Z104" s="1513"/>
    </row>
    <row r="105" spans="2:26" ht="60" customHeight="1" x14ac:dyDescent="0.55000000000000004">
      <c r="B105" s="1493" t="s">
        <v>750</v>
      </c>
      <c r="C105" s="1494"/>
      <c r="D105" s="1495"/>
      <c r="E105" s="1502" t="s">
        <v>201</v>
      </c>
      <c r="F105" s="1490"/>
      <c r="G105" s="587">
        <f>+G106*G113</f>
        <v>11.77</v>
      </c>
      <c r="H105" s="1503"/>
      <c r="I105" s="1494"/>
      <c r="J105" s="1495"/>
      <c r="K105" s="588">
        <f>+K106*K113</f>
        <v>7.8320000000000007</v>
      </c>
      <c r="L105" s="1503"/>
      <c r="M105" s="1494"/>
      <c r="N105" s="1495"/>
      <c r="O105" s="588">
        <f>+O106*O113</f>
        <v>5.9400000000000013</v>
      </c>
      <c r="P105" s="1503"/>
      <c r="Q105" s="1494"/>
      <c r="R105" s="1495"/>
      <c r="S105" s="589">
        <f>+S107*S108*S109*S106</f>
        <v>0.64000000000000012</v>
      </c>
      <c r="T105" s="1503"/>
      <c r="U105" s="1522"/>
      <c r="V105" s="1523"/>
      <c r="W105" s="589"/>
      <c r="X105" s="1503" t="s">
        <v>695</v>
      </c>
      <c r="Y105" s="1494"/>
      <c r="Z105" s="1507"/>
    </row>
    <row r="106" spans="2:26" ht="60" customHeight="1" x14ac:dyDescent="0.55000000000000004">
      <c r="B106" s="1496"/>
      <c r="C106" s="1497"/>
      <c r="D106" s="1498"/>
      <c r="E106" s="1502" t="s">
        <v>751</v>
      </c>
      <c r="F106" s="1490"/>
      <c r="G106" s="590">
        <v>2</v>
      </c>
      <c r="H106" s="1504"/>
      <c r="I106" s="1497"/>
      <c r="J106" s="1498"/>
      <c r="K106" s="590">
        <v>2</v>
      </c>
      <c r="L106" s="1504"/>
      <c r="M106" s="1497"/>
      <c r="N106" s="1498"/>
      <c r="O106" s="590">
        <v>2</v>
      </c>
      <c r="P106" s="1504"/>
      <c r="Q106" s="1497"/>
      <c r="R106" s="1498"/>
      <c r="S106" s="590">
        <v>2</v>
      </c>
      <c r="T106" s="1524"/>
      <c r="U106" s="1525"/>
      <c r="V106" s="1526"/>
      <c r="W106" s="590"/>
      <c r="X106" s="1504"/>
      <c r="Y106" s="1497"/>
      <c r="Z106" s="1508"/>
    </row>
    <row r="107" spans="2:26" ht="60" customHeight="1" x14ac:dyDescent="0.55000000000000004">
      <c r="B107" s="1496"/>
      <c r="C107" s="1497"/>
      <c r="D107" s="1498"/>
      <c r="E107" s="1502" t="s">
        <v>674</v>
      </c>
      <c r="F107" s="1490"/>
      <c r="G107" s="590"/>
      <c r="H107" s="1504"/>
      <c r="I107" s="1497"/>
      <c r="J107" s="1498"/>
      <c r="K107" s="590"/>
      <c r="L107" s="1504"/>
      <c r="M107" s="1497"/>
      <c r="N107" s="1498"/>
      <c r="O107" s="590"/>
      <c r="P107" s="1504"/>
      <c r="Q107" s="1497"/>
      <c r="R107" s="1498"/>
      <c r="S107" s="590">
        <v>0.8</v>
      </c>
      <c r="T107" s="1524"/>
      <c r="U107" s="1525"/>
      <c r="V107" s="1526"/>
      <c r="W107" s="590"/>
      <c r="X107" s="1504"/>
      <c r="Y107" s="1497"/>
      <c r="Z107" s="1508"/>
    </row>
    <row r="108" spans="2:26" ht="60" customHeight="1" x14ac:dyDescent="0.55000000000000004">
      <c r="B108" s="1496"/>
      <c r="C108" s="1497"/>
      <c r="D108" s="1498"/>
      <c r="E108" s="1502" t="s">
        <v>675</v>
      </c>
      <c r="F108" s="1490"/>
      <c r="G108" s="590">
        <v>1.1000000000000001</v>
      </c>
      <c r="H108" s="1504"/>
      <c r="I108" s="1497"/>
      <c r="J108" s="1498"/>
      <c r="K108" s="590">
        <v>1.1000000000000001</v>
      </c>
      <c r="L108" s="1504"/>
      <c r="M108" s="1497"/>
      <c r="N108" s="1498"/>
      <c r="O108" s="590">
        <v>1.1000000000000001</v>
      </c>
      <c r="P108" s="1504"/>
      <c r="Q108" s="1497"/>
      <c r="R108" s="1498"/>
      <c r="S108" s="590">
        <v>0.8</v>
      </c>
      <c r="T108" s="1524"/>
      <c r="U108" s="1525"/>
      <c r="V108" s="1526"/>
      <c r="W108" s="590"/>
      <c r="X108" s="1504"/>
      <c r="Y108" s="1497"/>
      <c r="Z108" s="1508"/>
    </row>
    <row r="109" spans="2:26" ht="60" customHeight="1" x14ac:dyDescent="0.55000000000000004">
      <c r="B109" s="1496"/>
      <c r="C109" s="1497"/>
      <c r="D109" s="1498"/>
      <c r="E109" s="1502" t="s">
        <v>676</v>
      </c>
      <c r="F109" s="1490"/>
      <c r="G109" s="590"/>
      <c r="H109" s="1504"/>
      <c r="I109" s="1497"/>
      <c r="J109" s="1498"/>
      <c r="K109" s="590"/>
      <c r="L109" s="1504"/>
      <c r="M109" s="1497"/>
      <c r="N109" s="1498"/>
      <c r="O109" s="590"/>
      <c r="P109" s="1504"/>
      <c r="Q109" s="1497"/>
      <c r="R109" s="1498"/>
      <c r="S109" s="590">
        <v>0.5</v>
      </c>
      <c r="T109" s="1524"/>
      <c r="U109" s="1525"/>
      <c r="V109" s="1526"/>
      <c r="W109" s="590"/>
      <c r="X109" s="1504"/>
      <c r="Y109" s="1497"/>
      <c r="Z109" s="1508"/>
    </row>
    <row r="110" spans="2:26" ht="60" customHeight="1" x14ac:dyDescent="0.55000000000000004">
      <c r="B110" s="1496"/>
      <c r="C110" s="1497"/>
      <c r="D110" s="1498"/>
      <c r="E110" s="1502" t="s">
        <v>677</v>
      </c>
      <c r="F110" s="1490"/>
      <c r="G110" s="590"/>
      <c r="H110" s="1504"/>
      <c r="I110" s="1497"/>
      <c r="J110" s="1498"/>
      <c r="K110" s="590"/>
      <c r="L110" s="1504"/>
      <c r="M110" s="1497"/>
      <c r="N110" s="1498"/>
      <c r="O110" s="590"/>
      <c r="P110" s="1504"/>
      <c r="Q110" s="1497"/>
      <c r="R110" s="1498"/>
      <c r="S110" s="590"/>
      <c r="T110" s="1524"/>
      <c r="U110" s="1525"/>
      <c r="V110" s="1526"/>
      <c r="W110" s="590"/>
      <c r="X110" s="1504"/>
      <c r="Y110" s="1497"/>
      <c r="Z110" s="1508"/>
    </row>
    <row r="111" spans="2:26" ht="60" customHeight="1" x14ac:dyDescent="0.55000000000000004">
      <c r="B111" s="1496"/>
      <c r="C111" s="1497"/>
      <c r="D111" s="1498"/>
      <c r="E111" s="1502" t="s">
        <v>678</v>
      </c>
      <c r="F111" s="1490"/>
      <c r="G111" s="590"/>
      <c r="H111" s="1504"/>
      <c r="I111" s="1497"/>
      <c r="J111" s="1498"/>
      <c r="K111" s="590"/>
      <c r="L111" s="1504"/>
      <c r="M111" s="1497"/>
      <c r="N111" s="1498"/>
      <c r="O111" s="590"/>
      <c r="P111" s="1504"/>
      <c r="Q111" s="1497"/>
      <c r="R111" s="1498"/>
      <c r="S111" s="590"/>
      <c r="T111" s="1524"/>
      <c r="U111" s="1525"/>
      <c r="V111" s="1526"/>
      <c r="W111" s="590"/>
      <c r="X111" s="1504"/>
      <c r="Y111" s="1497"/>
      <c r="Z111" s="1508"/>
    </row>
    <row r="112" spans="2:26" ht="60" customHeight="1" x14ac:dyDescent="0.55000000000000004">
      <c r="B112" s="1496"/>
      <c r="C112" s="1497"/>
      <c r="D112" s="1498"/>
      <c r="E112" s="1502" t="s">
        <v>1452</v>
      </c>
      <c r="F112" s="1490"/>
      <c r="G112" s="590">
        <v>5.35</v>
      </c>
      <c r="H112" s="1504"/>
      <c r="I112" s="1497"/>
      <c r="J112" s="1498"/>
      <c r="K112" s="590">
        <v>3.56</v>
      </c>
      <c r="L112" s="1504"/>
      <c r="M112" s="1497"/>
      <c r="N112" s="1498"/>
      <c r="O112" s="590">
        <v>2.7</v>
      </c>
      <c r="P112" s="1504"/>
      <c r="Q112" s="1497"/>
      <c r="R112" s="1498"/>
      <c r="S112" s="590"/>
      <c r="T112" s="1524"/>
      <c r="U112" s="1525"/>
      <c r="V112" s="1526"/>
      <c r="W112" s="591"/>
      <c r="X112" s="1504"/>
      <c r="Y112" s="1497"/>
      <c r="Z112" s="1508"/>
    </row>
    <row r="113" spans="2:26" ht="60" customHeight="1" x14ac:dyDescent="0.55000000000000004">
      <c r="B113" s="1499"/>
      <c r="C113" s="1500"/>
      <c r="D113" s="1501"/>
      <c r="E113" s="1502" t="s">
        <v>1453</v>
      </c>
      <c r="F113" s="1490"/>
      <c r="G113" s="590">
        <f>+G112*G108</f>
        <v>5.8849999999999998</v>
      </c>
      <c r="H113" s="1505"/>
      <c r="I113" s="1500"/>
      <c r="J113" s="1501"/>
      <c r="K113" s="590">
        <f>+K112*K108</f>
        <v>3.9160000000000004</v>
      </c>
      <c r="L113" s="1505"/>
      <c r="M113" s="1500"/>
      <c r="N113" s="1501"/>
      <c r="O113" s="590">
        <f>+O112*O108</f>
        <v>2.9700000000000006</v>
      </c>
      <c r="P113" s="1505"/>
      <c r="Q113" s="1500"/>
      <c r="R113" s="1501"/>
      <c r="S113" s="590"/>
      <c r="T113" s="1527"/>
      <c r="U113" s="1528"/>
      <c r="V113" s="1529"/>
      <c r="W113" s="590"/>
      <c r="X113" s="1505"/>
      <c r="Y113" s="1500"/>
      <c r="Z113" s="1509"/>
    </row>
    <row r="114" spans="2:26" ht="60" customHeight="1" x14ac:dyDescent="0.55000000000000004">
      <c r="B114" s="583"/>
      <c r="C114" s="584"/>
      <c r="D114" s="592"/>
      <c r="E114" s="584"/>
      <c r="F114" s="584"/>
      <c r="G114" s="584"/>
      <c r="H114" s="584"/>
      <c r="I114" s="584"/>
      <c r="J114" s="584"/>
      <c r="K114" s="584"/>
      <c r="L114" s="584"/>
      <c r="M114" s="584"/>
      <c r="N114" s="584"/>
      <c r="O114" s="584"/>
      <c r="P114" s="584"/>
      <c r="Q114" s="584"/>
      <c r="R114" s="584"/>
      <c r="S114" s="584"/>
      <c r="T114" s="584"/>
      <c r="U114" s="584"/>
      <c r="V114" s="584"/>
      <c r="W114" s="584"/>
      <c r="X114" s="584"/>
      <c r="Y114" s="584"/>
      <c r="Z114" s="585"/>
    </row>
    <row r="115" spans="2:26" ht="60" customHeight="1" x14ac:dyDescent="0.55000000000000004">
      <c r="B115" s="1510" t="s">
        <v>38</v>
      </c>
      <c r="C115" s="1511"/>
      <c r="D115" s="586" t="s">
        <v>399</v>
      </c>
      <c r="E115" s="1512" t="s">
        <v>673</v>
      </c>
      <c r="F115" s="1501"/>
      <c r="G115" s="1487" t="s">
        <v>1362</v>
      </c>
      <c r="H115" s="1488"/>
      <c r="I115" s="1485" t="s">
        <v>1217</v>
      </c>
      <c r="J115" s="1486"/>
      <c r="K115" s="1487" t="s">
        <v>1363</v>
      </c>
      <c r="L115" s="1488"/>
      <c r="M115" s="1485" t="s">
        <v>1216</v>
      </c>
      <c r="N115" s="1486"/>
      <c r="O115" s="1487" t="s">
        <v>1364</v>
      </c>
      <c r="P115" s="1488"/>
      <c r="Q115" s="1485" t="s">
        <v>1216</v>
      </c>
      <c r="R115" s="1486"/>
      <c r="S115" s="1487" t="s">
        <v>1365</v>
      </c>
      <c r="T115" s="1488"/>
      <c r="U115" s="1485"/>
      <c r="V115" s="1486"/>
      <c r="W115" s="1487" t="s">
        <v>1366</v>
      </c>
      <c r="X115" s="1488"/>
      <c r="Y115" s="1485" t="s">
        <v>1216</v>
      </c>
      <c r="Z115" s="1513"/>
    </row>
    <row r="116" spans="2:26" ht="60" customHeight="1" x14ac:dyDescent="0.55000000000000004">
      <c r="B116" s="1493" t="s">
        <v>1374</v>
      </c>
      <c r="C116" s="1494"/>
      <c r="D116" s="1495"/>
      <c r="E116" s="1502" t="s">
        <v>201</v>
      </c>
      <c r="F116" s="1490"/>
      <c r="G116" s="587">
        <f>+G117*G124</f>
        <v>10.295</v>
      </c>
      <c r="H116" s="1503"/>
      <c r="I116" s="1494"/>
      <c r="J116" s="1495"/>
      <c r="K116" s="588">
        <f>+K117*K124</f>
        <v>4.3789999999999996</v>
      </c>
      <c r="L116" s="1503"/>
      <c r="M116" s="1494"/>
      <c r="N116" s="1495"/>
      <c r="O116" s="588">
        <f>+O117*O124</f>
        <v>4.5529999999999999</v>
      </c>
      <c r="P116" s="1503"/>
      <c r="Q116" s="1494"/>
      <c r="R116" s="1495"/>
      <c r="S116" s="589"/>
      <c r="T116" s="1503" t="s">
        <v>695</v>
      </c>
      <c r="U116" s="1522"/>
      <c r="V116" s="1523"/>
      <c r="W116" s="589"/>
      <c r="X116" s="1503" t="s">
        <v>695</v>
      </c>
      <c r="Y116" s="1494"/>
      <c r="Z116" s="1507"/>
    </row>
    <row r="117" spans="2:26" ht="60" customHeight="1" x14ac:dyDescent="0.55000000000000004">
      <c r="B117" s="1496"/>
      <c r="C117" s="1497"/>
      <c r="D117" s="1498"/>
      <c r="E117" s="1502" t="s">
        <v>751</v>
      </c>
      <c r="F117" s="1490"/>
      <c r="G117" s="590">
        <v>2</v>
      </c>
      <c r="H117" s="1504"/>
      <c r="I117" s="1497"/>
      <c r="J117" s="1498"/>
      <c r="K117" s="590">
        <v>2</v>
      </c>
      <c r="L117" s="1504"/>
      <c r="M117" s="1497"/>
      <c r="N117" s="1498"/>
      <c r="O117" s="590">
        <v>2</v>
      </c>
      <c r="P117" s="1504"/>
      <c r="Q117" s="1497"/>
      <c r="R117" s="1498"/>
      <c r="S117" s="590"/>
      <c r="T117" s="1524"/>
      <c r="U117" s="1525"/>
      <c r="V117" s="1526"/>
      <c r="W117" s="590"/>
      <c r="X117" s="1504"/>
      <c r="Y117" s="1497"/>
      <c r="Z117" s="1508"/>
    </row>
    <row r="118" spans="2:26" ht="60" customHeight="1" x14ac:dyDescent="0.55000000000000004">
      <c r="B118" s="1496"/>
      <c r="C118" s="1497"/>
      <c r="D118" s="1498"/>
      <c r="E118" s="1502" t="s">
        <v>674</v>
      </c>
      <c r="F118" s="1490"/>
      <c r="G118" s="590"/>
      <c r="H118" s="1504"/>
      <c r="I118" s="1497"/>
      <c r="J118" s="1498"/>
      <c r="K118" s="590"/>
      <c r="L118" s="1504"/>
      <c r="M118" s="1497"/>
      <c r="N118" s="1498"/>
      <c r="O118" s="590"/>
      <c r="P118" s="1504"/>
      <c r="Q118" s="1497"/>
      <c r="R118" s="1498"/>
      <c r="S118" s="590"/>
      <c r="T118" s="1524"/>
      <c r="U118" s="1525"/>
      <c r="V118" s="1526"/>
      <c r="W118" s="590"/>
      <c r="X118" s="1504"/>
      <c r="Y118" s="1497"/>
      <c r="Z118" s="1508"/>
    </row>
    <row r="119" spans="2:26" ht="60" customHeight="1" x14ac:dyDescent="0.55000000000000004">
      <c r="B119" s="1496"/>
      <c r="C119" s="1497"/>
      <c r="D119" s="1498"/>
      <c r="E119" s="1502" t="s">
        <v>675</v>
      </c>
      <c r="F119" s="1490"/>
      <c r="G119" s="590">
        <v>1.45</v>
      </c>
      <c r="H119" s="1504"/>
      <c r="I119" s="1497"/>
      <c r="J119" s="1498"/>
      <c r="K119" s="590">
        <v>1.45</v>
      </c>
      <c r="L119" s="1504"/>
      <c r="M119" s="1497"/>
      <c r="N119" s="1498"/>
      <c r="O119" s="590">
        <v>1.45</v>
      </c>
      <c r="P119" s="1504"/>
      <c r="Q119" s="1497"/>
      <c r="R119" s="1498"/>
      <c r="S119" s="590"/>
      <c r="T119" s="1524"/>
      <c r="U119" s="1525"/>
      <c r="V119" s="1526"/>
      <c r="W119" s="590"/>
      <c r="X119" s="1504"/>
      <c r="Y119" s="1497"/>
      <c r="Z119" s="1508"/>
    </row>
    <row r="120" spans="2:26" ht="60" customHeight="1" x14ac:dyDescent="0.55000000000000004">
      <c r="B120" s="1496"/>
      <c r="C120" s="1497"/>
      <c r="D120" s="1498"/>
      <c r="E120" s="1502" t="s">
        <v>676</v>
      </c>
      <c r="F120" s="1490"/>
      <c r="G120" s="590"/>
      <c r="H120" s="1504"/>
      <c r="I120" s="1497"/>
      <c r="J120" s="1498"/>
      <c r="K120" s="590"/>
      <c r="L120" s="1504"/>
      <c r="M120" s="1497"/>
      <c r="N120" s="1498"/>
      <c r="O120" s="590"/>
      <c r="P120" s="1504"/>
      <c r="Q120" s="1497"/>
      <c r="R120" s="1498"/>
      <c r="S120" s="590"/>
      <c r="T120" s="1524"/>
      <c r="U120" s="1525"/>
      <c r="V120" s="1526"/>
      <c r="W120" s="590"/>
      <c r="X120" s="1504"/>
      <c r="Y120" s="1497"/>
      <c r="Z120" s="1508"/>
    </row>
    <row r="121" spans="2:26" ht="60" customHeight="1" x14ac:dyDescent="0.55000000000000004">
      <c r="B121" s="1496"/>
      <c r="C121" s="1497"/>
      <c r="D121" s="1498"/>
      <c r="E121" s="1502" t="s">
        <v>677</v>
      </c>
      <c r="F121" s="1490"/>
      <c r="G121" s="590"/>
      <c r="H121" s="1504"/>
      <c r="I121" s="1497"/>
      <c r="J121" s="1498"/>
      <c r="K121" s="590"/>
      <c r="L121" s="1504"/>
      <c r="M121" s="1497"/>
      <c r="N121" s="1498"/>
      <c r="O121" s="590"/>
      <c r="P121" s="1504"/>
      <c r="Q121" s="1497"/>
      <c r="R121" s="1498"/>
      <c r="S121" s="590"/>
      <c r="T121" s="1524"/>
      <c r="U121" s="1525"/>
      <c r="V121" s="1526"/>
      <c r="W121" s="590"/>
      <c r="X121" s="1504"/>
      <c r="Y121" s="1497"/>
      <c r="Z121" s="1508"/>
    </row>
    <row r="122" spans="2:26" ht="60" customHeight="1" x14ac:dyDescent="0.55000000000000004">
      <c r="B122" s="1496"/>
      <c r="C122" s="1497"/>
      <c r="D122" s="1498"/>
      <c r="E122" s="1502" t="s">
        <v>678</v>
      </c>
      <c r="F122" s="1490"/>
      <c r="G122" s="590"/>
      <c r="H122" s="1504"/>
      <c r="I122" s="1497"/>
      <c r="J122" s="1498"/>
      <c r="K122" s="590"/>
      <c r="L122" s="1504"/>
      <c r="M122" s="1497"/>
      <c r="N122" s="1498"/>
      <c r="O122" s="590"/>
      <c r="P122" s="1504"/>
      <c r="Q122" s="1497"/>
      <c r="R122" s="1498"/>
      <c r="S122" s="590"/>
      <c r="T122" s="1524"/>
      <c r="U122" s="1525"/>
      <c r="V122" s="1526"/>
      <c r="W122" s="590"/>
      <c r="X122" s="1504"/>
      <c r="Y122" s="1497"/>
      <c r="Z122" s="1508"/>
    </row>
    <row r="123" spans="2:26" ht="60" customHeight="1" x14ac:dyDescent="0.55000000000000004">
      <c r="B123" s="1496"/>
      <c r="C123" s="1497"/>
      <c r="D123" s="1498"/>
      <c r="E123" s="1502" t="s">
        <v>1452</v>
      </c>
      <c r="F123" s="1490"/>
      <c r="G123" s="590">
        <v>3.55</v>
      </c>
      <c r="H123" s="1504"/>
      <c r="I123" s="1497"/>
      <c r="J123" s="1498"/>
      <c r="K123" s="590">
        <v>1.51</v>
      </c>
      <c r="L123" s="1504"/>
      <c r="M123" s="1497"/>
      <c r="N123" s="1498"/>
      <c r="O123" s="590">
        <v>1.57</v>
      </c>
      <c r="P123" s="1504"/>
      <c r="Q123" s="1497"/>
      <c r="R123" s="1498"/>
      <c r="S123" s="590"/>
      <c r="T123" s="1524"/>
      <c r="U123" s="1525"/>
      <c r="V123" s="1526"/>
      <c r="W123" s="591"/>
      <c r="X123" s="1504"/>
      <c r="Y123" s="1497"/>
      <c r="Z123" s="1508"/>
    </row>
    <row r="124" spans="2:26" ht="60" customHeight="1" x14ac:dyDescent="0.55000000000000004">
      <c r="B124" s="1499"/>
      <c r="C124" s="1500"/>
      <c r="D124" s="1501"/>
      <c r="E124" s="1502" t="s">
        <v>1453</v>
      </c>
      <c r="F124" s="1490"/>
      <c r="G124" s="590">
        <f>+G123*G119</f>
        <v>5.1475</v>
      </c>
      <c r="H124" s="1505"/>
      <c r="I124" s="1500"/>
      <c r="J124" s="1501"/>
      <c r="K124" s="590">
        <f>+K123*K119</f>
        <v>2.1894999999999998</v>
      </c>
      <c r="L124" s="1505"/>
      <c r="M124" s="1500"/>
      <c r="N124" s="1501"/>
      <c r="O124" s="590">
        <f>+O123*O119</f>
        <v>2.2765</v>
      </c>
      <c r="P124" s="1505"/>
      <c r="Q124" s="1500"/>
      <c r="R124" s="1501"/>
      <c r="S124" s="590"/>
      <c r="T124" s="1527"/>
      <c r="U124" s="1528"/>
      <c r="V124" s="1529"/>
      <c r="W124" s="590"/>
      <c r="X124" s="1505"/>
      <c r="Y124" s="1500"/>
      <c r="Z124" s="1509"/>
    </row>
    <row r="125" spans="2:26" ht="60" customHeight="1" x14ac:dyDescent="0.55000000000000004">
      <c r="B125" s="583"/>
      <c r="C125" s="584"/>
      <c r="D125" s="592"/>
      <c r="E125" s="584"/>
      <c r="F125" s="584"/>
      <c r="G125" s="584"/>
      <c r="H125" s="584"/>
      <c r="I125" s="584"/>
      <c r="J125" s="584"/>
      <c r="K125" s="584"/>
      <c r="L125" s="584"/>
      <c r="M125" s="584"/>
      <c r="N125" s="584"/>
      <c r="O125" s="584"/>
      <c r="P125" s="584"/>
      <c r="Q125" s="584"/>
      <c r="R125" s="584"/>
      <c r="S125" s="584"/>
      <c r="T125" s="584"/>
      <c r="U125" s="584"/>
      <c r="V125" s="584"/>
      <c r="W125" s="584"/>
      <c r="X125" s="584"/>
      <c r="Y125" s="584"/>
      <c r="Z125" s="585"/>
    </row>
    <row r="126" spans="2:26" ht="60" customHeight="1" x14ac:dyDescent="0.55000000000000004">
      <c r="B126" s="1510" t="s">
        <v>38</v>
      </c>
      <c r="C126" s="1511"/>
      <c r="D126" s="586" t="s">
        <v>399</v>
      </c>
      <c r="E126" s="1512" t="s">
        <v>673</v>
      </c>
      <c r="F126" s="1501"/>
      <c r="G126" s="1487" t="s">
        <v>1362</v>
      </c>
      <c r="H126" s="1488"/>
      <c r="I126" s="1485" t="s">
        <v>1217</v>
      </c>
      <c r="J126" s="1486"/>
      <c r="K126" s="1487" t="s">
        <v>1363</v>
      </c>
      <c r="L126" s="1488"/>
      <c r="M126" s="1485" t="s">
        <v>1216</v>
      </c>
      <c r="N126" s="1486"/>
      <c r="O126" s="1487" t="s">
        <v>1364</v>
      </c>
      <c r="P126" s="1488"/>
      <c r="Q126" s="1485" t="s">
        <v>1216</v>
      </c>
      <c r="R126" s="1486"/>
      <c r="S126" s="1487" t="s">
        <v>1365</v>
      </c>
      <c r="T126" s="1488"/>
      <c r="U126" s="1485"/>
      <c r="V126" s="1486"/>
      <c r="W126" s="1487" t="s">
        <v>1366</v>
      </c>
      <c r="X126" s="1488"/>
      <c r="Y126" s="1485" t="s">
        <v>1216</v>
      </c>
      <c r="Z126" s="1513"/>
    </row>
    <row r="127" spans="2:26" ht="60" customHeight="1" x14ac:dyDescent="0.55000000000000004">
      <c r="B127" s="1493" t="s">
        <v>1375</v>
      </c>
      <c r="C127" s="1494"/>
      <c r="D127" s="1495"/>
      <c r="E127" s="1502" t="s">
        <v>201</v>
      </c>
      <c r="F127" s="1490"/>
      <c r="G127" s="587">
        <f>+G128*G135</f>
        <v>4.5</v>
      </c>
      <c r="H127" s="1503"/>
      <c r="I127" s="1494"/>
      <c r="J127" s="1495"/>
      <c r="K127" s="588">
        <f>+K128*K135</f>
        <v>4.05</v>
      </c>
      <c r="L127" s="1503"/>
      <c r="M127" s="1494"/>
      <c r="N127" s="1495"/>
      <c r="O127" s="588">
        <f>+O128*O135</f>
        <v>0.55000000000000004</v>
      </c>
      <c r="P127" s="1503"/>
      <c r="Q127" s="1494"/>
      <c r="R127" s="1495"/>
      <c r="S127" s="589"/>
      <c r="T127" s="1503" t="s">
        <v>695</v>
      </c>
      <c r="U127" s="1494"/>
      <c r="V127" s="1495"/>
      <c r="W127" s="589"/>
      <c r="X127" s="1503" t="s">
        <v>695</v>
      </c>
      <c r="Y127" s="1494"/>
      <c r="Z127" s="1507"/>
    </row>
    <row r="128" spans="2:26" ht="60" customHeight="1" x14ac:dyDescent="0.55000000000000004">
      <c r="B128" s="1496"/>
      <c r="C128" s="1497"/>
      <c r="D128" s="1498"/>
      <c r="E128" s="1502" t="s">
        <v>751</v>
      </c>
      <c r="F128" s="1490"/>
      <c r="G128" s="590">
        <v>1</v>
      </c>
      <c r="H128" s="1504"/>
      <c r="I128" s="1497"/>
      <c r="J128" s="1498"/>
      <c r="K128" s="590">
        <v>1</v>
      </c>
      <c r="L128" s="1504"/>
      <c r="M128" s="1497"/>
      <c r="N128" s="1498"/>
      <c r="O128" s="590">
        <v>1</v>
      </c>
      <c r="P128" s="1504"/>
      <c r="Q128" s="1497"/>
      <c r="R128" s="1498"/>
      <c r="S128" s="590"/>
      <c r="T128" s="1504"/>
      <c r="U128" s="1497"/>
      <c r="V128" s="1498"/>
      <c r="W128" s="590"/>
      <c r="X128" s="1504"/>
      <c r="Y128" s="1497"/>
      <c r="Z128" s="1508"/>
    </row>
    <row r="129" spans="2:26" ht="60" customHeight="1" x14ac:dyDescent="0.55000000000000004">
      <c r="B129" s="1496"/>
      <c r="C129" s="1497"/>
      <c r="D129" s="1498"/>
      <c r="E129" s="1502" t="s">
        <v>674</v>
      </c>
      <c r="F129" s="1490"/>
      <c r="G129" s="590"/>
      <c r="H129" s="1504"/>
      <c r="I129" s="1497"/>
      <c r="J129" s="1498"/>
      <c r="K129" s="590"/>
      <c r="L129" s="1504"/>
      <c r="M129" s="1497"/>
      <c r="N129" s="1498"/>
      <c r="O129" s="590"/>
      <c r="P129" s="1504"/>
      <c r="Q129" s="1497"/>
      <c r="R129" s="1498"/>
      <c r="S129" s="590"/>
      <c r="T129" s="1504"/>
      <c r="U129" s="1497"/>
      <c r="V129" s="1498"/>
      <c r="W129" s="590"/>
      <c r="X129" s="1504"/>
      <c r="Y129" s="1497"/>
      <c r="Z129" s="1508"/>
    </row>
    <row r="130" spans="2:26" ht="60" customHeight="1" x14ac:dyDescent="0.55000000000000004">
      <c r="B130" s="1496"/>
      <c r="C130" s="1497"/>
      <c r="D130" s="1498"/>
      <c r="E130" s="1502" t="s">
        <v>675</v>
      </c>
      <c r="F130" s="1490"/>
      <c r="G130" s="590">
        <v>0.5</v>
      </c>
      <c r="H130" s="1504"/>
      <c r="I130" s="1497"/>
      <c r="J130" s="1498"/>
      <c r="K130" s="590">
        <v>0.5</v>
      </c>
      <c r="L130" s="1504"/>
      <c r="M130" s="1497"/>
      <c r="N130" s="1498"/>
      <c r="O130" s="590">
        <v>0.5</v>
      </c>
      <c r="P130" s="1504"/>
      <c r="Q130" s="1497"/>
      <c r="R130" s="1498"/>
      <c r="S130" s="590"/>
      <c r="T130" s="1504"/>
      <c r="U130" s="1497"/>
      <c r="V130" s="1498"/>
      <c r="W130" s="590"/>
      <c r="X130" s="1504"/>
      <c r="Y130" s="1497"/>
      <c r="Z130" s="1508"/>
    </row>
    <row r="131" spans="2:26" ht="60" customHeight="1" x14ac:dyDescent="0.55000000000000004">
      <c r="B131" s="1496"/>
      <c r="C131" s="1497"/>
      <c r="D131" s="1498"/>
      <c r="E131" s="1502" t="s">
        <v>676</v>
      </c>
      <c r="F131" s="1490"/>
      <c r="G131" s="590"/>
      <c r="H131" s="1504"/>
      <c r="I131" s="1497"/>
      <c r="J131" s="1498"/>
      <c r="K131" s="590"/>
      <c r="L131" s="1504"/>
      <c r="M131" s="1497"/>
      <c r="N131" s="1498"/>
      <c r="O131" s="590"/>
      <c r="P131" s="1504"/>
      <c r="Q131" s="1497"/>
      <c r="R131" s="1498"/>
      <c r="S131" s="590"/>
      <c r="T131" s="1504"/>
      <c r="U131" s="1497"/>
      <c r="V131" s="1498"/>
      <c r="W131" s="590"/>
      <c r="X131" s="1504"/>
      <c r="Y131" s="1497"/>
      <c r="Z131" s="1508"/>
    </row>
    <row r="132" spans="2:26" ht="60" customHeight="1" x14ac:dyDescent="0.55000000000000004">
      <c r="B132" s="1496"/>
      <c r="C132" s="1497"/>
      <c r="D132" s="1498"/>
      <c r="E132" s="1502" t="s">
        <v>677</v>
      </c>
      <c r="F132" s="1490"/>
      <c r="G132" s="590"/>
      <c r="H132" s="1504"/>
      <c r="I132" s="1497"/>
      <c r="J132" s="1498"/>
      <c r="K132" s="590"/>
      <c r="L132" s="1504"/>
      <c r="M132" s="1497"/>
      <c r="N132" s="1498"/>
      <c r="O132" s="590"/>
      <c r="P132" s="1504"/>
      <c r="Q132" s="1497"/>
      <c r="R132" s="1498"/>
      <c r="S132" s="590"/>
      <c r="T132" s="1504"/>
      <c r="U132" s="1497"/>
      <c r="V132" s="1498"/>
      <c r="W132" s="590"/>
      <c r="X132" s="1504"/>
      <c r="Y132" s="1497"/>
      <c r="Z132" s="1508"/>
    </row>
    <row r="133" spans="2:26" ht="60" customHeight="1" x14ac:dyDescent="0.55000000000000004">
      <c r="B133" s="1496"/>
      <c r="C133" s="1497"/>
      <c r="D133" s="1498"/>
      <c r="E133" s="1502" t="s">
        <v>678</v>
      </c>
      <c r="F133" s="1490"/>
      <c r="G133" s="590"/>
      <c r="H133" s="1504"/>
      <c r="I133" s="1497"/>
      <c r="J133" s="1498"/>
      <c r="K133" s="590"/>
      <c r="L133" s="1504"/>
      <c r="M133" s="1497"/>
      <c r="N133" s="1498"/>
      <c r="O133" s="590"/>
      <c r="P133" s="1504"/>
      <c r="Q133" s="1497"/>
      <c r="R133" s="1498"/>
      <c r="S133" s="590"/>
      <c r="T133" s="1504"/>
      <c r="U133" s="1497"/>
      <c r="V133" s="1498"/>
      <c r="W133" s="590"/>
      <c r="X133" s="1504"/>
      <c r="Y133" s="1497"/>
      <c r="Z133" s="1508"/>
    </row>
    <row r="134" spans="2:26" ht="60" customHeight="1" x14ac:dyDescent="0.55000000000000004">
      <c r="B134" s="1496"/>
      <c r="C134" s="1497"/>
      <c r="D134" s="1498"/>
      <c r="E134" s="1502" t="s">
        <v>1452</v>
      </c>
      <c r="F134" s="1490"/>
      <c r="G134" s="590">
        <v>9</v>
      </c>
      <c r="H134" s="1504"/>
      <c r="I134" s="1497"/>
      <c r="J134" s="1498"/>
      <c r="K134" s="590">
        <v>8.1</v>
      </c>
      <c r="L134" s="1504"/>
      <c r="M134" s="1497"/>
      <c r="N134" s="1498"/>
      <c r="O134" s="590">
        <v>1.1000000000000001</v>
      </c>
      <c r="P134" s="1504"/>
      <c r="Q134" s="1497"/>
      <c r="R134" s="1498"/>
      <c r="S134" s="590"/>
      <c r="T134" s="1504"/>
      <c r="U134" s="1497"/>
      <c r="V134" s="1498"/>
      <c r="W134" s="591"/>
      <c r="X134" s="1504"/>
      <c r="Y134" s="1497"/>
      <c r="Z134" s="1508"/>
    </row>
    <row r="135" spans="2:26" ht="60" customHeight="1" x14ac:dyDescent="0.55000000000000004">
      <c r="B135" s="1499"/>
      <c r="C135" s="1500"/>
      <c r="D135" s="1501"/>
      <c r="E135" s="1502" t="s">
        <v>1453</v>
      </c>
      <c r="F135" s="1490"/>
      <c r="G135" s="590">
        <f>+G134*G130</f>
        <v>4.5</v>
      </c>
      <c r="H135" s="1505"/>
      <c r="I135" s="1500"/>
      <c r="J135" s="1501"/>
      <c r="K135" s="590">
        <f>+K134*K130</f>
        <v>4.05</v>
      </c>
      <c r="L135" s="1505"/>
      <c r="M135" s="1500"/>
      <c r="N135" s="1501"/>
      <c r="O135" s="590">
        <f>+O134*O130</f>
        <v>0.55000000000000004</v>
      </c>
      <c r="P135" s="1505"/>
      <c r="Q135" s="1500"/>
      <c r="R135" s="1501"/>
      <c r="S135" s="590"/>
      <c r="T135" s="1505"/>
      <c r="U135" s="1500"/>
      <c r="V135" s="1501"/>
      <c r="W135" s="590"/>
      <c r="X135" s="1505"/>
      <c r="Y135" s="1500"/>
      <c r="Z135" s="1509"/>
    </row>
    <row r="136" spans="2:26" ht="60" customHeight="1" x14ac:dyDescent="0.4">
      <c r="B136" s="554"/>
      <c r="C136" s="555"/>
      <c r="D136" s="557"/>
      <c r="E136" s="555"/>
      <c r="F136" s="555"/>
      <c r="G136" s="555"/>
      <c r="H136" s="555"/>
      <c r="I136" s="555"/>
      <c r="J136" s="555"/>
      <c r="K136" s="555"/>
      <c r="L136" s="555"/>
      <c r="M136" s="555"/>
      <c r="N136" s="555"/>
      <c r="O136" s="555"/>
      <c r="P136" s="555"/>
      <c r="Q136" s="555"/>
      <c r="R136" s="555"/>
      <c r="S136" s="555"/>
      <c r="T136" s="555"/>
      <c r="U136" s="555"/>
      <c r="V136" s="555"/>
      <c r="W136" s="555"/>
      <c r="X136" s="555"/>
      <c r="Y136" s="555"/>
      <c r="Z136" s="556"/>
    </row>
    <row r="137" spans="2:26" s="593" customFormat="1" ht="60" customHeight="1" x14ac:dyDescent="0.55000000000000004">
      <c r="B137" s="1510" t="s">
        <v>38</v>
      </c>
      <c r="C137" s="1511"/>
      <c r="D137" s="586" t="s">
        <v>399</v>
      </c>
      <c r="E137" s="1512" t="s">
        <v>673</v>
      </c>
      <c r="F137" s="1501"/>
      <c r="G137" s="1487" t="s">
        <v>1362</v>
      </c>
      <c r="H137" s="1488"/>
      <c r="I137" s="1485" t="s">
        <v>1218</v>
      </c>
      <c r="J137" s="1486"/>
      <c r="K137" s="1487" t="s">
        <v>1363</v>
      </c>
      <c r="L137" s="1488"/>
      <c r="M137" s="1485" t="s">
        <v>1216</v>
      </c>
      <c r="N137" s="1486"/>
      <c r="O137" s="1487" t="s">
        <v>1364</v>
      </c>
      <c r="P137" s="1488"/>
      <c r="Q137" s="1485" t="s">
        <v>1216</v>
      </c>
      <c r="R137" s="1486"/>
      <c r="S137" s="1487" t="s">
        <v>1365</v>
      </c>
      <c r="T137" s="1488"/>
      <c r="U137" s="1485" t="s">
        <v>1218</v>
      </c>
      <c r="V137" s="1486"/>
      <c r="W137" s="1487" t="s">
        <v>1366</v>
      </c>
      <c r="X137" s="1488"/>
      <c r="Y137" s="1485" t="s">
        <v>1216</v>
      </c>
      <c r="Z137" s="1513"/>
    </row>
    <row r="138" spans="2:26" s="593" customFormat="1" ht="60" customHeight="1" x14ac:dyDescent="0.55000000000000004">
      <c r="B138" s="1493" t="s">
        <v>54</v>
      </c>
      <c r="C138" s="1494"/>
      <c r="D138" s="1495"/>
      <c r="E138" s="1502" t="s">
        <v>201</v>
      </c>
      <c r="F138" s="1490"/>
      <c r="G138" s="587">
        <f>+G139*G146</f>
        <v>0.88000000000000012</v>
      </c>
      <c r="H138" s="1503"/>
      <c r="I138" s="1494"/>
      <c r="J138" s="1495"/>
      <c r="K138" s="588">
        <f>+K139*K146</f>
        <v>0.88000000000000012</v>
      </c>
      <c r="L138" s="1503"/>
      <c r="M138" s="1494"/>
      <c r="N138" s="1495"/>
      <c r="O138" s="588">
        <f>+O139*O146</f>
        <v>0.88000000000000012</v>
      </c>
      <c r="P138" s="1503"/>
      <c r="Q138" s="1494"/>
      <c r="R138" s="1495"/>
      <c r="S138" s="589">
        <f>+S140*S141*S142*S139</f>
        <v>0.25600000000000006</v>
      </c>
      <c r="T138" s="1503"/>
      <c r="U138" s="1494"/>
      <c r="V138" s="1495"/>
      <c r="W138" s="589"/>
      <c r="X138" s="1503" t="s">
        <v>695</v>
      </c>
      <c r="Y138" s="1494"/>
      <c r="Z138" s="1507"/>
    </row>
    <row r="139" spans="2:26" s="593" customFormat="1" ht="60" customHeight="1" x14ac:dyDescent="0.55000000000000004">
      <c r="B139" s="1496"/>
      <c r="C139" s="1497"/>
      <c r="D139" s="1498"/>
      <c r="E139" s="1502" t="s">
        <v>751</v>
      </c>
      <c r="F139" s="1490"/>
      <c r="G139" s="590">
        <v>2</v>
      </c>
      <c r="H139" s="1504"/>
      <c r="I139" s="1497"/>
      <c r="J139" s="1498"/>
      <c r="K139" s="590">
        <v>2</v>
      </c>
      <c r="L139" s="1504"/>
      <c r="M139" s="1497"/>
      <c r="N139" s="1498"/>
      <c r="O139" s="590">
        <v>2</v>
      </c>
      <c r="P139" s="1504"/>
      <c r="Q139" s="1497"/>
      <c r="R139" s="1498"/>
      <c r="S139" s="590">
        <v>2</v>
      </c>
      <c r="T139" s="1504"/>
      <c r="U139" s="1497"/>
      <c r="V139" s="1498"/>
      <c r="W139" s="590"/>
      <c r="X139" s="1504"/>
      <c r="Y139" s="1497"/>
      <c r="Z139" s="1508"/>
    </row>
    <row r="140" spans="2:26" s="593" customFormat="1" ht="60" customHeight="1" x14ac:dyDescent="0.55000000000000004">
      <c r="B140" s="1496"/>
      <c r="C140" s="1497"/>
      <c r="D140" s="1498"/>
      <c r="E140" s="1502" t="s">
        <v>674</v>
      </c>
      <c r="F140" s="1490"/>
      <c r="G140" s="590">
        <v>2</v>
      </c>
      <c r="H140" s="1504"/>
      <c r="I140" s="1497"/>
      <c r="J140" s="1498"/>
      <c r="K140" s="590">
        <v>2</v>
      </c>
      <c r="L140" s="1504"/>
      <c r="M140" s="1497"/>
      <c r="N140" s="1498"/>
      <c r="O140" s="590">
        <v>2</v>
      </c>
      <c r="P140" s="1504"/>
      <c r="Q140" s="1497"/>
      <c r="R140" s="1498"/>
      <c r="S140" s="590">
        <v>0.8</v>
      </c>
      <c r="T140" s="1504"/>
      <c r="U140" s="1497"/>
      <c r="V140" s="1498"/>
      <c r="W140" s="590"/>
      <c r="X140" s="1504"/>
      <c r="Y140" s="1497"/>
      <c r="Z140" s="1508"/>
    </row>
    <row r="141" spans="2:26" s="593" customFormat="1" ht="60" customHeight="1" x14ac:dyDescent="0.55000000000000004">
      <c r="B141" s="1496"/>
      <c r="C141" s="1497"/>
      <c r="D141" s="1498"/>
      <c r="E141" s="1502" t="s">
        <v>675</v>
      </c>
      <c r="F141" s="1490"/>
      <c r="G141" s="590">
        <v>1.1000000000000001</v>
      </c>
      <c r="H141" s="1504"/>
      <c r="I141" s="1497"/>
      <c r="J141" s="1498"/>
      <c r="K141" s="590">
        <v>1.1000000000000001</v>
      </c>
      <c r="L141" s="1504"/>
      <c r="M141" s="1497"/>
      <c r="N141" s="1498"/>
      <c r="O141" s="590">
        <v>1.1000000000000001</v>
      </c>
      <c r="P141" s="1504"/>
      <c r="Q141" s="1497"/>
      <c r="R141" s="1498"/>
      <c r="S141" s="590">
        <v>0.8</v>
      </c>
      <c r="T141" s="1504"/>
      <c r="U141" s="1497"/>
      <c r="V141" s="1498"/>
      <c r="W141" s="590"/>
      <c r="X141" s="1504"/>
      <c r="Y141" s="1497"/>
      <c r="Z141" s="1508"/>
    </row>
    <row r="142" spans="2:26" s="593" customFormat="1" ht="60" customHeight="1" x14ac:dyDescent="0.55000000000000004">
      <c r="B142" s="1496"/>
      <c r="C142" s="1497"/>
      <c r="D142" s="1498"/>
      <c r="E142" s="1502" t="s">
        <v>676</v>
      </c>
      <c r="F142" s="1490"/>
      <c r="G142" s="590">
        <v>0.2</v>
      </c>
      <c r="H142" s="1504"/>
      <c r="I142" s="1497"/>
      <c r="J142" s="1498"/>
      <c r="K142" s="590">
        <v>0.2</v>
      </c>
      <c r="L142" s="1504"/>
      <c r="M142" s="1497"/>
      <c r="N142" s="1498"/>
      <c r="O142" s="590">
        <v>0.2</v>
      </c>
      <c r="P142" s="1504"/>
      <c r="Q142" s="1497"/>
      <c r="R142" s="1498"/>
      <c r="S142" s="590">
        <v>0.2</v>
      </c>
      <c r="T142" s="1504"/>
      <c r="U142" s="1497"/>
      <c r="V142" s="1498"/>
      <c r="W142" s="590"/>
      <c r="X142" s="1504"/>
      <c r="Y142" s="1497"/>
      <c r="Z142" s="1508"/>
    </row>
    <row r="143" spans="2:26" s="593" customFormat="1" ht="60" customHeight="1" x14ac:dyDescent="0.55000000000000004">
      <c r="B143" s="1496"/>
      <c r="C143" s="1497"/>
      <c r="D143" s="1498"/>
      <c r="E143" s="1502" t="s">
        <v>677</v>
      </c>
      <c r="F143" s="1490"/>
      <c r="G143" s="590"/>
      <c r="H143" s="1504"/>
      <c r="I143" s="1497"/>
      <c r="J143" s="1498"/>
      <c r="K143" s="590"/>
      <c r="L143" s="1504"/>
      <c r="M143" s="1497"/>
      <c r="N143" s="1498"/>
      <c r="O143" s="590"/>
      <c r="P143" s="1504"/>
      <c r="Q143" s="1497"/>
      <c r="R143" s="1498"/>
      <c r="S143" s="590"/>
      <c r="T143" s="1504"/>
      <c r="U143" s="1497"/>
      <c r="V143" s="1498"/>
      <c r="W143" s="590"/>
      <c r="X143" s="1504"/>
      <c r="Y143" s="1497"/>
      <c r="Z143" s="1508"/>
    </row>
    <row r="144" spans="2:26" s="593" customFormat="1" ht="60" customHeight="1" x14ac:dyDescent="0.55000000000000004">
      <c r="B144" s="1496"/>
      <c r="C144" s="1497"/>
      <c r="D144" s="1498"/>
      <c r="E144" s="1502" t="s">
        <v>678</v>
      </c>
      <c r="F144" s="1490"/>
      <c r="G144" s="590"/>
      <c r="H144" s="1504"/>
      <c r="I144" s="1497"/>
      <c r="J144" s="1498"/>
      <c r="K144" s="590"/>
      <c r="L144" s="1504"/>
      <c r="M144" s="1497"/>
      <c r="N144" s="1498"/>
      <c r="O144" s="590"/>
      <c r="P144" s="1504"/>
      <c r="Q144" s="1497"/>
      <c r="R144" s="1498"/>
      <c r="S144" s="590"/>
      <c r="T144" s="1504"/>
      <c r="U144" s="1497"/>
      <c r="V144" s="1498"/>
      <c r="W144" s="590"/>
      <c r="X144" s="1504"/>
      <c r="Y144" s="1497"/>
      <c r="Z144" s="1508"/>
    </row>
    <row r="145" spans="2:26" s="593" customFormat="1" ht="60" customHeight="1" x14ac:dyDescent="0.55000000000000004">
      <c r="B145" s="1496"/>
      <c r="C145" s="1497"/>
      <c r="D145" s="1498"/>
      <c r="E145" s="1502" t="s">
        <v>1452</v>
      </c>
      <c r="F145" s="1490"/>
      <c r="G145" s="590"/>
      <c r="H145" s="1504"/>
      <c r="I145" s="1497"/>
      <c r="J145" s="1498"/>
      <c r="K145" s="590"/>
      <c r="L145" s="1504"/>
      <c r="M145" s="1497"/>
      <c r="N145" s="1498"/>
      <c r="O145" s="590"/>
      <c r="P145" s="1504"/>
      <c r="Q145" s="1497"/>
      <c r="R145" s="1498"/>
      <c r="S145" s="590"/>
      <c r="T145" s="1504"/>
      <c r="U145" s="1497"/>
      <c r="V145" s="1498"/>
      <c r="W145" s="591"/>
      <c r="X145" s="1504"/>
      <c r="Y145" s="1497"/>
      <c r="Z145" s="1508"/>
    </row>
    <row r="146" spans="2:26" s="593" customFormat="1" ht="60" customHeight="1" x14ac:dyDescent="0.55000000000000004">
      <c r="B146" s="1499"/>
      <c r="C146" s="1500"/>
      <c r="D146" s="1501"/>
      <c r="E146" s="1502" t="s">
        <v>1453</v>
      </c>
      <c r="F146" s="1490"/>
      <c r="G146" s="590">
        <f>+G140*G141*G142</f>
        <v>0.44000000000000006</v>
      </c>
      <c r="H146" s="1505"/>
      <c r="I146" s="1500"/>
      <c r="J146" s="1501"/>
      <c r="K146" s="590">
        <f>+K140*K141*K142</f>
        <v>0.44000000000000006</v>
      </c>
      <c r="L146" s="1505"/>
      <c r="M146" s="1500"/>
      <c r="N146" s="1501"/>
      <c r="O146" s="590">
        <f>+O140*O141*O142</f>
        <v>0.44000000000000006</v>
      </c>
      <c r="P146" s="1505"/>
      <c r="Q146" s="1500"/>
      <c r="R146" s="1501"/>
      <c r="S146" s="590"/>
      <c r="T146" s="1505"/>
      <c r="U146" s="1500"/>
      <c r="V146" s="1501"/>
      <c r="W146" s="590"/>
      <c r="X146" s="1505"/>
      <c r="Y146" s="1500"/>
      <c r="Z146" s="1509"/>
    </row>
    <row r="147" spans="2:26" s="593" customFormat="1" ht="60" customHeight="1" x14ac:dyDescent="0.55000000000000004">
      <c r="B147" s="583"/>
      <c r="C147" s="584"/>
      <c r="D147" s="592"/>
      <c r="E147" s="584"/>
      <c r="F147" s="584"/>
      <c r="G147" s="584"/>
      <c r="H147" s="584"/>
      <c r="I147" s="584"/>
      <c r="J147" s="584"/>
      <c r="K147" s="584"/>
      <c r="L147" s="584"/>
      <c r="M147" s="584"/>
      <c r="N147" s="584"/>
      <c r="O147" s="584"/>
      <c r="P147" s="584"/>
      <c r="Q147" s="584"/>
      <c r="R147" s="584"/>
      <c r="S147" s="584"/>
      <c r="T147" s="584"/>
      <c r="U147" s="584"/>
      <c r="V147" s="584"/>
      <c r="W147" s="584"/>
      <c r="X147" s="584"/>
      <c r="Y147" s="584"/>
      <c r="Z147" s="585"/>
    </row>
    <row r="148" spans="2:26" s="593" customFormat="1" ht="60" customHeight="1" x14ac:dyDescent="0.55000000000000004">
      <c r="B148" s="1510" t="s">
        <v>38</v>
      </c>
      <c r="C148" s="1511"/>
      <c r="D148" s="586" t="s">
        <v>399</v>
      </c>
      <c r="E148" s="1512" t="s">
        <v>673</v>
      </c>
      <c r="F148" s="1501"/>
      <c r="G148" s="1487" t="s">
        <v>1362</v>
      </c>
      <c r="H148" s="1488"/>
      <c r="I148" s="1485" t="s">
        <v>1232</v>
      </c>
      <c r="J148" s="1486"/>
      <c r="K148" s="1487" t="s">
        <v>1363</v>
      </c>
      <c r="L148" s="1488"/>
      <c r="M148" s="1485" t="s">
        <v>1216</v>
      </c>
      <c r="N148" s="1486"/>
      <c r="O148" s="1487" t="s">
        <v>1364</v>
      </c>
      <c r="P148" s="1488"/>
      <c r="Q148" s="1485" t="s">
        <v>1216</v>
      </c>
      <c r="R148" s="1486"/>
      <c r="S148" s="1487" t="s">
        <v>1365</v>
      </c>
      <c r="T148" s="1488"/>
      <c r="U148" s="1485"/>
      <c r="V148" s="1486"/>
      <c r="W148" s="1487" t="s">
        <v>1366</v>
      </c>
      <c r="X148" s="1488"/>
      <c r="Y148" s="1485" t="s">
        <v>1216</v>
      </c>
      <c r="Z148" s="1513"/>
    </row>
    <row r="149" spans="2:26" s="593" customFormat="1" ht="60" customHeight="1" x14ac:dyDescent="0.55000000000000004">
      <c r="B149" s="1493" t="s">
        <v>1376</v>
      </c>
      <c r="C149" s="1494"/>
      <c r="D149" s="1495"/>
      <c r="E149" s="1502" t="s">
        <v>201</v>
      </c>
      <c r="F149" s="1490"/>
      <c r="G149" s="587">
        <f>+G150*G157</f>
        <v>20.617999999999999</v>
      </c>
      <c r="H149" s="1503"/>
      <c r="I149" s="1494"/>
      <c r="J149" s="1495"/>
      <c r="K149" s="588">
        <f>+K150*K157</f>
        <v>11.053999999999998</v>
      </c>
      <c r="L149" s="1503"/>
      <c r="M149" s="1494"/>
      <c r="N149" s="1495"/>
      <c r="O149" s="588">
        <f>+O150*O157</f>
        <v>6.5760000000000005</v>
      </c>
      <c r="P149" s="1503"/>
      <c r="Q149" s="1494"/>
      <c r="R149" s="1495"/>
      <c r="S149" s="589"/>
      <c r="T149" s="1503" t="s">
        <v>695</v>
      </c>
      <c r="U149" s="1494"/>
      <c r="V149" s="1495"/>
      <c r="W149" s="589"/>
      <c r="X149" s="1503" t="s">
        <v>695</v>
      </c>
      <c r="Y149" s="1494"/>
      <c r="Z149" s="1507"/>
    </row>
    <row r="150" spans="2:26" s="593" customFormat="1" ht="60" customHeight="1" x14ac:dyDescent="0.55000000000000004">
      <c r="B150" s="1496"/>
      <c r="C150" s="1497"/>
      <c r="D150" s="1498"/>
      <c r="E150" s="1502" t="s">
        <v>132</v>
      </c>
      <c r="F150" s="1490"/>
      <c r="G150" s="590">
        <v>1</v>
      </c>
      <c r="H150" s="1504"/>
      <c r="I150" s="1497"/>
      <c r="J150" s="1498"/>
      <c r="K150" s="590">
        <v>1</v>
      </c>
      <c r="L150" s="1504"/>
      <c r="M150" s="1497"/>
      <c r="N150" s="1498"/>
      <c r="O150" s="590">
        <v>1</v>
      </c>
      <c r="P150" s="1504"/>
      <c r="Q150" s="1497"/>
      <c r="R150" s="1498"/>
      <c r="S150" s="590"/>
      <c r="T150" s="1504"/>
      <c r="U150" s="1497"/>
      <c r="V150" s="1498"/>
      <c r="W150" s="590"/>
      <c r="X150" s="1504"/>
      <c r="Y150" s="1497"/>
      <c r="Z150" s="1508"/>
    </row>
    <row r="151" spans="2:26" s="593" customFormat="1" ht="60" customHeight="1" x14ac:dyDescent="0.55000000000000004">
      <c r="B151" s="1496"/>
      <c r="C151" s="1497"/>
      <c r="D151" s="1498"/>
      <c r="E151" s="1502" t="s">
        <v>1379</v>
      </c>
      <c r="F151" s="1490"/>
      <c r="G151" s="590">
        <f>+G105+G116+G127</f>
        <v>26.564999999999998</v>
      </c>
      <c r="H151" s="1504"/>
      <c r="I151" s="1497"/>
      <c r="J151" s="1498"/>
      <c r="K151" s="590">
        <f>+K105+K116+K127</f>
        <v>16.260999999999999</v>
      </c>
      <c r="L151" s="1504"/>
      <c r="M151" s="1497"/>
      <c r="N151" s="1498"/>
      <c r="O151" s="590">
        <f>+O105+O116+O127</f>
        <v>11.043000000000003</v>
      </c>
      <c r="P151" s="1504"/>
      <c r="Q151" s="1497"/>
      <c r="R151" s="1498"/>
      <c r="S151" s="590"/>
      <c r="T151" s="1504"/>
      <c r="U151" s="1497"/>
      <c r="V151" s="1498"/>
      <c r="W151" s="590"/>
      <c r="X151" s="1504"/>
      <c r="Y151" s="1497"/>
      <c r="Z151" s="1508"/>
    </row>
    <row r="152" spans="2:26" s="593" customFormat="1" ht="60" customHeight="1" x14ac:dyDescent="0.55000000000000004">
      <c r="B152" s="1496"/>
      <c r="C152" s="1497"/>
      <c r="D152" s="1498"/>
      <c r="E152" s="1502" t="s">
        <v>1377</v>
      </c>
      <c r="F152" s="1490"/>
      <c r="G152" s="590">
        <f>+G138</f>
        <v>0.88000000000000012</v>
      </c>
      <c r="H152" s="1504"/>
      <c r="I152" s="1497"/>
      <c r="J152" s="1498"/>
      <c r="K152" s="590">
        <f>+K138</f>
        <v>0.88000000000000012</v>
      </c>
      <c r="L152" s="1504"/>
      <c r="M152" s="1497"/>
      <c r="N152" s="1498"/>
      <c r="O152" s="590">
        <f>+O138</f>
        <v>0.88000000000000012</v>
      </c>
      <c r="P152" s="1504"/>
      <c r="Q152" s="1497"/>
      <c r="R152" s="1498"/>
      <c r="S152" s="590"/>
      <c r="T152" s="1504"/>
      <c r="U152" s="1497"/>
      <c r="V152" s="1498"/>
      <c r="W152" s="590"/>
      <c r="X152" s="1504"/>
      <c r="Y152" s="1497"/>
      <c r="Z152" s="1508"/>
    </row>
    <row r="153" spans="2:26" s="593" customFormat="1" ht="60" customHeight="1" x14ac:dyDescent="0.55000000000000004">
      <c r="B153" s="1496"/>
      <c r="C153" s="1497"/>
      <c r="D153" s="1498"/>
      <c r="E153" s="1502" t="s">
        <v>1378</v>
      </c>
      <c r="F153" s="1490"/>
      <c r="G153" s="590">
        <f>+G160</f>
        <v>0.22000000000000003</v>
      </c>
      <c r="H153" s="1504"/>
      <c r="I153" s="1497"/>
      <c r="J153" s="1498"/>
      <c r="K153" s="590">
        <f>+K160</f>
        <v>0.22000000000000003</v>
      </c>
      <c r="L153" s="1504"/>
      <c r="M153" s="1497"/>
      <c r="N153" s="1498"/>
      <c r="O153" s="590">
        <f>+O160</f>
        <v>0.22000000000000003</v>
      </c>
      <c r="P153" s="1504"/>
      <c r="Q153" s="1497"/>
      <c r="R153" s="1498"/>
      <c r="S153" s="590"/>
      <c r="T153" s="1504"/>
      <c r="U153" s="1497"/>
      <c r="V153" s="1498"/>
      <c r="W153" s="590"/>
      <c r="X153" s="1504"/>
      <c r="Y153" s="1497"/>
      <c r="Z153" s="1508"/>
    </row>
    <row r="154" spans="2:26" s="593" customFormat="1" ht="60" customHeight="1" x14ac:dyDescent="0.55000000000000004">
      <c r="B154" s="1496"/>
      <c r="C154" s="1497"/>
      <c r="D154" s="1498"/>
      <c r="E154" s="1502" t="s">
        <v>120</v>
      </c>
      <c r="F154" s="1490"/>
      <c r="G154" s="590">
        <f>1.31*1.85*2</f>
        <v>4.8470000000000004</v>
      </c>
      <c r="H154" s="1504"/>
      <c r="I154" s="1497"/>
      <c r="J154" s="1498"/>
      <c r="K154" s="590">
        <f>1.11*1.85*2</f>
        <v>4.1070000000000002</v>
      </c>
      <c r="L154" s="1504"/>
      <c r="M154" s="1497"/>
      <c r="N154" s="1498"/>
      <c r="O154" s="590">
        <f>0.91*1.85*2</f>
        <v>3.3670000000000004</v>
      </c>
      <c r="P154" s="1504"/>
      <c r="Q154" s="1497"/>
      <c r="R154" s="1498"/>
      <c r="S154" s="590"/>
      <c r="T154" s="1504"/>
      <c r="U154" s="1497"/>
      <c r="V154" s="1498"/>
      <c r="W154" s="590"/>
      <c r="X154" s="1504"/>
      <c r="Y154" s="1497"/>
      <c r="Z154" s="1508"/>
    </row>
    <row r="155" spans="2:26" s="593" customFormat="1" ht="60" customHeight="1" x14ac:dyDescent="0.55000000000000004">
      <c r="B155" s="1496"/>
      <c r="C155" s="1497"/>
      <c r="D155" s="1498"/>
      <c r="E155" s="1502" t="s">
        <v>678</v>
      </c>
      <c r="F155" s="1490"/>
      <c r="G155" s="590"/>
      <c r="H155" s="1504"/>
      <c r="I155" s="1497"/>
      <c r="J155" s="1498"/>
      <c r="K155" s="590"/>
      <c r="L155" s="1504"/>
      <c r="M155" s="1497"/>
      <c r="N155" s="1498"/>
      <c r="O155" s="590"/>
      <c r="P155" s="1504"/>
      <c r="Q155" s="1497"/>
      <c r="R155" s="1498"/>
      <c r="S155" s="590"/>
      <c r="T155" s="1504"/>
      <c r="U155" s="1497"/>
      <c r="V155" s="1498"/>
      <c r="W155" s="590"/>
      <c r="X155" s="1504"/>
      <c r="Y155" s="1497"/>
      <c r="Z155" s="1508"/>
    </row>
    <row r="156" spans="2:26" s="593" customFormat="1" ht="60" customHeight="1" x14ac:dyDescent="0.55000000000000004">
      <c r="B156" s="1496"/>
      <c r="C156" s="1497"/>
      <c r="D156" s="1498"/>
      <c r="E156" s="1502" t="s">
        <v>1452</v>
      </c>
      <c r="F156" s="1490"/>
      <c r="G156" s="590"/>
      <c r="H156" s="1504"/>
      <c r="I156" s="1497"/>
      <c r="J156" s="1498"/>
      <c r="K156" s="590"/>
      <c r="L156" s="1504"/>
      <c r="M156" s="1497"/>
      <c r="N156" s="1498"/>
      <c r="O156" s="590"/>
      <c r="P156" s="1504"/>
      <c r="Q156" s="1497"/>
      <c r="R156" s="1498"/>
      <c r="S156" s="590"/>
      <c r="T156" s="1504"/>
      <c r="U156" s="1497"/>
      <c r="V156" s="1498"/>
      <c r="W156" s="591"/>
      <c r="X156" s="1504"/>
      <c r="Y156" s="1497"/>
      <c r="Z156" s="1508"/>
    </row>
    <row r="157" spans="2:26" s="593" customFormat="1" ht="60" customHeight="1" x14ac:dyDescent="0.55000000000000004">
      <c r="B157" s="1499"/>
      <c r="C157" s="1500"/>
      <c r="D157" s="1501"/>
      <c r="E157" s="1502" t="s">
        <v>1453</v>
      </c>
      <c r="F157" s="1490"/>
      <c r="G157" s="590">
        <f>+G151-G152-G153-G154</f>
        <v>20.617999999999999</v>
      </c>
      <c r="H157" s="1505"/>
      <c r="I157" s="1500"/>
      <c r="J157" s="1501"/>
      <c r="K157" s="590">
        <f>+K151-K152-K153-K154</f>
        <v>11.053999999999998</v>
      </c>
      <c r="L157" s="1505"/>
      <c r="M157" s="1500"/>
      <c r="N157" s="1501"/>
      <c r="O157" s="590">
        <f>+O151-O152-O153-O154</f>
        <v>6.5760000000000005</v>
      </c>
      <c r="P157" s="1505"/>
      <c r="Q157" s="1500"/>
      <c r="R157" s="1501"/>
      <c r="S157" s="590"/>
      <c r="T157" s="1505"/>
      <c r="U157" s="1500"/>
      <c r="V157" s="1501"/>
      <c r="W157" s="590"/>
      <c r="X157" s="1505"/>
      <c r="Y157" s="1500"/>
      <c r="Z157" s="1509"/>
    </row>
    <row r="158" spans="2:26" s="593" customFormat="1" ht="60" customHeight="1" x14ac:dyDescent="0.55000000000000004">
      <c r="B158" s="583"/>
      <c r="C158" s="584"/>
      <c r="D158" s="592"/>
      <c r="E158" s="584"/>
      <c r="F158" s="584"/>
      <c r="G158" s="584"/>
      <c r="H158" s="584"/>
      <c r="I158" s="584"/>
      <c r="J158" s="584"/>
      <c r="K158" s="584"/>
      <c r="L158" s="584"/>
      <c r="M158" s="584"/>
      <c r="N158" s="584"/>
      <c r="O158" s="584"/>
      <c r="P158" s="584"/>
      <c r="Q158" s="584"/>
      <c r="R158" s="584"/>
      <c r="S158" s="584"/>
      <c r="T158" s="584"/>
      <c r="U158" s="584"/>
      <c r="V158" s="584"/>
      <c r="W158" s="584"/>
      <c r="X158" s="584"/>
      <c r="Y158" s="584"/>
      <c r="Z158" s="585"/>
    </row>
    <row r="159" spans="2:26" s="593" customFormat="1" ht="60" customHeight="1" x14ac:dyDescent="0.55000000000000004">
      <c r="B159" s="1510" t="s">
        <v>38</v>
      </c>
      <c r="C159" s="1511"/>
      <c r="D159" s="586" t="s">
        <v>399</v>
      </c>
      <c r="E159" s="1512" t="s">
        <v>673</v>
      </c>
      <c r="F159" s="1501"/>
      <c r="G159" s="1487" t="s">
        <v>1362</v>
      </c>
      <c r="H159" s="1488"/>
      <c r="I159" s="1485" t="s">
        <v>1219</v>
      </c>
      <c r="J159" s="1486"/>
      <c r="K159" s="1487" t="s">
        <v>1363</v>
      </c>
      <c r="L159" s="1488"/>
      <c r="M159" s="1485" t="s">
        <v>1216</v>
      </c>
      <c r="N159" s="1486"/>
      <c r="O159" s="1487" t="s">
        <v>1364</v>
      </c>
      <c r="P159" s="1488"/>
      <c r="Q159" s="1485" t="s">
        <v>1216</v>
      </c>
      <c r="R159" s="1486"/>
      <c r="S159" s="1487" t="s">
        <v>1365</v>
      </c>
      <c r="T159" s="1488"/>
      <c r="U159" s="1485" t="s">
        <v>1219</v>
      </c>
      <c r="V159" s="1486"/>
      <c r="W159" s="1487" t="s">
        <v>1366</v>
      </c>
      <c r="X159" s="1488"/>
      <c r="Y159" s="1485" t="s">
        <v>1216</v>
      </c>
      <c r="Z159" s="1513"/>
    </row>
    <row r="160" spans="2:26" s="593" customFormat="1" ht="60" customHeight="1" x14ac:dyDescent="0.55000000000000004">
      <c r="B160" s="1493" t="s">
        <v>58</v>
      </c>
      <c r="C160" s="1494"/>
      <c r="D160" s="1495"/>
      <c r="E160" s="1502" t="s">
        <v>201</v>
      </c>
      <c r="F160" s="1490"/>
      <c r="G160" s="587">
        <f>+G161*G168</f>
        <v>0.22000000000000003</v>
      </c>
      <c r="H160" s="1503"/>
      <c r="I160" s="1494"/>
      <c r="J160" s="1495"/>
      <c r="K160" s="588">
        <f>+K161*K168</f>
        <v>0.22000000000000003</v>
      </c>
      <c r="L160" s="1503"/>
      <c r="M160" s="1494"/>
      <c r="N160" s="1495"/>
      <c r="O160" s="588">
        <f>+O161*O168</f>
        <v>0.22000000000000003</v>
      </c>
      <c r="P160" s="1503"/>
      <c r="Q160" s="1494"/>
      <c r="R160" s="1495"/>
      <c r="S160" s="587">
        <f>+S162*S163*S164*S161</f>
        <v>6.4000000000000015E-2</v>
      </c>
      <c r="T160" s="1503"/>
      <c r="U160" s="1494"/>
      <c r="V160" s="1495"/>
      <c r="W160" s="589"/>
      <c r="X160" s="1503" t="s">
        <v>695</v>
      </c>
      <c r="Y160" s="1494"/>
      <c r="Z160" s="1507"/>
    </row>
    <row r="161" spans="2:26" s="593" customFormat="1" ht="60" customHeight="1" x14ac:dyDescent="0.55000000000000004">
      <c r="B161" s="1496"/>
      <c r="C161" s="1497"/>
      <c r="D161" s="1498"/>
      <c r="E161" s="1502" t="s">
        <v>751</v>
      </c>
      <c r="F161" s="1490"/>
      <c r="G161" s="590">
        <v>2</v>
      </c>
      <c r="H161" s="1504"/>
      <c r="I161" s="1497"/>
      <c r="J161" s="1498"/>
      <c r="K161" s="590">
        <v>2</v>
      </c>
      <c r="L161" s="1504"/>
      <c r="M161" s="1497"/>
      <c r="N161" s="1498"/>
      <c r="O161" s="590">
        <v>2</v>
      </c>
      <c r="P161" s="1504"/>
      <c r="Q161" s="1497"/>
      <c r="R161" s="1498"/>
      <c r="S161" s="590">
        <v>2</v>
      </c>
      <c r="T161" s="1504"/>
      <c r="U161" s="1497"/>
      <c r="V161" s="1498"/>
      <c r="W161" s="590"/>
      <c r="X161" s="1504"/>
      <c r="Y161" s="1497"/>
      <c r="Z161" s="1508"/>
    </row>
    <row r="162" spans="2:26" s="593" customFormat="1" ht="60" customHeight="1" x14ac:dyDescent="0.55000000000000004">
      <c r="B162" s="1496"/>
      <c r="C162" s="1497"/>
      <c r="D162" s="1498"/>
      <c r="E162" s="1502" t="s">
        <v>674</v>
      </c>
      <c r="F162" s="1490"/>
      <c r="G162" s="590">
        <v>2</v>
      </c>
      <c r="H162" s="1504"/>
      <c r="I162" s="1497"/>
      <c r="J162" s="1498"/>
      <c r="K162" s="590">
        <v>2</v>
      </c>
      <c r="L162" s="1504"/>
      <c r="M162" s="1497"/>
      <c r="N162" s="1498"/>
      <c r="O162" s="590">
        <v>2</v>
      </c>
      <c r="P162" s="1504"/>
      <c r="Q162" s="1497"/>
      <c r="R162" s="1498"/>
      <c r="S162" s="590">
        <v>0.8</v>
      </c>
      <c r="T162" s="1504"/>
      <c r="U162" s="1497"/>
      <c r="V162" s="1498"/>
      <c r="W162" s="590"/>
      <c r="X162" s="1504"/>
      <c r="Y162" s="1497"/>
      <c r="Z162" s="1508"/>
    </row>
    <row r="163" spans="2:26" s="593" customFormat="1" ht="60" customHeight="1" x14ac:dyDescent="0.55000000000000004">
      <c r="B163" s="1496"/>
      <c r="C163" s="1497"/>
      <c r="D163" s="1498"/>
      <c r="E163" s="1502" t="s">
        <v>675</v>
      </c>
      <c r="F163" s="1490"/>
      <c r="G163" s="590">
        <v>1.1000000000000001</v>
      </c>
      <c r="H163" s="1504"/>
      <c r="I163" s="1497"/>
      <c r="J163" s="1498"/>
      <c r="K163" s="590">
        <v>1.1000000000000001</v>
      </c>
      <c r="L163" s="1504"/>
      <c r="M163" s="1497"/>
      <c r="N163" s="1498"/>
      <c r="O163" s="590">
        <v>1.1000000000000001</v>
      </c>
      <c r="P163" s="1504"/>
      <c r="Q163" s="1497"/>
      <c r="R163" s="1498"/>
      <c r="S163" s="590">
        <v>0.8</v>
      </c>
      <c r="T163" s="1504"/>
      <c r="U163" s="1497"/>
      <c r="V163" s="1498"/>
      <c r="W163" s="590"/>
      <c r="X163" s="1504"/>
      <c r="Y163" s="1497"/>
      <c r="Z163" s="1508"/>
    </row>
    <row r="164" spans="2:26" s="593" customFormat="1" ht="60" customHeight="1" x14ac:dyDescent="0.55000000000000004">
      <c r="B164" s="1496"/>
      <c r="C164" s="1497"/>
      <c r="D164" s="1498"/>
      <c r="E164" s="1502" t="s">
        <v>676</v>
      </c>
      <c r="F164" s="1490"/>
      <c r="G164" s="590">
        <v>0.05</v>
      </c>
      <c r="H164" s="1504"/>
      <c r="I164" s="1497"/>
      <c r="J164" s="1498"/>
      <c r="K164" s="590">
        <v>0.05</v>
      </c>
      <c r="L164" s="1504"/>
      <c r="M164" s="1497"/>
      <c r="N164" s="1498"/>
      <c r="O164" s="590">
        <v>0.05</v>
      </c>
      <c r="P164" s="1504"/>
      <c r="Q164" s="1497"/>
      <c r="R164" s="1498"/>
      <c r="S164" s="590">
        <v>0.05</v>
      </c>
      <c r="T164" s="1504"/>
      <c r="U164" s="1497"/>
      <c r="V164" s="1498"/>
      <c r="W164" s="590"/>
      <c r="X164" s="1504"/>
      <c r="Y164" s="1497"/>
      <c r="Z164" s="1508"/>
    </row>
    <row r="165" spans="2:26" s="593" customFormat="1" ht="60" customHeight="1" x14ac:dyDescent="0.55000000000000004">
      <c r="B165" s="1496"/>
      <c r="C165" s="1497"/>
      <c r="D165" s="1498"/>
      <c r="E165" s="1502" t="s">
        <v>677</v>
      </c>
      <c r="F165" s="1490"/>
      <c r="G165" s="590"/>
      <c r="H165" s="1504"/>
      <c r="I165" s="1497"/>
      <c r="J165" s="1498"/>
      <c r="K165" s="590"/>
      <c r="L165" s="1504"/>
      <c r="M165" s="1497"/>
      <c r="N165" s="1498"/>
      <c r="O165" s="590"/>
      <c r="P165" s="1504"/>
      <c r="Q165" s="1497"/>
      <c r="R165" s="1498"/>
      <c r="S165" s="590"/>
      <c r="T165" s="1504"/>
      <c r="U165" s="1497"/>
      <c r="V165" s="1498"/>
      <c r="W165" s="590"/>
      <c r="X165" s="1504"/>
      <c r="Y165" s="1497"/>
      <c r="Z165" s="1508"/>
    </row>
    <row r="166" spans="2:26" s="593" customFormat="1" ht="60" customHeight="1" x14ac:dyDescent="0.55000000000000004">
      <c r="B166" s="1496"/>
      <c r="C166" s="1497"/>
      <c r="D166" s="1498"/>
      <c r="E166" s="1502" t="s">
        <v>678</v>
      </c>
      <c r="F166" s="1490"/>
      <c r="G166" s="590"/>
      <c r="H166" s="1504"/>
      <c r="I166" s="1497"/>
      <c r="J166" s="1498"/>
      <c r="K166" s="590"/>
      <c r="L166" s="1504"/>
      <c r="M166" s="1497"/>
      <c r="N166" s="1498"/>
      <c r="O166" s="590"/>
      <c r="P166" s="1504"/>
      <c r="Q166" s="1497"/>
      <c r="R166" s="1498"/>
      <c r="S166" s="590"/>
      <c r="T166" s="1504"/>
      <c r="U166" s="1497"/>
      <c r="V166" s="1498"/>
      <c r="W166" s="590"/>
      <c r="X166" s="1504"/>
      <c r="Y166" s="1497"/>
      <c r="Z166" s="1508"/>
    </row>
    <row r="167" spans="2:26" s="593" customFormat="1" ht="60" customHeight="1" x14ac:dyDescent="0.55000000000000004">
      <c r="B167" s="1496"/>
      <c r="C167" s="1497"/>
      <c r="D167" s="1498"/>
      <c r="E167" s="1502" t="s">
        <v>1452</v>
      </c>
      <c r="F167" s="1490"/>
      <c r="G167" s="590"/>
      <c r="H167" s="1504"/>
      <c r="I167" s="1497"/>
      <c r="J167" s="1498"/>
      <c r="K167" s="590"/>
      <c r="L167" s="1504"/>
      <c r="M167" s="1497"/>
      <c r="N167" s="1498"/>
      <c r="O167" s="590"/>
      <c r="P167" s="1504"/>
      <c r="Q167" s="1497"/>
      <c r="R167" s="1498"/>
      <c r="S167" s="590"/>
      <c r="T167" s="1504"/>
      <c r="U167" s="1497"/>
      <c r="V167" s="1498"/>
      <c r="W167" s="591"/>
      <c r="X167" s="1504"/>
      <c r="Y167" s="1497"/>
      <c r="Z167" s="1508"/>
    </row>
    <row r="168" spans="2:26" s="593" customFormat="1" ht="60" customHeight="1" x14ac:dyDescent="0.55000000000000004">
      <c r="B168" s="1499"/>
      <c r="C168" s="1500"/>
      <c r="D168" s="1501"/>
      <c r="E168" s="1502" t="s">
        <v>1453</v>
      </c>
      <c r="F168" s="1490"/>
      <c r="G168" s="590">
        <f>+G162*G163*G164</f>
        <v>0.11000000000000001</v>
      </c>
      <c r="H168" s="1505"/>
      <c r="I168" s="1500"/>
      <c r="J168" s="1501"/>
      <c r="K168" s="590">
        <f>+K162*K163*K164</f>
        <v>0.11000000000000001</v>
      </c>
      <c r="L168" s="1505"/>
      <c r="M168" s="1500"/>
      <c r="N168" s="1501"/>
      <c r="O168" s="590">
        <f>+O162*O163*O164</f>
        <v>0.11000000000000001</v>
      </c>
      <c r="P168" s="1505"/>
      <c r="Q168" s="1500"/>
      <c r="R168" s="1501"/>
      <c r="S168" s="590"/>
      <c r="T168" s="1505"/>
      <c r="U168" s="1500"/>
      <c r="V168" s="1501"/>
      <c r="W168" s="590"/>
      <c r="X168" s="1505"/>
      <c r="Y168" s="1500"/>
      <c r="Z168" s="1509"/>
    </row>
    <row r="169" spans="2:26" s="593" customFormat="1" ht="60" customHeight="1" x14ac:dyDescent="0.55000000000000004">
      <c r="B169" s="583"/>
      <c r="C169" s="584"/>
      <c r="D169" s="592"/>
      <c r="E169" s="584"/>
      <c r="F169" s="584"/>
      <c r="G169" s="584"/>
      <c r="H169" s="584"/>
      <c r="I169" s="584"/>
      <c r="J169" s="584"/>
      <c r="K169" s="584"/>
      <c r="L169" s="584"/>
      <c r="M169" s="584"/>
      <c r="N169" s="584"/>
      <c r="O169" s="584"/>
      <c r="P169" s="584"/>
      <c r="Q169" s="584"/>
      <c r="R169" s="584"/>
      <c r="S169" s="584"/>
      <c r="T169" s="584"/>
      <c r="U169" s="584"/>
      <c r="V169" s="584"/>
      <c r="W169" s="584"/>
      <c r="X169" s="584"/>
      <c r="Y169" s="584"/>
      <c r="Z169" s="585"/>
    </row>
    <row r="170" spans="2:26" s="593" customFormat="1" ht="60" customHeight="1" x14ac:dyDescent="0.55000000000000004">
      <c r="B170" s="1510" t="s">
        <v>38</v>
      </c>
      <c r="C170" s="1511"/>
      <c r="D170" s="586" t="s">
        <v>415</v>
      </c>
      <c r="E170" s="1512" t="s">
        <v>673</v>
      </c>
      <c r="F170" s="1501"/>
      <c r="G170" s="1487" t="s">
        <v>1362</v>
      </c>
      <c r="H170" s="1488"/>
      <c r="I170" s="1485" t="s">
        <v>1220</v>
      </c>
      <c r="J170" s="1486"/>
      <c r="K170" s="1487" t="s">
        <v>1363</v>
      </c>
      <c r="L170" s="1488"/>
      <c r="M170" s="1485" t="s">
        <v>1216</v>
      </c>
      <c r="N170" s="1486"/>
      <c r="O170" s="1487" t="s">
        <v>1364</v>
      </c>
      <c r="P170" s="1488"/>
      <c r="Q170" s="1485" t="s">
        <v>1216</v>
      </c>
      <c r="R170" s="1486"/>
      <c r="S170" s="1487" t="s">
        <v>1365</v>
      </c>
      <c r="T170" s="1488"/>
      <c r="U170" s="1485" t="s">
        <v>1216</v>
      </c>
      <c r="V170" s="1486"/>
      <c r="W170" s="1487" t="s">
        <v>1366</v>
      </c>
      <c r="X170" s="1488"/>
      <c r="Y170" s="1485" t="s">
        <v>1216</v>
      </c>
      <c r="Z170" s="1513"/>
    </row>
    <row r="171" spans="2:26" s="593" customFormat="1" ht="60" customHeight="1" x14ac:dyDescent="0.55000000000000004">
      <c r="B171" s="1493" t="s">
        <v>771</v>
      </c>
      <c r="C171" s="1494"/>
      <c r="D171" s="1495"/>
      <c r="E171" s="1502" t="s">
        <v>201</v>
      </c>
      <c r="F171" s="1490"/>
      <c r="G171" s="587">
        <f>+G172*G173*G175*G176</f>
        <v>3.12</v>
      </c>
      <c r="H171" s="1503"/>
      <c r="I171" s="1494"/>
      <c r="J171" s="1495"/>
      <c r="K171" s="588">
        <f>+K172*K173*K175*K176</f>
        <v>3.12</v>
      </c>
      <c r="L171" s="1503"/>
      <c r="M171" s="1494"/>
      <c r="N171" s="1495"/>
      <c r="O171" s="588">
        <f>+O172*O173*O175*O176</f>
        <v>3.12</v>
      </c>
      <c r="P171" s="1503"/>
      <c r="Q171" s="1494"/>
      <c r="R171" s="1495"/>
      <c r="S171" s="589">
        <f>+S174*S173*S175*S172</f>
        <v>0.24499999999999997</v>
      </c>
      <c r="T171" s="1506"/>
      <c r="U171" s="1494"/>
      <c r="V171" s="1495"/>
      <c r="W171" s="589"/>
      <c r="X171" s="1503" t="s">
        <v>695</v>
      </c>
      <c r="Y171" s="1494"/>
      <c r="Z171" s="1507"/>
    </row>
    <row r="172" spans="2:26" s="593" customFormat="1" ht="60" customHeight="1" x14ac:dyDescent="0.55000000000000004">
      <c r="B172" s="1496"/>
      <c r="C172" s="1497"/>
      <c r="D172" s="1498"/>
      <c r="E172" s="1502" t="s">
        <v>751</v>
      </c>
      <c r="F172" s="1490"/>
      <c r="G172" s="590">
        <v>2</v>
      </c>
      <c r="H172" s="1504"/>
      <c r="I172" s="1497"/>
      <c r="J172" s="1498"/>
      <c r="K172" s="590">
        <v>2</v>
      </c>
      <c r="L172" s="1504"/>
      <c r="M172" s="1497"/>
      <c r="N172" s="1498"/>
      <c r="O172" s="590">
        <v>2</v>
      </c>
      <c r="P172" s="1504"/>
      <c r="Q172" s="1497"/>
      <c r="R172" s="1498"/>
      <c r="S172" s="590">
        <v>2</v>
      </c>
      <c r="T172" s="1504"/>
      <c r="U172" s="1497"/>
      <c r="V172" s="1498"/>
      <c r="W172" s="590"/>
      <c r="X172" s="1504"/>
      <c r="Y172" s="1497"/>
      <c r="Z172" s="1508"/>
    </row>
    <row r="173" spans="2:26" s="593" customFormat="1" ht="60" customHeight="1" x14ac:dyDescent="0.55000000000000004">
      <c r="B173" s="1496"/>
      <c r="C173" s="1497"/>
      <c r="D173" s="1498"/>
      <c r="E173" s="1502" t="s">
        <v>674</v>
      </c>
      <c r="F173" s="1490"/>
      <c r="G173" s="590">
        <v>0.5</v>
      </c>
      <c r="H173" s="1504"/>
      <c r="I173" s="1497"/>
      <c r="J173" s="1498"/>
      <c r="K173" s="590">
        <v>0.5</v>
      </c>
      <c r="L173" s="1504"/>
      <c r="M173" s="1497"/>
      <c r="N173" s="1498"/>
      <c r="O173" s="590">
        <v>0.5</v>
      </c>
      <c r="P173" s="1504"/>
      <c r="Q173" s="1497"/>
      <c r="R173" s="1498"/>
      <c r="S173" s="590">
        <v>0.35</v>
      </c>
      <c r="T173" s="1504"/>
      <c r="U173" s="1497"/>
      <c r="V173" s="1498"/>
      <c r="W173" s="590"/>
      <c r="X173" s="1504"/>
      <c r="Y173" s="1497"/>
      <c r="Z173" s="1508"/>
    </row>
    <row r="174" spans="2:26" s="593" customFormat="1" ht="60" customHeight="1" x14ac:dyDescent="0.55000000000000004">
      <c r="B174" s="1496"/>
      <c r="C174" s="1497"/>
      <c r="D174" s="1498"/>
      <c r="E174" s="1502" t="s">
        <v>675</v>
      </c>
      <c r="F174" s="1490"/>
      <c r="G174" s="590"/>
      <c r="H174" s="1504"/>
      <c r="I174" s="1497"/>
      <c r="J174" s="1498"/>
      <c r="K174" s="590"/>
      <c r="L174" s="1504"/>
      <c r="M174" s="1497"/>
      <c r="N174" s="1498"/>
      <c r="O174" s="590"/>
      <c r="P174" s="1504"/>
      <c r="Q174" s="1497"/>
      <c r="R174" s="1498"/>
      <c r="S174" s="590">
        <v>0.35</v>
      </c>
      <c r="T174" s="1504"/>
      <c r="U174" s="1497"/>
      <c r="V174" s="1498"/>
      <c r="W174" s="590"/>
      <c r="X174" s="1504"/>
      <c r="Y174" s="1497"/>
      <c r="Z174" s="1508"/>
    </row>
    <row r="175" spans="2:26" s="593" customFormat="1" ht="60" customHeight="1" x14ac:dyDescent="0.55000000000000004">
      <c r="B175" s="1496"/>
      <c r="C175" s="1497"/>
      <c r="D175" s="1498"/>
      <c r="E175" s="1502" t="s">
        <v>752</v>
      </c>
      <c r="F175" s="1490"/>
      <c r="G175" s="590">
        <v>2</v>
      </c>
      <c r="H175" s="1504"/>
      <c r="I175" s="1497"/>
      <c r="J175" s="1498"/>
      <c r="K175" s="590">
        <v>2</v>
      </c>
      <c r="L175" s="1504"/>
      <c r="M175" s="1497"/>
      <c r="N175" s="1498"/>
      <c r="O175" s="590">
        <v>2</v>
      </c>
      <c r="P175" s="1504"/>
      <c r="Q175" s="1497"/>
      <c r="R175" s="1498"/>
      <c r="S175" s="590">
        <v>1</v>
      </c>
      <c r="T175" s="1504"/>
      <c r="U175" s="1497"/>
      <c r="V175" s="1498"/>
      <c r="W175" s="590"/>
      <c r="X175" s="1504"/>
      <c r="Y175" s="1497"/>
      <c r="Z175" s="1508"/>
    </row>
    <row r="176" spans="2:26" s="593" customFormat="1" ht="60" customHeight="1" x14ac:dyDescent="0.55000000000000004">
      <c r="B176" s="1496"/>
      <c r="C176" s="1497"/>
      <c r="D176" s="1498"/>
      <c r="E176" s="1502" t="s">
        <v>677</v>
      </c>
      <c r="F176" s="1490"/>
      <c r="G176" s="590">
        <v>1.56</v>
      </c>
      <c r="H176" s="1504"/>
      <c r="I176" s="1497"/>
      <c r="J176" s="1498"/>
      <c r="K176" s="590">
        <v>1.56</v>
      </c>
      <c r="L176" s="1504"/>
      <c r="M176" s="1497"/>
      <c r="N176" s="1498"/>
      <c r="O176" s="590">
        <v>1.56</v>
      </c>
      <c r="P176" s="1504"/>
      <c r="Q176" s="1497"/>
      <c r="R176" s="1498"/>
      <c r="S176" s="590"/>
      <c r="T176" s="1504"/>
      <c r="U176" s="1497"/>
      <c r="V176" s="1498"/>
      <c r="W176" s="590"/>
      <c r="X176" s="1504"/>
      <c r="Y176" s="1497"/>
      <c r="Z176" s="1508"/>
    </row>
    <row r="177" spans="2:26" s="593" customFormat="1" ht="60" customHeight="1" x14ac:dyDescent="0.55000000000000004">
      <c r="B177" s="1496"/>
      <c r="C177" s="1497"/>
      <c r="D177" s="1498"/>
      <c r="E177" s="1502" t="s">
        <v>678</v>
      </c>
      <c r="F177" s="1490"/>
      <c r="G177" s="590"/>
      <c r="H177" s="1504"/>
      <c r="I177" s="1497"/>
      <c r="J177" s="1498"/>
      <c r="K177" s="590"/>
      <c r="L177" s="1504"/>
      <c r="M177" s="1497"/>
      <c r="N177" s="1498"/>
      <c r="O177" s="590"/>
      <c r="P177" s="1504"/>
      <c r="Q177" s="1497"/>
      <c r="R177" s="1498"/>
      <c r="S177" s="590"/>
      <c r="T177" s="1504"/>
      <c r="U177" s="1497"/>
      <c r="V177" s="1498"/>
      <c r="W177" s="590"/>
      <c r="X177" s="1504"/>
      <c r="Y177" s="1497"/>
      <c r="Z177" s="1508"/>
    </row>
    <row r="178" spans="2:26" s="593" customFormat="1" ht="60" customHeight="1" x14ac:dyDescent="0.55000000000000004">
      <c r="B178" s="1496"/>
      <c r="C178" s="1497"/>
      <c r="D178" s="1498"/>
      <c r="E178" s="1502" t="s">
        <v>1452</v>
      </c>
      <c r="F178" s="1490"/>
      <c r="G178" s="590"/>
      <c r="H178" s="1504"/>
      <c r="I178" s="1497"/>
      <c r="J178" s="1498"/>
      <c r="K178" s="590"/>
      <c r="L178" s="1504"/>
      <c r="M178" s="1497"/>
      <c r="N178" s="1498"/>
      <c r="O178" s="590"/>
      <c r="P178" s="1504"/>
      <c r="Q178" s="1497"/>
      <c r="R178" s="1498"/>
      <c r="S178" s="590"/>
      <c r="T178" s="1504"/>
      <c r="U178" s="1497"/>
      <c r="V178" s="1498"/>
      <c r="W178" s="591"/>
      <c r="X178" s="1504"/>
      <c r="Y178" s="1497"/>
      <c r="Z178" s="1508"/>
    </row>
    <row r="179" spans="2:26" s="593" customFormat="1" ht="60" customHeight="1" x14ac:dyDescent="0.55000000000000004">
      <c r="B179" s="1499"/>
      <c r="C179" s="1500"/>
      <c r="D179" s="1501"/>
      <c r="E179" s="1502" t="s">
        <v>1453</v>
      </c>
      <c r="F179" s="1490"/>
      <c r="G179" s="590"/>
      <c r="H179" s="1505"/>
      <c r="I179" s="1500"/>
      <c r="J179" s="1501"/>
      <c r="K179" s="590"/>
      <c r="L179" s="1505"/>
      <c r="M179" s="1500"/>
      <c r="N179" s="1501"/>
      <c r="O179" s="590"/>
      <c r="P179" s="1505"/>
      <c r="Q179" s="1500"/>
      <c r="R179" s="1501"/>
      <c r="S179" s="590"/>
      <c r="T179" s="1505"/>
      <c r="U179" s="1500"/>
      <c r="V179" s="1501"/>
      <c r="W179" s="590"/>
      <c r="X179" s="1505"/>
      <c r="Y179" s="1500"/>
      <c r="Z179" s="1509"/>
    </row>
    <row r="180" spans="2:26" s="593" customFormat="1" ht="60" customHeight="1" x14ac:dyDescent="0.55000000000000004">
      <c r="B180" s="583"/>
      <c r="C180" s="584"/>
      <c r="D180" s="592"/>
      <c r="E180" s="584"/>
      <c r="F180" s="584"/>
      <c r="G180" s="584"/>
      <c r="H180" s="584"/>
      <c r="I180" s="584"/>
      <c r="J180" s="584"/>
      <c r="K180" s="584"/>
      <c r="L180" s="584"/>
      <c r="M180" s="584"/>
      <c r="N180" s="584"/>
      <c r="O180" s="584"/>
      <c r="P180" s="584"/>
      <c r="Q180" s="584"/>
      <c r="R180" s="584"/>
      <c r="S180" s="584"/>
      <c r="T180" s="584"/>
      <c r="U180" s="584"/>
      <c r="V180" s="584"/>
      <c r="W180" s="584"/>
      <c r="X180" s="584"/>
      <c r="Y180" s="584"/>
      <c r="Z180" s="585"/>
    </row>
    <row r="181" spans="2:26" s="593" customFormat="1" ht="60" customHeight="1" x14ac:dyDescent="0.55000000000000004">
      <c r="B181" s="1510" t="s">
        <v>38</v>
      </c>
      <c r="C181" s="1511"/>
      <c r="D181" s="586" t="s">
        <v>399</v>
      </c>
      <c r="E181" s="1512" t="s">
        <v>673</v>
      </c>
      <c r="F181" s="1501"/>
      <c r="G181" s="1487" t="s">
        <v>1362</v>
      </c>
      <c r="H181" s="1488"/>
      <c r="I181" s="1485" t="s">
        <v>1221</v>
      </c>
      <c r="J181" s="1486"/>
      <c r="K181" s="1487" t="s">
        <v>1363</v>
      </c>
      <c r="L181" s="1488"/>
      <c r="M181" s="1485" t="s">
        <v>1216</v>
      </c>
      <c r="N181" s="1486"/>
      <c r="O181" s="1487" t="s">
        <v>1364</v>
      </c>
      <c r="P181" s="1488"/>
      <c r="Q181" s="1485" t="s">
        <v>1216</v>
      </c>
      <c r="R181" s="1486"/>
      <c r="S181" s="1487" t="s">
        <v>1365</v>
      </c>
      <c r="T181" s="1488"/>
      <c r="U181" s="1485" t="s">
        <v>1216</v>
      </c>
      <c r="V181" s="1486"/>
      <c r="W181" s="1487" t="s">
        <v>1366</v>
      </c>
      <c r="X181" s="1488"/>
      <c r="Y181" s="1485" t="s">
        <v>1216</v>
      </c>
      <c r="Z181" s="1513"/>
    </row>
    <row r="182" spans="2:26" s="593" customFormat="1" ht="60" customHeight="1" x14ac:dyDescent="0.55000000000000004">
      <c r="B182" s="1493" t="s">
        <v>779</v>
      </c>
      <c r="C182" s="1494"/>
      <c r="D182" s="1495"/>
      <c r="E182" s="1502" t="s">
        <v>201</v>
      </c>
      <c r="F182" s="1490"/>
      <c r="G182" s="587">
        <f>+G183*G190</f>
        <v>4.4000000000000004</v>
      </c>
      <c r="H182" s="1503"/>
      <c r="I182" s="1494"/>
      <c r="J182" s="1495"/>
      <c r="K182" s="588">
        <f>+K183*K190</f>
        <v>4.4000000000000004</v>
      </c>
      <c r="L182" s="1503"/>
      <c r="M182" s="1494"/>
      <c r="N182" s="1495"/>
      <c r="O182" s="588">
        <f>+O183*O190</f>
        <v>4.4000000000000004</v>
      </c>
      <c r="P182" s="1503"/>
      <c r="Q182" s="1494"/>
      <c r="R182" s="1495"/>
      <c r="S182" s="589">
        <f>+S190+(S184*S184*S189)</f>
        <v>0.35200000000000004</v>
      </c>
      <c r="T182" s="1503"/>
      <c r="U182" s="1494"/>
      <c r="V182" s="1495"/>
      <c r="W182" s="589"/>
      <c r="X182" s="1503" t="s">
        <v>695</v>
      </c>
      <c r="Y182" s="1494"/>
      <c r="Z182" s="1507"/>
    </row>
    <row r="183" spans="2:26" s="593" customFormat="1" ht="60" customHeight="1" x14ac:dyDescent="0.55000000000000004">
      <c r="B183" s="1496"/>
      <c r="C183" s="1497"/>
      <c r="D183" s="1498"/>
      <c r="E183" s="1502" t="s">
        <v>132</v>
      </c>
      <c r="F183" s="1490"/>
      <c r="G183" s="590">
        <v>2</v>
      </c>
      <c r="H183" s="1504"/>
      <c r="I183" s="1497"/>
      <c r="J183" s="1498"/>
      <c r="K183" s="590">
        <v>2</v>
      </c>
      <c r="L183" s="1504"/>
      <c r="M183" s="1497"/>
      <c r="N183" s="1498"/>
      <c r="O183" s="590">
        <v>2</v>
      </c>
      <c r="P183" s="1504"/>
      <c r="Q183" s="1497"/>
      <c r="R183" s="1498"/>
      <c r="S183" s="590">
        <v>2</v>
      </c>
      <c r="T183" s="1504"/>
      <c r="U183" s="1497"/>
      <c r="V183" s="1498"/>
      <c r="W183" s="590"/>
      <c r="X183" s="1504"/>
      <c r="Y183" s="1497"/>
      <c r="Z183" s="1508"/>
    </row>
    <row r="184" spans="2:26" s="593" customFormat="1" ht="60" customHeight="1" x14ac:dyDescent="0.55000000000000004">
      <c r="B184" s="1496"/>
      <c r="C184" s="1497"/>
      <c r="D184" s="1498"/>
      <c r="E184" s="1502" t="s">
        <v>780</v>
      </c>
      <c r="F184" s="1490"/>
      <c r="G184" s="590">
        <v>2</v>
      </c>
      <c r="H184" s="1504"/>
      <c r="I184" s="1497"/>
      <c r="J184" s="1498"/>
      <c r="K184" s="590">
        <v>2</v>
      </c>
      <c r="L184" s="1504"/>
      <c r="M184" s="1497"/>
      <c r="N184" s="1498"/>
      <c r="O184" s="590">
        <v>2</v>
      </c>
      <c r="P184" s="1504"/>
      <c r="Q184" s="1497"/>
      <c r="R184" s="1498"/>
      <c r="S184" s="590">
        <v>0.8</v>
      </c>
      <c r="T184" s="1504"/>
      <c r="U184" s="1497"/>
      <c r="V184" s="1498"/>
      <c r="W184" s="590"/>
      <c r="X184" s="1504"/>
      <c r="Y184" s="1497"/>
      <c r="Z184" s="1508"/>
    </row>
    <row r="185" spans="2:26" s="593" customFormat="1" ht="60" customHeight="1" x14ac:dyDescent="0.55000000000000004">
      <c r="B185" s="1496"/>
      <c r="C185" s="1497"/>
      <c r="D185" s="1498"/>
      <c r="E185" s="1502" t="s">
        <v>781</v>
      </c>
      <c r="F185" s="1490"/>
      <c r="G185" s="590"/>
      <c r="H185" s="1504"/>
      <c r="I185" s="1497"/>
      <c r="J185" s="1498"/>
      <c r="K185" s="590"/>
      <c r="L185" s="1504"/>
      <c r="M185" s="1497"/>
      <c r="N185" s="1498"/>
      <c r="O185" s="590"/>
      <c r="P185" s="1504"/>
      <c r="Q185" s="1497"/>
      <c r="R185" s="1498"/>
      <c r="S185" s="590">
        <v>0.4</v>
      </c>
      <c r="T185" s="1504"/>
      <c r="U185" s="1497"/>
      <c r="V185" s="1498"/>
      <c r="W185" s="590"/>
      <c r="X185" s="1504"/>
      <c r="Y185" s="1497"/>
      <c r="Z185" s="1508"/>
    </row>
    <row r="186" spans="2:26" s="593" customFormat="1" ht="60" customHeight="1" x14ac:dyDescent="0.55000000000000004">
      <c r="B186" s="1496"/>
      <c r="C186" s="1497"/>
      <c r="D186" s="1498"/>
      <c r="E186" s="1502" t="s">
        <v>782</v>
      </c>
      <c r="F186" s="1490"/>
      <c r="G186" s="590">
        <v>1.1000000000000001</v>
      </c>
      <c r="H186" s="1504"/>
      <c r="I186" s="1497"/>
      <c r="J186" s="1498"/>
      <c r="K186" s="590">
        <v>1.1000000000000001</v>
      </c>
      <c r="L186" s="1504"/>
      <c r="M186" s="1497"/>
      <c r="N186" s="1498"/>
      <c r="O186" s="590">
        <v>1.1000000000000001</v>
      </c>
      <c r="P186" s="1504"/>
      <c r="Q186" s="1497"/>
      <c r="R186" s="1498"/>
      <c r="S186" s="590">
        <f>+S184*S184</f>
        <v>0.64000000000000012</v>
      </c>
      <c r="T186" s="1504"/>
      <c r="U186" s="1497"/>
      <c r="V186" s="1498"/>
      <c r="W186" s="590"/>
      <c r="X186" s="1504"/>
      <c r="Y186" s="1497"/>
      <c r="Z186" s="1508"/>
    </row>
    <row r="187" spans="2:26" s="593" customFormat="1" ht="60" customHeight="1" x14ac:dyDescent="0.55000000000000004">
      <c r="B187" s="1496"/>
      <c r="C187" s="1497"/>
      <c r="D187" s="1498"/>
      <c r="E187" s="1502" t="s">
        <v>753</v>
      </c>
      <c r="F187" s="1490"/>
      <c r="G187" s="590"/>
      <c r="H187" s="1504"/>
      <c r="I187" s="1497"/>
      <c r="J187" s="1498"/>
      <c r="K187" s="590"/>
      <c r="L187" s="1504"/>
      <c r="M187" s="1497"/>
      <c r="N187" s="1498"/>
      <c r="O187" s="590"/>
      <c r="P187" s="1504"/>
      <c r="Q187" s="1497"/>
      <c r="R187" s="1498"/>
      <c r="S187" s="590">
        <f>+S185*S185</f>
        <v>0.16000000000000003</v>
      </c>
      <c r="T187" s="1504"/>
      <c r="U187" s="1497"/>
      <c r="V187" s="1498"/>
      <c r="W187" s="590"/>
      <c r="X187" s="1504"/>
      <c r="Y187" s="1497"/>
      <c r="Z187" s="1508"/>
    </row>
    <row r="188" spans="2:26" s="593" customFormat="1" ht="60" customHeight="1" x14ac:dyDescent="0.55000000000000004">
      <c r="B188" s="1496"/>
      <c r="C188" s="1497"/>
      <c r="D188" s="1498"/>
      <c r="E188" s="1502" t="s">
        <v>754</v>
      </c>
      <c r="F188" s="1490"/>
      <c r="G188" s="590">
        <v>1</v>
      </c>
      <c r="H188" s="1504"/>
      <c r="I188" s="1497"/>
      <c r="J188" s="1498"/>
      <c r="K188" s="590">
        <v>1</v>
      </c>
      <c r="L188" s="1504"/>
      <c r="M188" s="1497"/>
      <c r="N188" s="1498"/>
      <c r="O188" s="590">
        <v>1</v>
      </c>
      <c r="P188" s="1504"/>
      <c r="Q188" s="1497"/>
      <c r="R188" s="1498"/>
      <c r="S188" s="590">
        <v>0.6</v>
      </c>
      <c r="T188" s="1504"/>
      <c r="U188" s="1497"/>
      <c r="V188" s="1498"/>
      <c r="W188" s="590"/>
      <c r="X188" s="1504"/>
      <c r="Y188" s="1497"/>
      <c r="Z188" s="1508"/>
    </row>
    <row r="189" spans="2:26" s="593" customFormat="1" ht="60" customHeight="1" x14ac:dyDescent="0.55000000000000004">
      <c r="B189" s="1496"/>
      <c r="C189" s="1497"/>
      <c r="D189" s="1498"/>
      <c r="E189" s="1502" t="s">
        <v>755</v>
      </c>
      <c r="F189" s="1490"/>
      <c r="G189" s="590"/>
      <c r="H189" s="1504"/>
      <c r="I189" s="1497"/>
      <c r="J189" s="1498"/>
      <c r="K189" s="590"/>
      <c r="L189" s="1504"/>
      <c r="M189" s="1497"/>
      <c r="N189" s="1498"/>
      <c r="O189" s="590"/>
      <c r="P189" s="1504"/>
      <c r="Q189" s="1497"/>
      <c r="R189" s="1498"/>
      <c r="S189" s="590">
        <v>0.2</v>
      </c>
      <c r="T189" s="1504"/>
      <c r="U189" s="1497"/>
      <c r="V189" s="1498"/>
      <c r="W189" s="591"/>
      <c r="X189" s="1504"/>
      <c r="Y189" s="1497"/>
      <c r="Z189" s="1508"/>
    </row>
    <row r="190" spans="2:26" s="593" customFormat="1" ht="60" customHeight="1" x14ac:dyDescent="0.55000000000000004">
      <c r="B190" s="1499"/>
      <c r="C190" s="1500"/>
      <c r="D190" s="1501"/>
      <c r="E190" s="1502" t="s">
        <v>756</v>
      </c>
      <c r="F190" s="1490"/>
      <c r="G190" s="590">
        <f>+G184*G186*G188</f>
        <v>2.2000000000000002</v>
      </c>
      <c r="H190" s="1505"/>
      <c r="I190" s="1500"/>
      <c r="J190" s="1501"/>
      <c r="K190" s="590">
        <f>+K184*K186*K188</f>
        <v>2.2000000000000002</v>
      </c>
      <c r="L190" s="1505"/>
      <c r="M190" s="1500"/>
      <c r="N190" s="1501"/>
      <c r="O190" s="590">
        <f>+O184*O186*O188</f>
        <v>2.2000000000000002</v>
      </c>
      <c r="P190" s="1505"/>
      <c r="Q190" s="1500"/>
      <c r="R190" s="1501"/>
      <c r="S190" s="590">
        <f>+(S188/3)*(S186+S187+(SQRT(S186*S187)))</f>
        <v>0.224</v>
      </c>
      <c r="T190" s="1505"/>
      <c r="U190" s="1500"/>
      <c r="V190" s="1501"/>
      <c r="W190" s="590"/>
      <c r="X190" s="1505"/>
      <c r="Y190" s="1500"/>
      <c r="Z190" s="1509"/>
    </row>
    <row r="191" spans="2:26" s="593" customFormat="1" ht="60" customHeight="1" x14ac:dyDescent="0.55000000000000004">
      <c r="B191" s="583"/>
      <c r="C191" s="584"/>
      <c r="D191" s="592"/>
      <c r="E191" s="584"/>
      <c r="F191" s="584"/>
      <c r="G191" s="584"/>
      <c r="H191" s="584"/>
      <c r="I191" s="584"/>
      <c r="J191" s="584"/>
      <c r="K191" s="584"/>
      <c r="L191" s="584"/>
      <c r="M191" s="584"/>
      <c r="N191" s="584"/>
      <c r="O191" s="584"/>
      <c r="P191" s="584"/>
      <c r="Q191" s="584"/>
      <c r="R191" s="584"/>
      <c r="S191" s="584"/>
      <c r="T191" s="584"/>
      <c r="U191" s="584"/>
      <c r="V191" s="584"/>
      <c r="W191" s="584"/>
      <c r="X191" s="584"/>
      <c r="Y191" s="584"/>
      <c r="Z191" s="585"/>
    </row>
    <row r="192" spans="2:26" s="593" customFormat="1" ht="60" customHeight="1" x14ac:dyDescent="0.55000000000000004">
      <c r="B192" s="1510" t="s">
        <v>38</v>
      </c>
      <c r="C192" s="1511"/>
      <c r="D192" s="586" t="s">
        <v>399</v>
      </c>
      <c r="E192" s="1512" t="s">
        <v>673</v>
      </c>
      <c r="F192" s="1501"/>
      <c r="G192" s="1487" t="s">
        <v>1362</v>
      </c>
      <c r="H192" s="1488"/>
      <c r="I192" s="1485" t="s">
        <v>1221</v>
      </c>
      <c r="J192" s="1486"/>
      <c r="K192" s="1487" t="s">
        <v>1363</v>
      </c>
      <c r="L192" s="1488"/>
      <c r="M192" s="1485" t="s">
        <v>1216</v>
      </c>
      <c r="N192" s="1486"/>
      <c r="O192" s="1487" t="s">
        <v>1364</v>
      </c>
      <c r="P192" s="1488"/>
      <c r="Q192" s="1485" t="s">
        <v>1216</v>
      </c>
      <c r="R192" s="1486"/>
      <c r="S192" s="1487" t="s">
        <v>1365</v>
      </c>
      <c r="T192" s="1488"/>
      <c r="U192" s="1485" t="s">
        <v>1216</v>
      </c>
      <c r="V192" s="1486"/>
      <c r="W192" s="1487" t="s">
        <v>1366</v>
      </c>
      <c r="X192" s="1488"/>
      <c r="Y192" s="1485" t="s">
        <v>1216</v>
      </c>
      <c r="Z192" s="1513"/>
    </row>
    <row r="193" spans="2:26" s="593" customFormat="1" ht="60" customHeight="1" x14ac:dyDescent="0.55000000000000004">
      <c r="B193" s="1493" t="s">
        <v>1380</v>
      </c>
      <c r="C193" s="1494"/>
      <c r="D193" s="1495"/>
      <c r="E193" s="1502" t="s">
        <v>201</v>
      </c>
      <c r="F193" s="1490"/>
      <c r="G193" s="587">
        <f>+G194*G201</f>
        <v>0.75398400000000021</v>
      </c>
      <c r="H193" s="1503"/>
      <c r="I193" s="1494"/>
      <c r="J193" s="1495"/>
      <c r="K193" s="587"/>
      <c r="L193" s="1503" t="s">
        <v>695</v>
      </c>
      <c r="M193" s="1494"/>
      <c r="N193" s="1495"/>
      <c r="O193" s="587"/>
      <c r="P193" s="1503" t="s">
        <v>695</v>
      </c>
      <c r="Q193" s="1494"/>
      <c r="R193" s="1495"/>
      <c r="S193" s="589"/>
      <c r="T193" s="1503" t="s">
        <v>695</v>
      </c>
      <c r="U193" s="1494"/>
      <c r="V193" s="1495"/>
      <c r="W193" s="589"/>
      <c r="X193" s="1503" t="s">
        <v>695</v>
      </c>
      <c r="Y193" s="1494"/>
      <c r="Z193" s="1507"/>
    </row>
    <row r="194" spans="2:26" s="593" customFormat="1" ht="60" customHeight="1" x14ac:dyDescent="0.55000000000000004">
      <c r="B194" s="1496"/>
      <c r="C194" s="1497"/>
      <c r="D194" s="1498"/>
      <c r="E194" s="1502" t="s">
        <v>132</v>
      </c>
      <c r="F194" s="1490"/>
      <c r="G194" s="590">
        <v>2</v>
      </c>
      <c r="H194" s="1504"/>
      <c r="I194" s="1497"/>
      <c r="J194" s="1498"/>
      <c r="K194" s="590"/>
      <c r="L194" s="1504"/>
      <c r="M194" s="1497"/>
      <c r="N194" s="1498"/>
      <c r="O194" s="590"/>
      <c r="P194" s="1504"/>
      <c r="Q194" s="1497"/>
      <c r="R194" s="1498"/>
      <c r="S194" s="590"/>
      <c r="T194" s="1504"/>
      <c r="U194" s="1497"/>
      <c r="V194" s="1498"/>
      <c r="W194" s="590"/>
      <c r="X194" s="1504"/>
      <c r="Y194" s="1497"/>
      <c r="Z194" s="1508"/>
    </row>
    <row r="195" spans="2:26" s="593" customFormat="1" ht="60" customHeight="1" x14ac:dyDescent="0.55000000000000004">
      <c r="B195" s="1496"/>
      <c r="C195" s="1497"/>
      <c r="D195" s="1498"/>
      <c r="E195" s="1502" t="s">
        <v>674</v>
      </c>
      <c r="F195" s="1490"/>
      <c r="G195" s="590"/>
      <c r="H195" s="1504"/>
      <c r="I195" s="1497"/>
      <c r="J195" s="1498"/>
      <c r="K195" s="590"/>
      <c r="L195" s="1504"/>
      <c r="M195" s="1497"/>
      <c r="N195" s="1498"/>
      <c r="O195" s="590"/>
      <c r="P195" s="1504"/>
      <c r="Q195" s="1497"/>
      <c r="R195" s="1498"/>
      <c r="S195" s="590"/>
      <c r="T195" s="1504"/>
      <c r="U195" s="1497"/>
      <c r="V195" s="1498"/>
      <c r="W195" s="590"/>
      <c r="X195" s="1504"/>
      <c r="Y195" s="1497"/>
      <c r="Z195" s="1508"/>
    </row>
    <row r="196" spans="2:26" s="593" customFormat="1" ht="60" customHeight="1" x14ac:dyDescent="0.55000000000000004">
      <c r="B196" s="1496"/>
      <c r="C196" s="1497"/>
      <c r="D196" s="1498"/>
      <c r="E196" s="1502" t="s">
        <v>675</v>
      </c>
      <c r="F196" s="1490"/>
      <c r="G196" s="590"/>
      <c r="H196" s="1504"/>
      <c r="I196" s="1497"/>
      <c r="J196" s="1498"/>
      <c r="K196" s="590"/>
      <c r="L196" s="1504"/>
      <c r="M196" s="1497"/>
      <c r="N196" s="1498"/>
      <c r="O196" s="590"/>
      <c r="P196" s="1504"/>
      <c r="Q196" s="1497"/>
      <c r="R196" s="1498"/>
      <c r="S196" s="590"/>
      <c r="T196" s="1504"/>
      <c r="U196" s="1497"/>
      <c r="V196" s="1498"/>
      <c r="W196" s="590"/>
      <c r="X196" s="1504"/>
      <c r="Y196" s="1497"/>
      <c r="Z196" s="1508"/>
    </row>
    <row r="197" spans="2:26" s="593" customFormat="1" ht="60" customHeight="1" x14ac:dyDescent="0.55000000000000004">
      <c r="B197" s="1496"/>
      <c r="C197" s="1497"/>
      <c r="D197" s="1498"/>
      <c r="E197" s="1502" t="s">
        <v>676</v>
      </c>
      <c r="F197" s="1490"/>
      <c r="G197" s="590">
        <v>3</v>
      </c>
      <c r="H197" s="1504"/>
      <c r="I197" s="1497"/>
      <c r="J197" s="1498"/>
      <c r="K197" s="590"/>
      <c r="L197" s="1504"/>
      <c r="M197" s="1497"/>
      <c r="N197" s="1498"/>
      <c r="O197" s="590"/>
      <c r="P197" s="1504"/>
      <c r="Q197" s="1497"/>
      <c r="R197" s="1498"/>
      <c r="S197" s="590"/>
      <c r="T197" s="1504"/>
      <c r="U197" s="1497"/>
      <c r="V197" s="1498"/>
      <c r="W197" s="590"/>
      <c r="X197" s="1504"/>
      <c r="Y197" s="1497"/>
      <c r="Z197" s="1508"/>
    </row>
    <row r="198" spans="2:26" s="593" customFormat="1" ht="60" customHeight="1" x14ac:dyDescent="0.55000000000000004">
      <c r="B198" s="1496"/>
      <c r="C198" s="1497"/>
      <c r="D198" s="1498"/>
      <c r="E198" s="1502" t="s">
        <v>677</v>
      </c>
      <c r="F198" s="1490"/>
      <c r="G198" s="590">
        <v>0.4</v>
      </c>
      <c r="H198" s="1504"/>
      <c r="I198" s="1497"/>
      <c r="J198" s="1498"/>
      <c r="K198" s="590"/>
      <c r="L198" s="1504"/>
      <c r="M198" s="1497"/>
      <c r="N198" s="1498"/>
      <c r="O198" s="590"/>
      <c r="P198" s="1504"/>
      <c r="Q198" s="1497"/>
      <c r="R198" s="1498"/>
      <c r="S198" s="590"/>
      <c r="T198" s="1504"/>
      <c r="U198" s="1497"/>
      <c r="V198" s="1498"/>
      <c r="W198" s="590"/>
      <c r="X198" s="1504"/>
      <c r="Y198" s="1497"/>
      <c r="Z198" s="1508"/>
    </row>
    <row r="199" spans="2:26" s="593" customFormat="1" ht="60" customHeight="1" x14ac:dyDescent="0.55000000000000004">
      <c r="B199" s="1496"/>
      <c r="C199" s="1497"/>
      <c r="D199" s="1498"/>
      <c r="E199" s="1502" t="s">
        <v>678</v>
      </c>
      <c r="F199" s="1490"/>
      <c r="G199" s="590"/>
      <c r="H199" s="1504"/>
      <c r="I199" s="1497"/>
      <c r="J199" s="1498"/>
      <c r="K199" s="590"/>
      <c r="L199" s="1504"/>
      <c r="M199" s="1497"/>
      <c r="N199" s="1498"/>
      <c r="O199" s="590"/>
      <c r="P199" s="1504"/>
      <c r="Q199" s="1497"/>
      <c r="R199" s="1498"/>
      <c r="S199" s="590"/>
      <c r="T199" s="1504"/>
      <c r="U199" s="1497"/>
      <c r="V199" s="1498"/>
      <c r="W199" s="590"/>
      <c r="X199" s="1504"/>
      <c r="Y199" s="1497"/>
      <c r="Z199" s="1508"/>
    </row>
    <row r="200" spans="2:26" s="593" customFormat="1" ht="60" customHeight="1" x14ac:dyDescent="0.55000000000000004">
      <c r="B200" s="1496"/>
      <c r="C200" s="1497"/>
      <c r="D200" s="1498"/>
      <c r="E200" s="1502" t="s">
        <v>1452</v>
      </c>
      <c r="F200" s="1490"/>
      <c r="G200" s="590">
        <f>3.1416*(G198/2)^2</f>
        <v>0.12566400000000003</v>
      </c>
      <c r="H200" s="1504"/>
      <c r="I200" s="1497"/>
      <c r="J200" s="1498"/>
      <c r="K200" s="590"/>
      <c r="L200" s="1504"/>
      <c r="M200" s="1497"/>
      <c r="N200" s="1498"/>
      <c r="O200" s="590"/>
      <c r="P200" s="1504"/>
      <c r="Q200" s="1497"/>
      <c r="R200" s="1498"/>
      <c r="S200" s="590"/>
      <c r="T200" s="1504"/>
      <c r="U200" s="1497"/>
      <c r="V200" s="1498"/>
      <c r="W200" s="591"/>
      <c r="X200" s="1504"/>
      <c r="Y200" s="1497"/>
      <c r="Z200" s="1508"/>
    </row>
    <row r="201" spans="2:26" s="593" customFormat="1" ht="60" customHeight="1" x14ac:dyDescent="0.55000000000000004">
      <c r="B201" s="1499"/>
      <c r="C201" s="1500"/>
      <c r="D201" s="1501"/>
      <c r="E201" s="1502" t="s">
        <v>1453</v>
      </c>
      <c r="F201" s="1490"/>
      <c r="G201" s="590">
        <f>+G200*G197</f>
        <v>0.3769920000000001</v>
      </c>
      <c r="H201" s="1505"/>
      <c r="I201" s="1500"/>
      <c r="J201" s="1501"/>
      <c r="K201" s="590"/>
      <c r="L201" s="1505"/>
      <c r="M201" s="1500"/>
      <c r="N201" s="1501"/>
      <c r="O201" s="590"/>
      <c r="P201" s="1505"/>
      <c r="Q201" s="1500"/>
      <c r="R201" s="1501"/>
      <c r="S201" s="590"/>
      <c r="T201" s="1505"/>
      <c r="U201" s="1500"/>
      <c r="V201" s="1501"/>
      <c r="W201" s="590"/>
      <c r="X201" s="1505"/>
      <c r="Y201" s="1500"/>
      <c r="Z201" s="1509"/>
    </row>
    <row r="202" spans="2:26" s="593" customFormat="1" ht="60" customHeight="1" x14ac:dyDescent="0.55000000000000004">
      <c r="B202" s="583"/>
      <c r="C202" s="584"/>
      <c r="D202" s="592"/>
      <c r="E202" s="584"/>
      <c r="F202" s="584"/>
      <c r="G202" s="584"/>
      <c r="H202" s="584"/>
      <c r="I202" s="584"/>
      <c r="J202" s="584"/>
      <c r="K202" s="584"/>
      <c r="L202" s="584"/>
      <c r="M202" s="584"/>
      <c r="N202" s="584"/>
      <c r="O202" s="584"/>
      <c r="P202" s="584"/>
      <c r="Q202" s="584"/>
      <c r="R202" s="584"/>
      <c r="S202" s="584"/>
      <c r="T202" s="584"/>
      <c r="U202" s="584"/>
      <c r="V202" s="584"/>
      <c r="W202" s="584"/>
      <c r="X202" s="584"/>
      <c r="Y202" s="584"/>
      <c r="Z202" s="585"/>
    </row>
    <row r="203" spans="2:26" s="593" customFormat="1" ht="60" customHeight="1" x14ac:dyDescent="0.55000000000000004">
      <c r="B203" s="1510" t="s">
        <v>38</v>
      </c>
      <c r="C203" s="1511"/>
      <c r="D203" s="586" t="s">
        <v>399</v>
      </c>
      <c r="E203" s="1512" t="s">
        <v>673</v>
      </c>
      <c r="F203" s="1501"/>
      <c r="G203" s="1487" t="s">
        <v>1362</v>
      </c>
      <c r="H203" s="1488"/>
      <c r="I203" s="1485" t="s">
        <v>1221</v>
      </c>
      <c r="J203" s="1486"/>
      <c r="K203" s="1487" t="s">
        <v>1363</v>
      </c>
      <c r="L203" s="1488"/>
      <c r="M203" s="1485" t="s">
        <v>1216</v>
      </c>
      <c r="N203" s="1486"/>
      <c r="O203" s="1487" t="s">
        <v>1364</v>
      </c>
      <c r="P203" s="1488"/>
      <c r="Q203" s="1485" t="s">
        <v>1216</v>
      </c>
      <c r="R203" s="1486"/>
      <c r="S203" s="1487" t="s">
        <v>1365</v>
      </c>
      <c r="T203" s="1488"/>
      <c r="U203" s="1485" t="s">
        <v>1216</v>
      </c>
      <c r="V203" s="1486"/>
      <c r="W203" s="1487" t="s">
        <v>1366</v>
      </c>
      <c r="X203" s="1488"/>
      <c r="Y203" s="1485" t="s">
        <v>1216</v>
      </c>
      <c r="Z203" s="1513"/>
    </row>
    <row r="204" spans="2:26" s="593" customFormat="1" ht="60" customHeight="1" x14ac:dyDescent="0.55000000000000004">
      <c r="B204" s="1493" t="s">
        <v>1381</v>
      </c>
      <c r="C204" s="1494"/>
      <c r="D204" s="1495"/>
      <c r="E204" s="1502" t="s">
        <v>201</v>
      </c>
      <c r="F204" s="1490"/>
      <c r="G204" s="587">
        <f>+G205*G212</f>
        <v>6.48</v>
      </c>
      <c r="H204" s="1503"/>
      <c r="I204" s="1494"/>
      <c r="J204" s="1495"/>
      <c r="K204" s="588">
        <f>+K205*K212</f>
        <v>5.4</v>
      </c>
      <c r="L204" s="1503"/>
      <c r="M204" s="1494"/>
      <c r="N204" s="1495"/>
      <c r="O204" s="588">
        <f>+O205*O212</f>
        <v>4.3740000000000006</v>
      </c>
      <c r="P204" s="1503"/>
      <c r="Q204" s="1494"/>
      <c r="R204" s="1495"/>
      <c r="S204" s="589"/>
      <c r="T204" s="1503" t="s">
        <v>695</v>
      </c>
      <c r="U204" s="1494"/>
      <c r="V204" s="1495"/>
      <c r="W204" s="589"/>
      <c r="X204" s="1503" t="s">
        <v>695</v>
      </c>
      <c r="Y204" s="1494"/>
      <c r="Z204" s="1507"/>
    </row>
    <row r="205" spans="2:26" s="593" customFormat="1" ht="60" customHeight="1" x14ac:dyDescent="0.55000000000000004">
      <c r="B205" s="1496"/>
      <c r="C205" s="1497"/>
      <c r="D205" s="1498"/>
      <c r="E205" s="1502" t="s">
        <v>132</v>
      </c>
      <c r="F205" s="1490"/>
      <c r="G205" s="590">
        <v>2</v>
      </c>
      <c r="H205" s="1504"/>
      <c r="I205" s="1497"/>
      <c r="J205" s="1498"/>
      <c r="K205" s="590">
        <v>2</v>
      </c>
      <c r="L205" s="1504"/>
      <c r="M205" s="1497"/>
      <c r="N205" s="1498"/>
      <c r="O205" s="590">
        <v>2</v>
      </c>
      <c r="P205" s="1504"/>
      <c r="Q205" s="1497"/>
      <c r="R205" s="1498"/>
      <c r="S205" s="590"/>
      <c r="T205" s="1504"/>
      <c r="U205" s="1497"/>
      <c r="V205" s="1498"/>
      <c r="W205" s="590"/>
      <c r="X205" s="1504"/>
      <c r="Y205" s="1497"/>
      <c r="Z205" s="1508"/>
    </row>
    <row r="206" spans="2:26" s="593" customFormat="1" ht="60" customHeight="1" x14ac:dyDescent="0.55000000000000004">
      <c r="B206" s="1496"/>
      <c r="C206" s="1497"/>
      <c r="D206" s="1498"/>
      <c r="E206" s="1502" t="s">
        <v>674</v>
      </c>
      <c r="F206" s="1490"/>
      <c r="G206" s="590"/>
      <c r="H206" s="1504"/>
      <c r="I206" s="1497"/>
      <c r="J206" s="1498"/>
      <c r="K206" s="590"/>
      <c r="L206" s="1504"/>
      <c r="M206" s="1497"/>
      <c r="N206" s="1498"/>
      <c r="O206" s="590"/>
      <c r="P206" s="1504"/>
      <c r="Q206" s="1497"/>
      <c r="R206" s="1498"/>
      <c r="S206" s="590"/>
      <c r="T206" s="1504"/>
      <c r="U206" s="1497"/>
      <c r="V206" s="1498"/>
      <c r="W206" s="590"/>
      <c r="X206" s="1504"/>
      <c r="Y206" s="1497"/>
      <c r="Z206" s="1508"/>
    </row>
    <row r="207" spans="2:26" s="593" customFormat="1" ht="60" customHeight="1" x14ac:dyDescent="0.55000000000000004">
      <c r="B207" s="1496"/>
      <c r="C207" s="1497"/>
      <c r="D207" s="1498"/>
      <c r="E207" s="1502" t="s">
        <v>675</v>
      </c>
      <c r="F207" s="1490"/>
      <c r="G207" s="590">
        <v>0.9</v>
      </c>
      <c r="H207" s="1504"/>
      <c r="I207" s="1497"/>
      <c r="J207" s="1498"/>
      <c r="K207" s="590">
        <v>0.9</v>
      </c>
      <c r="L207" s="1504"/>
      <c r="M207" s="1497"/>
      <c r="N207" s="1498"/>
      <c r="O207" s="590">
        <v>0.9</v>
      </c>
      <c r="P207" s="1504"/>
      <c r="Q207" s="1497"/>
      <c r="R207" s="1498"/>
      <c r="S207" s="590"/>
      <c r="T207" s="1504"/>
      <c r="U207" s="1497"/>
      <c r="V207" s="1498"/>
      <c r="W207" s="590"/>
      <c r="X207" s="1504"/>
      <c r="Y207" s="1497"/>
      <c r="Z207" s="1508"/>
    </row>
    <row r="208" spans="2:26" s="593" customFormat="1" ht="60" customHeight="1" x14ac:dyDescent="0.55000000000000004">
      <c r="B208" s="1496"/>
      <c r="C208" s="1497"/>
      <c r="D208" s="1498"/>
      <c r="E208" s="1502" t="s">
        <v>676</v>
      </c>
      <c r="F208" s="1490"/>
      <c r="G208" s="590"/>
      <c r="H208" s="1504"/>
      <c r="I208" s="1497"/>
      <c r="J208" s="1498"/>
      <c r="K208" s="590"/>
      <c r="L208" s="1504"/>
      <c r="M208" s="1497"/>
      <c r="N208" s="1498"/>
      <c r="O208" s="590"/>
      <c r="P208" s="1504"/>
      <c r="Q208" s="1497"/>
      <c r="R208" s="1498"/>
      <c r="S208" s="590"/>
      <c r="T208" s="1504"/>
      <c r="U208" s="1497"/>
      <c r="V208" s="1498"/>
      <c r="W208" s="590"/>
      <c r="X208" s="1504"/>
      <c r="Y208" s="1497"/>
      <c r="Z208" s="1508"/>
    </row>
    <row r="209" spans="2:26" s="593" customFormat="1" ht="60" customHeight="1" x14ac:dyDescent="0.55000000000000004">
      <c r="B209" s="1496"/>
      <c r="C209" s="1497"/>
      <c r="D209" s="1498"/>
      <c r="E209" s="1502" t="s">
        <v>677</v>
      </c>
      <c r="F209" s="1490"/>
      <c r="G209" s="590"/>
      <c r="H209" s="1504"/>
      <c r="I209" s="1497"/>
      <c r="J209" s="1498"/>
      <c r="K209" s="590"/>
      <c r="L209" s="1504"/>
      <c r="M209" s="1497"/>
      <c r="N209" s="1498"/>
      <c r="O209" s="590"/>
      <c r="P209" s="1504"/>
      <c r="Q209" s="1497"/>
      <c r="R209" s="1498"/>
      <c r="S209" s="590"/>
      <c r="T209" s="1504"/>
      <c r="U209" s="1497"/>
      <c r="V209" s="1498"/>
      <c r="W209" s="590"/>
      <c r="X209" s="1504"/>
      <c r="Y209" s="1497"/>
      <c r="Z209" s="1508"/>
    </row>
    <row r="210" spans="2:26" s="593" customFormat="1" ht="60" customHeight="1" x14ac:dyDescent="0.55000000000000004">
      <c r="B210" s="1496"/>
      <c r="C210" s="1497"/>
      <c r="D210" s="1498"/>
      <c r="E210" s="1502" t="s">
        <v>678</v>
      </c>
      <c r="F210" s="1490"/>
      <c r="G210" s="590"/>
      <c r="H210" s="1504"/>
      <c r="I210" s="1497"/>
      <c r="J210" s="1498"/>
      <c r="K210" s="590"/>
      <c r="L210" s="1504"/>
      <c r="M210" s="1497"/>
      <c r="N210" s="1498"/>
      <c r="O210" s="590"/>
      <c r="P210" s="1504"/>
      <c r="Q210" s="1497"/>
      <c r="R210" s="1498"/>
      <c r="S210" s="590"/>
      <c r="T210" s="1504"/>
      <c r="U210" s="1497"/>
      <c r="V210" s="1498"/>
      <c r="W210" s="590"/>
      <c r="X210" s="1504"/>
      <c r="Y210" s="1497"/>
      <c r="Z210" s="1508"/>
    </row>
    <row r="211" spans="2:26" s="593" customFormat="1" ht="60" customHeight="1" x14ac:dyDescent="0.55000000000000004">
      <c r="B211" s="1496"/>
      <c r="C211" s="1497"/>
      <c r="D211" s="1498"/>
      <c r="E211" s="1502" t="s">
        <v>1452</v>
      </c>
      <c r="F211" s="1490"/>
      <c r="G211" s="590">
        <v>3.6</v>
      </c>
      <c r="H211" s="1504"/>
      <c r="I211" s="1497"/>
      <c r="J211" s="1498"/>
      <c r="K211" s="590">
        <v>3</v>
      </c>
      <c r="L211" s="1504"/>
      <c r="M211" s="1497"/>
      <c r="N211" s="1498"/>
      <c r="O211" s="590">
        <v>2.4300000000000002</v>
      </c>
      <c r="P211" s="1504"/>
      <c r="Q211" s="1497"/>
      <c r="R211" s="1498"/>
      <c r="S211" s="590"/>
      <c r="T211" s="1504"/>
      <c r="U211" s="1497"/>
      <c r="V211" s="1498"/>
      <c r="W211" s="591"/>
      <c r="X211" s="1504"/>
      <c r="Y211" s="1497"/>
      <c r="Z211" s="1508"/>
    </row>
    <row r="212" spans="2:26" s="593" customFormat="1" ht="60" customHeight="1" x14ac:dyDescent="0.55000000000000004">
      <c r="B212" s="1499"/>
      <c r="C212" s="1500"/>
      <c r="D212" s="1501"/>
      <c r="E212" s="1502" t="s">
        <v>1453</v>
      </c>
      <c r="F212" s="1490"/>
      <c r="G212" s="590">
        <f>+G211*G207</f>
        <v>3.24</v>
      </c>
      <c r="H212" s="1505"/>
      <c r="I212" s="1500"/>
      <c r="J212" s="1501"/>
      <c r="K212" s="590">
        <f>+K211*K207</f>
        <v>2.7</v>
      </c>
      <c r="L212" s="1505"/>
      <c r="M212" s="1500"/>
      <c r="N212" s="1501"/>
      <c r="O212" s="590">
        <f>+O211*O207</f>
        <v>2.1870000000000003</v>
      </c>
      <c r="P212" s="1505"/>
      <c r="Q212" s="1500"/>
      <c r="R212" s="1501"/>
      <c r="S212" s="590"/>
      <c r="T212" s="1505"/>
      <c r="U212" s="1500"/>
      <c r="V212" s="1501"/>
      <c r="W212" s="590"/>
      <c r="X212" s="1505"/>
      <c r="Y212" s="1500"/>
      <c r="Z212" s="1509"/>
    </row>
    <row r="213" spans="2:26" s="593" customFormat="1" ht="60" customHeight="1" x14ac:dyDescent="0.55000000000000004">
      <c r="B213" s="583"/>
      <c r="C213" s="584"/>
      <c r="D213" s="592"/>
      <c r="E213" s="584"/>
      <c r="F213" s="584"/>
      <c r="G213" s="584"/>
      <c r="H213" s="584"/>
      <c r="I213" s="584"/>
      <c r="J213" s="584"/>
      <c r="K213" s="584"/>
      <c r="L213" s="584"/>
      <c r="M213" s="584"/>
      <c r="N213" s="584"/>
      <c r="O213" s="584"/>
      <c r="P213" s="584"/>
      <c r="Q213" s="584"/>
      <c r="R213" s="584"/>
      <c r="S213" s="584"/>
      <c r="T213" s="584"/>
      <c r="U213" s="584"/>
      <c r="V213" s="584"/>
      <c r="W213" s="584"/>
      <c r="X213" s="584"/>
      <c r="Y213" s="584"/>
      <c r="Z213" s="585"/>
    </row>
    <row r="214" spans="2:26" s="593" customFormat="1" ht="60" customHeight="1" x14ac:dyDescent="0.55000000000000004">
      <c r="B214" s="1510" t="s">
        <v>38</v>
      </c>
      <c r="C214" s="1511"/>
      <c r="D214" s="586" t="s">
        <v>399</v>
      </c>
      <c r="E214" s="1512" t="s">
        <v>673</v>
      </c>
      <c r="F214" s="1501"/>
      <c r="G214" s="1487" t="s">
        <v>1362</v>
      </c>
      <c r="H214" s="1488"/>
      <c r="I214" s="1485" t="s">
        <v>1222</v>
      </c>
      <c r="J214" s="1486"/>
      <c r="K214" s="1487" t="s">
        <v>1363</v>
      </c>
      <c r="L214" s="1488"/>
      <c r="M214" s="1485" t="s">
        <v>1216</v>
      </c>
      <c r="N214" s="1486"/>
      <c r="O214" s="1487" t="s">
        <v>1364</v>
      </c>
      <c r="P214" s="1488"/>
      <c r="Q214" s="1485" t="s">
        <v>1216</v>
      </c>
      <c r="R214" s="1486"/>
      <c r="S214" s="1487" t="s">
        <v>1365</v>
      </c>
      <c r="T214" s="1488"/>
      <c r="U214" s="1485" t="s">
        <v>1216</v>
      </c>
      <c r="V214" s="1486"/>
      <c r="W214" s="1487" t="s">
        <v>1366</v>
      </c>
      <c r="X214" s="1488"/>
      <c r="Y214" s="1485" t="s">
        <v>1216</v>
      </c>
      <c r="Z214" s="1513"/>
    </row>
    <row r="215" spans="2:26" s="593" customFormat="1" ht="60" customHeight="1" x14ac:dyDescent="0.55000000000000004">
      <c r="B215" s="1493" t="s">
        <v>1393</v>
      </c>
      <c r="C215" s="1494"/>
      <c r="D215" s="1495"/>
      <c r="E215" s="1502" t="s">
        <v>201</v>
      </c>
      <c r="F215" s="1490"/>
      <c r="G215" s="587">
        <f>+G216</f>
        <v>1745.0976000000003</v>
      </c>
      <c r="H215" s="1503"/>
      <c r="I215" s="1494"/>
      <c r="J215" s="1495"/>
      <c r="K215" s="588">
        <f>+K216</f>
        <v>1470</v>
      </c>
      <c r="L215" s="1503" t="s">
        <v>695</v>
      </c>
      <c r="M215" s="1494"/>
      <c r="N215" s="1495"/>
      <c r="O215" s="588">
        <f>+O216</f>
        <v>1316.1000000000001</v>
      </c>
      <c r="P215" s="1503" t="s">
        <v>695</v>
      </c>
      <c r="Q215" s="1494"/>
      <c r="R215" s="1495"/>
      <c r="S215" s="589"/>
      <c r="T215" s="1503" t="s">
        <v>695</v>
      </c>
      <c r="U215" s="1494"/>
      <c r="V215" s="1495"/>
      <c r="W215" s="589"/>
      <c r="X215" s="1503" t="s">
        <v>695</v>
      </c>
      <c r="Y215" s="1494"/>
      <c r="Z215" s="1507"/>
    </row>
    <row r="216" spans="2:26" s="593" customFormat="1" ht="60" customHeight="1" x14ac:dyDescent="0.55000000000000004">
      <c r="B216" s="1496"/>
      <c r="C216" s="1497"/>
      <c r="D216" s="1498"/>
      <c r="E216" s="1502" t="s">
        <v>132</v>
      </c>
      <c r="F216" s="1490"/>
      <c r="G216" s="590">
        <f>+G220*G223</f>
        <v>1745.0976000000003</v>
      </c>
      <c r="H216" s="1504"/>
      <c r="I216" s="1497"/>
      <c r="J216" s="1498"/>
      <c r="K216" s="590">
        <f>+K220*K223</f>
        <v>1470</v>
      </c>
      <c r="L216" s="1504"/>
      <c r="M216" s="1497"/>
      <c r="N216" s="1498"/>
      <c r="O216" s="590">
        <f>+O220*O223</f>
        <v>1316.1000000000001</v>
      </c>
      <c r="P216" s="1504"/>
      <c r="Q216" s="1497"/>
      <c r="R216" s="1498"/>
      <c r="S216" s="590"/>
      <c r="T216" s="1504"/>
      <c r="U216" s="1497"/>
      <c r="V216" s="1498"/>
      <c r="W216" s="590"/>
      <c r="X216" s="1504"/>
      <c r="Y216" s="1497"/>
      <c r="Z216" s="1508"/>
    </row>
    <row r="217" spans="2:26" s="593" customFormat="1" ht="60" customHeight="1" x14ac:dyDescent="0.55000000000000004">
      <c r="B217" s="1496"/>
      <c r="C217" s="1497"/>
      <c r="D217" s="1498"/>
      <c r="E217" s="1502" t="s">
        <v>674</v>
      </c>
      <c r="F217" s="1490"/>
      <c r="G217" s="590"/>
      <c r="H217" s="1504"/>
      <c r="I217" s="1497"/>
      <c r="J217" s="1498"/>
      <c r="K217" s="590"/>
      <c r="L217" s="1504"/>
      <c r="M217" s="1497"/>
      <c r="N217" s="1498"/>
      <c r="O217" s="590"/>
      <c r="P217" s="1504"/>
      <c r="Q217" s="1497"/>
      <c r="R217" s="1498"/>
      <c r="S217" s="590"/>
      <c r="T217" s="1504"/>
      <c r="U217" s="1497"/>
      <c r="V217" s="1498"/>
      <c r="W217" s="590"/>
      <c r="X217" s="1504"/>
      <c r="Y217" s="1497"/>
      <c r="Z217" s="1508"/>
    </row>
    <row r="218" spans="2:26" s="593" customFormat="1" ht="60" customHeight="1" x14ac:dyDescent="0.55000000000000004">
      <c r="B218" s="1496"/>
      <c r="C218" s="1497"/>
      <c r="D218" s="1498"/>
      <c r="E218" s="1502" t="s">
        <v>675</v>
      </c>
      <c r="F218" s="1490"/>
      <c r="G218" s="590"/>
      <c r="H218" s="1504"/>
      <c r="I218" s="1497"/>
      <c r="J218" s="1498"/>
      <c r="K218" s="590"/>
      <c r="L218" s="1504"/>
      <c r="M218" s="1497"/>
      <c r="N218" s="1498"/>
      <c r="O218" s="590"/>
      <c r="P218" s="1504"/>
      <c r="Q218" s="1497"/>
      <c r="R218" s="1498"/>
      <c r="S218" s="590"/>
      <c r="T218" s="1504"/>
      <c r="U218" s="1497"/>
      <c r="V218" s="1498"/>
      <c r="W218" s="590"/>
      <c r="X218" s="1504"/>
      <c r="Y218" s="1497"/>
      <c r="Z218" s="1508"/>
    </row>
    <row r="219" spans="2:26" s="593" customFormat="1" ht="60" customHeight="1" x14ac:dyDescent="0.55000000000000004">
      <c r="B219" s="1496"/>
      <c r="C219" s="1497"/>
      <c r="D219" s="1498"/>
      <c r="E219" s="1502" t="s">
        <v>676</v>
      </c>
      <c r="F219" s="1490"/>
      <c r="G219" s="590"/>
      <c r="H219" s="1504"/>
      <c r="I219" s="1497"/>
      <c r="J219" s="1498"/>
      <c r="K219" s="590"/>
      <c r="L219" s="1504"/>
      <c r="M219" s="1497"/>
      <c r="N219" s="1498"/>
      <c r="O219" s="590"/>
      <c r="P219" s="1504"/>
      <c r="Q219" s="1497"/>
      <c r="R219" s="1498"/>
      <c r="S219" s="590"/>
      <c r="T219" s="1504"/>
      <c r="U219" s="1497"/>
      <c r="V219" s="1498"/>
      <c r="W219" s="590"/>
      <c r="X219" s="1504"/>
      <c r="Y219" s="1497"/>
      <c r="Z219" s="1508"/>
    </row>
    <row r="220" spans="2:26" s="593" customFormat="1" ht="60" customHeight="1" x14ac:dyDescent="0.55000000000000004">
      <c r="B220" s="1496"/>
      <c r="C220" s="1497"/>
      <c r="D220" s="1498"/>
      <c r="E220" s="1502" t="s">
        <v>677</v>
      </c>
      <c r="F220" s="1490"/>
      <c r="G220" s="590">
        <v>150</v>
      </c>
      <c r="H220" s="1504"/>
      <c r="I220" s="1497"/>
      <c r="J220" s="1498"/>
      <c r="K220" s="590">
        <v>150</v>
      </c>
      <c r="L220" s="1504"/>
      <c r="M220" s="1497"/>
      <c r="N220" s="1498"/>
      <c r="O220" s="590">
        <v>150</v>
      </c>
      <c r="P220" s="1504"/>
      <c r="Q220" s="1497"/>
      <c r="R220" s="1498"/>
      <c r="S220" s="590"/>
      <c r="T220" s="1504"/>
      <c r="U220" s="1497"/>
      <c r="V220" s="1498"/>
      <c r="W220" s="590"/>
      <c r="X220" s="1504"/>
      <c r="Y220" s="1497"/>
      <c r="Z220" s="1508"/>
    </row>
    <row r="221" spans="2:26" s="593" customFormat="1" ht="60" customHeight="1" x14ac:dyDescent="0.55000000000000004">
      <c r="B221" s="1496"/>
      <c r="C221" s="1497"/>
      <c r="D221" s="1498"/>
      <c r="E221" s="1502" t="s">
        <v>678</v>
      </c>
      <c r="F221" s="1490"/>
      <c r="G221" s="590"/>
      <c r="H221" s="1504"/>
      <c r="I221" s="1497"/>
      <c r="J221" s="1498"/>
      <c r="K221" s="590"/>
      <c r="L221" s="1504"/>
      <c r="M221" s="1497"/>
      <c r="N221" s="1498"/>
      <c r="O221" s="590"/>
      <c r="P221" s="1504"/>
      <c r="Q221" s="1497"/>
      <c r="R221" s="1498"/>
      <c r="S221" s="590"/>
      <c r="T221" s="1504"/>
      <c r="U221" s="1497"/>
      <c r="V221" s="1498"/>
      <c r="W221" s="590"/>
      <c r="X221" s="1504"/>
      <c r="Y221" s="1497"/>
      <c r="Z221" s="1508"/>
    </row>
    <row r="222" spans="2:26" s="593" customFormat="1" ht="60" customHeight="1" x14ac:dyDescent="0.55000000000000004">
      <c r="B222" s="1496"/>
      <c r="C222" s="1497"/>
      <c r="D222" s="1498"/>
      <c r="E222" s="1502" t="s">
        <v>1452</v>
      </c>
      <c r="F222" s="1490"/>
      <c r="G222" s="590"/>
      <c r="H222" s="1504"/>
      <c r="I222" s="1497"/>
      <c r="J222" s="1498"/>
      <c r="K222" s="590"/>
      <c r="L222" s="1504"/>
      <c r="M222" s="1497"/>
      <c r="N222" s="1498"/>
      <c r="O222" s="590"/>
      <c r="P222" s="1504"/>
      <c r="Q222" s="1497"/>
      <c r="R222" s="1498"/>
      <c r="S222" s="590"/>
      <c r="T222" s="1504"/>
      <c r="U222" s="1497"/>
      <c r="V222" s="1498"/>
      <c r="W222" s="591"/>
      <c r="X222" s="1504"/>
      <c r="Y222" s="1497"/>
      <c r="Z222" s="1508"/>
    </row>
    <row r="223" spans="2:26" s="593" customFormat="1" ht="60" customHeight="1" x14ac:dyDescent="0.55000000000000004">
      <c r="B223" s="1499"/>
      <c r="C223" s="1500"/>
      <c r="D223" s="1501"/>
      <c r="E223" s="1502" t="s">
        <v>1453</v>
      </c>
      <c r="F223" s="1490"/>
      <c r="G223" s="590">
        <f>+G204+G193+G182</f>
        <v>11.633984000000002</v>
      </c>
      <c r="H223" s="1505"/>
      <c r="I223" s="1500"/>
      <c r="J223" s="1501"/>
      <c r="K223" s="590">
        <f>+K204+K193+K182</f>
        <v>9.8000000000000007</v>
      </c>
      <c r="L223" s="1505"/>
      <c r="M223" s="1500"/>
      <c r="N223" s="1501"/>
      <c r="O223" s="590">
        <f>+O204+O193+O182</f>
        <v>8.7740000000000009</v>
      </c>
      <c r="P223" s="1505"/>
      <c r="Q223" s="1500"/>
      <c r="R223" s="1501"/>
      <c r="S223" s="590"/>
      <c r="T223" s="1505"/>
      <c r="U223" s="1500"/>
      <c r="V223" s="1501"/>
      <c r="W223" s="590"/>
      <c r="X223" s="1505"/>
      <c r="Y223" s="1500"/>
      <c r="Z223" s="1509"/>
    </row>
    <row r="224" spans="2:26" s="593" customFormat="1" ht="60" customHeight="1" x14ac:dyDescent="0.55000000000000004">
      <c r="B224" s="583"/>
      <c r="C224" s="584"/>
      <c r="D224" s="592"/>
      <c r="E224" s="584"/>
      <c r="F224" s="584"/>
      <c r="G224" s="584"/>
      <c r="H224" s="584"/>
      <c r="I224" s="584"/>
      <c r="J224" s="584"/>
      <c r="K224" s="584"/>
      <c r="L224" s="584"/>
      <c r="M224" s="584"/>
      <c r="N224" s="584"/>
      <c r="O224" s="584"/>
      <c r="P224" s="584"/>
      <c r="Q224" s="584"/>
      <c r="R224" s="584"/>
      <c r="S224" s="584"/>
      <c r="T224" s="584"/>
      <c r="U224" s="584"/>
      <c r="V224" s="584"/>
      <c r="W224" s="584"/>
      <c r="X224" s="584"/>
      <c r="Y224" s="584"/>
      <c r="Z224" s="585"/>
    </row>
    <row r="225" spans="2:26" s="593" customFormat="1" ht="60" customHeight="1" x14ac:dyDescent="0.55000000000000004">
      <c r="B225" s="1510" t="s">
        <v>38</v>
      </c>
      <c r="C225" s="1511"/>
      <c r="D225" s="586" t="s">
        <v>415</v>
      </c>
      <c r="E225" s="1512" t="s">
        <v>673</v>
      </c>
      <c r="F225" s="1501"/>
      <c r="G225" s="1487" t="s">
        <v>1362</v>
      </c>
      <c r="H225" s="1488"/>
      <c r="I225" s="1485" t="s">
        <v>1223</v>
      </c>
      <c r="J225" s="1486"/>
      <c r="K225" s="1487" t="s">
        <v>1363</v>
      </c>
      <c r="L225" s="1488"/>
      <c r="M225" s="1485" t="s">
        <v>1216</v>
      </c>
      <c r="N225" s="1486"/>
      <c r="O225" s="1487" t="s">
        <v>1364</v>
      </c>
      <c r="P225" s="1488"/>
      <c r="Q225" s="1485" t="s">
        <v>1216</v>
      </c>
      <c r="R225" s="1486"/>
      <c r="S225" s="1487" t="s">
        <v>1365</v>
      </c>
      <c r="T225" s="1488"/>
      <c r="U225" s="1485" t="s">
        <v>1216</v>
      </c>
      <c r="V225" s="1486"/>
      <c r="W225" s="1487" t="s">
        <v>1366</v>
      </c>
      <c r="X225" s="1488"/>
      <c r="Y225" s="1485" t="s">
        <v>1216</v>
      </c>
      <c r="Z225" s="1513"/>
    </row>
    <row r="226" spans="2:26" s="593" customFormat="1" ht="60" customHeight="1" x14ac:dyDescent="0.55000000000000004">
      <c r="B226" s="1493" t="s">
        <v>783</v>
      </c>
      <c r="C226" s="1494"/>
      <c r="D226" s="1495"/>
      <c r="E226" s="1502" t="s">
        <v>201</v>
      </c>
      <c r="F226" s="1490"/>
      <c r="G226" s="587"/>
      <c r="H226" s="1503" t="s">
        <v>695</v>
      </c>
      <c r="I226" s="1494"/>
      <c r="J226" s="1495"/>
      <c r="K226" s="587"/>
      <c r="L226" s="1503" t="s">
        <v>695</v>
      </c>
      <c r="M226" s="1494"/>
      <c r="N226" s="1495"/>
      <c r="O226" s="587"/>
      <c r="P226" s="1503" t="s">
        <v>695</v>
      </c>
      <c r="Q226" s="1494"/>
      <c r="R226" s="1495"/>
      <c r="S226" s="589">
        <f>+S228*S227*S230</f>
        <v>104.21849999999999</v>
      </c>
      <c r="T226" s="1506"/>
      <c r="U226" s="1494"/>
      <c r="V226" s="1495"/>
      <c r="W226" s="589"/>
      <c r="X226" s="1503" t="s">
        <v>695</v>
      </c>
      <c r="Y226" s="1494"/>
      <c r="Z226" s="1507"/>
    </row>
    <row r="227" spans="2:26" s="593" customFormat="1" ht="60" customHeight="1" x14ac:dyDescent="0.55000000000000004">
      <c r="B227" s="1496"/>
      <c r="C227" s="1497"/>
      <c r="D227" s="1498"/>
      <c r="E227" s="1502" t="s">
        <v>132</v>
      </c>
      <c r="F227" s="1490"/>
      <c r="G227" s="590"/>
      <c r="H227" s="1504"/>
      <c r="I227" s="1497"/>
      <c r="J227" s="1498"/>
      <c r="K227" s="590"/>
      <c r="L227" s="1504"/>
      <c r="M227" s="1497"/>
      <c r="N227" s="1498"/>
      <c r="O227" s="590"/>
      <c r="P227" s="1504"/>
      <c r="Q227" s="1497"/>
      <c r="R227" s="1498"/>
      <c r="S227" s="590">
        <v>67</v>
      </c>
      <c r="T227" s="1504"/>
      <c r="U227" s="1497"/>
      <c r="V227" s="1498"/>
      <c r="W227" s="590"/>
      <c r="X227" s="1504"/>
      <c r="Y227" s="1497"/>
      <c r="Z227" s="1508"/>
    </row>
    <row r="228" spans="2:26" s="593" customFormat="1" ht="60" customHeight="1" x14ac:dyDescent="0.55000000000000004">
      <c r="B228" s="1496"/>
      <c r="C228" s="1497"/>
      <c r="D228" s="1498"/>
      <c r="E228" s="1502" t="s">
        <v>674</v>
      </c>
      <c r="F228" s="1490"/>
      <c r="G228" s="590"/>
      <c r="H228" s="1504"/>
      <c r="I228" s="1497"/>
      <c r="J228" s="1498"/>
      <c r="K228" s="590"/>
      <c r="L228" s="1504"/>
      <c r="M228" s="1497"/>
      <c r="N228" s="1498"/>
      <c r="O228" s="590"/>
      <c r="P228" s="1504"/>
      <c r="Q228" s="1497"/>
      <c r="R228" s="1498"/>
      <c r="S228" s="590">
        <v>0.85</v>
      </c>
      <c r="T228" s="1504"/>
      <c r="U228" s="1497"/>
      <c r="V228" s="1498"/>
      <c r="W228" s="590"/>
      <c r="X228" s="1504"/>
      <c r="Y228" s="1497"/>
      <c r="Z228" s="1508"/>
    </row>
    <row r="229" spans="2:26" s="593" customFormat="1" ht="60" customHeight="1" x14ac:dyDescent="0.55000000000000004">
      <c r="B229" s="1496"/>
      <c r="C229" s="1497"/>
      <c r="D229" s="1498"/>
      <c r="E229" s="1502" t="s">
        <v>675</v>
      </c>
      <c r="F229" s="1490"/>
      <c r="G229" s="590"/>
      <c r="H229" s="1504"/>
      <c r="I229" s="1497"/>
      <c r="J229" s="1498"/>
      <c r="K229" s="590"/>
      <c r="L229" s="1504"/>
      <c r="M229" s="1497"/>
      <c r="N229" s="1498"/>
      <c r="O229" s="590"/>
      <c r="P229" s="1504"/>
      <c r="Q229" s="1497"/>
      <c r="R229" s="1498"/>
      <c r="S229" s="590"/>
      <c r="T229" s="1504"/>
      <c r="U229" s="1497"/>
      <c r="V229" s="1498"/>
      <c r="W229" s="590"/>
      <c r="X229" s="1504"/>
      <c r="Y229" s="1497"/>
      <c r="Z229" s="1508"/>
    </row>
    <row r="230" spans="2:26" s="593" customFormat="1" ht="60" customHeight="1" x14ac:dyDescent="0.55000000000000004">
      <c r="B230" s="1496"/>
      <c r="C230" s="1497"/>
      <c r="D230" s="1498"/>
      <c r="E230" s="1502" t="s">
        <v>772</v>
      </c>
      <c r="F230" s="1490"/>
      <c r="G230" s="590"/>
      <c r="H230" s="1504"/>
      <c r="I230" s="1497"/>
      <c r="J230" s="1498"/>
      <c r="K230" s="590"/>
      <c r="L230" s="1504"/>
      <c r="M230" s="1497"/>
      <c r="N230" s="1498"/>
      <c r="O230" s="590"/>
      <c r="P230" s="1504"/>
      <c r="Q230" s="1497"/>
      <c r="R230" s="1498"/>
      <c r="S230" s="590">
        <v>1.83</v>
      </c>
      <c r="T230" s="1504"/>
      <c r="U230" s="1497"/>
      <c r="V230" s="1498"/>
      <c r="W230" s="590"/>
      <c r="X230" s="1504"/>
      <c r="Y230" s="1497"/>
      <c r="Z230" s="1508"/>
    </row>
    <row r="231" spans="2:26" s="593" customFormat="1" ht="60" customHeight="1" x14ac:dyDescent="0.55000000000000004">
      <c r="B231" s="1496"/>
      <c r="C231" s="1497"/>
      <c r="D231" s="1498"/>
      <c r="E231" s="1502" t="s">
        <v>677</v>
      </c>
      <c r="F231" s="1490"/>
      <c r="G231" s="590"/>
      <c r="H231" s="1504"/>
      <c r="I231" s="1497"/>
      <c r="J231" s="1498"/>
      <c r="K231" s="590"/>
      <c r="L231" s="1504"/>
      <c r="M231" s="1497"/>
      <c r="N231" s="1498"/>
      <c r="O231" s="590"/>
      <c r="P231" s="1504"/>
      <c r="Q231" s="1497"/>
      <c r="R231" s="1498"/>
      <c r="S231" s="590"/>
      <c r="T231" s="1504"/>
      <c r="U231" s="1497"/>
      <c r="V231" s="1498"/>
      <c r="W231" s="590"/>
      <c r="X231" s="1504"/>
      <c r="Y231" s="1497"/>
      <c r="Z231" s="1508"/>
    </row>
    <row r="232" spans="2:26" s="593" customFormat="1" ht="60" customHeight="1" x14ac:dyDescent="0.55000000000000004">
      <c r="B232" s="1496"/>
      <c r="C232" s="1497"/>
      <c r="D232" s="1498"/>
      <c r="E232" s="1502" t="s">
        <v>678</v>
      </c>
      <c r="F232" s="1490"/>
      <c r="G232" s="590"/>
      <c r="H232" s="1504"/>
      <c r="I232" s="1497"/>
      <c r="J232" s="1498"/>
      <c r="K232" s="590"/>
      <c r="L232" s="1504"/>
      <c r="M232" s="1497"/>
      <c r="N232" s="1498"/>
      <c r="O232" s="590"/>
      <c r="P232" s="1504"/>
      <c r="Q232" s="1497"/>
      <c r="R232" s="1498"/>
      <c r="S232" s="590"/>
      <c r="T232" s="1504"/>
      <c r="U232" s="1497"/>
      <c r="V232" s="1498"/>
      <c r="W232" s="590"/>
      <c r="X232" s="1504"/>
      <c r="Y232" s="1497"/>
      <c r="Z232" s="1508"/>
    </row>
    <row r="233" spans="2:26" s="593" customFormat="1" ht="60" customHeight="1" x14ac:dyDescent="0.55000000000000004">
      <c r="B233" s="1496"/>
      <c r="C233" s="1497"/>
      <c r="D233" s="1498"/>
      <c r="E233" s="1502" t="s">
        <v>1452</v>
      </c>
      <c r="F233" s="1490"/>
      <c r="G233" s="590"/>
      <c r="H233" s="1504"/>
      <c r="I233" s="1497"/>
      <c r="J233" s="1498"/>
      <c r="K233" s="590"/>
      <c r="L233" s="1504"/>
      <c r="M233" s="1497"/>
      <c r="N233" s="1498"/>
      <c r="O233" s="590"/>
      <c r="P233" s="1504"/>
      <c r="Q233" s="1497"/>
      <c r="R233" s="1498"/>
      <c r="S233" s="590"/>
      <c r="T233" s="1504"/>
      <c r="U233" s="1497"/>
      <c r="V233" s="1498"/>
      <c r="W233" s="591"/>
      <c r="X233" s="1504"/>
      <c r="Y233" s="1497"/>
      <c r="Z233" s="1508"/>
    </row>
    <row r="234" spans="2:26" s="593" customFormat="1" ht="60" customHeight="1" x14ac:dyDescent="0.55000000000000004">
      <c r="B234" s="1499"/>
      <c r="C234" s="1500"/>
      <c r="D234" s="1501"/>
      <c r="E234" s="1502" t="s">
        <v>1453</v>
      </c>
      <c r="F234" s="1490"/>
      <c r="G234" s="590"/>
      <c r="H234" s="1505"/>
      <c r="I234" s="1500"/>
      <c r="J234" s="1501"/>
      <c r="K234" s="590"/>
      <c r="L234" s="1505"/>
      <c r="M234" s="1500"/>
      <c r="N234" s="1501"/>
      <c r="O234" s="590"/>
      <c r="P234" s="1505"/>
      <c r="Q234" s="1500"/>
      <c r="R234" s="1501"/>
      <c r="S234" s="590"/>
      <c r="T234" s="1505"/>
      <c r="U234" s="1500"/>
      <c r="V234" s="1501"/>
      <c r="W234" s="590"/>
      <c r="X234" s="1505"/>
      <c r="Y234" s="1500"/>
      <c r="Z234" s="1509"/>
    </row>
    <row r="235" spans="2:26" s="593" customFormat="1" ht="60" customHeight="1" x14ac:dyDescent="0.55000000000000004">
      <c r="B235" s="583"/>
      <c r="C235" s="584"/>
      <c r="D235" s="592"/>
      <c r="E235" s="584"/>
      <c r="F235" s="584"/>
      <c r="G235" s="584"/>
      <c r="H235" s="584"/>
      <c r="I235" s="584"/>
      <c r="J235" s="584"/>
      <c r="K235" s="584"/>
      <c r="L235" s="584"/>
      <c r="M235" s="584"/>
      <c r="N235" s="584"/>
      <c r="O235" s="584"/>
      <c r="P235" s="584"/>
      <c r="Q235" s="584"/>
      <c r="R235" s="584"/>
      <c r="S235" s="584"/>
      <c r="T235" s="584"/>
      <c r="U235" s="584"/>
      <c r="V235" s="584"/>
      <c r="W235" s="584"/>
      <c r="X235" s="584"/>
      <c r="Y235" s="584"/>
      <c r="Z235" s="585"/>
    </row>
    <row r="236" spans="2:26" s="593" customFormat="1" ht="60" customHeight="1" x14ac:dyDescent="0.55000000000000004">
      <c r="B236" s="1510" t="s">
        <v>38</v>
      </c>
      <c r="C236" s="1511"/>
      <c r="D236" s="586" t="s">
        <v>415</v>
      </c>
      <c r="E236" s="1512" t="s">
        <v>673</v>
      </c>
      <c r="F236" s="1501"/>
      <c r="G236" s="1487" t="s">
        <v>1362</v>
      </c>
      <c r="H236" s="1488"/>
      <c r="I236" s="1485" t="s">
        <v>1224</v>
      </c>
      <c r="J236" s="1486"/>
      <c r="K236" s="1487" t="s">
        <v>1363</v>
      </c>
      <c r="L236" s="1488"/>
      <c r="M236" s="1485" t="s">
        <v>1216</v>
      </c>
      <c r="N236" s="1486"/>
      <c r="O236" s="1487" t="s">
        <v>1364</v>
      </c>
      <c r="P236" s="1488"/>
      <c r="Q236" s="1485" t="s">
        <v>1216</v>
      </c>
      <c r="R236" s="1486"/>
      <c r="S236" s="1487" t="s">
        <v>1365</v>
      </c>
      <c r="T236" s="1488"/>
      <c r="U236" s="1485" t="s">
        <v>1216</v>
      </c>
      <c r="V236" s="1486"/>
      <c r="W236" s="1487" t="s">
        <v>1366</v>
      </c>
      <c r="X236" s="1488"/>
      <c r="Y236" s="1485" t="s">
        <v>1216</v>
      </c>
      <c r="Z236" s="1513"/>
    </row>
    <row r="237" spans="2:26" s="593" customFormat="1" ht="60" customHeight="1" x14ac:dyDescent="0.55000000000000004">
      <c r="B237" s="1493" t="s">
        <v>784</v>
      </c>
      <c r="C237" s="1494"/>
      <c r="D237" s="1495"/>
      <c r="E237" s="1502" t="s">
        <v>201</v>
      </c>
      <c r="F237" s="1490"/>
      <c r="G237" s="587"/>
      <c r="H237" s="1503" t="s">
        <v>695</v>
      </c>
      <c r="I237" s="1494"/>
      <c r="J237" s="1495"/>
      <c r="K237" s="587"/>
      <c r="L237" s="1503" t="s">
        <v>695</v>
      </c>
      <c r="M237" s="1494"/>
      <c r="N237" s="1495"/>
      <c r="O237" s="587"/>
      <c r="P237" s="1503" t="s">
        <v>695</v>
      </c>
      <c r="Q237" s="1494"/>
      <c r="R237" s="1495"/>
      <c r="S237" s="589">
        <f>+S239*S238*S241</f>
        <v>36.6</v>
      </c>
      <c r="T237" s="1506"/>
      <c r="U237" s="1494"/>
      <c r="V237" s="1495"/>
      <c r="W237" s="589"/>
      <c r="X237" s="1503" t="s">
        <v>695</v>
      </c>
      <c r="Y237" s="1494"/>
      <c r="Z237" s="1507"/>
    </row>
    <row r="238" spans="2:26" s="593" customFormat="1" ht="60" customHeight="1" x14ac:dyDescent="0.55000000000000004">
      <c r="B238" s="1496"/>
      <c r="C238" s="1497"/>
      <c r="D238" s="1498"/>
      <c r="E238" s="1502" t="s">
        <v>132</v>
      </c>
      <c r="F238" s="1490"/>
      <c r="G238" s="590"/>
      <c r="H238" s="1504"/>
      <c r="I238" s="1497"/>
      <c r="J238" s="1498"/>
      <c r="K238" s="590"/>
      <c r="L238" s="1504"/>
      <c r="M238" s="1497"/>
      <c r="N238" s="1498"/>
      <c r="O238" s="590"/>
      <c r="P238" s="1504"/>
      <c r="Q238" s="1497"/>
      <c r="R238" s="1498"/>
      <c r="S238" s="590">
        <v>2</v>
      </c>
      <c r="T238" s="1504"/>
      <c r="U238" s="1497"/>
      <c r="V238" s="1498"/>
      <c r="W238" s="590"/>
      <c r="X238" s="1504"/>
      <c r="Y238" s="1497"/>
      <c r="Z238" s="1508"/>
    </row>
    <row r="239" spans="2:26" s="593" customFormat="1" ht="60" customHeight="1" x14ac:dyDescent="0.55000000000000004">
      <c r="B239" s="1496"/>
      <c r="C239" s="1497"/>
      <c r="D239" s="1498"/>
      <c r="E239" s="1502" t="s">
        <v>674</v>
      </c>
      <c r="F239" s="1490"/>
      <c r="G239" s="590"/>
      <c r="H239" s="1504"/>
      <c r="I239" s="1497"/>
      <c r="J239" s="1498"/>
      <c r="K239" s="590"/>
      <c r="L239" s="1504"/>
      <c r="M239" s="1497"/>
      <c r="N239" s="1498"/>
      <c r="O239" s="590"/>
      <c r="P239" s="1504"/>
      <c r="Q239" s="1497"/>
      <c r="R239" s="1498"/>
      <c r="S239" s="590">
        <v>10</v>
      </c>
      <c r="T239" s="1504"/>
      <c r="U239" s="1497"/>
      <c r="V239" s="1498"/>
      <c r="W239" s="590"/>
      <c r="X239" s="1504"/>
      <c r="Y239" s="1497"/>
      <c r="Z239" s="1508"/>
    </row>
    <row r="240" spans="2:26" s="593" customFormat="1" ht="60" customHeight="1" x14ac:dyDescent="0.55000000000000004">
      <c r="B240" s="1496"/>
      <c r="C240" s="1497"/>
      <c r="D240" s="1498"/>
      <c r="E240" s="1502" t="s">
        <v>675</v>
      </c>
      <c r="F240" s="1490"/>
      <c r="G240" s="590"/>
      <c r="H240" s="1504"/>
      <c r="I240" s="1497"/>
      <c r="J240" s="1498"/>
      <c r="K240" s="590"/>
      <c r="L240" s="1504"/>
      <c r="M240" s="1497"/>
      <c r="N240" s="1498"/>
      <c r="O240" s="590"/>
      <c r="P240" s="1504"/>
      <c r="Q240" s="1497"/>
      <c r="R240" s="1498"/>
      <c r="S240" s="590"/>
      <c r="T240" s="1504"/>
      <c r="U240" s="1497"/>
      <c r="V240" s="1498"/>
      <c r="W240" s="590"/>
      <c r="X240" s="1504"/>
      <c r="Y240" s="1497"/>
      <c r="Z240" s="1508"/>
    </row>
    <row r="241" spans="2:26" s="593" customFormat="1" ht="60" customHeight="1" x14ac:dyDescent="0.55000000000000004">
      <c r="B241" s="1496"/>
      <c r="C241" s="1497"/>
      <c r="D241" s="1498"/>
      <c r="E241" s="1502" t="s">
        <v>772</v>
      </c>
      <c r="F241" s="1490"/>
      <c r="G241" s="590"/>
      <c r="H241" s="1504"/>
      <c r="I241" s="1497"/>
      <c r="J241" s="1498"/>
      <c r="K241" s="590"/>
      <c r="L241" s="1504"/>
      <c r="M241" s="1497"/>
      <c r="N241" s="1498"/>
      <c r="O241" s="590"/>
      <c r="P241" s="1504"/>
      <c r="Q241" s="1497"/>
      <c r="R241" s="1498"/>
      <c r="S241" s="590">
        <v>1.83</v>
      </c>
      <c r="T241" s="1504"/>
      <c r="U241" s="1497"/>
      <c r="V241" s="1498"/>
      <c r="W241" s="590"/>
      <c r="X241" s="1504"/>
      <c r="Y241" s="1497"/>
      <c r="Z241" s="1508"/>
    </row>
    <row r="242" spans="2:26" s="593" customFormat="1" ht="60" customHeight="1" x14ac:dyDescent="0.55000000000000004">
      <c r="B242" s="1496"/>
      <c r="C242" s="1497"/>
      <c r="D242" s="1498"/>
      <c r="E242" s="1502" t="s">
        <v>677</v>
      </c>
      <c r="F242" s="1490"/>
      <c r="G242" s="590"/>
      <c r="H242" s="1504"/>
      <c r="I242" s="1497"/>
      <c r="J242" s="1498"/>
      <c r="K242" s="590"/>
      <c r="L242" s="1504"/>
      <c r="M242" s="1497"/>
      <c r="N242" s="1498"/>
      <c r="O242" s="590"/>
      <c r="P242" s="1504"/>
      <c r="Q242" s="1497"/>
      <c r="R242" s="1498"/>
      <c r="S242" s="590"/>
      <c r="T242" s="1504"/>
      <c r="U242" s="1497"/>
      <c r="V242" s="1498"/>
      <c r="W242" s="590"/>
      <c r="X242" s="1504"/>
      <c r="Y242" s="1497"/>
      <c r="Z242" s="1508"/>
    </row>
    <row r="243" spans="2:26" s="593" customFormat="1" ht="60" customHeight="1" x14ac:dyDescent="0.6">
      <c r="B243" s="1496"/>
      <c r="C243" s="1497"/>
      <c r="D243" s="1498"/>
      <c r="E243" s="1502" t="s">
        <v>678</v>
      </c>
      <c r="F243" s="1490"/>
      <c r="G243" s="590"/>
      <c r="H243" s="1504"/>
      <c r="I243" s="1497"/>
      <c r="J243" s="1498"/>
      <c r="K243" s="590"/>
      <c r="L243" s="1504"/>
      <c r="M243" s="1497"/>
      <c r="N243" s="1498"/>
      <c r="O243" s="594"/>
      <c r="P243" s="1504"/>
      <c r="Q243" s="1497"/>
      <c r="R243" s="1498"/>
      <c r="S243" s="590"/>
      <c r="T243" s="1504"/>
      <c r="U243" s="1497"/>
      <c r="V243" s="1498"/>
      <c r="W243" s="590"/>
      <c r="X243" s="1504"/>
      <c r="Y243" s="1497"/>
      <c r="Z243" s="1508"/>
    </row>
    <row r="244" spans="2:26" s="593" customFormat="1" ht="60" customHeight="1" x14ac:dyDescent="0.55000000000000004">
      <c r="B244" s="1496"/>
      <c r="C244" s="1497"/>
      <c r="D244" s="1498"/>
      <c r="E244" s="1502" t="s">
        <v>1452</v>
      </c>
      <c r="F244" s="1490"/>
      <c r="G244" s="590"/>
      <c r="H244" s="1504"/>
      <c r="I244" s="1497"/>
      <c r="J244" s="1498"/>
      <c r="K244" s="590"/>
      <c r="L244" s="1504"/>
      <c r="M244" s="1497"/>
      <c r="N244" s="1498"/>
      <c r="O244" s="590"/>
      <c r="P244" s="1504"/>
      <c r="Q244" s="1497"/>
      <c r="R244" s="1498"/>
      <c r="S244" s="590"/>
      <c r="T244" s="1504"/>
      <c r="U244" s="1497"/>
      <c r="V244" s="1498"/>
      <c r="W244" s="591"/>
      <c r="X244" s="1504"/>
      <c r="Y244" s="1497"/>
      <c r="Z244" s="1508"/>
    </row>
    <row r="245" spans="2:26" s="593" customFormat="1" ht="60" customHeight="1" x14ac:dyDescent="0.55000000000000004">
      <c r="B245" s="1499"/>
      <c r="C245" s="1500"/>
      <c r="D245" s="1501"/>
      <c r="E245" s="1502" t="s">
        <v>1453</v>
      </c>
      <c r="F245" s="1490"/>
      <c r="G245" s="590"/>
      <c r="H245" s="1505"/>
      <c r="I245" s="1500"/>
      <c r="J245" s="1501"/>
      <c r="K245" s="590"/>
      <c r="L245" s="1505"/>
      <c r="M245" s="1500"/>
      <c r="N245" s="1501"/>
      <c r="O245" s="590"/>
      <c r="P245" s="1505"/>
      <c r="Q245" s="1500"/>
      <c r="R245" s="1501"/>
      <c r="S245" s="590"/>
      <c r="T245" s="1505"/>
      <c r="U245" s="1500"/>
      <c r="V245" s="1501"/>
      <c r="W245" s="590"/>
      <c r="X245" s="1505"/>
      <c r="Y245" s="1500"/>
      <c r="Z245" s="1509"/>
    </row>
    <row r="246" spans="2:26" s="593" customFormat="1" ht="60" customHeight="1" x14ac:dyDescent="0.55000000000000004">
      <c r="B246" s="583"/>
      <c r="C246" s="584"/>
      <c r="D246" s="592"/>
      <c r="E246" s="584"/>
      <c r="F246" s="584"/>
      <c r="G246" s="584"/>
      <c r="H246" s="584"/>
      <c r="I246" s="584"/>
      <c r="J246" s="584"/>
      <c r="K246" s="584"/>
      <c r="L246" s="584"/>
      <c r="M246" s="584"/>
      <c r="N246" s="584"/>
      <c r="O246" s="584"/>
      <c r="P246" s="584"/>
      <c r="Q246" s="584"/>
      <c r="R246" s="584"/>
      <c r="S246" s="584"/>
      <c r="T246" s="584"/>
      <c r="U246" s="584"/>
      <c r="V246" s="584"/>
      <c r="W246" s="584"/>
      <c r="X246" s="584"/>
      <c r="Y246" s="584"/>
      <c r="Z246" s="585"/>
    </row>
    <row r="247" spans="2:26" s="593" customFormat="1" ht="60" customHeight="1" x14ac:dyDescent="0.55000000000000004">
      <c r="B247" s="1510" t="s">
        <v>38</v>
      </c>
      <c r="C247" s="1511"/>
      <c r="D247" s="586" t="s">
        <v>415</v>
      </c>
      <c r="E247" s="1512" t="s">
        <v>673</v>
      </c>
      <c r="F247" s="1501"/>
      <c r="G247" s="1487" t="s">
        <v>1362</v>
      </c>
      <c r="H247" s="1488"/>
      <c r="I247" s="1485" t="s">
        <v>1225</v>
      </c>
      <c r="J247" s="1486"/>
      <c r="K247" s="1487" t="s">
        <v>1363</v>
      </c>
      <c r="L247" s="1488"/>
      <c r="M247" s="1485" t="s">
        <v>1216</v>
      </c>
      <c r="N247" s="1486"/>
      <c r="O247" s="1487" t="s">
        <v>1364</v>
      </c>
      <c r="P247" s="1488"/>
      <c r="Q247" s="1485" t="s">
        <v>1216</v>
      </c>
      <c r="R247" s="1486"/>
      <c r="S247" s="1487" t="s">
        <v>1365</v>
      </c>
      <c r="T247" s="1488"/>
      <c r="U247" s="1485" t="s">
        <v>1216</v>
      </c>
      <c r="V247" s="1486"/>
      <c r="W247" s="1487" t="s">
        <v>1366</v>
      </c>
      <c r="X247" s="1488"/>
      <c r="Y247" s="1485" t="s">
        <v>1216</v>
      </c>
      <c r="Z247" s="1513"/>
    </row>
    <row r="248" spans="2:26" s="593" customFormat="1" ht="60" customHeight="1" x14ac:dyDescent="0.55000000000000004">
      <c r="B248" s="1493" t="s">
        <v>785</v>
      </c>
      <c r="C248" s="1494"/>
      <c r="D248" s="1495"/>
      <c r="E248" s="1502" t="s">
        <v>201</v>
      </c>
      <c r="F248" s="1490"/>
      <c r="G248" s="587"/>
      <c r="H248" s="1503" t="s">
        <v>695</v>
      </c>
      <c r="I248" s="1494"/>
      <c r="J248" s="1495"/>
      <c r="K248" s="587"/>
      <c r="L248" s="1503" t="s">
        <v>695</v>
      </c>
      <c r="M248" s="1494"/>
      <c r="N248" s="1495"/>
      <c r="O248" s="587"/>
      <c r="P248" s="1503" t="s">
        <v>695</v>
      </c>
      <c r="Q248" s="1494"/>
      <c r="R248" s="1495"/>
      <c r="S248" s="589">
        <f>+S250*S249*S252</f>
        <v>98.4</v>
      </c>
      <c r="T248" s="1506"/>
      <c r="U248" s="1494"/>
      <c r="V248" s="1495"/>
      <c r="W248" s="589"/>
      <c r="X248" s="1503" t="s">
        <v>695</v>
      </c>
      <c r="Y248" s="1494"/>
      <c r="Z248" s="1507"/>
    </row>
    <row r="249" spans="2:26" s="593" customFormat="1" ht="60" customHeight="1" x14ac:dyDescent="0.55000000000000004">
      <c r="B249" s="1496"/>
      <c r="C249" s="1497"/>
      <c r="D249" s="1498"/>
      <c r="E249" s="1502" t="s">
        <v>132</v>
      </c>
      <c r="F249" s="1490"/>
      <c r="G249" s="590"/>
      <c r="H249" s="1504"/>
      <c r="I249" s="1497"/>
      <c r="J249" s="1498"/>
      <c r="K249" s="590"/>
      <c r="L249" s="1504"/>
      <c r="M249" s="1497"/>
      <c r="N249" s="1498"/>
      <c r="O249" s="590"/>
      <c r="P249" s="1504"/>
      <c r="Q249" s="1497"/>
      <c r="R249" s="1498"/>
      <c r="S249" s="590">
        <v>4</v>
      </c>
      <c r="T249" s="1504"/>
      <c r="U249" s="1497"/>
      <c r="V249" s="1498"/>
      <c r="W249" s="590"/>
      <c r="X249" s="1504"/>
      <c r="Y249" s="1497"/>
      <c r="Z249" s="1508"/>
    </row>
    <row r="250" spans="2:26" s="593" customFormat="1" ht="60" customHeight="1" x14ac:dyDescent="0.55000000000000004">
      <c r="B250" s="1496"/>
      <c r="C250" s="1497"/>
      <c r="D250" s="1498"/>
      <c r="E250" s="1502" t="s">
        <v>674</v>
      </c>
      <c r="F250" s="1490"/>
      <c r="G250" s="590"/>
      <c r="H250" s="1504"/>
      <c r="I250" s="1497"/>
      <c r="J250" s="1498"/>
      <c r="K250" s="590"/>
      <c r="L250" s="1504"/>
      <c r="M250" s="1497"/>
      <c r="N250" s="1498"/>
      <c r="O250" s="590"/>
      <c r="P250" s="1504"/>
      <c r="Q250" s="1497"/>
      <c r="R250" s="1498"/>
      <c r="S250" s="590">
        <v>10</v>
      </c>
      <c r="T250" s="1504"/>
      <c r="U250" s="1497"/>
      <c r="V250" s="1498"/>
      <c r="W250" s="590"/>
      <c r="X250" s="1504"/>
      <c r="Y250" s="1497"/>
      <c r="Z250" s="1508"/>
    </row>
    <row r="251" spans="2:26" s="593" customFormat="1" ht="60" customHeight="1" x14ac:dyDescent="0.55000000000000004">
      <c r="B251" s="1496"/>
      <c r="C251" s="1497"/>
      <c r="D251" s="1498"/>
      <c r="E251" s="1502" t="s">
        <v>675</v>
      </c>
      <c r="F251" s="1490"/>
      <c r="G251" s="590"/>
      <c r="H251" s="1504"/>
      <c r="I251" s="1497"/>
      <c r="J251" s="1498"/>
      <c r="K251" s="590"/>
      <c r="L251" s="1504"/>
      <c r="M251" s="1497"/>
      <c r="N251" s="1498"/>
      <c r="O251" s="590"/>
      <c r="P251" s="1504"/>
      <c r="Q251" s="1497"/>
      <c r="R251" s="1498"/>
      <c r="S251" s="590"/>
      <c r="T251" s="1504"/>
      <c r="U251" s="1497"/>
      <c r="V251" s="1498"/>
      <c r="W251" s="590"/>
      <c r="X251" s="1504"/>
      <c r="Y251" s="1497"/>
      <c r="Z251" s="1508"/>
    </row>
    <row r="252" spans="2:26" s="593" customFormat="1" ht="60" customHeight="1" x14ac:dyDescent="0.55000000000000004">
      <c r="B252" s="1496"/>
      <c r="C252" s="1497"/>
      <c r="D252" s="1498"/>
      <c r="E252" s="1502" t="s">
        <v>772</v>
      </c>
      <c r="F252" s="1490"/>
      <c r="G252" s="590"/>
      <c r="H252" s="1504"/>
      <c r="I252" s="1497"/>
      <c r="J252" s="1498"/>
      <c r="K252" s="590"/>
      <c r="L252" s="1504"/>
      <c r="M252" s="1497"/>
      <c r="N252" s="1498"/>
      <c r="O252" s="590"/>
      <c r="P252" s="1504"/>
      <c r="Q252" s="1497"/>
      <c r="R252" s="1498"/>
      <c r="S252" s="590">
        <v>2.46</v>
      </c>
      <c r="T252" s="1504"/>
      <c r="U252" s="1497"/>
      <c r="V252" s="1498"/>
      <c r="W252" s="590"/>
      <c r="X252" s="1504"/>
      <c r="Y252" s="1497"/>
      <c r="Z252" s="1508"/>
    </row>
    <row r="253" spans="2:26" s="593" customFormat="1" ht="60" customHeight="1" x14ac:dyDescent="0.55000000000000004">
      <c r="B253" s="1496"/>
      <c r="C253" s="1497"/>
      <c r="D253" s="1498"/>
      <c r="E253" s="1502" t="s">
        <v>677</v>
      </c>
      <c r="F253" s="1490"/>
      <c r="G253" s="590"/>
      <c r="H253" s="1504"/>
      <c r="I253" s="1497"/>
      <c r="J253" s="1498"/>
      <c r="K253" s="590"/>
      <c r="L253" s="1504"/>
      <c r="M253" s="1497"/>
      <c r="N253" s="1498"/>
      <c r="O253" s="590"/>
      <c r="P253" s="1504"/>
      <c r="Q253" s="1497"/>
      <c r="R253" s="1498"/>
      <c r="S253" s="590"/>
      <c r="T253" s="1504"/>
      <c r="U253" s="1497"/>
      <c r="V253" s="1498"/>
      <c r="W253" s="590"/>
      <c r="X253" s="1504"/>
      <c r="Y253" s="1497"/>
      <c r="Z253" s="1508"/>
    </row>
    <row r="254" spans="2:26" s="593" customFormat="1" ht="60" customHeight="1" x14ac:dyDescent="0.6">
      <c r="B254" s="1496"/>
      <c r="C254" s="1497"/>
      <c r="D254" s="1498"/>
      <c r="E254" s="1502" t="s">
        <v>678</v>
      </c>
      <c r="F254" s="1490"/>
      <c r="G254" s="590"/>
      <c r="H254" s="1504"/>
      <c r="I254" s="1497"/>
      <c r="J254" s="1498"/>
      <c r="K254" s="590"/>
      <c r="L254" s="1504"/>
      <c r="M254" s="1497"/>
      <c r="N254" s="1498"/>
      <c r="O254" s="594"/>
      <c r="P254" s="1504"/>
      <c r="Q254" s="1497"/>
      <c r="R254" s="1498"/>
      <c r="S254" s="590"/>
      <c r="T254" s="1504"/>
      <c r="U254" s="1497"/>
      <c r="V254" s="1498"/>
      <c r="W254" s="590"/>
      <c r="X254" s="1504"/>
      <c r="Y254" s="1497"/>
      <c r="Z254" s="1508"/>
    </row>
    <row r="255" spans="2:26" s="593" customFormat="1" ht="60" customHeight="1" x14ac:dyDescent="0.55000000000000004">
      <c r="B255" s="1496"/>
      <c r="C255" s="1497"/>
      <c r="D255" s="1498"/>
      <c r="E255" s="1502" t="s">
        <v>1452</v>
      </c>
      <c r="F255" s="1490"/>
      <c r="G255" s="590"/>
      <c r="H255" s="1504"/>
      <c r="I255" s="1497"/>
      <c r="J255" s="1498"/>
      <c r="K255" s="590"/>
      <c r="L255" s="1504"/>
      <c r="M255" s="1497"/>
      <c r="N255" s="1498"/>
      <c r="O255" s="590"/>
      <c r="P255" s="1504"/>
      <c r="Q255" s="1497"/>
      <c r="R255" s="1498"/>
      <c r="S255" s="590"/>
      <c r="T255" s="1504"/>
      <c r="U255" s="1497"/>
      <c r="V255" s="1498"/>
      <c r="W255" s="591"/>
      <c r="X255" s="1504"/>
      <c r="Y255" s="1497"/>
      <c r="Z255" s="1508"/>
    </row>
    <row r="256" spans="2:26" s="593" customFormat="1" ht="60" customHeight="1" x14ac:dyDescent="0.55000000000000004">
      <c r="B256" s="1499"/>
      <c r="C256" s="1500"/>
      <c r="D256" s="1501"/>
      <c r="E256" s="1502" t="s">
        <v>1453</v>
      </c>
      <c r="F256" s="1490"/>
      <c r="G256" s="590"/>
      <c r="H256" s="1505"/>
      <c r="I256" s="1500"/>
      <c r="J256" s="1501"/>
      <c r="K256" s="590"/>
      <c r="L256" s="1505"/>
      <c r="M256" s="1500"/>
      <c r="N256" s="1501"/>
      <c r="O256" s="590"/>
      <c r="P256" s="1505"/>
      <c r="Q256" s="1500"/>
      <c r="R256" s="1501"/>
      <c r="S256" s="590"/>
      <c r="T256" s="1505"/>
      <c r="U256" s="1500"/>
      <c r="V256" s="1501"/>
      <c r="W256" s="590"/>
      <c r="X256" s="1505"/>
      <c r="Y256" s="1500"/>
      <c r="Z256" s="1509"/>
    </row>
    <row r="257" spans="2:26" s="593" customFormat="1" ht="60" customHeight="1" x14ac:dyDescent="0.55000000000000004">
      <c r="B257" s="583"/>
      <c r="C257" s="584"/>
      <c r="D257" s="592"/>
      <c r="E257" s="584"/>
      <c r="F257" s="584"/>
      <c r="G257" s="584"/>
      <c r="H257" s="584"/>
      <c r="I257" s="584"/>
      <c r="J257" s="584"/>
      <c r="K257" s="584"/>
      <c r="L257" s="584"/>
      <c r="M257" s="584"/>
      <c r="N257" s="584"/>
      <c r="O257" s="584"/>
      <c r="P257" s="584"/>
      <c r="Q257" s="584"/>
      <c r="R257" s="584"/>
      <c r="S257" s="584"/>
      <c r="T257" s="584"/>
      <c r="U257" s="584"/>
      <c r="V257" s="584"/>
      <c r="W257" s="584"/>
      <c r="X257" s="584"/>
      <c r="Y257" s="584"/>
      <c r="Z257" s="585"/>
    </row>
    <row r="258" spans="2:26" s="593" customFormat="1" ht="60" customHeight="1" x14ac:dyDescent="0.55000000000000004">
      <c r="B258" s="1510" t="s">
        <v>38</v>
      </c>
      <c r="C258" s="1511"/>
      <c r="D258" s="586" t="s">
        <v>424</v>
      </c>
      <c r="E258" s="1512" t="s">
        <v>673</v>
      </c>
      <c r="F258" s="1501"/>
      <c r="G258" s="1487" t="s">
        <v>1362</v>
      </c>
      <c r="H258" s="1488"/>
      <c r="I258" s="1485" t="s">
        <v>1226</v>
      </c>
      <c r="J258" s="1486"/>
      <c r="K258" s="1487" t="s">
        <v>1363</v>
      </c>
      <c r="L258" s="1488"/>
      <c r="M258" s="1485" t="s">
        <v>1216</v>
      </c>
      <c r="N258" s="1486"/>
      <c r="O258" s="1487" t="s">
        <v>1364</v>
      </c>
      <c r="P258" s="1488"/>
      <c r="Q258" s="1485" t="s">
        <v>1216</v>
      </c>
      <c r="R258" s="1486"/>
      <c r="S258" s="1487" t="s">
        <v>1365</v>
      </c>
      <c r="T258" s="1488"/>
      <c r="U258" s="1485" t="s">
        <v>1216</v>
      </c>
      <c r="V258" s="1486"/>
      <c r="W258" s="1487" t="s">
        <v>1366</v>
      </c>
      <c r="X258" s="1488"/>
      <c r="Y258" s="1485" t="s">
        <v>1216</v>
      </c>
      <c r="Z258" s="1513"/>
    </row>
    <row r="259" spans="2:26" s="593" customFormat="1" ht="60" customHeight="1" x14ac:dyDescent="0.55000000000000004">
      <c r="B259" s="1493" t="s">
        <v>1383</v>
      </c>
      <c r="C259" s="1494"/>
      <c r="D259" s="1495"/>
      <c r="E259" s="1502" t="s">
        <v>201</v>
      </c>
      <c r="F259" s="1490"/>
      <c r="G259" s="587">
        <f>+G260*G264</f>
        <v>90</v>
      </c>
      <c r="H259" s="1503"/>
      <c r="I259" s="1494"/>
      <c r="J259" s="1495"/>
      <c r="K259" s="588">
        <f>+K260*K264</f>
        <v>50</v>
      </c>
      <c r="L259" s="1503"/>
      <c r="M259" s="1494"/>
      <c r="N259" s="1495"/>
      <c r="O259" s="588">
        <f>+O260*O264</f>
        <v>26</v>
      </c>
      <c r="P259" s="1503"/>
      <c r="Q259" s="1494"/>
      <c r="R259" s="1495"/>
      <c r="S259" s="587">
        <f>+S260*S264</f>
        <v>402</v>
      </c>
      <c r="T259" s="1503"/>
      <c r="U259" s="1494"/>
      <c r="V259" s="1495"/>
      <c r="W259" s="589"/>
      <c r="X259" s="1503" t="s">
        <v>695</v>
      </c>
      <c r="Y259" s="1494"/>
      <c r="Z259" s="1507"/>
    </row>
    <row r="260" spans="2:26" s="593" customFormat="1" ht="60" customHeight="1" x14ac:dyDescent="0.55000000000000004">
      <c r="B260" s="1496"/>
      <c r="C260" s="1497"/>
      <c r="D260" s="1498"/>
      <c r="E260" s="1502" t="s">
        <v>786</v>
      </c>
      <c r="F260" s="1490"/>
      <c r="G260" s="590">
        <f>+G261/G263</f>
        <v>45</v>
      </c>
      <c r="H260" s="1504"/>
      <c r="I260" s="1497"/>
      <c r="J260" s="1498"/>
      <c r="K260" s="590">
        <f>+K261/K263</f>
        <v>25</v>
      </c>
      <c r="L260" s="1504"/>
      <c r="M260" s="1497"/>
      <c r="N260" s="1498"/>
      <c r="O260" s="590">
        <f>+O261/O263</f>
        <v>13</v>
      </c>
      <c r="P260" s="1504"/>
      <c r="Q260" s="1497"/>
      <c r="R260" s="1498"/>
      <c r="S260" s="590">
        <v>67</v>
      </c>
      <c r="T260" s="1504"/>
      <c r="U260" s="1497"/>
      <c r="V260" s="1498"/>
      <c r="W260" s="590"/>
      <c r="X260" s="1504"/>
      <c r="Y260" s="1497"/>
      <c r="Z260" s="1508"/>
    </row>
    <row r="261" spans="2:26" s="593" customFormat="1" ht="60" customHeight="1" x14ac:dyDescent="0.55000000000000004">
      <c r="B261" s="1496"/>
      <c r="C261" s="1497"/>
      <c r="D261" s="1498"/>
      <c r="E261" s="1502" t="s">
        <v>674</v>
      </c>
      <c r="F261" s="1490"/>
      <c r="G261" s="590">
        <v>90</v>
      </c>
      <c r="H261" s="1504"/>
      <c r="I261" s="1497"/>
      <c r="J261" s="1498"/>
      <c r="K261" s="590">
        <v>50</v>
      </c>
      <c r="L261" s="1504"/>
      <c r="M261" s="1497"/>
      <c r="N261" s="1498"/>
      <c r="O261" s="590">
        <v>26</v>
      </c>
      <c r="P261" s="1504"/>
      <c r="Q261" s="1497"/>
      <c r="R261" s="1498"/>
      <c r="S261" s="590"/>
      <c r="T261" s="1504"/>
      <c r="U261" s="1497"/>
      <c r="V261" s="1498"/>
      <c r="W261" s="590"/>
      <c r="X261" s="1504"/>
      <c r="Y261" s="1497"/>
      <c r="Z261" s="1508"/>
    </row>
    <row r="262" spans="2:26" s="593" customFormat="1" ht="60" customHeight="1" x14ac:dyDescent="0.55000000000000004">
      <c r="B262" s="1496"/>
      <c r="C262" s="1497"/>
      <c r="D262" s="1498"/>
      <c r="E262" s="1502" t="s">
        <v>675</v>
      </c>
      <c r="F262" s="1490"/>
      <c r="G262" s="590"/>
      <c r="H262" s="1504"/>
      <c r="I262" s="1497"/>
      <c r="J262" s="1498"/>
      <c r="K262" s="590"/>
      <c r="L262" s="1504"/>
      <c r="M262" s="1497"/>
      <c r="N262" s="1498"/>
      <c r="O262" s="590"/>
      <c r="P262" s="1504"/>
      <c r="Q262" s="1497"/>
      <c r="R262" s="1498"/>
      <c r="S262" s="590"/>
      <c r="T262" s="1504"/>
      <c r="U262" s="1497"/>
      <c r="V262" s="1498"/>
      <c r="W262" s="590"/>
      <c r="X262" s="1504"/>
      <c r="Y262" s="1497"/>
      <c r="Z262" s="1508"/>
    </row>
    <row r="263" spans="2:26" s="593" customFormat="1" ht="60" customHeight="1" x14ac:dyDescent="0.55000000000000004">
      <c r="B263" s="1496"/>
      <c r="C263" s="1497"/>
      <c r="D263" s="1498"/>
      <c r="E263" s="1502" t="s">
        <v>1382</v>
      </c>
      <c r="F263" s="1490"/>
      <c r="G263" s="590">
        <v>2</v>
      </c>
      <c r="H263" s="1504"/>
      <c r="I263" s="1497"/>
      <c r="J263" s="1498"/>
      <c r="K263" s="590">
        <v>2</v>
      </c>
      <c r="L263" s="1504"/>
      <c r="M263" s="1497"/>
      <c r="N263" s="1498"/>
      <c r="O263" s="590">
        <v>2</v>
      </c>
      <c r="P263" s="1504"/>
      <c r="Q263" s="1497"/>
      <c r="R263" s="1498"/>
      <c r="S263" s="590"/>
      <c r="T263" s="1504"/>
      <c r="U263" s="1497"/>
      <c r="V263" s="1498"/>
      <c r="W263" s="590"/>
      <c r="X263" s="1504"/>
      <c r="Y263" s="1497"/>
      <c r="Z263" s="1508"/>
    </row>
    <row r="264" spans="2:26" s="593" customFormat="1" ht="60" customHeight="1" x14ac:dyDescent="0.55000000000000004">
      <c r="B264" s="1496"/>
      <c r="C264" s="1497"/>
      <c r="D264" s="1498"/>
      <c r="E264" s="1502" t="s">
        <v>764</v>
      </c>
      <c r="F264" s="1490"/>
      <c r="G264" s="590">
        <v>2</v>
      </c>
      <c r="H264" s="1504"/>
      <c r="I264" s="1497"/>
      <c r="J264" s="1498"/>
      <c r="K264" s="590">
        <v>2</v>
      </c>
      <c r="L264" s="1504"/>
      <c r="M264" s="1497"/>
      <c r="N264" s="1498"/>
      <c r="O264" s="590">
        <v>2</v>
      </c>
      <c r="P264" s="1504"/>
      <c r="Q264" s="1497"/>
      <c r="R264" s="1498"/>
      <c r="S264" s="590">
        <v>6</v>
      </c>
      <c r="T264" s="1504"/>
      <c r="U264" s="1497"/>
      <c r="V264" s="1498"/>
      <c r="W264" s="590"/>
      <c r="X264" s="1504"/>
      <c r="Y264" s="1497"/>
      <c r="Z264" s="1508"/>
    </row>
    <row r="265" spans="2:26" s="593" customFormat="1" ht="60" customHeight="1" x14ac:dyDescent="0.55000000000000004">
      <c r="B265" s="1496"/>
      <c r="C265" s="1497"/>
      <c r="D265" s="1498"/>
      <c r="E265" s="1502" t="s">
        <v>678</v>
      </c>
      <c r="F265" s="1490"/>
      <c r="G265" s="590"/>
      <c r="H265" s="1504"/>
      <c r="I265" s="1497"/>
      <c r="J265" s="1498"/>
      <c r="K265" s="590"/>
      <c r="L265" s="1504"/>
      <c r="M265" s="1497"/>
      <c r="N265" s="1498"/>
      <c r="O265" s="590"/>
      <c r="P265" s="1504"/>
      <c r="Q265" s="1497"/>
      <c r="R265" s="1498"/>
      <c r="S265" s="590"/>
      <c r="T265" s="1504"/>
      <c r="U265" s="1497"/>
      <c r="V265" s="1498"/>
      <c r="W265" s="590"/>
      <c r="X265" s="1504"/>
      <c r="Y265" s="1497"/>
      <c r="Z265" s="1508"/>
    </row>
    <row r="266" spans="2:26" s="593" customFormat="1" ht="60" customHeight="1" x14ac:dyDescent="0.55000000000000004">
      <c r="B266" s="1496"/>
      <c r="C266" s="1497"/>
      <c r="D266" s="1498"/>
      <c r="E266" s="1502" t="s">
        <v>1452</v>
      </c>
      <c r="F266" s="1490"/>
      <c r="G266" s="590"/>
      <c r="H266" s="1504"/>
      <c r="I266" s="1497"/>
      <c r="J266" s="1498"/>
      <c r="K266" s="590"/>
      <c r="L266" s="1504"/>
      <c r="M266" s="1497"/>
      <c r="N266" s="1498"/>
      <c r="O266" s="590"/>
      <c r="P266" s="1504"/>
      <c r="Q266" s="1497"/>
      <c r="R266" s="1498"/>
      <c r="S266" s="590"/>
      <c r="T266" s="1504"/>
      <c r="U266" s="1497"/>
      <c r="V266" s="1498"/>
      <c r="W266" s="591"/>
      <c r="X266" s="1504"/>
      <c r="Y266" s="1497"/>
      <c r="Z266" s="1508"/>
    </row>
    <row r="267" spans="2:26" s="593" customFormat="1" ht="60" customHeight="1" x14ac:dyDescent="0.55000000000000004">
      <c r="B267" s="1499"/>
      <c r="C267" s="1500"/>
      <c r="D267" s="1501"/>
      <c r="E267" s="1502" t="s">
        <v>1453</v>
      </c>
      <c r="F267" s="1490"/>
      <c r="G267" s="590"/>
      <c r="H267" s="1505"/>
      <c r="I267" s="1500"/>
      <c r="J267" s="1501"/>
      <c r="K267" s="590"/>
      <c r="L267" s="1505"/>
      <c r="M267" s="1500"/>
      <c r="N267" s="1501"/>
      <c r="O267" s="590"/>
      <c r="P267" s="1505"/>
      <c r="Q267" s="1500"/>
      <c r="R267" s="1501"/>
      <c r="S267" s="590"/>
      <c r="T267" s="1505"/>
      <c r="U267" s="1500"/>
      <c r="V267" s="1501"/>
      <c r="W267" s="590"/>
      <c r="X267" s="1505"/>
      <c r="Y267" s="1500"/>
      <c r="Z267" s="1509"/>
    </row>
    <row r="268" spans="2:26" s="593" customFormat="1" ht="60" customHeight="1" x14ac:dyDescent="0.55000000000000004">
      <c r="B268" s="583"/>
      <c r="C268" s="584"/>
      <c r="D268" s="592"/>
      <c r="E268" s="584"/>
      <c r="F268" s="584"/>
      <c r="G268" s="584"/>
      <c r="H268" s="584"/>
      <c r="I268" s="584"/>
      <c r="J268" s="584"/>
      <c r="K268" s="584"/>
      <c r="L268" s="584"/>
      <c r="M268" s="584"/>
      <c r="N268" s="584"/>
      <c r="O268" s="584"/>
      <c r="P268" s="584"/>
      <c r="Q268" s="584"/>
      <c r="R268" s="584"/>
      <c r="S268" s="584"/>
      <c r="T268" s="584"/>
      <c r="U268" s="584"/>
      <c r="V268" s="584"/>
      <c r="W268" s="584"/>
      <c r="X268" s="584"/>
      <c r="Y268" s="584"/>
      <c r="Z268" s="585"/>
    </row>
    <row r="269" spans="2:26" s="593" customFormat="1" ht="60" customHeight="1" x14ac:dyDescent="0.55000000000000004">
      <c r="B269" s="1510" t="s">
        <v>38</v>
      </c>
      <c r="C269" s="1511"/>
      <c r="D269" s="586" t="s">
        <v>397</v>
      </c>
      <c r="E269" s="1512" t="s">
        <v>673</v>
      </c>
      <c r="F269" s="1501"/>
      <c r="G269" s="1487" t="s">
        <v>1362</v>
      </c>
      <c r="H269" s="1488"/>
      <c r="I269" s="1485"/>
      <c r="J269" s="1486"/>
      <c r="K269" s="1487" t="s">
        <v>1363</v>
      </c>
      <c r="L269" s="1488"/>
      <c r="M269" s="1485" t="s">
        <v>1216</v>
      </c>
      <c r="N269" s="1486"/>
      <c r="O269" s="1487" t="s">
        <v>1364</v>
      </c>
      <c r="P269" s="1488"/>
      <c r="Q269" s="1485" t="s">
        <v>1216</v>
      </c>
      <c r="R269" s="1486"/>
      <c r="S269" s="1487" t="s">
        <v>1365</v>
      </c>
      <c r="T269" s="1488"/>
      <c r="U269" s="1485" t="s">
        <v>1216</v>
      </c>
      <c r="V269" s="1486"/>
      <c r="W269" s="1487" t="s">
        <v>1366</v>
      </c>
      <c r="X269" s="1488"/>
      <c r="Y269" s="1485" t="s">
        <v>1216</v>
      </c>
      <c r="Z269" s="1513"/>
    </row>
    <row r="270" spans="2:26" s="593" customFormat="1" ht="60" customHeight="1" x14ac:dyDescent="0.55000000000000004">
      <c r="B270" s="1493" t="s">
        <v>1369</v>
      </c>
      <c r="C270" s="1494"/>
      <c r="D270" s="1495"/>
      <c r="E270" s="1502" t="s">
        <v>201</v>
      </c>
      <c r="F270" s="1490"/>
      <c r="G270" s="587"/>
      <c r="H270" s="1503" t="s">
        <v>695</v>
      </c>
      <c r="I270" s="1494"/>
      <c r="J270" s="1495"/>
      <c r="K270" s="587"/>
      <c r="L270" s="1503" t="s">
        <v>695</v>
      </c>
      <c r="M270" s="1494"/>
      <c r="N270" s="1495"/>
      <c r="O270" s="587"/>
      <c r="P270" s="1503" t="s">
        <v>695</v>
      </c>
      <c r="Q270" s="1494"/>
      <c r="R270" s="1495"/>
      <c r="S270" s="587">
        <f>+S271*S277</f>
        <v>4.3395986791973584</v>
      </c>
      <c r="T270" s="1506"/>
      <c r="U270" s="1494"/>
      <c r="V270" s="1495"/>
      <c r="W270" s="589"/>
      <c r="X270" s="1503" t="s">
        <v>695</v>
      </c>
      <c r="Y270" s="1494"/>
      <c r="Z270" s="1507"/>
    </row>
    <row r="271" spans="2:26" s="593" customFormat="1" ht="60" customHeight="1" x14ac:dyDescent="0.55000000000000004">
      <c r="B271" s="1496"/>
      <c r="C271" s="1497"/>
      <c r="D271" s="1498"/>
      <c r="E271" s="1502" t="s">
        <v>132</v>
      </c>
      <c r="F271" s="1490"/>
      <c r="G271" s="590"/>
      <c r="H271" s="1504"/>
      <c r="I271" s="1497"/>
      <c r="J271" s="1498"/>
      <c r="K271" s="590"/>
      <c r="L271" s="1504"/>
      <c r="M271" s="1497"/>
      <c r="N271" s="1498"/>
      <c r="O271" s="590"/>
      <c r="P271" s="1504"/>
      <c r="Q271" s="1497"/>
      <c r="R271" s="1498"/>
      <c r="S271" s="590">
        <v>67</v>
      </c>
      <c r="T271" s="1504"/>
      <c r="U271" s="1497"/>
      <c r="V271" s="1498"/>
      <c r="W271" s="590"/>
      <c r="X271" s="1504"/>
      <c r="Y271" s="1497"/>
      <c r="Z271" s="1508"/>
    </row>
    <row r="272" spans="2:26" s="593" customFormat="1" ht="60" customHeight="1" x14ac:dyDescent="0.55000000000000004">
      <c r="B272" s="1496"/>
      <c r="C272" s="1497"/>
      <c r="D272" s="1498"/>
      <c r="E272" s="1502" t="s">
        <v>674</v>
      </c>
      <c r="F272" s="1490"/>
      <c r="G272" s="590"/>
      <c r="H272" s="1504"/>
      <c r="I272" s="1497"/>
      <c r="J272" s="1498"/>
      <c r="K272" s="590"/>
      <c r="L272" s="1504"/>
      <c r="M272" s="1497"/>
      <c r="N272" s="1498"/>
      <c r="O272" s="590"/>
      <c r="P272" s="1504"/>
      <c r="Q272" s="1497"/>
      <c r="R272" s="1498"/>
      <c r="S272" s="590">
        <v>0.85</v>
      </c>
      <c r="T272" s="1504"/>
      <c r="U272" s="1497"/>
      <c r="V272" s="1498"/>
      <c r="W272" s="590"/>
      <c r="X272" s="1504"/>
      <c r="Y272" s="1497"/>
      <c r="Z272" s="1508"/>
    </row>
    <row r="273" spans="2:27" s="593" customFormat="1" ht="60" customHeight="1" x14ac:dyDescent="0.55000000000000004">
      <c r="B273" s="1496"/>
      <c r="C273" s="1497"/>
      <c r="D273" s="1498"/>
      <c r="E273" s="1502" t="s">
        <v>675</v>
      </c>
      <c r="F273" s="1490"/>
      <c r="G273" s="590"/>
      <c r="H273" s="1504"/>
      <c r="I273" s="1497"/>
      <c r="J273" s="1498"/>
      <c r="K273" s="590"/>
      <c r="L273" s="1504"/>
      <c r="M273" s="1497"/>
      <c r="N273" s="1498"/>
      <c r="O273" s="590"/>
      <c r="P273" s="1504"/>
      <c r="Q273" s="1497"/>
      <c r="R273" s="1498"/>
      <c r="S273" s="590"/>
      <c r="T273" s="1504"/>
      <c r="U273" s="1497"/>
      <c r="V273" s="1498"/>
      <c r="W273" s="590"/>
      <c r="X273" s="1504"/>
      <c r="Y273" s="1497"/>
      <c r="Z273" s="1508"/>
    </row>
    <row r="274" spans="2:27" s="593" customFormat="1" ht="60" customHeight="1" x14ac:dyDescent="0.55000000000000004">
      <c r="B274" s="1496"/>
      <c r="C274" s="1497"/>
      <c r="D274" s="1498"/>
      <c r="E274" s="1502" t="s">
        <v>676</v>
      </c>
      <c r="F274" s="1490"/>
      <c r="G274" s="590"/>
      <c r="H274" s="1504"/>
      <c r="I274" s="1497"/>
      <c r="J274" s="1498"/>
      <c r="K274" s="590"/>
      <c r="L274" s="1504"/>
      <c r="M274" s="1497"/>
      <c r="N274" s="1498"/>
      <c r="O274" s="590"/>
      <c r="P274" s="1504"/>
      <c r="Q274" s="1497"/>
      <c r="R274" s="1498"/>
      <c r="S274" s="590">
        <f>+S276/S278</f>
        <v>3.8100076200152405E-2</v>
      </c>
      <c r="T274" s="1504"/>
      <c r="U274" s="1497"/>
      <c r="V274" s="1498"/>
      <c r="W274" s="590"/>
      <c r="X274" s="1504"/>
      <c r="Y274" s="1497"/>
      <c r="Z274" s="1508"/>
    </row>
    <row r="275" spans="2:27" s="593" customFormat="1" ht="60" customHeight="1" x14ac:dyDescent="0.55000000000000004">
      <c r="B275" s="1496"/>
      <c r="C275" s="1497"/>
      <c r="D275" s="1498"/>
      <c r="E275" s="1502" t="s">
        <v>773</v>
      </c>
      <c r="F275" s="1490"/>
      <c r="G275" s="590"/>
      <c r="H275" s="1504"/>
      <c r="I275" s="1497"/>
      <c r="J275" s="1498"/>
      <c r="K275" s="590"/>
      <c r="L275" s="1504"/>
      <c r="M275" s="1497"/>
      <c r="N275" s="1498"/>
      <c r="O275" s="590"/>
      <c r="P275" s="1504"/>
      <c r="Q275" s="1497"/>
      <c r="R275" s="1498"/>
      <c r="S275" s="590">
        <v>2</v>
      </c>
      <c r="T275" s="1504"/>
      <c r="U275" s="1497"/>
      <c r="V275" s="1498"/>
      <c r="W275" s="590"/>
      <c r="X275" s="1504"/>
      <c r="Y275" s="1497"/>
      <c r="Z275" s="1508"/>
    </row>
    <row r="276" spans="2:27" s="593" customFormat="1" ht="60" customHeight="1" x14ac:dyDescent="0.6">
      <c r="B276" s="1496"/>
      <c r="C276" s="1497"/>
      <c r="D276" s="1498"/>
      <c r="E276" s="1502" t="s">
        <v>774</v>
      </c>
      <c r="F276" s="1490"/>
      <c r="G276" s="590"/>
      <c r="H276" s="1504"/>
      <c r="I276" s="1497"/>
      <c r="J276" s="1498"/>
      <c r="K276" s="590"/>
      <c r="L276" s="1504"/>
      <c r="M276" s="1497"/>
      <c r="N276" s="1498"/>
      <c r="O276" s="594"/>
      <c r="P276" s="1504"/>
      <c r="Q276" s="1497"/>
      <c r="R276" s="1498"/>
      <c r="S276" s="590">
        <v>1.5</v>
      </c>
      <c r="T276" s="1504"/>
      <c r="U276" s="1497"/>
      <c r="V276" s="1498"/>
      <c r="W276" s="590"/>
      <c r="X276" s="1504"/>
      <c r="Y276" s="1497"/>
      <c r="Z276" s="1508"/>
    </row>
    <row r="277" spans="2:27" s="593" customFormat="1" ht="60" customHeight="1" x14ac:dyDescent="0.55000000000000004">
      <c r="B277" s="1496"/>
      <c r="C277" s="1497"/>
      <c r="D277" s="1498"/>
      <c r="E277" s="1502" t="s">
        <v>1452</v>
      </c>
      <c r="F277" s="1490"/>
      <c r="G277" s="590"/>
      <c r="H277" s="1504"/>
      <c r="I277" s="1497"/>
      <c r="J277" s="1498"/>
      <c r="K277" s="590"/>
      <c r="L277" s="1504"/>
      <c r="M277" s="1497"/>
      <c r="N277" s="1498"/>
      <c r="O277" s="590"/>
      <c r="P277" s="1504"/>
      <c r="Q277" s="1497"/>
      <c r="R277" s="1498"/>
      <c r="S277" s="590">
        <f>+S275*S272*S274</f>
        <v>6.4770129540259083E-2</v>
      </c>
      <c r="T277" s="1504"/>
      <c r="U277" s="1497"/>
      <c r="V277" s="1498"/>
      <c r="W277" s="591"/>
      <c r="X277" s="1504"/>
      <c r="Y277" s="1497"/>
      <c r="Z277" s="1508"/>
    </row>
    <row r="278" spans="2:27" s="593" customFormat="1" ht="60" customHeight="1" x14ac:dyDescent="0.55000000000000004">
      <c r="B278" s="1499"/>
      <c r="C278" s="1500"/>
      <c r="D278" s="1501"/>
      <c r="E278" s="1502" t="s">
        <v>775</v>
      </c>
      <c r="F278" s="1490"/>
      <c r="G278" s="590"/>
      <c r="H278" s="1505"/>
      <c r="I278" s="1500"/>
      <c r="J278" s="1501"/>
      <c r="K278" s="590"/>
      <c r="L278" s="1505"/>
      <c r="M278" s="1500"/>
      <c r="N278" s="1501"/>
      <c r="O278" s="590"/>
      <c r="P278" s="1505"/>
      <c r="Q278" s="1500"/>
      <c r="R278" s="1501"/>
      <c r="S278" s="590">
        <v>39.369999999999997</v>
      </c>
      <c r="T278" s="1505"/>
      <c r="U278" s="1500"/>
      <c r="V278" s="1501"/>
      <c r="W278" s="590"/>
      <c r="X278" s="1505"/>
      <c r="Y278" s="1500"/>
      <c r="Z278" s="1509"/>
      <c r="AA278" s="595"/>
    </row>
    <row r="279" spans="2:27" s="593" customFormat="1" ht="60" customHeight="1" x14ac:dyDescent="0.55000000000000004">
      <c r="B279" s="583"/>
      <c r="C279" s="584"/>
      <c r="D279" s="592"/>
      <c r="E279" s="584"/>
      <c r="F279" s="584"/>
      <c r="G279" s="584"/>
      <c r="H279" s="584"/>
      <c r="I279" s="584"/>
      <c r="J279" s="584"/>
      <c r="K279" s="584"/>
      <c r="L279" s="584"/>
      <c r="M279" s="584"/>
      <c r="N279" s="584"/>
      <c r="O279" s="584"/>
      <c r="P279" s="584"/>
      <c r="Q279" s="584"/>
      <c r="R279" s="584"/>
      <c r="S279" s="584"/>
      <c r="T279" s="584"/>
      <c r="U279" s="584"/>
      <c r="V279" s="584"/>
      <c r="W279" s="584"/>
      <c r="X279" s="584"/>
      <c r="Y279" s="584"/>
      <c r="Z279" s="585"/>
    </row>
    <row r="280" spans="2:27" s="593" customFormat="1" ht="60" customHeight="1" x14ac:dyDescent="0.55000000000000004">
      <c r="B280" s="1510" t="s">
        <v>38</v>
      </c>
      <c r="C280" s="1511"/>
      <c r="D280" s="586" t="s">
        <v>397</v>
      </c>
      <c r="E280" s="1512" t="s">
        <v>673</v>
      </c>
      <c r="F280" s="1501"/>
      <c r="G280" s="1487" t="s">
        <v>1362</v>
      </c>
      <c r="H280" s="1488"/>
      <c r="I280" s="1485"/>
      <c r="J280" s="1486"/>
      <c r="K280" s="1487" t="s">
        <v>1363</v>
      </c>
      <c r="L280" s="1488"/>
      <c r="M280" s="1485" t="s">
        <v>1216</v>
      </c>
      <c r="N280" s="1486"/>
      <c r="O280" s="1487" t="s">
        <v>1364</v>
      </c>
      <c r="P280" s="1488"/>
      <c r="Q280" s="1485" t="s">
        <v>1216</v>
      </c>
      <c r="R280" s="1486"/>
      <c r="S280" s="1487" t="s">
        <v>1365</v>
      </c>
      <c r="T280" s="1488"/>
      <c r="U280" s="1485" t="s">
        <v>1216</v>
      </c>
      <c r="V280" s="1486"/>
      <c r="W280" s="1487" t="s">
        <v>1366</v>
      </c>
      <c r="X280" s="1488"/>
      <c r="Y280" s="1485" t="s">
        <v>1216</v>
      </c>
      <c r="Z280" s="1513"/>
    </row>
    <row r="281" spans="2:27" s="593" customFormat="1" ht="60" customHeight="1" x14ac:dyDescent="0.55000000000000004">
      <c r="B281" s="1493" t="s">
        <v>1370</v>
      </c>
      <c r="C281" s="1494"/>
      <c r="D281" s="1495"/>
      <c r="E281" s="1502" t="s">
        <v>201</v>
      </c>
      <c r="F281" s="1490"/>
      <c r="G281" s="587"/>
      <c r="H281" s="1503" t="s">
        <v>695</v>
      </c>
      <c r="I281" s="1494"/>
      <c r="J281" s="1495"/>
      <c r="K281" s="587"/>
      <c r="L281" s="1503" t="s">
        <v>695</v>
      </c>
      <c r="M281" s="1494"/>
      <c r="N281" s="1495"/>
      <c r="O281" s="587"/>
      <c r="P281" s="1503" t="s">
        <v>695</v>
      </c>
      <c r="Q281" s="1494"/>
      <c r="R281" s="1495"/>
      <c r="S281" s="587">
        <f>+S282*S288</f>
        <v>1.5240030480060962</v>
      </c>
      <c r="T281" s="1506"/>
      <c r="U281" s="1494"/>
      <c r="V281" s="1495"/>
      <c r="W281" s="589"/>
      <c r="X281" s="1503" t="s">
        <v>695</v>
      </c>
      <c r="Y281" s="1494"/>
      <c r="Z281" s="1507"/>
    </row>
    <row r="282" spans="2:27" s="593" customFormat="1" ht="60" customHeight="1" x14ac:dyDescent="0.55000000000000004">
      <c r="B282" s="1496"/>
      <c r="C282" s="1497"/>
      <c r="D282" s="1498"/>
      <c r="E282" s="1502" t="s">
        <v>132</v>
      </c>
      <c r="F282" s="1490"/>
      <c r="G282" s="590"/>
      <c r="H282" s="1504"/>
      <c r="I282" s="1497"/>
      <c r="J282" s="1498"/>
      <c r="K282" s="590"/>
      <c r="L282" s="1504"/>
      <c r="M282" s="1497"/>
      <c r="N282" s="1498"/>
      <c r="O282" s="590"/>
      <c r="P282" s="1504"/>
      <c r="Q282" s="1497"/>
      <c r="R282" s="1498"/>
      <c r="S282" s="590">
        <v>2</v>
      </c>
      <c r="T282" s="1504"/>
      <c r="U282" s="1497"/>
      <c r="V282" s="1498"/>
      <c r="W282" s="590"/>
      <c r="X282" s="1504"/>
      <c r="Y282" s="1497"/>
      <c r="Z282" s="1508"/>
    </row>
    <row r="283" spans="2:27" s="593" customFormat="1" ht="60" customHeight="1" x14ac:dyDescent="0.55000000000000004">
      <c r="B283" s="1496"/>
      <c r="C283" s="1497"/>
      <c r="D283" s="1498"/>
      <c r="E283" s="1502" t="s">
        <v>674</v>
      </c>
      <c r="F283" s="1490"/>
      <c r="G283" s="590"/>
      <c r="H283" s="1504"/>
      <c r="I283" s="1497"/>
      <c r="J283" s="1498"/>
      <c r="K283" s="590"/>
      <c r="L283" s="1504"/>
      <c r="M283" s="1497"/>
      <c r="N283" s="1498"/>
      <c r="O283" s="590"/>
      <c r="P283" s="1504"/>
      <c r="Q283" s="1497"/>
      <c r="R283" s="1498"/>
      <c r="S283" s="590">
        <v>10</v>
      </c>
      <c r="T283" s="1504"/>
      <c r="U283" s="1497"/>
      <c r="V283" s="1498"/>
      <c r="W283" s="590"/>
      <c r="X283" s="1504"/>
      <c r="Y283" s="1497"/>
      <c r="Z283" s="1508"/>
    </row>
    <row r="284" spans="2:27" s="593" customFormat="1" ht="60" customHeight="1" x14ac:dyDescent="0.55000000000000004">
      <c r="B284" s="1496"/>
      <c r="C284" s="1497"/>
      <c r="D284" s="1498"/>
      <c r="E284" s="1502" t="s">
        <v>675</v>
      </c>
      <c r="F284" s="1490"/>
      <c r="G284" s="590"/>
      <c r="H284" s="1504"/>
      <c r="I284" s="1497"/>
      <c r="J284" s="1498"/>
      <c r="K284" s="590"/>
      <c r="L284" s="1504"/>
      <c r="M284" s="1497"/>
      <c r="N284" s="1498"/>
      <c r="O284" s="590"/>
      <c r="P284" s="1504"/>
      <c r="Q284" s="1497"/>
      <c r="R284" s="1498"/>
      <c r="S284" s="590"/>
      <c r="T284" s="1504"/>
      <c r="U284" s="1497"/>
      <c r="V284" s="1498"/>
      <c r="W284" s="590"/>
      <c r="X284" s="1504"/>
      <c r="Y284" s="1497"/>
      <c r="Z284" s="1508"/>
    </row>
    <row r="285" spans="2:27" s="593" customFormat="1" ht="60" customHeight="1" x14ac:dyDescent="0.55000000000000004">
      <c r="B285" s="1496"/>
      <c r="C285" s="1497"/>
      <c r="D285" s="1498"/>
      <c r="E285" s="1502" t="s">
        <v>676</v>
      </c>
      <c r="F285" s="1490"/>
      <c r="G285" s="590"/>
      <c r="H285" s="1504"/>
      <c r="I285" s="1497"/>
      <c r="J285" s="1498"/>
      <c r="K285" s="590"/>
      <c r="L285" s="1504"/>
      <c r="M285" s="1497"/>
      <c r="N285" s="1498"/>
      <c r="O285" s="590"/>
      <c r="P285" s="1504"/>
      <c r="Q285" s="1497"/>
      <c r="R285" s="1498"/>
      <c r="S285" s="590">
        <f>+S287/S289</f>
        <v>3.8100076200152405E-2</v>
      </c>
      <c r="T285" s="1504"/>
      <c r="U285" s="1497"/>
      <c r="V285" s="1498"/>
      <c r="W285" s="590"/>
      <c r="X285" s="1504"/>
      <c r="Y285" s="1497"/>
      <c r="Z285" s="1508"/>
    </row>
    <row r="286" spans="2:27" s="593" customFormat="1" ht="60" customHeight="1" x14ac:dyDescent="0.55000000000000004">
      <c r="B286" s="1496"/>
      <c r="C286" s="1497"/>
      <c r="D286" s="1498"/>
      <c r="E286" s="1502" t="s">
        <v>773</v>
      </c>
      <c r="F286" s="1490"/>
      <c r="G286" s="590"/>
      <c r="H286" s="1504"/>
      <c r="I286" s="1497"/>
      <c r="J286" s="1498"/>
      <c r="K286" s="590"/>
      <c r="L286" s="1504"/>
      <c r="M286" s="1497"/>
      <c r="N286" s="1498"/>
      <c r="O286" s="590"/>
      <c r="P286" s="1504"/>
      <c r="Q286" s="1497"/>
      <c r="R286" s="1498"/>
      <c r="S286" s="590">
        <v>2</v>
      </c>
      <c r="T286" s="1504"/>
      <c r="U286" s="1497"/>
      <c r="V286" s="1498"/>
      <c r="W286" s="590"/>
      <c r="X286" s="1504"/>
      <c r="Y286" s="1497"/>
      <c r="Z286" s="1508"/>
    </row>
    <row r="287" spans="2:27" s="593" customFormat="1" ht="60" customHeight="1" x14ac:dyDescent="0.6">
      <c r="B287" s="1496"/>
      <c r="C287" s="1497"/>
      <c r="D287" s="1498"/>
      <c r="E287" s="1502" t="s">
        <v>774</v>
      </c>
      <c r="F287" s="1490"/>
      <c r="G287" s="590"/>
      <c r="H287" s="1504"/>
      <c r="I287" s="1497"/>
      <c r="J287" s="1498"/>
      <c r="K287" s="590"/>
      <c r="L287" s="1504"/>
      <c r="M287" s="1497"/>
      <c r="N287" s="1498"/>
      <c r="O287" s="594"/>
      <c r="P287" s="1504"/>
      <c r="Q287" s="1497"/>
      <c r="R287" s="1498"/>
      <c r="S287" s="590">
        <v>1.5</v>
      </c>
      <c r="T287" s="1504"/>
      <c r="U287" s="1497"/>
      <c r="V287" s="1498"/>
      <c r="W287" s="590"/>
      <c r="X287" s="1504"/>
      <c r="Y287" s="1497"/>
      <c r="Z287" s="1508"/>
    </row>
    <row r="288" spans="2:27" s="593" customFormat="1" ht="60" customHeight="1" x14ac:dyDescent="0.55000000000000004">
      <c r="B288" s="1496"/>
      <c r="C288" s="1497"/>
      <c r="D288" s="1498"/>
      <c r="E288" s="1502" t="s">
        <v>1452</v>
      </c>
      <c r="F288" s="1490"/>
      <c r="G288" s="590"/>
      <c r="H288" s="1504"/>
      <c r="I288" s="1497"/>
      <c r="J288" s="1498"/>
      <c r="K288" s="590"/>
      <c r="L288" s="1504"/>
      <c r="M288" s="1497"/>
      <c r="N288" s="1498"/>
      <c r="O288" s="590"/>
      <c r="P288" s="1504"/>
      <c r="Q288" s="1497"/>
      <c r="R288" s="1498"/>
      <c r="S288" s="590">
        <f>+S286*S283*S285</f>
        <v>0.7620015240030481</v>
      </c>
      <c r="T288" s="1504"/>
      <c r="U288" s="1497"/>
      <c r="V288" s="1498"/>
      <c r="W288" s="591"/>
      <c r="X288" s="1504"/>
      <c r="Y288" s="1497"/>
      <c r="Z288" s="1508"/>
    </row>
    <row r="289" spans="2:26" s="593" customFormat="1" ht="60" customHeight="1" x14ac:dyDescent="0.55000000000000004">
      <c r="B289" s="1499"/>
      <c r="C289" s="1500"/>
      <c r="D289" s="1501"/>
      <c r="E289" s="1502" t="s">
        <v>775</v>
      </c>
      <c r="F289" s="1490"/>
      <c r="G289" s="590"/>
      <c r="H289" s="1505"/>
      <c r="I289" s="1500"/>
      <c r="J289" s="1501"/>
      <c r="K289" s="590"/>
      <c r="L289" s="1505"/>
      <c r="M289" s="1500"/>
      <c r="N289" s="1501"/>
      <c r="O289" s="590"/>
      <c r="P289" s="1505"/>
      <c r="Q289" s="1500"/>
      <c r="R289" s="1501"/>
      <c r="S289" s="590">
        <v>39.369999999999997</v>
      </c>
      <c r="T289" s="1505"/>
      <c r="U289" s="1500"/>
      <c r="V289" s="1501"/>
      <c r="W289" s="590"/>
      <c r="X289" s="1505"/>
      <c r="Y289" s="1500"/>
      <c r="Z289" s="1509"/>
    </row>
    <row r="290" spans="2:26" s="593" customFormat="1" ht="60" customHeight="1" x14ac:dyDescent="0.55000000000000004">
      <c r="B290" s="583"/>
      <c r="C290" s="584"/>
      <c r="D290" s="592"/>
      <c r="E290" s="584"/>
      <c r="F290" s="584"/>
      <c r="G290" s="584"/>
      <c r="H290" s="584"/>
      <c r="I290" s="584"/>
      <c r="J290" s="584"/>
      <c r="K290" s="584"/>
      <c r="L290" s="584"/>
      <c r="M290" s="584"/>
      <c r="N290" s="584"/>
      <c r="O290" s="584"/>
      <c r="P290" s="584"/>
      <c r="Q290" s="584"/>
      <c r="R290" s="584"/>
      <c r="S290" s="584"/>
      <c r="T290" s="584"/>
      <c r="U290" s="584"/>
      <c r="V290" s="584"/>
      <c r="W290" s="584"/>
      <c r="X290" s="584"/>
      <c r="Y290" s="584"/>
      <c r="Z290" s="585"/>
    </row>
    <row r="291" spans="2:26" s="593" customFormat="1" ht="60" customHeight="1" x14ac:dyDescent="0.55000000000000004">
      <c r="B291" s="1510" t="s">
        <v>38</v>
      </c>
      <c r="C291" s="1511"/>
      <c r="D291" s="586" t="s">
        <v>397</v>
      </c>
      <c r="E291" s="1512" t="s">
        <v>673</v>
      </c>
      <c r="F291" s="1501"/>
      <c r="G291" s="1487" t="s">
        <v>1362</v>
      </c>
      <c r="H291" s="1488"/>
      <c r="I291" s="1485"/>
      <c r="J291" s="1486"/>
      <c r="K291" s="1487" t="s">
        <v>1363</v>
      </c>
      <c r="L291" s="1488"/>
      <c r="M291" s="1485" t="s">
        <v>1216</v>
      </c>
      <c r="N291" s="1486"/>
      <c r="O291" s="1487" t="s">
        <v>1364</v>
      </c>
      <c r="P291" s="1488"/>
      <c r="Q291" s="1485" t="s">
        <v>1216</v>
      </c>
      <c r="R291" s="1486"/>
      <c r="S291" s="1487" t="s">
        <v>1365</v>
      </c>
      <c r="T291" s="1488"/>
      <c r="U291" s="1485" t="s">
        <v>1216</v>
      </c>
      <c r="V291" s="1486"/>
      <c r="W291" s="1487" t="s">
        <v>1366</v>
      </c>
      <c r="X291" s="1488"/>
      <c r="Y291" s="1485" t="s">
        <v>1216</v>
      </c>
      <c r="Z291" s="1513"/>
    </row>
    <row r="292" spans="2:26" s="593" customFormat="1" ht="60" customHeight="1" x14ac:dyDescent="0.55000000000000004">
      <c r="B292" s="1493" t="s">
        <v>1371</v>
      </c>
      <c r="C292" s="1494"/>
      <c r="D292" s="1495"/>
      <c r="E292" s="1502" t="s">
        <v>201</v>
      </c>
      <c r="F292" s="1490"/>
      <c r="G292" s="587"/>
      <c r="H292" s="1503" t="s">
        <v>695</v>
      </c>
      <c r="I292" s="1494"/>
      <c r="J292" s="1495"/>
      <c r="K292" s="587"/>
      <c r="L292" s="1503" t="s">
        <v>695</v>
      </c>
      <c r="M292" s="1494"/>
      <c r="N292" s="1495"/>
      <c r="O292" s="587"/>
      <c r="P292" s="1503" t="s">
        <v>695</v>
      </c>
      <c r="Q292" s="1494"/>
      <c r="R292" s="1495"/>
      <c r="S292" s="587">
        <f>+S293*S299</f>
        <v>4.0640081280162565</v>
      </c>
      <c r="T292" s="1506"/>
      <c r="U292" s="1494"/>
      <c r="V292" s="1495"/>
      <c r="W292" s="589"/>
      <c r="X292" s="1503" t="s">
        <v>695</v>
      </c>
      <c r="Y292" s="1494"/>
      <c r="Z292" s="1507"/>
    </row>
    <row r="293" spans="2:26" s="593" customFormat="1" ht="60" customHeight="1" x14ac:dyDescent="0.55000000000000004">
      <c r="B293" s="1496"/>
      <c r="C293" s="1497"/>
      <c r="D293" s="1498"/>
      <c r="E293" s="1502" t="s">
        <v>132</v>
      </c>
      <c r="F293" s="1490"/>
      <c r="G293" s="590"/>
      <c r="H293" s="1504"/>
      <c r="I293" s="1497"/>
      <c r="J293" s="1498"/>
      <c r="K293" s="590"/>
      <c r="L293" s="1504"/>
      <c r="M293" s="1497"/>
      <c r="N293" s="1498"/>
      <c r="O293" s="590"/>
      <c r="P293" s="1504"/>
      <c r="Q293" s="1497"/>
      <c r="R293" s="1498"/>
      <c r="S293" s="590">
        <v>4</v>
      </c>
      <c r="T293" s="1504"/>
      <c r="U293" s="1497"/>
      <c r="V293" s="1498"/>
      <c r="W293" s="590"/>
      <c r="X293" s="1504"/>
      <c r="Y293" s="1497"/>
      <c r="Z293" s="1508"/>
    </row>
    <row r="294" spans="2:26" s="593" customFormat="1" ht="60" customHeight="1" x14ac:dyDescent="0.55000000000000004">
      <c r="B294" s="1496"/>
      <c r="C294" s="1497"/>
      <c r="D294" s="1498"/>
      <c r="E294" s="1502" t="s">
        <v>674</v>
      </c>
      <c r="F294" s="1490"/>
      <c r="G294" s="590"/>
      <c r="H294" s="1504"/>
      <c r="I294" s="1497"/>
      <c r="J294" s="1498"/>
      <c r="K294" s="590"/>
      <c r="L294" s="1504"/>
      <c r="M294" s="1497"/>
      <c r="N294" s="1498"/>
      <c r="O294" s="590"/>
      <c r="P294" s="1504"/>
      <c r="Q294" s="1497"/>
      <c r="R294" s="1498"/>
      <c r="S294" s="590">
        <v>10</v>
      </c>
      <c r="T294" s="1504"/>
      <c r="U294" s="1497"/>
      <c r="V294" s="1498"/>
      <c r="W294" s="590"/>
      <c r="X294" s="1504"/>
      <c r="Y294" s="1497"/>
      <c r="Z294" s="1508"/>
    </row>
    <row r="295" spans="2:26" s="593" customFormat="1" ht="60" customHeight="1" x14ac:dyDescent="0.55000000000000004">
      <c r="B295" s="1496"/>
      <c r="C295" s="1497"/>
      <c r="D295" s="1498"/>
      <c r="E295" s="1502" t="s">
        <v>675</v>
      </c>
      <c r="F295" s="1490"/>
      <c r="G295" s="590"/>
      <c r="H295" s="1504"/>
      <c r="I295" s="1497"/>
      <c r="J295" s="1498"/>
      <c r="K295" s="590"/>
      <c r="L295" s="1504"/>
      <c r="M295" s="1497"/>
      <c r="N295" s="1498"/>
      <c r="O295" s="590"/>
      <c r="P295" s="1504"/>
      <c r="Q295" s="1497"/>
      <c r="R295" s="1498"/>
      <c r="S295" s="590"/>
      <c r="T295" s="1504"/>
      <c r="U295" s="1497"/>
      <c r="V295" s="1498"/>
      <c r="W295" s="590"/>
      <c r="X295" s="1504"/>
      <c r="Y295" s="1497"/>
      <c r="Z295" s="1508"/>
    </row>
    <row r="296" spans="2:26" s="593" customFormat="1" ht="60" customHeight="1" x14ac:dyDescent="0.55000000000000004">
      <c r="B296" s="1496"/>
      <c r="C296" s="1497"/>
      <c r="D296" s="1498"/>
      <c r="E296" s="1502" t="s">
        <v>676</v>
      </c>
      <c r="F296" s="1490"/>
      <c r="G296" s="590"/>
      <c r="H296" s="1504"/>
      <c r="I296" s="1497"/>
      <c r="J296" s="1498"/>
      <c r="K296" s="590"/>
      <c r="L296" s="1504"/>
      <c r="M296" s="1497"/>
      <c r="N296" s="1498"/>
      <c r="O296" s="590"/>
      <c r="P296" s="1504"/>
      <c r="Q296" s="1497"/>
      <c r="R296" s="1498"/>
      <c r="S296" s="590">
        <f>+S298/S300</f>
        <v>5.0800101600203207E-2</v>
      </c>
      <c r="T296" s="1504"/>
      <c r="U296" s="1497"/>
      <c r="V296" s="1498"/>
      <c r="W296" s="590"/>
      <c r="X296" s="1504"/>
      <c r="Y296" s="1497"/>
      <c r="Z296" s="1508"/>
    </row>
    <row r="297" spans="2:26" s="593" customFormat="1" ht="60" customHeight="1" x14ac:dyDescent="0.55000000000000004">
      <c r="B297" s="1496"/>
      <c r="C297" s="1497"/>
      <c r="D297" s="1498"/>
      <c r="E297" s="1502" t="s">
        <v>773</v>
      </c>
      <c r="F297" s="1490"/>
      <c r="G297" s="590"/>
      <c r="H297" s="1504"/>
      <c r="I297" s="1497"/>
      <c r="J297" s="1498"/>
      <c r="K297" s="590"/>
      <c r="L297" s="1504"/>
      <c r="M297" s="1497"/>
      <c r="N297" s="1498"/>
      <c r="O297" s="590"/>
      <c r="P297" s="1504"/>
      <c r="Q297" s="1497"/>
      <c r="R297" s="1498"/>
      <c r="S297" s="590">
        <v>2</v>
      </c>
      <c r="T297" s="1504"/>
      <c r="U297" s="1497"/>
      <c r="V297" s="1498"/>
      <c r="W297" s="590"/>
      <c r="X297" s="1504"/>
      <c r="Y297" s="1497"/>
      <c r="Z297" s="1508"/>
    </row>
    <row r="298" spans="2:26" s="593" customFormat="1" ht="60" customHeight="1" x14ac:dyDescent="0.6">
      <c r="B298" s="1496"/>
      <c r="C298" s="1497"/>
      <c r="D298" s="1498"/>
      <c r="E298" s="1502" t="s">
        <v>774</v>
      </c>
      <c r="F298" s="1490"/>
      <c r="G298" s="590"/>
      <c r="H298" s="1504"/>
      <c r="I298" s="1497"/>
      <c r="J298" s="1498"/>
      <c r="K298" s="590"/>
      <c r="L298" s="1504"/>
      <c r="M298" s="1497"/>
      <c r="N298" s="1498"/>
      <c r="O298" s="594"/>
      <c r="P298" s="1504"/>
      <c r="Q298" s="1497"/>
      <c r="R298" s="1498"/>
      <c r="S298" s="590">
        <v>2</v>
      </c>
      <c r="T298" s="1504"/>
      <c r="U298" s="1497"/>
      <c r="V298" s="1498"/>
      <c r="W298" s="590"/>
      <c r="X298" s="1504"/>
      <c r="Y298" s="1497"/>
      <c r="Z298" s="1508"/>
    </row>
    <row r="299" spans="2:26" s="593" customFormat="1" ht="60" customHeight="1" x14ac:dyDescent="0.55000000000000004">
      <c r="B299" s="1496"/>
      <c r="C299" s="1497"/>
      <c r="D299" s="1498"/>
      <c r="E299" s="1502" t="s">
        <v>1452</v>
      </c>
      <c r="F299" s="1490"/>
      <c r="G299" s="590"/>
      <c r="H299" s="1504"/>
      <c r="I299" s="1497"/>
      <c r="J299" s="1498"/>
      <c r="K299" s="590"/>
      <c r="L299" s="1504"/>
      <c r="M299" s="1497"/>
      <c r="N299" s="1498"/>
      <c r="O299" s="590"/>
      <c r="P299" s="1504"/>
      <c r="Q299" s="1497"/>
      <c r="R299" s="1498"/>
      <c r="S299" s="590">
        <f>+S297*S294*S296</f>
        <v>1.0160020320040641</v>
      </c>
      <c r="T299" s="1504"/>
      <c r="U299" s="1497"/>
      <c r="V299" s="1498"/>
      <c r="W299" s="591"/>
      <c r="X299" s="1504"/>
      <c r="Y299" s="1497"/>
      <c r="Z299" s="1508"/>
    </row>
    <row r="300" spans="2:26" s="593" customFormat="1" ht="60" customHeight="1" x14ac:dyDescent="0.55000000000000004">
      <c r="B300" s="1499"/>
      <c r="C300" s="1500"/>
      <c r="D300" s="1501"/>
      <c r="E300" s="1502" t="s">
        <v>775</v>
      </c>
      <c r="F300" s="1490"/>
      <c r="G300" s="590"/>
      <c r="H300" s="1505"/>
      <c r="I300" s="1500"/>
      <c r="J300" s="1501"/>
      <c r="K300" s="590"/>
      <c r="L300" s="1505"/>
      <c r="M300" s="1500"/>
      <c r="N300" s="1501"/>
      <c r="O300" s="590"/>
      <c r="P300" s="1505"/>
      <c r="Q300" s="1500"/>
      <c r="R300" s="1501"/>
      <c r="S300" s="590">
        <v>39.369999999999997</v>
      </c>
      <c r="T300" s="1505"/>
      <c r="U300" s="1500"/>
      <c r="V300" s="1501"/>
      <c r="W300" s="590"/>
      <c r="X300" s="1505"/>
      <c r="Y300" s="1500"/>
      <c r="Z300" s="1509"/>
    </row>
    <row r="301" spans="2:26" s="593" customFormat="1" ht="60" customHeight="1" x14ac:dyDescent="0.55000000000000004">
      <c r="B301" s="583"/>
      <c r="C301" s="584"/>
      <c r="D301" s="592"/>
      <c r="E301" s="584"/>
      <c r="F301" s="584"/>
      <c r="G301" s="584"/>
      <c r="H301" s="584"/>
      <c r="I301" s="584"/>
      <c r="J301" s="584"/>
      <c r="K301" s="584"/>
      <c r="L301" s="584"/>
      <c r="M301" s="584"/>
      <c r="N301" s="584"/>
      <c r="O301" s="584"/>
      <c r="P301" s="584"/>
      <c r="Q301" s="584"/>
      <c r="R301" s="584"/>
      <c r="S301" s="584"/>
      <c r="T301" s="584"/>
      <c r="U301" s="584"/>
      <c r="V301" s="584"/>
      <c r="W301" s="584"/>
      <c r="X301" s="584"/>
      <c r="Y301" s="584"/>
      <c r="Z301" s="585"/>
    </row>
    <row r="302" spans="2:26" s="593" customFormat="1" ht="60" customHeight="1" x14ac:dyDescent="0.55000000000000004">
      <c r="B302" s="1510" t="s">
        <v>38</v>
      </c>
      <c r="C302" s="1511"/>
      <c r="D302" s="586" t="s">
        <v>424</v>
      </c>
      <c r="E302" s="1512" t="s">
        <v>673</v>
      </c>
      <c r="F302" s="1501"/>
      <c r="G302" s="1487" t="s">
        <v>1362</v>
      </c>
      <c r="H302" s="1488"/>
      <c r="I302" s="1485"/>
      <c r="J302" s="1486"/>
      <c r="K302" s="1487" t="s">
        <v>1363</v>
      </c>
      <c r="L302" s="1488"/>
      <c r="M302" s="1485" t="s">
        <v>1216</v>
      </c>
      <c r="N302" s="1486"/>
      <c r="O302" s="1487" t="s">
        <v>1364</v>
      </c>
      <c r="P302" s="1488"/>
      <c r="Q302" s="1485" t="s">
        <v>1216</v>
      </c>
      <c r="R302" s="1486"/>
      <c r="S302" s="1487" t="s">
        <v>1365</v>
      </c>
      <c r="T302" s="1488"/>
      <c r="U302" s="1485" t="s">
        <v>1216</v>
      </c>
      <c r="V302" s="1486"/>
      <c r="W302" s="1487" t="s">
        <v>1366</v>
      </c>
      <c r="X302" s="1488"/>
      <c r="Y302" s="1485" t="s">
        <v>1216</v>
      </c>
      <c r="Z302" s="1513"/>
    </row>
    <row r="303" spans="2:26" s="593" customFormat="1" ht="60" customHeight="1" x14ac:dyDescent="0.55000000000000004">
      <c r="B303" s="1493" t="s">
        <v>776</v>
      </c>
      <c r="C303" s="1494"/>
      <c r="D303" s="1495"/>
      <c r="E303" s="1502" t="s">
        <v>201</v>
      </c>
      <c r="F303" s="1490"/>
      <c r="G303" s="587"/>
      <c r="H303" s="1503" t="s">
        <v>695</v>
      </c>
      <c r="I303" s="1494"/>
      <c r="J303" s="1495"/>
      <c r="K303" s="587"/>
      <c r="L303" s="1503" t="s">
        <v>695</v>
      </c>
      <c r="M303" s="1494"/>
      <c r="N303" s="1495"/>
      <c r="O303" s="587"/>
      <c r="P303" s="1503" t="s">
        <v>695</v>
      </c>
      <c r="Q303" s="1494"/>
      <c r="R303" s="1495"/>
      <c r="S303" s="587">
        <f>+S307*S304</f>
        <v>8</v>
      </c>
      <c r="T303" s="1506"/>
      <c r="U303" s="1494"/>
      <c r="V303" s="1495"/>
      <c r="W303" s="589"/>
      <c r="X303" s="1503" t="s">
        <v>695</v>
      </c>
      <c r="Y303" s="1494"/>
      <c r="Z303" s="1507"/>
    </row>
    <row r="304" spans="2:26" s="593" customFormat="1" ht="60" customHeight="1" x14ac:dyDescent="0.55000000000000004">
      <c r="B304" s="1496"/>
      <c r="C304" s="1497"/>
      <c r="D304" s="1498"/>
      <c r="E304" s="1502" t="s">
        <v>777</v>
      </c>
      <c r="F304" s="1490"/>
      <c r="G304" s="590"/>
      <c r="H304" s="1504"/>
      <c r="I304" s="1497"/>
      <c r="J304" s="1498"/>
      <c r="K304" s="590"/>
      <c r="L304" s="1504"/>
      <c r="M304" s="1497"/>
      <c r="N304" s="1498"/>
      <c r="O304" s="590"/>
      <c r="P304" s="1504"/>
      <c r="Q304" s="1497"/>
      <c r="R304" s="1498"/>
      <c r="S304" s="591">
        <v>2</v>
      </c>
      <c r="T304" s="1504"/>
      <c r="U304" s="1497"/>
      <c r="V304" s="1498"/>
      <c r="W304" s="590"/>
      <c r="X304" s="1504"/>
      <c r="Y304" s="1497"/>
      <c r="Z304" s="1508"/>
    </row>
    <row r="305" spans="2:26" s="593" customFormat="1" ht="60" customHeight="1" x14ac:dyDescent="0.55000000000000004">
      <c r="B305" s="1496"/>
      <c r="C305" s="1497"/>
      <c r="D305" s="1498"/>
      <c r="E305" s="1502" t="s">
        <v>674</v>
      </c>
      <c r="F305" s="1490"/>
      <c r="G305" s="590"/>
      <c r="H305" s="1504"/>
      <c r="I305" s="1497"/>
      <c r="J305" s="1498"/>
      <c r="K305" s="590"/>
      <c r="L305" s="1504"/>
      <c r="M305" s="1497"/>
      <c r="N305" s="1498"/>
      <c r="O305" s="590"/>
      <c r="P305" s="1504"/>
      <c r="Q305" s="1497"/>
      <c r="R305" s="1498"/>
      <c r="S305" s="591"/>
      <c r="T305" s="1504"/>
      <c r="U305" s="1497"/>
      <c r="V305" s="1498"/>
      <c r="W305" s="590"/>
      <c r="X305" s="1504"/>
      <c r="Y305" s="1497"/>
      <c r="Z305" s="1508"/>
    </row>
    <row r="306" spans="2:26" s="593" customFormat="1" ht="60" customHeight="1" x14ac:dyDescent="0.55000000000000004">
      <c r="B306" s="1496"/>
      <c r="C306" s="1497"/>
      <c r="D306" s="1498"/>
      <c r="E306" s="1502" t="s">
        <v>675</v>
      </c>
      <c r="F306" s="1490"/>
      <c r="G306" s="590"/>
      <c r="H306" s="1504"/>
      <c r="I306" s="1497"/>
      <c r="J306" s="1498"/>
      <c r="K306" s="590"/>
      <c r="L306" s="1504"/>
      <c r="M306" s="1497"/>
      <c r="N306" s="1498"/>
      <c r="O306" s="590"/>
      <c r="P306" s="1504"/>
      <c r="Q306" s="1497"/>
      <c r="R306" s="1498"/>
      <c r="S306" s="591"/>
      <c r="T306" s="1504"/>
      <c r="U306" s="1497"/>
      <c r="V306" s="1498"/>
      <c r="W306" s="590"/>
      <c r="X306" s="1504"/>
      <c r="Y306" s="1497"/>
      <c r="Z306" s="1508"/>
    </row>
    <row r="307" spans="2:26" s="593" customFormat="1" ht="60" customHeight="1" x14ac:dyDescent="0.55000000000000004">
      <c r="B307" s="1496"/>
      <c r="C307" s="1497"/>
      <c r="D307" s="1498"/>
      <c r="E307" s="1502" t="s">
        <v>778</v>
      </c>
      <c r="F307" s="1490"/>
      <c r="G307" s="590"/>
      <c r="H307" s="1504"/>
      <c r="I307" s="1497"/>
      <c r="J307" s="1498"/>
      <c r="K307" s="590"/>
      <c r="L307" s="1504"/>
      <c r="M307" s="1497"/>
      <c r="N307" s="1498"/>
      <c r="O307" s="590"/>
      <c r="P307" s="1504"/>
      <c r="Q307" s="1497"/>
      <c r="R307" s="1498"/>
      <c r="S307" s="591">
        <v>4</v>
      </c>
      <c r="T307" s="1504"/>
      <c r="U307" s="1497"/>
      <c r="V307" s="1498"/>
      <c r="W307" s="590"/>
      <c r="X307" s="1504"/>
      <c r="Y307" s="1497"/>
      <c r="Z307" s="1508"/>
    </row>
    <row r="308" spans="2:26" s="593" customFormat="1" ht="60" customHeight="1" x14ac:dyDescent="0.55000000000000004">
      <c r="B308" s="1496"/>
      <c r="C308" s="1497"/>
      <c r="D308" s="1498"/>
      <c r="E308" s="1502" t="s">
        <v>677</v>
      </c>
      <c r="F308" s="1490"/>
      <c r="G308" s="590"/>
      <c r="H308" s="1504"/>
      <c r="I308" s="1497"/>
      <c r="J308" s="1498"/>
      <c r="K308" s="590"/>
      <c r="L308" s="1504"/>
      <c r="M308" s="1497"/>
      <c r="N308" s="1498"/>
      <c r="O308" s="590"/>
      <c r="P308" s="1504"/>
      <c r="Q308" s="1497"/>
      <c r="R308" s="1498"/>
      <c r="S308" s="591"/>
      <c r="T308" s="1504"/>
      <c r="U308" s="1497"/>
      <c r="V308" s="1498"/>
      <c r="W308" s="590"/>
      <c r="X308" s="1504"/>
      <c r="Y308" s="1497"/>
      <c r="Z308" s="1508"/>
    </row>
    <row r="309" spans="2:26" s="593" customFormat="1" ht="60" customHeight="1" x14ac:dyDescent="0.6">
      <c r="B309" s="1496"/>
      <c r="C309" s="1497"/>
      <c r="D309" s="1498"/>
      <c r="E309" s="1502" t="s">
        <v>678</v>
      </c>
      <c r="F309" s="1490"/>
      <c r="G309" s="590"/>
      <c r="H309" s="1504"/>
      <c r="I309" s="1497"/>
      <c r="J309" s="1498"/>
      <c r="K309" s="590"/>
      <c r="L309" s="1504"/>
      <c r="M309" s="1497"/>
      <c r="N309" s="1498"/>
      <c r="O309" s="594"/>
      <c r="P309" s="1504"/>
      <c r="Q309" s="1497"/>
      <c r="R309" s="1498"/>
      <c r="S309" s="591"/>
      <c r="T309" s="1504"/>
      <c r="U309" s="1497"/>
      <c r="V309" s="1498"/>
      <c r="W309" s="590"/>
      <c r="X309" s="1504"/>
      <c r="Y309" s="1497"/>
      <c r="Z309" s="1508"/>
    </row>
    <row r="310" spans="2:26" s="593" customFormat="1" ht="60" customHeight="1" x14ac:dyDescent="0.55000000000000004">
      <c r="B310" s="1496"/>
      <c r="C310" s="1497"/>
      <c r="D310" s="1498"/>
      <c r="E310" s="1502" t="s">
        <v>1452</v>
      </c>
      <c r="F310" s="1490"/>
      <c r="G310" s="590"/>
      <c r="H310" s="1504"/>
      <c r="I310" s="1497"/>
      <c r="J310" s="1498"/>
      <c r="K310" s="590"/>
      <c r="L310" s="1504"/>
      <c r="M310" s="1497"/>
      <c r="N310" s="1498"/>
      <c r="O310" s="590"/>
      <c r="P310" s="1504"/>
      <c r="Q310" s="1497"/>
      <c r="R310" s="1498"/>
      <c r="S310" s="591"/>
      <c r="T310" s="1504"/>
      <c r="U310" s="1497"/>
      <c r="V310" s="1498"/>
      <c r="W310" s="591"/>
      <c r="X310" s="1504"/>
      <c r="Y310" s="1497"/>
      <c r="Z310" s="1508"/>
    </row>
    <row r="311" spans="2:26" s="593" customFormat="1" ht="60" customHeight="1" x14ac:dyDescent="0.55000000000000004">
      <c r="B311" s="1499"/>
      <c r="C311" s="1500"/>
      <c r="D311" s="1501"/>
      <c r="E311" s="1502" t="s">
        <v>1453</v>
      </c>
      <c r="F311" s="1490"/>
      <c r="G311" s="590"/>
      <c r="H311" s="1505"/>
      <c r="I311" s="1500"/>
      <c r="J311" s="1501"/>
      <c r="K311" s="590"/>
      <c r="L311" s="1505"/>
      <c r="M311" s="1500"/>
      <c r="N311" s="1501"/>
      <c r="O311" s="590"/>
      <c r="P311" s="1505"/>
      <c r="Q311" s="1500"/>
      <c r="R311" s="1501"/>
      <c r="S311" s="591"/>
      <c r="T311" s="1505"/>
      <c r="U311" s="1500"/>
      <c r="V311" s="1501"/>
      <c r="W311" s="590"/>
      <c r="X311" s="1505"/>
      <c r="Y311" s="1500"/>
      <c r="Z311" s="1509"/>
    </row>
    <row r="312" spans="2:26" s="593" customFormat="1" ht="60" customHeight="1" x14ac:dyDescent="0.55000000000000004">
      <c r="B312" s="583"/>
      <c r="C312" s="584"/>
      <c r="D312" s="592"/>
      <c r="E312" s="584"/>
      <c r="F312" s="584"/>
      <c r="G312" s="584"/>
      <c r="H312" s="584"/>
      <c r="I312" s="584"/>
      <c r="J312" s="584"/>
      <c r="K312" s="584"/>
      <c r="L312" s="584"/>
      <c r="M312" s="584"/>
      <c r="N312" s="584"/>
      <c r="O312" s="584"/>
      <c r="P312" s="584"/>
      <c r="Q312" s="584"/>
      <c r="R312" s="584"/>
      <c r="S312" s="584"/>
      <c r="T312" s="584"/>
      <c r="U312" s="584"/>
      <c r="V312" s="584"/>
      <c r="W312" s="584"/>
      <c r="X312" s="584"/>
      <c r="Y312" s="584"/>
      <c r="Z312" s="585"/>
    </row>
    <row r="313" spans="2:26" s="593" customFormat="1" ht="60" customHeight="1" x14ac:dyDescent="0.55000000000000004">
      <c r="B313" s="1510" t="s">
        <v>38</v>
      </c>
      <c r="C313" s="1511"/>
      <c r="D313" s="586" t="s">
        <v>424</v>
      </c>
      <c r="E313" s="1512" t="s">
        <v>673</v>
      </c>
      <c r="F313" s="1501"/>
      <c r="G313" s="1487" t="s">
        <v>1362</v>
      </c>
      <c r="H313" s="1488"/>
      <c r="I313" s="1485" t="s">
        <v>1227</v>
      </c>
      <c r="J313" s="1486"/>
      <c r="K313" s="1487" t="s">
        <v>1363</v>
      </c>
      <c r="L313" s="1488"/>
      <c r="M313" s="1485" t="s">
        <v>1216</v>
      </c>
      <c r="N313" s="1486"/>
      <c r="O313" s="1487" t="s">
        <v>1364</v>
      </c>
      <c r="P313" s="1488"/>
      <c r="Q313" s="1485" t="s">
        <v>1216</v>
      </c>
      <c r="R313" s="1486"/>
      <c r="S313" s="1487" t="s">
        <v>1365</v>
      </c>
      <c r="T313" s="1488"/>
      <c r="U313" s="1485" t="s">
        <v>1216</v>
      </c>
      <c r="V313" s="1486"/>
      <c r="W313" s="1487" t="s">
        <v>1366</v>
      </c>
      <c r="X313" s="1488"/>
      <c r="Y313" s="1485" t="s">
        <v>1216</v>
      </c>
      <c r="Z313" s="1513"/>
    </row>
    <row r="314" spans="2:26" s="593" customFormat="1" ht="60" customHeight="1" x14ac:dyDescent="0.55000000000000004">
      <c r="B314" s="1493" t="s">
        <v>1413</v>
      </c>
      <c r="C314" s="1494"/>
      <c r="D314" s="1495"/>
      <c r="E314" s="1502" t="s">
        <v>201</v>
      </c>
      <c r="F314" s="1490"/>
      <c r="G314" s="587">
        <f>+G315*G318</f>
        <v>45</v>
      </c>
      <c r="H314" s="1503"/>
      <c r="I314" s="1494"/>
      <c r="J314" s="1495"/>
      <c r="K314" s="588">
        <f>+K315*K318</f>
        <v>25</v>
      </c>
      <c r="L314" s="1503"/>
      <c r="M314" s="1494"/>
      <c r="N314" s="1495"/>
      <c r="O314" s="588">
        <f>+O315*O318</f>
        <v>13</v>
      </c>
      <c r="P314" s="1503"/>
      <c r="Q314" s="1494"/>
      <c r="R314" s="1495"/>
      <c r="S314" s="587">
        <f>+S318*S315</f>
        <v>2</v>
      </c>
      <c r="T314" s="1506"/>
      <c r="U314" s="1494"/>
      <c r="V314" s="1495"/>
      <c r="W314" s="589"/>
      <c r="X314" s="1503" t="s">
        <v>695</v>
      </c>
      <c r="Y314" s="1494"/>
      <c r="Z314" s="1507"/>
    </row>
    <row r="315" spans="2:26" s="593" customFormat="1" ht="60" customHeight="1" x14ac:dyDescent="0.55000000000000004">
      <c r="B315" s="1496"/>
      <c r="C315" s="1497"/>
      <c r="D315" s="1498"/>
      <c r="E315" s="1502" t="s">
        <v>777</v>
      </c>
      <c r="F315" s="1490"/>
      <c r="G315" s="590">
        <f>+G316/G320</f>
        <v>45</v>
      </c>
      <c r="H315" s="1504"/>
      <c r="I315" s="1497"/>
      <c r="J315" s="1498"/>
      <c r="K315" s="590">
        <f>+K316/K320</f>
        <v>25</v>
      </c>
      <c r="L315" s="1504"/>
      <c r="M315" s="1497"/>
      <c r="N315" s="1498"/>
      <c r="O315" s="590">
        <f>+O316/O320</f>
        <v>13</v>
      </c>
      <c r="P315" s="1504"/>
      <c r="Q315" s="1497"/>
      <c r="R315" s="1498"/>
      <c r="S315" s="590">
        <v>2</v>
      </c>
      <c r="T315" s="1504"/>
      <c r="U315" s="1497"/>
      <c r="V315" s="1498"/>
      <c r="W315" s="590"/>
      <c r="X315" s="1504"/>
      <c r="Y315" s="1497"/>
      <c r="Z315" s="1508"/>
    </row>
    <row r="316" spans="2:26" s="593" customFormat="1" ht="60" customHeight="1" x14ac:dyDescent="0.55000000000000004">
      <c r="B316" s="1496"/>
      <c r="C316" s="1497"/>
      <c r="D316" s="1498"/>
      <c r="E316" s="1502" t="s">
        <v>674</v>
      </c>
      <c r="F316" s="1490"/>
      <c r="G316" s="590">
        <v>90</v>
      </c>
      <c r="H316" s="1504"/>
      <c r="I316" s="1497"/>
      <c r="J316" s="1498"/>
      <c r="K316" s="590">
        <v>50</v>
      </c>
      <c r="L316" s="1504"/>
      <c r="M316" s="1497"/>
      <c r="N316" s="1498"/>
      <c r="O316" s="590">
        <v>26</v>
      </c>
      <c r="P316" s="1504"/>
      <c r="Q316" s="1497"/>
      <c r="R316" s="1498"/>
      <c r="S316" s="590"/>
      <c r="T316" s="1504"/>
      <c r="U316" s="1497"/>
      <c r="V316" s="1498"/>
      <c r="W316" s="590"/>
      <c r="X316" s="1504"/>
      <c r="Y316" s="1497"/>
      <c r="Z316" s="1508"/>
    </row>
    <row r="317" spans="2:26" s="593" customFormat="1" ht="60" customHeight="1" x14ac:dyDescent="0.55000000000000004">
      <c r="B317" s="1496"/>
      <c r="C317" s="1497"/>
      <c r="D317" s="1498"/>
      <c r="E317" s="1502" t="s">
        <v>675</v>
      </c>
      <c r="F317" s="1490"/>
      <c r="G317" s="590"/>
      <c r="H317" s="1504"/>
      <c r="I317" s="1497"/>
      <c r="J317" s="1498"/>
      <c r="K317" s="590"/>
      <c r="L317" s="1504"/>
      <c r="M317" s="1497"/>
      <c r="N317" s="1498"/>
      <c r="O317" s="590"/>
      <c r="P317" s="1504"/>
      <c r="Q317" s="1497"/>
      <c r="R317" s="1498"/>
      <c r="S317" s="590"/>
      <c r="T317" s="1504"/>
      <c r="U317" s="1497"/>
      <c r="V317" s="1498"/>
      <c r="W317" s="590"/>
      <c r="X317" s="1504"/>
      <c r="Y317" s="1497"/>
      <c r="Z317" s="1508"/>
    </row>
    <row r="318" spans="2:26" s="593" customFormat="1" ht="60" customHeight="1" x14ac:dyDescent="0.55000000000000004">
      <c r="B318" s="1496"/>
      <c r="C318" s="1497"/>
      <c r="D318" s="1498"/>
      <c r="E318" s="1502" t="s">
        <v>778</v>
      </c>
      <c r="F318" s="1490"/>
      <c r="G318" s="590">
        <v>1</v>
      </c>
      <c r="H318" s="1504"/>
      <c r="I318" s="1497"/>
      <c r="J318" s="1498"/>
      <c r="K318" s="590">
        <v>1</v>
      </c>
      <c r="L318" s="1504"/>
      <c r="M318" s="1497"/>
      <c r="N318" s="1498"/>
      <c r="O318" s="590">
        <v>1</v>
      </c>
      <c r="P318" s="1504"/>
      <c r="Q318" s="1497"/>
      <c r="R318" s="1498"/>
      <c r="S318" s="590">
        <v>1</v>
      </c>
      <c r="T318" s="1504"/>
      <c r="U318" s="1497"/>
      <c r="V318" s="1498"/>
      <c r="W318" s="590"/>
      <c r="X318" s="1504"/>
      <c r="Y318" s="1497"/>
      <c r="Z318" s="1508"/>
    </row>
    <row r="319" spans="2:26" s="593" customFormat="1" ht="60" customHeight="1" x14ac:dyDescent="0.55000000000000004">
      <c r="B319" s="1496"/>
      <c r="C319" s="1497"/>
      <c r="D319" s="1498"/>
      <c r="E319" s="1502" t="s">
        <v>677</v>
      </c>
      <c r="F319" s="1490"/>
      <c r="G319" s="590"/>
      <c r="H319" s="1504"/>
      <c r="I319" s="1497"/>
      <c r="J319" s="1498"/>
      <c r="K319" s="590"/>
      <c r="L319" s="1504"/>
      <c r="M319" s="1497"/>
      <c r="N319" s="1498"/>
      <c r="O319" s="590"/>
      <c r="P319" s="1504"/>
      <c r="Q319" s="1497"/>
      <c r="R319" s="1498"/>
      <c r="S319" s="590"/>
      <c r="T319" s="1504"/>
      <c r="U319" s="1497"/>
      <c r="V319" s="1498"/>
      <c r="W319" s="590"/>
      <c r="X319" s="1504"/>
      <c r="Y319" s="1497"/>
      <c r="Z319" s="1508"/>
    </row>
    <row r="320" spans="2:26" s="593" customFormat="1" ht="60" customHeight="1" x14ac:dyDescent="0.55000000000000004">
      <c r="B320" s="1496"/>
      <c r="C320" s="1497"/>
      <c r="D320" s="1498"/>
      <c r="E320" s="1502" t="s">
        <v>1382</v>
      </c>
      <c r="F320" s="1490"/>
      <c r="G320" s="590">
        <v>2</v>
      </c>
      <c r="H320" s="1504"/>
      <c r="I320" s="1497"/>
      <c r="J320" s="1498"/>
      <c r="K320" s="590">
        <v>2</v>
      </c>
      <c r="L320" s="1504"/>
      <c r="M320" s="1497"/>
      <c r="N320" s="1498"/>
      <c r="O320" s="590">
        <v>2</v>
      </c>
      <c r="P320" s="1504"/>
      <c r="Q320" s="1497"/>
      <c r="R320" s="1498"/>
      <c r="S320" s="590"/>
      <c r="T320" s="1504"/>
      <c r="U320" s="1497"/>
      <c r="V320" s="1498"/>
      <c r="W320" s="590"/>
      <c r="X320" s="1504"/>
      <c r="Y320" s="1497"/>
      <c r="Z320" s="1508"/>
    </row>
    <row r="321" spans="2:26" s="593" customFormat="1" ht="60" customHeight="1" x14ac:dyDescent="0.55000000000000004">
      <c r="B321" s="1496"/>
      <c r="C321" s="1497"/>
      <c r="D321" s="1498"/>
      <c r="E321" s="1502" t="s">
        <v>1452</v>
      </c>
      <c r="F321" s="1490"/>
      <c r="G321" s="590"/>
      <c r="H321" s="1504"/>
      <c r="I321" s="1497"/>
      <c r="J321" s="1498"/>
      <c r="K321" s="590"/>
      <c r="L321" s="1504"/>
      <c r="M321" s="1497"/>
      <c r="N321" s="1498"/>
      <c r="O321" s="590"/>
      <c r="P321" s="1504"/>
      <c r="Q321" s="1497"/>
      <c r="R321" s="1498"/>
      <c r="S321" s="590"/>
      <c r="T321" s="1504"/>
      <c r="U321" s="1497"/>
      <c r="V321" s="1498"/>
      <c r="W321" s="591"/>
      <c r="X321" s="1504"/>
      <c r="Y321" s="1497"/>
      <c r="Z321" s="1508"/>
    </row>
    <row r="322" spans="2:26" s="593" customFormat="1" ht="60" customHeight="1" x14ac:dyDescent="0.55000000000000004">
      <c r="B322" s="1499"/>
      <c r="C322" s="1500"/>
      <c r="D322" s="1501"/>
      <c r="E322" s="1502" t="s">
        <v>1453</v>
      </c>
      <c r="F322" s="1490"/>
      <c r="G322" s="590"/>
      <c r="H322" s="1505"/>
      <c r="I322" s="1500"/>
      <c r="J322" s="1501"/>
      <c r="K322" s="590"/>
      <c r="L322" s="1505"/>
      <c r="M322" s="1500"/>
      <c r="N322" s="1501"/>
      <c r="O322" s="590"/>
      <c r="P322" s="1505"/>
      <c r="Q322" s="1500"/>
      <c r="R322" s="1501"/>
      <c r="S322" s="590"/>
      <c r="T322" s="1505"/>
      <c r="U322" s="1500"/>
      <c r="V322" s="1501"/>
      <c r="W322" s="590"/>
      <c r="X322" s="1505"/>
      <c r="Y322" s="1500"/>
      <c r="Z322" s="1509"/>
    </row>
    <row r="323" spans="2:26" s="593" customFormat="1" ht="60" customHeight="1" x14ac:dyDescent="0.55000000000000004">
      <c r="B323" s="583"/>
      <c r="C323" s="584"/>
      <c r="D323" s="592"/>
      <c r="E323" s="584"/>
      <c r="F323" s="584"/>
      <c r="G323" s="584"/>
      <c r="H323" s="584"/>
      <c r="I323" s="584"/>
      <c r="J323" s="584"/>
      <c r="K323" s="584"/>
      <c r="L323" s="584"/>
      <c r="M323" s="584"/>
      <c r="N323" s="584"/>
      <c r="O323" s="584"/>
      <c r="P323" s="584"/>
      <c r="Q323" s="584"/>
      <c r="R323" s="584"/>
      <c r="S323" s="584"/>
      <c r="T323" s="584"/>
      <c r="U323" s="584"/>
      <c r="V323" s="584"/>
      <c r="W323" s="584"/>
      <c r="X323" s="584"/>
      <c r="Y323" s="584"/>
      <c r="Z323" s="585"/>
    </row>
    <row r="324" spans="2:26" s="593" customFormat="1" ht="60" customHeight="1" x14ac:dyDescent="0.55000000000000004">
      <c r="B324" s="1510" t="s">
        <v>38</v>
      </c>
      <c r="C324" s="1511"/>
      <c r="D324" s="586" t="s">
        <v>424</v>
      </c>
      <c r="E324" s="1512" t="s">
        <v>673</v>
      </c>
      <c r="F324" s="1501"/>
      <c r="G324" s="1487" t="s">
        <v>1362</v>
      </c>
      <c r="H324" s="1488"/>
      <c r="I324" s="1485" t="s">
        <v>1228</v>
      </c>
      <c r="J324" s="1486"/>
      <c r="K324" s="1487" t="s">
        <v>1363</v>
      </c>
      <c r="L324" s="1488"/>
      <c r="M324" s="1485" t="s">
        <v>1216</v>
      </c>
      <c r="N324" s="1486"/>
      <c r="O324" s="1487" t="s">
        <v>1364</v>
      </c>
      <c r="P324" s="1488"/>
      <c r="Q324" s="1485" t="s">
        <v>1216</v>
      </c>
      <c r="R324" s="1486"/>
      <c r="S324" s="1487" t="s">
        <v>1365</v>
      </c>
      <c r="T324" s="1488"/>
      <c r="U324" s="1485" t="s">
        <v>1216</v>
      </c>
      <c r="V324" s="1486"/>
      <c r="W324" s="1487" t="s">
        <v>1366</v>
      </c>
      <c r="X324" s="1488"/>
      <c r="Y324" s="1485" t="s">
        <v>1216</v>
      </c>
      <c r="Z324" s="1513"/>
    </row>
    <row r="325" spans="2:26" s="593" customFormat="1" ht="60" customHeight="1" x14ac:dyDescent="0.55000000000000004">
      <c r="B325" s="1493" t="s">
        <v>787</v>
      </c>
      <c r="C325" s="1494"/>
      <c r="D325" s="1495"/>
      <c r="E325" s="1502" t="s">
        <v>201</v>
      </c>
      <c r="F325" s="1490"/>
      <c r="G325" s="587">
        <f>+G326*G331</f>
        <v>90</v>
      </c>
      <c r="H325" s="1503"/>
      <c r="I325" s="1494"/>
      <c r="J325" s="1495"/>
      <c r="K325" s="588">
        <f>+K326*K331</f>
        <v>50</v>
      </c>
      <c r="L325" s="1503"/>
      <c r="M325" s="1494"/>
      <c r="N325" s="1495"/>
      <c r="O325" s="588">
        <f>+O326*O331</f>
        <v>26</v>
      </c>
      <c r="P325" s="1503"/>
      <c r="Q325" s="1494"/>
      <c r="R325" s="1495"/>
      <c r="S325" s="587">
        <f>+S326</f>
        <v>4</v>
      </c>
      <c r="T325" s="1506"/>
      <c r="U325" s="1494"/>
      <c r="V325" s="1495"/>
      <c r="W325" s="589"/>
      <c r="X325" s="1503" t="s">
        <v>695</v>
      </c>
      <c r="Y325" s="1494"/>
      <c r="Z325" s="1507"/>
    </row>
    <row r="326" spans="2:26" s="593" customFormat="1" ht="60" customHeight="1" x14ac:dyDescent="0.55000000000000004">
      <c r="B326" s="1496"/>
      <c r="C326" s="1497"/>
      <c r="D326" s="1498"/>
      <c r="E326" s="1502" t="s">
        <v>132</v>
      </c>
      <c r="F326" s="1490"/>
      <c r="G326" s="590">
        <f>+G327/G331</f>
        <v>45</v>
      </c>
      <c r="H326" s="1504"/>
      <c r="I326" s="1497"/>
      <c r="J326" s="1498"/>
      <c r="K326" s="590">
        <f>+K327/K331</f>
        <v>25</v>
      </c>
      <c r="L326" s="1504"/>
      <c r="M326" s="1497"/>
      <c r="N326" s="1498"/>
      <c r="O326" s="590">
        <f>+O327/O331</f>
        <v>13</v>
      </c>
      <c r="P326" s="1504"/>
      <c r="Q326" s="1497"/>
      <c r="R326" s="1498"/>
      <c r="S326" s="590">
        <v>4</v>
      </c>
      <c r="T326" s="1504"/>
      <c r="U326" s="1497"/>
      <c r="V326" s="1498"/>
      <c r="W326" s="590"/>
      <c r="X326" s="1504"/>
      <c r="Y326" s="1497"/>
      <c r="Z326" s="1508"/>
    </row>
    <row r="327" spans="2:26" s="593" customFormat="1" ht="60" customHeight="1" x14ac:dyDescent="0.55000000000000004">
      <c r="B327" s="1496"/>
      <c r="C327" s="1497"/>
      <c r="D327" s="1498"/>
      <c r="E327" s="1502" t="s">
        <v>674</v>
      </c>
      <c r="F327" s="1490"/>
      <c r="G327" s="590">
        <v>90</v>
      </c>
      <c r="H327" s="1504"/>
      <c r="I327" s="1497"/>
      <c r="J327" s="1498"/>
      <c r="K327" s="590">
        <v>50</v>
      </c>
      <c r="L327" s="1504"/>
      <c r="M327" s="1497"/>
      <c r="N327" s="1498"/>
      <c r="O327" s="590">
        <v>26</v>
      </c>
      <c r="P327" s="1504"/>
      <c r="Q327" s="1497"/>
      <c r="R327" s="1498"/>
      <c r="S327" s="590"/>
      <c r="T327" s="1504"/>
      <c r="U327" s="1497"/>
      <c r="V327" s="1498"/>
      <c r="W327" s="590"/>
      <c r="X327" s="1504"/>
      <c r="Y327" s="1497"/>
      <c r="Z327" s="1508"/>
    </row>
    <row r="328" spans="2:26" s="593" customFormat="1" ht="60" customHeight="1" x14ac:dyDescent="0.55000000000000004">
      <c r="B328" s="1496"/>
      <c r="C328" s="1497"/>
      <c r="D328" s="1498"/>
      <c r="E328" s="1502" t="s">
        <v>675</v>
      </c>
      <c r="F328" s="1490"/>
      <c r="G328" s="590"/>
      <c r="H328" s="1504"/>
      <c r="I328" s="1497"/>
      <c r="J328" s="1498"/>
      <c r="K328" s="590"/>
      <c r="L328" s="1504"/>
      <c r="M328" s="1497"/>
      <c r="N328" s="1498"/>
      <c r="O328" s="590"/>
      <c r="P328" s="1504"/>
      <c r="Q328" s="1497"/>
      <c r="R328" s="1498"/>
      <c r="S328" s="590"/>
      <c r="T328" s="1504"/>
      <c r="U328" s="1497"/>
      <c r="V328" s="1498"/>
      <c r="W328" s="590"/>
      <c r="X328" s="1504"/>
      <c r="Y328" s="1497"/>
      <c r="Z328" s="1508"/>
    </row>
    <row r="329" spans="2:26" s="593" customFormat="1" ht="60" customHeight="1" x14ac:dyDescent="0.55000000000000004">
      <c r="B329" s="1496"/>
      <c r="C329" s="1497"/>
      <c r="D329" s="1498"/>
      <c r="E329" s="1502" t="s">
        <v>778</v>
      </c>
      <c r="F329" s="1490"/>
      <c r="G329" s="590">
        <v>1</v>
      </c>
      <c r="H329" s="1504"/>
      <c r="I329" s="1497"/>
      <c r="J329" s="1498"/>
      <c r="K329" s="590">
        <v>1</v>
      </c>
      <c r="L329" s="1504"/>
      <c r="M329" s="1497"/>
      <c r="N329" s="1498"/>
      <c r="O329" s="590">
        <v>1</v>
      </c>
      <c r="P329" s="1504"/>
      <c r="Q329" s="1497"/>
      <c r="R329" s="1498"/>
      <c r="S329" s="590"/>
      <c r="T329" s="1504"/>
      <c r="U329" s="1497"/>
      <c r="V329" s="1498"/>
      <c r="W329" s="590"/>
      <c r="X329" s="1504"/>
      <c r="Y329" s="1497"/>
      <c r="Z329" s="1508"/>
    </row>
    <row r="330" spans="2:26" s="593" customFormat="1" ht="60" customHeight="1" x14ac:dyDescent="0.55000000000000004">
      <c r="B330" s="1496"/>
      <c r="C330" s="1497"/>
      <c r="D330" s="1498"/>
      <c r="E330" s="1502" t="s">
        <v>677</v>
      </c>
      <c r="F330" s="1490"/>
      <c r="G330" s="590"/>
      <c r="H330" s="1504"/>
      <c r="I330" s="1497"/>
      <c r="J330" s="1498"/>
      <c r="K330" s="590"/>
      <c r="L330" s="1504"/>
      <c r="M330" s="1497"/>
      <c r="N330" s="1498"/>
      <c r="O330" s="590"/>
      <c r="P330" s="1504"/>
      <c r="Q330" s="1497"/>
      <c r="R330" s="1498"/>
      <c r="S330" s="590"/>
      <c r="T330" s="1504"/>
      <c r="U330" s="1497"/>
      <c r="V330" s="1498"/>
      <c r="W330" s="590"/>
      <c r="X330" s="1504"/>
      <c r="Y330" s="1497"/>
      <c r="Z330" s="1508"/>
    </row>
    <row r="331" spans="2:26" s="593" customFormat="1" ht="60" customHeight="1" x14ac:dyDescent="0.55000000000000004">
      <c r="B331" s="1496"/>
      <c r="C331" s="1497"/>
      <c r="D331" s="1498"/>
      <c r="E331" s="1502" t="s">
        <v>1382</v>
      </c>
      <c r="F331" s="1490"/>
      <c r="G331" s="590">
        <v>2</v>
      </c>
      <c r="H331" s="1504"/>
      <c r="I331" s="1497"/>
      <c r="J331" s="1498"/>
      <c r="K331" s="590">
        <v>2</v>
      </c>
      <c r="L331" s="1504"/>
      <c r="M331" s="1497"/>
      <c r="N331" s="1498"/>
      <c r="O331" s="590">
        <v>2</v>
      </c>
      <c r="P331" s="1504"/>
      <c r="Q331" s="1497"/>
      <c r="R331" s="1498"/>
      <c r="S331" s="590"/>
      <c r="T331" s="1504"/>
      <c r="U331" s="1497"/>
      <c r="V331" s="1498"/>
      <c r="W331" s="590"/>
      <c r="X331" s="1504"/>
      <c r="Y331" s="1497"/>
      <c r="Z331" s="1508"/>
    </row>
    <row r="332" spans="2:26" s="593" customFormat="1" ht="60" customHeight="1" x14ac:dyDescent="0.55000000000000004">
      <c r="B332" s="1496"/>
      <c r="C332" s="1497"/>
      <c r="D332" s="1498"/>
      <c r="E332" s="1502" t="s">
        <v>1452</v>
      </c>
      <c r="F332" s="1490"/>
      <c r="G332" s="590"/>
      <c r="H332" s="1504"/>
      <c r="I332" s="1497"/>
      <c r="J332" s="1498"/>
      <c r="K332" s="590"/>
      <c r="L332" s="1504"/>
      <c r="M332" s="1497"/>
      <c r="N332" s="1498"/>
      <c r="O332" s="590"/>
      <c r="P332" s="1504"/>
      <c r="Q332" s="1497"/>
      <c r="R332" s="1498"/>
      <c r="S332" s="590"/>
      <c r="T332" s="1504"/>
      <c r="U332" s="1497"/>
      <c r="V332" s="1498"/>
      <c r="W332" s="591"/>
      <c r="X332" s="1504"/>
      <c r="Y332" s="1497"/>
      <c r="Z332" s="1508"/>
    </row>
    <row r="333" spans="2:26" s="593" customFormat="1" ht="60" customHeight="1" x14ac:dyDescent="0.55000000000000004">
      <c r="B333" s="1499"/>
      <c r="C333" s="1500"/>
      <c r="D333" s="1501"/>
      <c r="E333" s="1502" t="s">
        <v>1453</v>
      </c>
      <c r="F333" s="1490"/>
      <c r="G333" s="590"/>
      <c r="H333" s="1505"/>
      <c r="I333" s="1500"/>
      <c r="J333" s="1501"/>
      <c r="K333" s="590"/>
      <c r="L333" s="1505"/>
      <c r="M333" s="1500"/>
      <c r="N333" s="1501"/>
      <c r="O333" s="590"/>
      <c r="P333" s="1505"/>
      <c r="Q333" s="1500"/>
      <c r="R333" s="1501"/>
      <c r="S333" s="590"/>
      <c r="T333" s="1505"/>
      <c r="U333" s="1500"/>
      <c r="V333" s="1501"/>
      <c r="W333" s="590"/>
      <c r="X333" s="1505"/>
      <c r="Y333" s="1500"/>
      <c r="Z333" s="1509"/>
    </row>
    <row r="334" spans="2:26" s="593" customFormat="1" ht="60" customHeight="1" x14ac:dyDescent="0.55000000000000004">
      <c r="B334" s="583"/>
      <c r="C334" s="584"/>
      <c r="D334" s="592"/>
      <c r="E334" s="584"/>
      <c r="F334" s="584"/>
      <c r="G334" s="584"/>
      <c r="H334" s="584"/>
      <c r="I334" s="584"/>
      <c r="J334" s="584"/>
      <c r="K334" s="584"/>
      <c r="L334" s="584"/>
      <c r="M334" s="584"/>
      <c r="N334" s="584"/>
      <c r="O334" s="584"/>
      <c r="P334" s="584"/>
      <c r="Q334" s="584"/>
      <c r="R334" s="584"/>
      <c r="S334" s="584"/>
      <c r="T334" s="584"/>
      <c r="U334" s="584"/>
      <c r="V334" s="584"/>
      <c r="W334" s="584"/>
      <c r="X334" s="584"/>
      <c r="Y334" s="584"/>
      <c r="Z334" s="585"/>
    </row>
    <row r="335" spans="2:26" s="593" customFormat="1" ht="60" customHeight="1" x14ac:dyDescent="0.55000000000000004">
      <c r="B335" s="1510" t="s">
        <v>38</v>
      </c>
      <c r="C335" s="1511"/>
      <c r="D335" s="586" t="s">
        <v>415</v>
      </c>
      <c r="E335" s="1512" t="s">
        <v>673</v>
      </c>
      <c r="F335" s="1501"/>
      <c r="G335" s="1487" t="s">
        <v>1362</v>
      </c>
      <c r="H335" s="1488"/>
      <c r="I335" s="1485" t="s">
        <v>1229</v>
      </c>
      <c r="J335" s="1486"/>
      <c r="K335" s="1487" t="s">
        <v>1363</v>
      </c>
      <c r="L335" s="1488"/>
      <c r="M335" s="1485" t="s">
        <v>1216</v>
      </c>
      <c r="N335" s="1486"/>
      <c r="O335" s="1487" t="s">
        <v>1364</v>
      </c>
      <c r="P335" s="1488"/>
      <c r="Q335" s="1485" t="s">
        <v>1216</v>
      </c>
      <c r="R335" s="1486"/>
      <c r="S335" s="1487" t="s">
        <v>1365</v>
      </c>
      <c r="T335" s="1488"/>
      <c r="U335" s="1485" t="s">
        <v>1216</v>
      </c>
      <c r="V335" s="1486"/>
      <c r="W335" s="1487" t="s">
        <v>1366</v>
      </c>
      <c r="X335" s="1488"/>
      <c r="Y335" s="1485" t="s">
        <v>1216</v>
      </c>
      <c r="Z335" s="1513"/>
    </row>
    <row r="336" spans="2:26" s="593" customFormat="1" ht="60" customHeight="1" x14ac:dyDescent="0.55000000000000004">
      <c r="B336" s="1493" t="s">
        <v>1384</v>
      </c>
      <c r="C336" s="1494"/>
      <c r="D336" s="1495"/>
      <c r="E336" s="1502" t="s">
        <v>201</v>
      </c>
      <c r="F336" s="1490"/>
      <c r="G336" s="587">
        <f>+G338*G337*G341</f>
        <v>332.01</v>
      </c>
      <c r="H336" s="1506"/>
      <c r="I336" s="1494"/>
      <c r="J336" s="1495"/>
      <c r="K336" s="587"/>
      <c r="L336" s="1503" t="s">
        <v>695</v>
      </c>
      <c r="M336" s="1494"/>
      <c r="N336" s="1495"/>
      <c r="O336" s="587"/>
      <c r="P336" s="1503" t="s">
        <v>695</v>
      </c>
      <c r="Q336" s="1494"/>
      <c r="R336" s="1495"/>
      <c r="S336" s="587"/>
      <c r="T336" s="1503" t="s">
        <v>695</v>
      </c>
      <c r="U336" s="1494"/>
      <c r="V336" s="1495"/>
      <c r="W336" s="589"/>
      <c r="X336" s="1503" t="s">
        <v>695</v>
      </c>
      <c r="Y336" s="1494"/>
      <c r="Z336" s="1507"/>
    </row>
    <row r="337" spans="2:45" s="593" customFormat="1" ht="60" customHeight="1" x14ac:dyDescent="0.55000000000000004">
      <c r="B337" s="1496"/>
      <c r="C337" s="1497"/>
      <c r="D337" s="1498"/>
      <c r="E337" s="1502" t="s">
        <v>132</v>
      </c>
      <c r="F337" s="1490"/>
      <c r="G337" s="590">
        <v>2</v>
      </c>
      <c r="H337" s="1504"/>
      <c r="I337" s="1497"/>
      <c r="J337" s="1498"/>
      <c r="K337" s="590"/>
      <c r="L337" s="1504"/>
      <c r="M337" s="1497"/>
      <c r="N337" s="1498"/>
      <c r="O337" s="590"/>
      <c r="P337" s="1504"/>
      <c r="Q337" s="1497"/>
      <c r="R337" s="1498"/>
      <c r="S337" s="590"/>
      <c r="T337" s="1504"/>
      <c r="U337" s="1497"/>
      <c r="V337" s="1498"/>
      <c r="W337" s="590"/>
      <c r="X337" s="1504"/>
      <c r="Y337" s="1497"/>
      <c r="Z337" s="1508"/>
    </row>
    <row r="338" spans="2:45" s="593" customFormat="1" ht="60" customHeight="1" x14ac:dyDescent="0.55000000000000004">
      <c r="B338" s="1496"/>
      <c r="C338" s="1497"/>
      <c r="D338" s="1498"/>
      <c r="E338" s="1502" t="s">
        <v>674</v>
      </c>
      <c r="F338" s="1490"/>
      <c r="G338" s="590">
        <v>108.5</v>
      </c>
      <c r="H338" s="1504"/>
      <c r="I338" s="1497"/>
      <c r="J338" s="1498"/>
      <c r="K338" s="590"/>
      <c r="L338" s="1504"/>
      <c r="M338" s="1497"/>
      <c r="N338" s="1498"/>
      <c r="O338" s="590"/>
      <c r="P338" s="1504"/>
      <c r="Q338" s="1497"/>
      <c r="R338" s="1498"/>
      <c r="S338" s="590"/>
      <c r="T338" s="1504"/>
      <c r="U338" s="1497"/>
      <c r="V338" s="1498"/>
      <c r="W338" s="590"/>
      <c r="X338" s="1504"/>
      <c r="Y338" s="1497"/>
      <c r="Z338" s="1508"/>
    </row>
    <row r="339" spans="2:45" s="593" customFormat="1" ht="60" customHeight="1" x14ac:dyDescent="0.55000000000000004">
      <c r="B339" s="1496"/>
      <c r="C339" s="1497"/>
      <c r="D339" s="1498"/>
      <c r="E339" s="1502" t="s">
        <v>675</v>
      </c>
      <c r="F339" s="1490"/>
      <c r="G339" s="590"/>
      <c r="H339" s="1504"/>
      <c r="I339" s="1497"/>
      <c r="J339" s="1498"/>
      <c r="K339" s="590"/>
      <c r="L339" s="1504"/>
      <c r="M339" s="1497"/>
      <c r="N339" s="1498"/>
      <c r="O339" s="590"/>
      <c r="P339" s="1504"/>
      <c r="Q339" s="1497"/>
      <c r="R339" s="1498"/>
      <c r="S339" s="590"/>
      <c r="T339" s="1504"/>
      <c r="U339" s="1497"/>
      <c r="V339" s="1498"/>
      <c r="W339" s="590"/>
      <c r="X339" s="1504"/>
      <c r="Y339" s="1497"/>
      <c r="Z339" s="1508"/>
    </row>
    <row r="340" spans="2:45" s="593" customFormat="1" ht="60" customHeight="1" x14ac:dyDescent="0.55000000000000004">
      <c r="B340" s="1496"/>
      <c r="C340" s="1497"/>
      <c r="D340" s="1498"/>
      <c r="E340" s="1502" t="s">
        <v>757</v>
      </c>
      <c r="F340" s="1490"/>
      <c r="G340" s="590">
        <v>1530</v>
      </c>
      <c r="H340" s="1504"/>
      <c r="I340" s="1497"/>
      <c r="J340" s="1498"/>
      <c r="K340" s="590"/>
      <c r="L340" s="1504"/>
      <c r="M340" s="1497"/>
      <c r="N340" s="1498"/>
      <c r="O340" s="590"/>
      <c r="P340" s="1504"/>
      <c r="Q340" s="1497"/>
      <c r="R340" s="1498"/>
      <c r="S340" s="590"/>
      <c r="T340" s="1504"/>
      <c r="U340" s="1497"/>
      <c r="V340" s="1498"/>
      <c r="W340" s="590"/>
      <c r="X340" s="1504"/>
      <c r="Y340" s="1497"/>
      <c r="Z340" s="1508"/>
    </row>
    <row r="341" spans="2:45" s="593" customFormat="1" ht="60" customHeight="1" x14ac:dyDescent="0.55000000000000004">
      <c r="B341" s="1496"/>
      <c r="C341" s="1497"/>
      <c r="D341" s="1498"/>
      <c r="E341" s="1502" t="s">
        <v>758</v>
      </c>
      <c r="F341" s="1490"/>
      <c r="G341" s="590">
        <f>+G340/1000</f>
        <v>1.53</v>
      </c>
      <c r="H341" s="1504"/>
      <c r="I341" s="1497"/>
      <c r="J341" s="1498"/>
      <c r="K341" s="590"/>
      <c r="L341" s="1504"/>
      <c r="M341" s="1497"/>
      <c r="N341" s="1498"/>
      <c r="O341" s="590"/>
      <c r="P341" s="1504"/>
      <c r="Q341" s="1497"/>
      <c r="R341" s="1498"/>
      <c r="S341" s="590"/>
      <c r="T341" s="1504"/>
      <c r="U341" s="1497"/>
      <c r="V341" s="1498"/>
      <c r="W341" s="590"/>
      <c r="X341" s="1504"/>
      <c r="Y341" s="1497"/>
      <c r="Z341" s="1508"/>
    </row>
    <row r="342" spans="2:45" s="593" customFormat="1" ht="60" customHeight="1" x14ac:dyDescent="0.6">
      <c r="B342" s="1496"/>
      <c r="C342" s="1497"/>
      <c r="D342" s="1498"/>
      <c r="E342" s="1502" t="s">
        <v>678</v>
      </c>
      <c r="F342" s="1490"/>
      <c r="G342" s="590"/>
      <c r="H342" s="1504"/>
      <c r="I342" s="1497"/>
      <c r="J342" s="1498"/>
      <c r="K342" s="590"/>
      <c r="L342" s="1504"/>
      <c r="M342" s="1497"/>
      <c r="N342" s="1498"/>
      <c r="O342" s="594"/>
      <c r="P342" s="1504"/>
      <c r="Q342" s="1497"/>
      <c r="R342" s="1498"/>
      <c r="S342" s="590"/>
      <c r="T342" s="1504"/>
      <c r="U342" s="1497"/>
      <c r="V342" s="1498"/>
      <c r="W342" s="590"/>
      <c r="X342" s="1504"/>
      <c r="Y342" s="1497"/>
      <c r="Z342" s="1508"/>
    </row>
    <row r="343" spans="2:45" s="593" customFormat="1" ht="60" customHeight="1" x14ac:dyDescent="0.55000000000000004">
      <c r="B343" s="1496"/>
      <c r="C343" s="1497"/>
      <c r="D343" s="1498"/>
      <c r="E343" s="1502" t="s">
        <v>1452</v>
      </c>
      <c r="F343" s="1490"/>
      <c r="G343" s="590"/>
      <c r="H343" s="1504"/>
      <c r="I343" s="1497"/>
      <c r="J343" s="1498"/>
      <c r="K343" s="590"/>
      <c r="L343" s="1504"/>
      <c r="M343" s="1497"/>
      <c r="N343" s="1498"/>
      <c r="O343" s="590"/>
      <c r="P343" s="1504"/>
      <c r="Q343" s="1497"/>
      <c r="R343" s="1498"/>
      <c r="S343" s="590"/>
      <c r="T343" s="1504"/>
      <c r="U343" s="1497"/>
      <c r="V343" s="1498"/>
      <c r="W343" s="591"/>
      <c r="X343" s="1504"/>
      <c r="Y343" s="1497"/>
      <c r="Z343" s="1508"/>
    </row>
    <row r="344" spans="2:45" s="593" customFormat="1" ht="60" customHeight="1" x14ac:dyDescent="0.55000000000000004">
      <c r="B344" s="1499"/>
      <c r="C344" s="1500"/>
      <c r="D344" s="1501"/>
      <c r="E344" s="1502" t="s">
        <v>1453</v>
      </c>
      <c r="F344" s="1490"/>
      <c r="G344" s="590"/>
      <c r="H344" s="1505"/>
      <c r="I344" s="1500"/>
      <c r="J344" s="1501"/>
      <c r="K344" s="590"/>
      <c r="L344" s="1505"/>
      <c r="M344" s="1500"/>
      <c r="N344" s="1501"/>
      <c r="O344" s="590"/>
      <c r="P344" s="1505"/>
      <c r="Q344" s="1500"/>
      <c r="R344" s="1501"/>
      <c r="S344" s="590"/>
      <c r="T344" s="1505"/>
      <c r="U344" s="1500"/>
      <c r="V344" s="1501"/>
      <c r="W344" s="590"/>
      <c r="X344" s="1505"/>
      <c r="Y344" s="1500"/>
      <c r="Z344" s="1509"/>
    </row>
    <row r="345" spans="2:45" s="593" customFormat="1" ht="60" customHeight="1" x14ac:dyDescent="0.55000000000000004">
      <c r="B345" s="596"/>
      <c r="C345" s="597"/>
      <c r="D345" s="598"/>
      <c r="E345" s="597"/>
      <c r="F345" s="597"/>
      <c r="G345" s="597"/>
      <c r="H345" s="597"/>
      <c r="I345" s="597"/>
      <c r="J345" s="597"/>
      <c r="K345" s="597"/>
      <c r="L345" s="597"/>
      <c r="M345" s="597"/>
      <c r="N345" s="597"/>
      <c r="O345" s="597"/>
      <c r="P345" s="597"/>
      <c r="Q345" s="597"/>
      <c r="R345" s="597"/>
      <c r="S345" s="597"/>
      <c r="T345" s="597"/>
      <c r="U345" s="597"/>
      <c r="V345" s="597"/>
      <c r="W345" s="597"/>
      <c r="X345" s="597"/>
      <c r="Y345" s="597"/>
      <c r="Z345" s="599"/>
      <c r="AA345" s="600"/>
      <c r="AB345" s="600"/>
      <c r="AC345" s="600"/>
      <c r="AD345" s="600"/>
      <c r="AE345" s="600"/>
      <c r="AF345" s="600"/>
      <c r="AG345" s="600"/>
      <c r="AH345" s="600"/>
      <c r="AI345" s="600"/>
      <c r="AJ345" s="600"/>
      <c r="AK345" s="600"/>
      <c r="AL345" s="600"/>
      <c r="AM345" s="600"/>
      <c r="AN345" s="600"/>
      <c r="AO345" s="600"/>
      <c r="AP345" s="600"/>
      <c r="AQ345" s="600"/>
      <c r="AR345" s="600"/>
      <c r="AS345" s="600"/>
    </row>
    <row r="346" spans="2:45" s="593" customFormat="1" ht="60" customHeight="1" x14ac:dyDescent="0.55000000000000004">
      <c r="B346" s="1514" t="s">
        <v>38</v>
      </c>
      <c r="C346" s="1490"/>
      <c r="D346" s="601" t="s">
        <v>415</v>
      </c>
      <c r="E346" s="1512" t="s">
        <v>673</v>
      </c>
      <c r="F346" s="1501"/>
      <c r="G346" s="1487" t="s">
        <v>1362</v>
      </c>
      <c r="H346" s="1491"/>
      <c r="I346" s="1489" t="s">
        <v>1229</v>
      </c>
      <c r="J346" s="1490"/>
      <c r="K346" s="1487" t="s">
        <v>1363</v>
      </c>
      <c r="L346" s="1491"/>
      <c r="M346" s="1489" t="s">
        <v>1216</v>
      </c>
      <c r="N346" s="1490"/>
      <c r="O346" s="1487" t="s">
        <v>1364</v>
      </c>
      <c r="P346" s="1491"/>
      <c r="Q346" s="1489" t="s">
        <v>1216</v>
      </c>
      <c r="R346" s="1490"/>
      <c r="S346" s="1487" t="s">
        <v>1365</v>
      </c>
      <c r="T346" s="1491"/>
      <c r="U346" s="1489" t="s">
        <v>1216</v>
      </c>
      <c r="V346" s="1490"/>
      <c r="W346" s="1487" t="s">
        <v>1366</v>
      </c>
      <c r="X346" s="1491"/>
      <c r="Y346" s="1489" t="s">
        <v>1216</v>
      </c>
      <c r="Z346" s="1492"/>
      <c r="AA346" s="600"/>
      <c r="AB346" s="600"/>
      <c r="AC346" s="600"/>
      <c r="AD346" s="600"/>
      <c r="AE346" s="600"/>
      <c r="AF346" s="600"/>
      <c r="AG346" s="600"/>
      <c r="AH346" s="600"/>
      <c r="AI346" s="600"/>
      <c r="AJ346" s="600"/>
      <c r="AK346" s="600"/>
      <c r="AL346" s="600"/>
      <c r="AM346" s="600"/>
      <c r="AN346" s="600"/>
      <c r="AO346" s="600"/>
      <c r="AP346" s="600"/>
      <c r="AQ346" s="600"/>
      <c r="AR346" s="600"/>
      <c r="AS346" s="600"/>
    </row>
    <row r="347" spans="2:45" s="593" customFormat="1" ht="60" customHeight="1" x14ac:dyDescent="0.55000000000000004">
      <c r="B347" s="1493" t="s">
        <v>1412</v>
      </c>
      <c r="C347" s="1494"/>
      <c r="D347" s="1495"/>
      <c r="E347" s="1502" t="s">
        <v>201</v>
      </c>
      <c r="F347" s="1490"/>
      <c r="G347" s="588"/>
      <c r="H347" s="1503" t="s">
        <v>695</v>
      </c>
      <c r="I347" s="1494"/>
      <c r="J347" s="1495"/>
      <c r="K347" s="588">
        <f>+K349*K348*K352</f>
        <v>198.28799999999998</v>
      </c>
      <c r="L347" s="1506"/>
      <c r="M347" s="1494"/>
      <c r="N347" s="1495"/>
      <c r="O347" s="588">
        <f>+O349*O348*O352</f>
        <v>115.36200000000001</v>
      </c>
      <c r="P347" s="1506"/>
      <c r="Q347" s="1494"/>
      <c r="R347" s="1495"/>
      <c r="S347" s="588"/>
      <c r="T347" s="1503" t="s">
        <v>695</v>
      </c>
      <c r="U347" s="1494"/>
      <c r="V347" s="1495"/>
      <c r="W347" s="602"/>
      <c r="X347" s="1503" t="s">
        <v>695</v>
      </c>
      <c r="Y347" s="1494"/>
      <c r="Z347" s="1507"/>
      <c r="AA347" s="600"/>
      <c r="AB347" s="600"/>
      <c r="AC347" s="600"/>
      <c r="AD347" s="600"/>
      <c r="AE347" s="600"/>
      <c r="AF347" s="600"/>
      <c r="AG347" s="600"/>
      <c r="AH347" s="600"/>
      <c r="AI347" s="600"/>
      <c r="AJ347" s="600"/>
      <c r="AK347" s="600"/>
      <c r="AL347" s="600"/>
      <c r="AM347" s="600"/>
      <c r="AN347" s="600"/>
      <c r="AO347" s="600"/>
      <c r="AP347" s="600"/>
      <c r="AQ347" s="600"/>
      <c r="AR347" s="600"/>
      <c r="AS347" s="600"/>
    </row>
    <row r="348" spans="2:45" s="593" customFormat="1" ht="60" customHeight="1" x14ac:dyDescent="0.55000000000000004">
      <c r="B348" s="1496"/>
      <c r="C348" s="1497"/>
      <c r="D348" s="1498"/>
      <c r="E348" s="1502" t="s">
        <v>132</v>
      </c>
      <c r="F348" s="1490"/>
      <c r="G348" s="590"/>
      <c r="H348" s="1504"/>
      <c r="I348" s="1497"/>
      <c r="J348" s="1498"/>
      <c r="K348" s="590">
        <v>2</v>
      </c>
      <c r="L348" s="1504"/>
      <c r="M348" s="1497"/>
      <c r="N348" s="1498"/>
      <c r="O348" s="590">
        <v>2</v>
      </c>
      <c r="P348" s="1504"/>
      <c r="Q348" s="1497"/>
      <c r="R348" s="1498"/>
      <c r="S348" s="590"/>
      <c r="T348" s="1504"/>
      <c r="U348" s="1497"/>
      <c r="V348" s="1498"/>
      <c r="W348" s="590"/>
      <c r="X348" s="1504"/>
      <c r="Y348" s="1497"/>
      <c r="Z348" s="1508"/>
      <c r="AA348" s="600"/>
      <c r="AB348" s="600"/>
      <c r="AC348" s="600"/>
      <c r="AD348" s="600"/>
      <c r="AE348" s="600"/>
      <c r="AF348" s="600"/>
      <c r="AG348" s="600"/>
      <c r="AH348" s="600"/>
      <c r="AI348" s="600"/>
      <c r="AJ348" s="600"/>
      <c r="AK348" s="600"/>
      <c r="AL348" s="600"/>
      <c r="AM348" s="600"/>
      <c r="AN348" s="600"/>
      <c r="AO348" s="600"/>
      <c r="AP348" s="600"/>
      <c r="AQ348" s="600"/>
      <c r="AR348" s="600"/>
      <c r="AS348" s="600"/>
    </row>
    <row r="349" spans="2:45" s="593" customFormat="1" ht="60" customHeight="1" x14ac:dyDescent="0.55000000000000004">
      <c r="B349" s="1496"/>
      <c r="C349" s="1497"/>
      <c r="D349" s="1498"/>
      <c r="E349" s="1502" t="s">
        <v>674</v>
      </c>
      <c r="F349" s="1490"/>
      <c r="G349" s="590"/>
      <c r="H349" s="1504"/>
      <c r="I349" s="1497"/>
      <c r="J349" s="1498"/>
      <c r="K349" s="590">
        <f>50.5+7.15+7.15</f>
        <v>64.8</v>
      </c>
      <c r="L349" s="1504"/>
      <c r="M349" s="1497"/>
      <c r="N349" s="1498"/>
      <c r="O349" s="590">
        <f>25.5+6.1+6.1</f>
        <v>37.700000000000003</v>
      </c>
      <c r="P349" s="1504"/>
      <c r="Q349" s="1497"/>
      <c r="R349" s="1498"/>
      <c r="S349" s="590"/>
      <c r="T349" s="1504"/>
      <c r="U349" s="1497"/>
      <c r="V349" s="1498"/>
      <c r="W349" s="590"/>
      <c r="X349" s="1504"/>
      <c r="Y349" s="1497"/>
      <c r="Z349" s="1508"/>
      <c r="AA349" s="600"/>
      <c r="AB349" s="600"/>
      <c r="AC349" s="600"/>
      <c r="AD349" s="600"/>
      <c r="AE349" s="600"/>
      <c r="AF349" s="600"/>
      <c r="AG349" s="600"/>
      <c r="AH349" s="600"/>
      <c r="AI349" s="600"/>
      <c r="AJ349" s="600"/>
      <c r="AK349" s="600"/>
      <c r="AL349" s="600"/>
      <c r="AM349" s="600"/>
      <c r="AN349" s="600"/>
      <c r="AO349" s="600"/>
      <c r="AP349" s="600"/>
      <c r="AQ349" s="600"/>
      <c r="AR349" s="600"/>
      <c r="AS349" s="600"/>
    </row>
    <row r="350" spans="2:45" s="593" customFormat="1" ht="60" customHeight="1" x14ac:dyDescent="0.55000000000000004">
      <c r="B350" s="1496"/>
      <c r="C350" s="1497"/>
      <c r="D350" s="1498"/>
      <c r="E350" s="1502" t="s">
        <v>675</v>
      </c>
      <c r="F350" s="1490"/>
      <c r="G350" s="590"/>
      <c r="H350" s="1504"/>
      <c r="I350" s="1497"/>
      <c r="J350" s="1498"/>
      <c r="K350" s="590"/>
      <c r="L350" s="1504"/>
      <c r="M350" s="1497"/>
      <c r="N350" s="1498"/>
      <c r="O350" s="590"/>
      <c r="P350" s="1504"/>
      <c r="Q350" s="1497"/>
      <c r="R350" s="1498"/>
      <c r="S350" s="590"/>
      <c r="T350" s="1504"/>
      <c r="U350" s="1497"/>
      <c r="V350" s="1498"/>
      <c r="W350" s="590"/>
      <c r="X350" s="1504"/>
      <c r="Y350" s="1497"/>
      <c r="Z350" s="1508"/>
      <c r="AA350" s="600"/>
      <c r="AB350" s="600"/>
      <c r="AC350" s="600"/>
      <c r="AD350" s="600"/>
      <c r="AE350" s="600"/>
      <c r="AF350" s="600"/>
      <c r="AG350" s="600"/>
      <c r="AH350" s="600"/>
      <c r="AI350" s="600"/>
      <c r="AJ350" s="600"/>
      <c r="AK350" s="600"/>
      <c r="AL350" s="600"/>
      <c r="AM350" s="600"/>
      <c r="AN350" s="600"/>
      <c r="AO350" s="600"/>
      <c r="AP350" s="600"/>
      <c r="AQ350" s="600"/>
      <c r="AR350" s="600"/>
      <c r="AS350" s="600"/>
    </row>
    <row r="351" spans="2:45" s="593" customFormat="1" ht="60" customHeight="1" x14ac:dyDescent="0.55000000000000004">
      <c r="B351" s="1496"/>
      <c r="C351" s="1497"/>
      <c r="D351" s="1498"/>
      <c r="E351" s="1502" t="s">
        <v>757</v>
      </c>
      <c r="F351" s="1490"/>
      <c r="G351" s="590"/>
      <c r="H351" s="1504"/>
      <c r="I351" s="1497"/>
      <c r="J351" s="1498"/>
      <c r="K351" s="590">
        <v>1530</v>
      </c>
      <c r="L351" s="1504"/>
      <c r="M351" s="1497"/>
      <c r="N351" s="1498"/>
      <c r="O351" s="590">
        <v>1530</v>
      </c>
      <c r="P351" s="1504"/>
      <c r="Q351" s="1497"/>
      <c r="R351" s="1498"/>
      <c r="S351" s="590"/>
      <c r="T351" s="1504"/>
      <c r="U351" s="1497"/>
      <c r="V351" s="1498"/>
      <c r="W351" s="590"/>
      <c r="X351" s="1504"/>
      <c r="Y351" s="1497"/>
      <c r="Z351" s="1508"/>
      <c r="AA351" s="600"/>
      <c r="AB351" s="600"/>
      <c r="AC351" s="600"/>
      <c r="AD351" s="600"/>
      <c r="AE351" s="600"/>
      <c r="AF351" s="600"/>
      <c r="AG351" s="600"/>
      <c r="AH351" s="600"/>
      <c r="AI351" s="600"/>
      <c r="AJ351" s="600"/>
      <c r="AK351" s="600"/>
      <c r="AL351" s="600"/>
      <c r="AM351" s="600"/>
      <c r="AN351" s="600"/>
      <c r="AO351" s="600"/>
      <c r="AP351" s="600"/>
      <c r="AQ351" s="600"/>
      <c r="AR351" s="600"/>
      <c r="AS351" s="600"/>
    </row>
    <row r="352" spans="2:45" s="593" customFormat="1" ht="60" customHeight="1" x14ac:dyDescent="0.55000000000000004">
      <c r="B352" s="1496"/>
      <c r="C352" s="1497"/>
      <c r="D352" s="1498"/>
      <c r="E352" s="1502" t="s">
        <v>758</v>
      </c>
      <c r="F352" s="1490"/>
      <c r="G352" s="590"/>
      <c r="H352" s="1504"/>
      <c r="I352" s="1497"/>
      <c r="J352" s="1498"/>
      <c r="K352" s="590">
        <f>+K351/1000</f>
        <v>1.53</v>
      </c>
      <c r="L352" s="1504"/>
      <c r="M352" s="1497"/>
      <c r="N352" s="1498"/>
      <c r="O352" s="590">
        <f>+O351/1000</f>
        <v>1.53</v>
      </c>
      <c r="P352" s="1504"/>
      <c r="Q352" s="1497"/>
      <c r="R352" s="1498"/>
      <c r="S352" s="590"/>
      <c r="T352" s="1504"/>
      <c r="U352" s="1497"/>
      <c r="V352" s="1498"/>
      <c r="W352" s="590"/>
      <c r="X352" s="1504"/>
      <c r="Y352" s="1497"/>
      <c r="Z352" s="1508"/>
      <c r="AA352" s="600"/>
      <c r="AB352" s="600"/>
      <c r="AC352" s="600"/>
      <c r="AD352" s="600"/>
      <c r="AE352" s="600"/>
      <c r="AF352" s="600"/>
      <c r="AG352" s="600"/>
      <c r="AH352" s="600"/>
      <c r="AI352" s="600"/>
      <c r="AJ352" s="600"/>
      <c r="AK352" s="600"/>
      <c r="AL352" s="600"/>
      <c r="AM352" s="600"/>
      <c r="AN352" s="600"/>
      <c r="AO352" s="600"/>
      <c r="AP352" s="600"/>
      <c r="AQ352" s="600"/>
      <c r="AR352" s="600"/>
      <c r="AS352" s="600"/>
    </row>
    <row r="353" spans="2:45" s="593" customFormat="1" ht="60" customHeight="1" x14ac:dyDescent="0.55000000000000004">
      <c r="B353" s="1496"/>
      <c r="C353" s="1497"/>
      <c r="D353" s="1498"/>
      <c r="E353" s="1502" t="s">
        <v>678</v>
      </c>
      <c r="F353" s="1490"/>
      <c r="G353" s="590"/>
      <c r="H353" s="1504"/>
      <c r="I353" s="1497"/>
      <c r="J353" s="1498"/>
      <c r="K353" s="590"/>
      <c r="L353" s="1504"/>
      <c r="M353" s="1497"/>
      <c r="N353" s="1498"/>
      <c r="O353" s="590"/>
      <c r="P353" s="1504"/>
      <c r="Q353" s="1497"/>
      <c r="R353" s="1498"/>
      <c r="S353" s="590"/>
      <c r="T353" s="1504"/>
      <c r="U353" s="1497"/>
      <c r="V353" s="1498"/>
      <c r="W353" s="590"/>
      <c r="X353" s="1504"/>
      <c r="Y353" s="1497"/>
      <c r="Z353" s="1508"/>
      <c r="AA353" s="600"/>
      <c r="AB353" s="600"/>
      <c r="AC353" s="600"/>
      <c r="AD353" s="600"/>
      <c r="AE353" s="600"/>
      <c r="AF353" s="600"/>
      <c r="AG353" s="600"/>
      <c r="AH353" s="600"/>
      <c r="AI353" s="600"/>
      <c r="AJ353" s="600"/>
      <c r="AK353" s="600"/>
      <c r="AL353" s="600"/>
      <c r="AM353" s="600"/>
      <c r="AN353" s="600"/>
      <c r="AO353" s="600"/>
      <c r="AP353" s="600"/>
      <c r="AQ353" s="600"/>
      <c r="AR353" s="600"/>
      <c r="AS353" s="600"/>
    </row>
    <row r="354" spans="2:45" s="593" customFormat="1" ht="60" customHeight="1" x14ac:dyDescent="0.55000000000000004">
      <c r="B354" s="1496"/>
      <c r="C354" s="1497"/>
      <c r="D354" s="1498"/>
      <c r="E354" s="1502" t="s">
        <v>1452</v>
      </c>
      <c r="F354" s="1490"/>
      <c r="G354" s="590"/>
      <c r="H354" s="1504"/>
      <c r="I354" s="1497"/>
      <c r="J354" s="1498"/>
      <c r="K354" s="590"/>
      <c r="L354" s="1504"/>
      <c r="M354" s="1497"/>
      <c r="N354" s="1498"/>
      <c r="O354" s="590"/>
      <c r="P354" s="1504"/>
      <c r="Q354" s="1497"/>
      <c r="R354" s="1498"/>
      <c r="S354" s="590"/>
      <c r="T354" s="1504"/>
      <c r="U354" s="1497"/>
      <c r="V354" s="1498"/>
      <c r="W354" s="591"/>
      <c r="X354" s="1504"/>
      <c r="Y354" s="1497"/>
      <c r="Z354" s="1508"/>
      <c r="AA354" s="600"/>
      <c r="AB354" s="600"/>
      <c r="AC354" s="600"/>
      <c r="AD354" s="600"/>
      <c r="AE354" s="600"/>
      <c r="AF354" s="600"/>
      <c r="AG354" s="600"/>
      <c r="AH354" s="600"/>
      <c r="AI354" s="600"/>
      <c r="AJ354" s="600"/>
      <c r="AK354" s="600"/>
      <c r="AL354" s="600"/>
      <c r="AM354" s="600"/>
      <c r="AN354" s="600"/>
      <c r="AO354" s="600"/>
      <c r="AP354" s="600"/>
      <c r="AQ354" s="600"/>
      <c r="AR354" s="600"/>
      <c r="AS354" s="600"/>
    </row>
    <row r="355" spans="2:45" s="593" customFormat="1" ht="60" customHeight="1" x14ac:dyDescent="0.55000000000000004">
      <c r="B355" s="1499"/>
      <c r="C355" s="1500"/>
      <c r="D355" s="1501"/>
      <c r="E355" s="1502" t="s">
        <v>1453</v>
      </c>
      <c r="F355" s="1490"/>
      <c r="G355" s="590"/>
      <c r="H355" s="1505"/>
      <c r="I355" s="1500"/>
      <c r="J355" s="1501"/>
      <c r="K355" s="590"/>
      <c r="L355" s="1505"/>
      <c r="M355" s="1500"/>
      <c r="N355" s="1501"/>
      <c r="O355" s="590"/>
      <c r="P355" s="1505"/>
      <c r="Q355" s="1500"/>
      <c r="R355" s="1501"/>
      <c r="S355" s="590"/>
      <c r="T355" s="1505"/>
      <c r="U355" s="1500"/>
      <c r="V355" s="1501"/>
      <c r="W355" s="590"/>
      <c r="X355" s="1505"/>
      <c r="Y355" s="1500"/>
      <c r="Z355" s="1509"/>
      <c r="AA355" s="600"/>
      <c r="AB355" s="600"/>
      <c r="AC355" s="600"/>
      <c r="AD355" s="600"/>
      <c r="AE355" s="600"/>
      <c r="AF355" s="600"/>
      <c r="AG355" s="600"/>
      <c r="AH355" s="600"/>
      <c r="AI355" s="600"/>
      <c r="AJ355" s="600"/>
      <c r="AK355" s="600"/>
      <c r="AL355" s="600"/>
      <c r="AM355" s="600"/>
      <c r="AN355" s="600"/>
      <c r="AO355" s="600"/>
      <c r="AP355" s="600"/>
      <c r="AQ355" s="600"/>
      <c r="AR355" s="600"/>
      <c r="AS355" s="600"/>
    </row>
    <row r="356" spans="2:45" s="593" customFormat="1" ht="60" customHeight="1" x14ac:dyDescent="0.55000000000000004">
      <c r="B356" s="583"/>
      <c r="C356" s="584"/>
      <c r="D356" s="592"/>
      <c r="E356" s="584"/>
      <c r="F356" s="584"/>
      <c r="G356" s="584"/>
      <c r="H356" s="584"/>
      <c r="I356" s="584"/>
      <c r="J356" s="584"/>
      <c r="K356" s="584"/>
      <c r="L356" s="584"/>
      <c r="M356" s="584"/>
      <c r="N356" s="584"/>
      <c r="O356" s="584"/>
      <c r="P356" s="584"/>
      <c r="Q356" s="584"/>
      <c r="R356" s="584"/>
      <c r="S356" s="584"/>
      <c r="T356" s="584"/>
      <c r="U356" s="584"/>
      <c r="V356" s="584"/>
      <c r="W356" s="584"/>
      <c r="X356" s="584"/>
      <c r="Y356" s="584"/>
      <c r="Z356" s="585"/>
    </row>
    <row r="357" spans="2:45" s="593" customFormat="1" ht="60" customHeight="1" x14ac:dyDescent="0.55000000000000004">
      <c r="B357" s="1510" t="s">
        <v>38</v>
      </c>
      <c r="C357" s="1511"/>
      <c r="D357" s="586" t="s">
        <v>415</v>
      </c>
      <c r="E357" s="1512" t="s">
        <v>673</v>
      </c>
      <c r="F357" s="1501"/>
      <c r="G357" s="1487" t="s">
        <v>1362</v>
      </c>
      <c r="H357" s="1488"/>
      <c r="I357" s="1485" t="s">
        <v>1230</v>
      </c>
      <c r="J357" s="1486"/>
      <c r="K357" s="1487" t="s">
        <v>1363</v>
      </c>
      <c r="L357" s="1488"/>
      <c r="M357" s="1485" t="s">
        <v>1216</v>
      </c>
      <c r="N357" s="1486"/>
      <c r="O357" s="1487" t="s">
        <v>1364</v>
      </c>
      <c r="P357" s="1488"/>
      <c r="Q357" s="1485" t="s">
        <v>1216</v>
      </c>
      <c r="R357" s="1486"/>
      <c r="S357" s="1487" t="s">
        <v>1365</v>
      </c>
      <c r="T357" s="1488"/>
      <c r="U357" s="1485" t="s">
        <v>1216</v>
      </c>
      <c r="V357" s="1486"/>
      <c r="W357" s="1487" t="s">
        <v>1366</v>
      </c>
      <c r="X357" s="1488"/>
      <c r="Y357" s="1485" t="s">
        <v>1216</v>
      </c>
      <c r="Z357" s="1513"/>
    </row>
    <row r="358" spans="2:45" s="593" customFormat="1" ht="60" customHeight="1" x14ac:dyDescent="0.55000000000000004">
      <c r="B358" s="1493" t="s">
        <v>759</v>
      </c>
      <c r="C358" s="1494"/>
      <c r="D358" s="1495"/>
      <c r="E358" s="1502" t="s">
        <v>201</v>
      </c>
      <c r="F358" s="1490"/>
      <c r="G358" s="587">
        <f>+G360*G359*G363</f>
        <v>194.04</v>
      </c>
      <c r="H358" s="1506"/>
      <c r="I358" s="1494"/>
      <c r="J358" s="1495"/>
      <c r="K358" s="588">
        <f>+K360*K359*K363</f>
        <v>98</v>
      </c>
      <c r="L358" s="1503"/>
      <c r="M358" s="1494"/>
      <c r="N358" s="1495"/>
      <c r="O358" s="588">
        <f>+O360*O359*O363</f>
        <v>49</v>
      </c>
      <c r="P358" s="1503"/>
      <c r="Q358" s="1494"/>
      <c r="R358" s="1495"/>
      <c r="S358" s="587"/>
      <c r="T358" s="1503" t="s">
        <v>695</v>
      </c>
      <c r="U358" s="1494"/>
      <c r="V358" s="1495"/>
      <c r="W358" s="589"/>
      <c r="X358" s="1503" t="s">
        <v>695</v>
      </c>
      <c r="Y358" s="1494"/>
      <c r="Z358" s="1507"/>
    </row>
    <row r="359" spans="2:45" s="593" customFormat="1" ht="60" customHeight="1" x14ac:dyDescent="0.55000000000000004">
      <c r="B359" s="1496"/>
      <c r="C359" s="1497"/>
      <c r="D359" s="1498"/>
      <c r="E359" s="1502" t="s">
        <v>132</v>
      </c>
      <c r="F359" s="1490"/>
      <c r="G359" s="590">
        <v>2</v>
      </c>
      <c r="H359" s="1504"/>
      <c r="I359" s="1497"/>
      <c r="J359" s="1498"/>
      <c r="K359" s="590">
        <v>2</v>
      </c>
      <c r="L359" s="1504"/>
      <c r="M359" s="1497"/>
      <c r="N359" s="1498"/>
      <c r="O359" s="590">
        <v>2</v>
      </c>
      <c r="P359" s="1504"/>
      <c r="Q359" s="1497"/>
      <c r="R359" s="1498"/>
      <c r="S359" s="590"/>
      <c r="T359" s="1504"/>
      <c r="U359" s="1497"/>
      <c r="V359" s="1498"/>
      <c r="W359" s="590"/>
      <c r="X359" s="1504"/>
      <c r="Y359" s="1497"/>
      <c r="Z359" s="1508"/>
    </row>
    <row r="360" spans="2:45" s="593" customFormat="1" ht="60" customHeight="1" x14ac:dyDescent="0.55000000000000004">
      <c r="B360" s="1496"/>
      <c r="C360" s="1497"/>
      <c r="D360" s="1498"/>
      <c r="E360" s="1502" t="s">
        <v>674</v>
      </c>
      <c r="F360" s="1490"/>
      <c r="G360" s="590">
        <v>99</v>
      </c>
      <c r="H360" s="1504"/>
      <c r="I360" s="1497"/>
      <c r="J360" s="1498"/>
      <c r="K360" s="590">
        <v>50</v>
      </c>
      <c r="L360" s="1504"/>
      <c r="M360" s="1497"/>
      <c r="N360" s="1498"/>
      <c r="O360" s="590">
        <v>25</v>
      </c>
      <c r="P360" s="1504"/>
      <c r="Q360" s="1497"/>
      <c r="R360" s="1498"/>
      <c r="S360" s="590"/>
      <c r="T360" s="1504"/>
      <c r="U360" s="1497"/>
      <c r="V360" s="1498"/>
      <c r="W360" s="590"/>
      <c r="X360" s="1504"/>
      <c r="Y360" s="1497"/>
      <c r="Z360" s="1508"/>
    </row>
    <row r="361" spans="2:45" s="593" customFormat="1" ht="60" customHeight="1" x14ac:dyDescent="0.55000000000000004">
      <c r="B361" s="1496"/>
      <c r="C361" s="1497"/>
      <c r="D361" s="1498"/>
      <c r="E361" s="1502" t="s">
        <v>675</v>
      </c>
      <c r="F361" s="1490"/>
      <c r="G361" s="590"/>
      <c r="H361" s="1504"/>
      <c r="I361" s="1497"/>
      <c r="J361" s="1498"/>
      <c r="K361" s="590"/>
      <c r="L361" s="1504"/>
      <c r="M361" s="1497"/>
      <c r="N361" s="1498"/>
      <c r="O361" s="590"/>
      <c r="P361" s="1504"/>
      <c r="Q361" s="1497"/>
      <c r="R361" s="1498"/>
      <c r="S361" s="590"/>
      <c r="T361" s="1504"/>
      <c r="U361" s="1497"/>
      <c r="V361" s="1498"/>
      <c r="W361" s="590"/>
      <c r="X361" s="1504"/>
      <c r="Y361" s="1497"/>
      <c r="Z361" s="1508"/>
    </row>
    <row r="362" spans="2:45" s="593" customFormat="1" ht="60" customHeight="1" x14ac:dyDescent="0.55000000000000004">
      <c r="B362" s="1496"/>
      <c r="C362" s="1497"/>
      <c r="D362" s="1498"/>
      <c r="E362" s="1502" t="s">
        <v>757</v>
      </c>
      <c r="F362" s="1490"/>
      <c r="G362" s="590">
        <v>980</v>
      </c>
      <c r="H362" s="1504"/>
      <c r="I362" s="1497"/>
      <c r="J362" s="1498"/>
      <c r="K362" s="590">
        <v>980</v>
      </c>
      <c r="L362" s="1504"/>
      <c r="M362" s="1497"/>
      <c r="N362" s="1498"/>
      <c r="O362" s="590">
        <v>980</v>
      </c>
      <c r="P362" s="1504"/>
      <c r="Q362" s="1497"/>
      <c r="R362" s="1498"/>
      <c r="S362" s="590"/>
      <c r="T362" s="1504"/>
      <c r="U362" s="1497"/>
      <c r="V362" s="1498"/>
      <c r="W362" s="590"/>
      <c r="X362" s="1504"/>
      <c r="Y362" s="1497"/>
      <c r="Z362" s="1508"/>
    </row>
    <row r="363" spans="2:45" s="593" customFormat="1" ht="60" customHeight="1" x14ac:dyDescent="0.55000000000000004">
      <c r="B363" s="1496"/>
      <c r="C363" s="1497"/>
      <c r="D363" s="1498"/>
      <c r="E363" s="1502" t="s">
        <v>758</v>
      </c>
      <c r="F363" s="1490"/>
      <c r="G363" s="590">
        <f>+G362/1000</f>
        <v>0.98</v>
      </c>
      <c r="H363" s="1504"/>
      <c r="I363" s="1497"/>
      <c r="J363" s="1498"/>
      <c r="K363" s="590">
        <f>+K362/1000</f>
        <v>0.98</v>
      </c>
      <c r="L363" s="1504"/>
      <c r="M363" s="1497"/>
      <c r="N363" s="1498"/>
      <c r="O363" s="590">
        <f>+O362/1000</f>
        <v>0.98</v>
      </c>
      <c r="P363" s="1504"/>
      <c r="Q363" s="1497"/>
      <c r="R363" s="1498"/>
      <c r="S363" s="590"/>
      <c r="T363" s="1504"/>
      <c r="U363" s="1497"/>
      <c r="V363" s="1498"/>
      <c r="W363" s="590"/>
      <c r="X363" s="1504"/>
      <c r="Y363" s="1497"/>
      <c r="Z363" s="1508"/>
    </row>
    <row r="364" spans="2:45" s="593" customFormat="1" ht="60" customHeight="1" x14ac:dyDescent="0.55000000000000004">
      <c r="B364" s="1496"/>
      <c r="C364" s="1497"/>
      <c r="D364" s="1498"/>
      <c r="E364" s="1502" t="s">
        <v>678</v>
      </c>
      <c r="F364" s="1490"/>
      <c r="G364" s="590"/>
      <c r="H364" s="1504"/>
      <c r="I364" s="1497"/>
      <c r="J364" s="1498"/>
      <c r="K364" s="590"/>
      <c r="L364" s="1504"/>
      <c r="M364" s="1497"/>
      <c r="N364" s="1498"/>
      <c r="O364" s="590"/>
      <c r="P364" s="1504"/>
      <c r="Q364" s="1497"/>
      <c r="R364" s="1498"/>
      <c r="S364" s="590"/>
      <c r="T364" s="1504"/>
      <c r="U364" s="1497"/>
      <c r="V364" s="1498"/>
      <c r="W364" s="590"/>
      <c r="X364" s="1504"/>
      <c r="Y364" s="1497"/>
      <c r="Z364" s="1508"/>
    </row>
    <row r="365" spans="2:45" s="593" customFormat="1" ht="60" customHeight="1" x14ac:dyDescent="0.55000000000000004">
      <c r="B365" s="1496"/>
      <c r="C365" s="1497"/>
      <c r="D365" s="1498"/>
      <c r="E365" s="1502" t="s">
        <v>1452</v>
      </c>
      <c r="F365" s="1490"/>
      <c r="G365" s="590"/>
      <c r="H365" s="1504"/>
      <c r="I365" s="1497"/>
      <c r="J365" s="1498"/>
      <c r="K365" s="590"/>
      <c r="L365" s="1504"/>
      <c r="M365" s="1497"/>
      <c r="N365" s="1498"/>
      <c r="O365" s="590"/>
      <c r="P365" s="1504"/>
      <c r="Q365" s="1497"/>
      <c r="R365" s="1498"/>
      <c r="S365" s="590"/>
      <c r="T365" s="1504"/>
      <c r="U365" s="1497"/>
      <c r="V365" s="1498"/>
      <c r="W365" s="591"/>
      <c r="X365" s="1504"/>
      <c r="Y365" s="1497"/>
      <c r="Z365" s="1508"/>
    </row>
    <row r="366" spans="2:45" s="593" customFormat="1" ht="60" customHeight="1" x14ac:dyDescent="0.55000000000000004">
      <c r="B366" s="1499"/>
      <c r="C366" s="1500"/>
      <c r="D366" s="1501"/>
      <c r="E366" s="1502" t="s">
        <v>1453</v>
      </c>
      <c r="F366" s="1490"/>
      <c r="G366" s="590"/>
      <c r="H366" s="1505"/>
      <c r="I366" s="1500"/>
      <c r="J366" s="1501"/>
      <c r="K366" s="590"/>
      <c r="L366" s="1505"/>
      <c r="M366" s="1500"/>
      <c r="N366" s="1501"/>
      <c r="O366" s="590"/>
      <c r="P366" s="1505"/>
      <c r="Q366" s="1500"/>
      <c r="R366" s="1501"/>
      <c r="S366" s="590"/>
      <c r="T366" s="1505"/>
      <c r="U366" s="1500"/>
      <c r="V366" s="1501"/>
      <c r="W366" s="590"/>
      <c r="X366" s="1505"/>
      <c r="Y366" s="1500"/>
      <c r="Z366" s="1509"/>
    </row>
    <row r="367" spans="2:45" s="593" customFormat="1" ht="60" customHeight="1" x14ac:dyDescent="0.55000000000000004">
      <c r="B367" s="583"/>
      <c r="C367" s="584"/>
      <c r="D367" s="592"/>
      <c r="E367" s="584"/>
      <c r="F367" s="584"/>
      <c r="G367" s="584"/>
      <c r="H367" s="584"/>
      <c r="I367" s="584"/>
      <c r="J367" s="584"/>
      <c r="K367" s="584"/>
      <c r="L367" s="584"/>
      <c r="M367" s="584"/>
      <c r="N367" s="584"/>
      <c r="O367" s="584"/>
      <c r="P367" s="584"/>
      <c r="Q367" s="584"/>
      <c r="R367" s="584"/>
      <c r="S367" s="584"/>
      <c r="T367" s="584"/>
      <c r="U367" s="584"/>
      <c r="V367" s="584"/>
      <c r="W367" s="584"/>
      <c r="X367" s="584"/>
      <c r="Y367" s="584"/>
      <c r="Z367" s="585"/>
    </row>
    <row r="368" spans="2:45" s="593" customFormat="1" ht="60" customHeight="1" x14ac:dyDescent="0.55000000000000004">
      <c r="B368" s="1510" t="s">
        <v>38</v>
      </c>
      <c r="C368" s="1511"/>
      <c r="D368" s="586" t="s">
        <v>415</v>
      </c>
      <c r="E368" s="1512" t="s">
        <v>673</v>
      </c>
      <c r="F368" s="1501"/>
      <c r="G368" s="1487" t="s">
        <v>1362</v>
      </c>
      <c r="H368" s="1488"/>
      <c r="I368" s="1485" t="s">
        <v>1231</v>
      </c>
      <c r="J368" s="1486"/>
      <c r="K368" s="1487" t="s">
        <v>1363</v>
      </c>
      <c r="L368" s="1488"/>
      <c r="M368" s="1485" t="s">
        <v>1216</v>
      </c>
      <c r="N368" s="1486"/>
      <c r="O368" s="1487" t="s">
        <v>1364</v>
      </c>
      <c r="P368" s="1488"/>
      <c r="Q368" s="1485" t="s">
        <v>1216</v>
      </c>
      <c r="R368" s="1486"/>
      <c r="S368" s="1487" t="s">
        <v>1365</v>
      </c>
      <c r="T368" s="1488"/>
      <c r="U368" s="1485" t="s">
        <v>1216</v>
      </c>
      <c r="V368" s="1486"/>
      <c r="W368" s="1487" t="s">
        <v>1366</v>
      </c>
      <c r="X368" s="1488"/>
      <c r="Y368" s="1485" t="s">
        <v>1216</v>
      </c>
      <c r="Z368" s="1513"/>
    </row>
    <row r="369" spans="2:26" s="593" customFormat="1" ht="60" customHeight="1" x14ac:dyDescent="0.55000000000000004">
      <c r="B369" s="1493" t="s">
        <v>1385</v>
      </c>
      <c r="C369" s="1494"/>
      <c r="D369" s="1495"/>
      <c r="E369" s="1502" t="s">
        <v>201</v>
      </c>
      <c r="F369" s="1490"/>
      <c r="G369" s="603">
        <f>+G371*G370*G374</f>
        <v>200.89599999999999</v>
      </c>
      <c r="H369" s="1506"/>
      <c r="I369" s="1494"/>
      <c r="J369" s="1495"/>
      <c r="K369" s="603">
        <f>+K371*K370*K374</f>
        <v>65.36</v>
      </c>
      <c r="L369" s="1503"/>
      <c r="M369" s="1494"/>
      <c r="N369" s="1495"/>
      <c r="O369" s="603">
        <f>+O371*O370*O374</f>
        <v>27.52</v>
      </c>
      <c r="P369" s="1503"/>
      <c r="Q369" s="1494"/>
      <c r="R369" s="1495"/>
      <c r="S369" s="587"/>
      <c r="T369" s="1503" t="s">
        <v>695</v>
      </c>
      <c r="U369" s="1494"/>
      <c r="V369" s="1495"/>
      <c r="W369" s="589"/>
      <c r="X369" s="1503" t="s">
        <v>695</v>
      </c>
      <c r="Y369" s="1494"/>
      <c r="Z369" s="1507"/>
    </row>
    <row r="370" spans="2:26" s="593" customFormat="1" ht="60" customHeight="1" x14ac:dyDescent="0.55000000000000004">
      <c r="B370" s="1496"/>
      <c r="C370" s="1497"/>
      <c r="D370" s="1498"/>
      <c r="E370" s="1502" t="s">
        <v>132</v>
      </c>
      <c r="F370" s="1490"/>
      <c r="G370" s="590">
        <v>2</v>
      </c>
      <c r="H370" s="1504"/>
      <c r="I370" s="1497"/>
      <c r="J370" s="1498"/>
      <c r="K370" s="590">
        <v>2</v>
      </c>
      <c r="L370" s="1504"/>
      <c r="M370" s="1497"/>
      <c r="N370" s="1498"/>
      <c r="O370" s="590">
        <v>2</v>
      </c>
      <c r="P370" s="1504"/>
      <c r="Q370" s="1497"/>
      <c r="R370" s="1498"/>
      <c r="S370" s="590"/>
      <c r="T370" s="1504"/>
      <c r="U370" s="1497"/>
      <c r="V370" s="1498"/>
      <c r="W370" s="590"/>
      <c r="X370" s="1504"/>
      <c r="Y370" s="1497"/>
      <c r="Z370" s="1508"/>
    </row>
    <row r="371" spans="2:26" s="593" customFormat="1" ht="60" customHeight="1" x14ac:dyDescent="0.55000000000000004">
      <c r="B371" s="1496"/>
      <c r="C371" s="1497"/>
      <c r="D371" s="1498"/>
      <c r="E371" s="1502" t="s">
        <v>674</v>
      </c>
      <c r="F371" s="1490"/>
      <c r="G371" s="590">
        <v>116.8</v>
      </c>
      <c r="H371" s="1504"/>
      <c r="I371" s="1497"/>
      <c r="J371" s="1498"/>
      <c r="K371" s="590">
        <v>38</v>
      </c>
      <c r="L371" s="1504"/>
      <c r="M371" s="1497"/>
      <c r="N371" s="1498"/>
      <c r="O371" s="590">
        <v>16</v>
      </c>
      <c r="P371" s="1504"/>
      <c r="Q371" s="1497"/>
      <c r="R371" s="1498"/>
      <c r="S371" s="590"/>
      <c r="T371" s="1504"/>
      <c r="U371" s="1497"/>
      <c r="V371" s="1498"/>
      <c r="W371" s="590"/>
      <c r="X371" s="1504"/>
      <c r="Y371" s="1497"/>
      <c r="Z371" s="1508"/>
    </row>
    <row r="372" spans="2:26" s="593" customFormat="1" ht="60" customHeight="1" x14ac:dyDescent="0.55000000000000004">
      <c r="B372" s="1496"/>
      <c r="C372" s="1497"/>
      <c r="D372" s="1498"/>
      <c r="E372" s="1502" t="s">
        <v>675</v>
      </c>
      <c r="F372" s="1490"/>
      <c r="G372" s="590"/>
      <c r="H372" s="1504"/>
      <c r="I372" s="1497"/>
      <c r="J372" s="1498"/>
      <c r="K372" s="590"/>
      <c r="L372" s="1504"/>
      <c r="M372" s="1497"/>
      <c r="N372" s="1498"/>
      <c r="O372" s="590"/>
      <c r="P372" s="1504"/>
      <c r="Q372" s="1497"/>
      <c r="R372" s="1498"/>
      <c r="S372" s="590"/>
      <c r="T372" s="1504"/>
      <c r="U372" s="1497"/>
      <c r="V372" s="1498"/>
      <c r="W372" s="590"/>
      <c r="X372" s="1504"/>
      <c r="Y372" s="1497"/>
      <c r="Z372" s="1508"/>
    </row>
    <row r="373" spans="2:26" s="593" customFormat="1" ht="60" customHeight="1" x14ac:dyDescent="0.55000000000000004">
      <c r="B373" s="1496"/>
      <c r="C373" s="1497"/>
      <c r="D373" s="1498"/>
      <c r="E373" s="1502" t="s">
        <v>757</v>
      </c>
      <c r="F373" s="1490"/>
      <c r="G373" s="590">
        <v>860</v>
      </c>
      <c r="H373" s="1504"/>
      <c r="I373" s="1497"/>
      <c r="J373" s="1498"/>
      <c r="K373" s="590">
        <v>860</v>
      </c>
      <c r="L373" s="1504"/>
      <c r="M373" s="1497"/>
      <c r="N373" s="1498"/>
      <c r="O373" s="590">
        <v>860</v>
      </c>
      <c r="P373" s="1504"/>
      <c r="Q373" s="1497"/>
      <c r="R373" s="1498"/>
      <c r="S373" s="590"/>
      <c r="T373" s="1504"/>
      <c r="U373" s="1497"/>
      <c r="V373" s="1498"/>
      <c r="W373" s="590"/>
      <c r="X373" s="1504"/>
      <c r="Y373" s="1497"/>
      <c r="Z373" s="1508"/>
    </row>
    <row r="374" spans="2:26" s="593" customFormat="1" ht="60" customHeight="1" x14ac:dyDescent="0.55000000000000004">
      <c r="B374" s="1496"/>
      <c r="C374" s="1497"/>
      <c r="D374" s="1498"/>
      <c r="E374" s="1502" t="s">
        <v>758</v>
      </c>
      <c r="F374" s="1490"/>
      <c r="G374" s="590">
        <f>+G373/1000</f>
        <v>0.86</v>
      </c>
      <c r="H374" s="1504"/>
      <c r="I374" s="1497"/>
      <c r="J374" s="1498"/>
      <c r="K374" s="590">
        <f>+K373/1000</f>
        <v>0.86</v>
      </c>
      <c r="L374" s="1504"/>
      <c r="M374" s="1497"/>
      <c r="N374" s="1498"/>
      <c r="O374" s="590">
        <f>+O373/1000</f>
        <v>0.86</v>
      </c>
      <c r="P374" s="1504"/>
      <c r="Q374" s="1497"/>
      <c r="R374" s="1498"/>
      <c r="S374" s="590"/>
      <c r="T374" s="1504"/>
      <c r="U374" s="1497"/>
      <c r="V374" s="1498"/>
      <c r="W374" s="590"/>
      <c r="X374" s="1504"/>
      <c r="Y374" s="1497"/>
      <c r="Z374" s="1508"/>
    </row>
    <row r="375" spans="2:26" s="593" customFormat="1" ht="60" customHeight="1" x14ac:dyDescent="0.55000000000000004">
      <c r="B375" s="1496"/>
      <c r="C375" s="1497"/>
      <c r="D375" s="1498"/>
      <c r="E375" s="1502" t="s">
        <v>678</v>
      </c>
      <c r="F375" s="1490"/>
      <c r="G375" s="590"/>
      <c r="H375" s="1504"/>
      <c r="I375" s="1497"/>
      <c r="J375" s="1498"/>
      <c r="K375" s="590"/>
      <c r="L375" s="1504"/>
      <c r="M375" s="1497"/>
      <c r="N375" s="1498"/>
      <c r="O375" s="590"/>
      <c r="P375" s="1504"/>
      <c r="Q375" s="1497"/>
      <c r="R375" s="1498"/>
      <c r="S375" s="590"/>
      <c r="T375" s="1504"/>
      <c r="U375" s="1497"/>
      <c r="V375" s="1498"/>
      <c r="W375" s="590"/>
      <c r="X375" s="1504"/>
      <c r="Y375" s="1497"/>
      <c r="Z375" s="1508"/>
    </row>
    <row r="376" spans="2:26" s="593" customFormat="1" ht="60" customHeight="1" x14ac:dyDescent="0.55000000000000004">
      <c r="B376" s="1496"/>
      <c r="C376" s="1497"/>
      <c r="D376" s="1498"/>
      <c r="E376" s="1502" t="s">
        <v>1452</v>
      </c>
      <c r="F376" s="1490"/>
      <c r="G376" s="590"/>
      <c r="H376" s="1504"/>
      <c r="I376" s="1497"/>
      <c r="J376" s="1498"/>
      <c r="K376" s="590"/>
      <c r="L376" s="1504"/>
      <c r="M376" s="1497"/>
      <c r="N376" s="1498"/>
      <c r="O376" s="590"/>
      <c r="P376" s="1504"/>
      <c r="Q376" s="1497"/>
      <c r="R376" s="1498"/>
      <c r="S376" s="590"/>
      <c r="T376" s="1504"/>
      <c r="U376" s="1497"/>
      <c r="V376" s="1498"/>
      <c r="W376" s="591"/>
      <c r="X376" s="1504"/>
      <c r="Y376" s="1497"/>
      <c r="Z376" s="1508"/>
    </row>
    <row r="377" spans="2:26" s="593" customFormat="1" ht="60" customHeight="1" x14ac:dyDescent="0.55000000000000004">
      <c r="B377" s="1499"/>
      <c r="C377" s="1500"/>
      <c r="D377" s="1501"/>
      <c r="E377" s="1502" t="s">
        <v>1453</v>
      </c>
      <c r="F377" s="1490"/>
      <c r="G377" s="590"/>
      <c r="H377" s="1505"/>
      <c r="I377" s="1500"/>
      <c r="J377" s="1501"/>
      <c r="K377" s="590"/>
      <c r="L377" s="1505"/>
      <c r="M377" s="1500"/>
      <c r="N377" s="1501"/>
      <c r="O377" s="590"/>
      <c r="P377" s="1505"/>
      <c r="Q377" s="1500"/>
      <c r="R377" s="1501"/>
      <c r="S377" s="590"/>
      <c r="T377" s="1505"/>
      <c r="U377" s="1500"/>
      <c r="V377" s="1501"/>
      <c r="W377" s="590"/>
      <c r="X377" s="1505"/>
      <c r="Y377" s="1500"/>
      <c r="Z377" s="1509"/>
    </row>
    <row r="378" spans="2:26" s="593" customFormat="1" ht="60" customHeight="1" x14ac:dyDescent="0.55000000000000004">
      <c r="B378" s="583"/>
      <c r="C378" s="584"/>
      <c r="D378" s="592"/>
      <c r="E378" s="584"/>
      <c r="F378" s="584"/>
      <c r="G378" s="584"/>
      <c r="H378" s="584"/>
      <c r="I378" s="584"/>
      <c r="J378" s="584"/>
      <c r="K378" s="584"/>
      <c r="L378" s="584"/>
      <c r="M378" s="584"/>
      <c r="N378" s="584"/>
      <c r="O378" s="584"/>
      <c r="P378" s="584"/>
      <c r="Q378" s="584"/>
      <c r="R378" s="584"/>
      <c r="S378" s="584"/>
      <c r="T378" s="584"/>
      <c r="U378" s="584"/>
      <c r="V378" s="584"/>
      <c r="W378" s="584"/>
      <c r="X378" s="584"/>
      <c r="Y378" s="584"/>
      <c r="Z378" s="585"/>
    </row>
    <row r="379" spans="2:26" s="593" customFormat="1" ht="60" customHeight="1" x14ac:dyDescent="0.55000000000000004">
      <c r="B379" s="1510" t="s">
        <v>38</v>
      </c>
      <c r="C379" s="1511"/>
      <c r="D379" s="586" t="s">
        <v>419</v>
      </c>
      <c r="E379" s="1512" t="s">
        <v>673</v>
      </c>
      <c r="F379" s="1501"/>
      <c r="G379" s="1487" t="s">
        <v>1362</v>
      </c>
      <c r="H379" s="1488"/>
      <c r="I379" s="1485" t="s">
        <v>1395</v>
      </c>
      <c r="J379" s="1486"/>
      <c r="K379" s="1487" t="s">
        <v>1363</v>
      </c>
      <c r="L379" s="1488"/>
      <c r="M379" s="1485" t="s">
        <v>1216</v>
      </c>
      <c r="N379" s="1486"/>
      <c r="O379" s="1487" t="s">
        <v>1364</v>
      </c>
      <c r="P379" s="1488"/>
      <c r="Q379" s="1485" t="s">
        <v>1216</v>
      </c>
      <c r="R379" s="1486"/>
      <c r="S379" s="1487" t="s">
        <v>1365</v>
      </c>
      <c r="T379" s="1488"/>
      <c r="U379" s="1485" t="s">
        <v>1216</v>
      </c>
      <c r="V379" s="1486"/>
      <c r="W379" s="1487" t="s">
        <v>1366</v>
      </c>
      <c r="X379" s="1488"/>
      <c r="Y379" s="1485" t="s">
        <v>1216</v>
      </c>
      <c r="Z379" s="1513"/>
    </row>
    <row r="380" spans="2:26" s="593" customFormat="1" ht="60" customHeight="1" x14ac:dyDescent="0.55000000000000004">
      <c r="B380" s="1493" t="s">
        <v>1386</v>
      </c>
      <c r="C380" s="1494"/>
      <c r="D380" s="1495"/>
      <c r="E380" s="1502" t="s">
        <v>201</v>
      </c>
      <c r="F380" s="1490"/>
      <c r="G380" s="587">
        <f>+G381*G386</f>
        <v>32.799999999999997</v>
      </c>
      <c r="H380" s="1506"/>
      <c r="I380" s="1494"/>
      <c r="J380" s="1495"/>
      <c r="K380" s="588">
        <f>+K381*K386</f>
        <v>20.8</v>
      </c>
      <c r="L380" s="1503"/>
      <c r="M380" s="1494"/>
      <c r="N380" s="1495"/>
      <c r="O380" s="588">
        <f>+O381*O386</f>
        <v>20.8</v>
      </c>
      <c r="P380" s="1503"/>
      <c r="Q380" s="1494"/>
      <c r="R380" s="1495"/>
      <c r="S380" s="587"/>
      <c r="T380" s="1503" t="s">
        <v>695</v>
      </c>
      <c r="U380" s="1494"/>
      <c r="V380" s="1495"/>
      <c r="W380" s="589"/>
      <c r="X380" s="1503" t="s">
        <v>695</v>
      </c>
      <c r="Y380" s="1494"/>
      <c r="Z380" s="1507"/>
    </row>
    <row r="381" spans="2:26" s="593" customFormat="1" ht="60" customHeight="1" x14ac:dyDescent="0.55000000000000004">
      <c r="B381" s="1496"/>
      <c r="C381" s="1497"/>
      <c r="D381" s="1498"/>
      <c r="E381" s="1502" t="s">
        <v>132</v>
      </c>
      <c r="F381" s="1490"/>
      <c r="G381" s="590">
        <v>2</v>
      </c>
      <c r="H381" s="1504"/>
      <c r="I381" s="1497"/>
      <c r="J381" s="1498"/>
      <c r="K381" s="590">
        <v>2</v>
      </c>
      <c r="L381" s="1504"/>
      <c r="M381" s="1497"/>
      <c r="N381" s="1498"/>
      <c r="O381" s="590">
        <v>2</v>
      </c>
      <c r="P381" s="1504"/>
      <c r="Q381" s="1497"/>
      <c r="R381" s="1498"/>
      <c r="S381" s="590"/>
      <c r="T381" s="1504"/>
      <c r="U381" s="1497"/>
      <c r="V381" s="1498"/>
      <c r="W381" s="590"/>
      <c r="X381" s="1504"/>
      <c r="Y381" s="1497"/>
      <c r="Z381" s="1508"/>
    </row>
    <row r="382" spans="2:26" s="593" customFormat="1" ht="60" customHeight="1" x14ac:dyDescent="0.55000000000000004">
      <c r="B382" s="1496"/>
      <c r="C382" s="1497"/>
      <c r="D382" s="1498"/>
      <c r="E382" s="1502" t="s">
        <v>674</v>
      </c>
      <c r="F382" s="1490"/>
      <c r="G382" s="590">
        <v>6</v>
      </c>
      <c r="H382" s="1504"/>
      <c r="I382" s="1497"/>
      <c r="J382" s="1498"/>
      <c r="K382" s="590">
        <v>3</v>
      </c>
      <c r="L382" s="1504"/>
      <c r="M382" s="1497"/>
      <c r="N382" s="1498"/>
      <c r="O382" s="590">
        <v>3</v>
      </c>
      <c r="P382" s="1504"/>
      <c r="Q382" s="1497"/>
      <c r="R382" s="1498"/>
      <c r="S382" s="590"/>
      <c r="T382" s="1504"/>
      <c r="U382" s="1497"/>
      <c r="V382" s="1498"/>
      <c r="W382" s="590"/>
      <c r="X382" s="1504"/>
      <c r="Y382" s="1497"/>
      <c r="Z382" s="1508"/>
    </row>
    <row r="383" spans="2:26" s="593" customFormat="1" ht="60" customHeight="1" x14ac:dyDescent="0.55000000000000004">
      <c r="B383" s="1496"/>
      <c r="C383" s="1497"/>
      <c r="D383" s="1498"/>
      <c r="E383" s="1502" t="s">
        <v>675</v>
      </c>
      <c r="F383" s="1490"/>
      <c r="G383" s="590">
        <v>1.1000000000000001</v>
      </c>
      <c r="H383" s="1504"/>
      <c r="I383" s="1497"/>
      <c r="J383" s="1498"/>
      <c r="K383" s="590">
        <v>1.1000000000000001</v>
      </c>
      <c r="L383" s="1504"/>
      <c r="M383" s="1497"/>
      <c r="N383" s="1498"/>
      <c r="O383" s="590">
        <v>1.1000000000000001</v>
      </c>
      <c r="P383" s="1504"/>
      <c r="Q383" s="1497"/>
      <c r="R383" s="1498"/>
      <c r="S383" s="590"/>
      <c r="T383" s="1504"/>
      <c r="U383" s="1497"/>
      <c r="V383" s="1498"/>
      <c r="W383" s="590"/>
      <c r="X383" s="1504"/>
      <c r="Y383" s="1497"/>
      <c r="Z383" s="1508"/>
    </row>
    <row r="384" spans="2:26" s="593" customFormat="1" ht="60" customHeight="1" x14ac:dyDescent="0.55000000000000004">
      <c r="B384" s="1496"/>
      <c r="C384" s="1497"/>
      <c r="D384" s="1498"/>
      <c r="E384" s="1502" t="s">
        <v>757</v>
      </c>
      <c r="F384" s="1490"/>
      <c r="G384" s="590"/>
      <c r="H384" s="1504"/>
      <c r="I384" s="1497"/>
      <c r="J384" s="1498"/>
      <c r="K384" s="590"/>
      <c r="L384" s="1504"/>
      <c r="M384" s="1497"/>
      <c r="N384" s="1498"/>
      <c r="O384" s="590"/>
      <c r="P384" s="1504"/>
      <c r="Q384" s="1497"/>
      <c r="R384" s="1498"/>
      <c r="S384" s="590"/>
      <c r="T384" s="1504"/>
      <c r="U384" s="1497"/>
      <c r="V384" s="1498"/>
      <c r="W384" s="590"/>
      <c r="X384" s="1504"/>
      <c r="Y384" s="1497"/>
      <c r="Z384" s="1508"/>
    </row>
    <row r="385" spans="2:26" s="593" customFormat="1" ht="60" customHeight="1" x14ac:dyDescent="0.55000000000000004">
      <c r="B385" s="1496"/>
      <c r="C385" s="1497"/>
      <c r="D385" s="1498"/>
      <c r="E385" s="1502" t="s">
        <v>758</v>
      </c>
      <c r="F385" s="1490"/>
      <c r="G385" s="590"/>
      <c r="H385" s="1504"/>
      <c r="I385" s="1497"/>
      <c r="J385" s="1498"/>
      <c r="K385" s="590"/>
      <c r="L385" s="1504"/>
      <c r="M385" s="1497"/>
      <c r="N385" s="1498"/>
      <c r="O385" s="590"/>
      <c r="P385" s="1504"/>
      <c r="Q385" s="1497"/>
      <c r="R385" s="1498"/>
      <c r="S385" s="590"/>
      <c r="T385" s="1504"/>
      <c r="U385" s="1497"/>
      <c r="V385" s="1498"/>
      <c r="W385" s="590"/>
      <c r="X385" s="1504"/>
      <c r="Y385" s="1497"/>
      <c r="Z385" s="1508"/>
    </row>
    <row r="386" spans="2:26" s="593" customFormat="1" ht="60" customHeight="1" x14ac:dyDescent="0.55000000000000004">
      <c r="B386" s="1496"/>
      <c r="C386" s="1497"/>
      <c r="D386" s="1498"/>
      <c r="E386" s="1502" t="s">
        <v>678</v>
      </c>
      <c r="F386" s="1490"/>
      <c r="G386" s="590">
        <f>+(G382*2)+(G383*4)</f>
        <v>16.399999999999999</v>
      </c>
      <c r="H386" s="1504"/>
      <c r="I386" s="1497"/>
      <c r="J386" s="1498"/>
      <c r="K386" s="590">
        <f>+(K382*2)+(K383*4)</f>
        <v>10.4</v>
      </c>
      <c r="L386" s="1504"/>
      <c r="M386" s="1497"/>
      <c r="N386" s="1498"/>
      <c r="O386" s="590">
        <f>+(O382*2)+(O383*4)</f>
        <v>10.4</v>
      </c>
      <c r="P386" s="1504"/>
      <c r="Q386" s="1497"/>
      <c r="R386" s="1498"/>
      <c r="S386" s="590"/>
      <c r="T386" s="1504"/>
      <c r="U386" s="1497"/>
      <c r="V386" s="1498"/>
      <c r="W386" s="590"/>
      <c r="X386" s="1504"/>
      <c r="Y386" s="1497"/>
      <c r="Z386" s="1508"/>
    </row>
    <row r="387" spans="2:26" s="593" customFormat="1" ht="60" customHeight="1" x14ac:dyDescent="0.55000000000000004">
      <c r="B387" s="1496"/>
      <c r="C387" s="1497"/>
      <c r="D387" s="1498"/>
      <c r="E387" s="1502" t="s">
        <v>1452</v>
      </c>
      <c r="F387" s="1490"/>
      <c r="G387" s="590"/>
      <c r="H387" s="1504"/>
      <c r="I387" s="1497"/>
      <c r="J387" s="1498"/>
      <c r="K387" s="590"/>
      <c r="L387" s="1504"/>
      <c r="M387" s="1497"/>
      <c r="N387" s="1498"/>
      <c r="O387" s="590"/>
      <c r="P387" s="1504"/>
      <c r="Q387" s="1497"/>
      <c r="R387" s="1498"/>
      <c r="S387" s="590"/>
      <c r="T387" s="1504"/>
      <c r="U387" s="1497"/>
      <c r="V387" s="1498"/>
      <c r="W387" s="591"/>
      <c r="X387" s="1504"/>
      <c r="Y387" s="1497"/>
      <c r="Z387" s="1508"/>
    </row>
    <row r="388" spans="2:26" s="593" customFormat="1" ht="60" customHeight="1" x14ac:dyDescent="0.55000000000000004">
      <c r="B388" s="1499"/>
      <c r="C388" s="1500"/>
      <c r="D388" s="1501"/>
      <c r="E388" s="1502" t="s">
        <v>1453</v>
      </c>
      <c r="F388" s="1490"/>
      <c r="G388" s="590"/>
      <c r="H388" s="1505"/>
      <c r="I388" s="1500"/>
      <c r="J388" s="1501"/>
      <c r="K388" s="590"/>
      <c r="L388" s="1505"/>
      <c r="M388" s="1500"/>
      <c r="N388" s="1501"/>
      <c r="O388" s="590"/>
      <c r="P388" s="1505"/>
      <c r="Q388" s="1500"/>
      <c r="R388" s="1501"/>
      <c r="S388" s="590"/>
      <c r="T388" s="1505"/>
      <c r="U388" s="1500"/>
      <c r="V388" s="1501"/>
      <c r="W388" s="590"/>
      <c r="X388" s="1505"/>
      <c r="Y388" s="1500"/>
      <c r="Z388" s="1509"/>
    </row>
    <row r="389" spans="2:26" s="593" customFormat="1" ht="60" customHeight="1" x14ac:dyDescent="0.55000000000000004">
      <c r="B389" s="583"/>
      <c r="C389" s="584"/>
      <c r="D389" s="592"/>
      <c r="E389" s="584"/>
      <c r="F389" s="584"/>
      <c r="G389" s="584"/>
      <c r="H389" s="584"/>
      <c r="I389" s="584"/>
      <c r="J389" s="584"/>
      <c r="K389" s="584"/>
      <c r="L389" s="584"/>
      <c r="M389" s="584"/>
      <c r="N389" s="584"/>
      <c r="O389" s="584"/>
      <c r="P389" s="584"/>
      <c r="Q389" s="584"/>
      <c r="R389" s="584"/>
      <c r="S389" s="584"/>
      <c r="T389" s="584"/>
      <c r="U389" s="584"/>
      <c r="V389" s="584"/>
      <c r="W389" s="584"/>
      <c r="X389" s="584"/>
      <c r="Y389" s="584"/>
      <c r="Z389" s="585"/>
    </row>
    <row r="390" spans="2:26" s="593" customFormat="1" ht="60" customHeight="1" x14ac:dyDescent="0.55000000000000004">
      <c r="B390" s="1510" t="s">
        <v>38</v>
      </c>
      <c r="C390" s="1511"/>
      <c r="D390" s="586" t="s">
        <v>424</v>
      </c>
      <c r="E390" s="1512" t="s">
        <v>673</v>
      </c>
      <c r="F390" s="1501"/>
      <c r="G390" s="1487" t="s">
        <v>1362</v>
      </c>
      <c r="H390" s="1488"/>
      <c r="I390" s="1485" t="s">
        <v>1396</v>
      </c>
      <c r="J390" s="1486"/>
      <c r="K390" s="1487" t="s">
        <v>1363</v>
      </c>
      <c r="L390" s="1488"/>
      <c r="M390" s="1485" t="s">
        <v>1216</v>
      </c>
      <c r="N390" s="1486"/>
      <c r="O390" s="1487" t="s">
        <v>1364</v>
      </c>
      <c r="P390" s="1488"/>
      <c r="Q390" s="1485" t="s">
        <v>1216</v>
      </c>
      <c r="R390" s="1486"/>
      <c r="S390" s="1487" t="s">
        <v>1365</v>
      </c>
      <c r="T390" s="1488"/>
      <c r="U390" s="1485" t="s">
        <v>1216</v>
      </c>
      <c r="V390" s="1486"/>
      <c r="W390" s="1487" t="s">
        <v>1366</v>
      </c>
      <c r="X390" s="1488"/>
      <c r="Y390" s="1485" t="s">
        <v>1216</v>
      </c>
      <c r="Z390" s="1513"/>
    </row>
    <row r="391" spans="2:26" s="593" customFormat="1" ht="60" customHeight="1" x14ac:dyDescent="0.55000000000000004">
      <c r="B391" s="1493" t="s">
        <v>1387</v>
      </c>
      <c r="C391" s="1494"/>
      <c r="D391" s="1495"/>
      <c r="E391" s="1502" t="s">
        <v>201</v>
      </c>
      <c r="F391" s="1490"/>
      <c r="G391" s="587">
        <f>+G392*G397</f>
        <v>180</v>
      </c>
      <c r="H391" s="1503"/>
      <c r="I391" s="1494"/>
      <c r="J391" s="1495"/>
      <c r="K391" s="588">
        <f>+K392*K397</f>
        <v>100</v>
      </c>
      <c r="L391" s="1503"/>
      <c r="M391" s="1494"/>
      <c r="N391" s="1495"/>
      <c r="O391" s="588">
        <f>+O392*O397</f>
        <v>50</v>
      </c>
      <c r="P391" s="1503"/>
      <c r="Q391" s="1494"/>
      <c r="R391" s="1495"/>
      <c r="S391" s="587"/>
      <c r="T391" s="1503" t="s">
        <v>695</v>
      </c>
      <c r="U391" s="1494"/>
      <c r="V391" s="1495"/>
      <c r="W391" s="589"/>
      <c r="X391" s="1503" t="s">
        <v>695</v>
      </c>
      <c r="Y391" s="1494"/>
      <c r="Z391" s="1507"/>
    </row>
    <row r="392" spans="2:26" s="593" customFormat="1" ht="60" customHeight="1" x14ac:dyDescent="0.55000000000000004">
      <c r="B392" s="1496"/>
      <c r="C392" s="1497"/>
      <c r="D392" s="1498"/>
      <c r="E392" s="1502" t="s">
        <v>132</v>
      </c>
      <c r="F392" s="1490"/>
      <c r="G392" s="590">
        <v>2</v>
      </c>
      <c r="H392" s="1504"/>
      <c r="I392" s="1497"/>
      <c r="J392" s="1498"/>
      <c r="K392" s="590">
        <v>2</v>
      </c>
      <c r="L392" s="1504"/>
      <c r="M392" s="1497"/>
      <c r="N392" s="1498"/>
      <c r="O392" s="590">
        <v>2</v>
      </c>
      <c r="P392" s="1504"/>
      <c r="Q392" s="1497"/>
      <c r="R392" s="1498"/>
      <c r="S392" s="590"/>
      <c r="T392" s="1504"/>
      <c r="U392" s="1497"/>
      <c r="V392" s="1498"/>
      <c r="W392" s="590"/>
      <c r="X392" s="1504"/>
      <c r="Y392" s="1497"/>
      <c r="Z392" s="1508"/>
    </row>
    <row r="393" spans="2:26" s="593" customFormat="1" ht="60" customHeight="1" x14ac:dyDescent="0.55000000000000004">
      <c r="B393" s="1496"/>
      <c r="C393" s="1497"/>
      <c r="D393" s="1498"/>
      <c r="E393" s="1502" t="s">
        <v>674</v>
      </c>
      <c r="F393" s="1490"/>
      <c r="G393" s="590">
        <v>90</v>
      </c>
      <c r="H393" s="1504"/>
      <c r="I393" s="1497"/>
      <c r="J393" s="1498"/>
      <c r="K393" s="590">
        <v>50</v>
      </c>
      <c r="L393" s="1504"/>
      <c r="M393" s="1497"/>
      <c r="N393" s="1498"/>
      <c r="O393" s="590">
        <v>25</v>
      </c>
      <c r="P393" s="1504"/>
      <c r="Q393" s="1497"/>
      <c r="R393" s="1498"/>
      <c r="S393" s="590"/>
      <c r="T393" s="1504"/>
      <c r="U393" s="1497"/>
      <c r="V393" s="1498"/>
      <c r="W393" s="590"/>
      <c r="X393" s="1504"/>
      <c r="Y393" s="1497"/>
      <c r="Z393" s="1508"/>
    </row>
    <row r="394" spans="2:26" s="593" customFormat="1" ht="60" customHeight="1" x14ac:dyDescent="0.55000000000000004">
      <c r="B394" s="1496"/>
      <c r="C394" s="1497"/>
      <c r="D394" s="1498"/>
      <c r="E394" s="1502" t="s">
        <v>760</v>
      </c>
      <c r="F394" s="1490"/>
      <c r="G394" s="590">
        <f>+G393/G396</f>
        <v>45</v>
      </c>
      <c r="H394" s="1504"/>
      <c r="I394" s="1497"/>
      <c r="J394" s="1498"/>
      <c r="K394" s="590">
        <f>+K393/K396</f>
        <v>25</v>
      </c>
      <c r="L394" s="1504"/>
      <c r="M394" s="1497"/>
      <c r="N394" s="1498"/>
      <c r="O394" s="590">
        <f>+O393/O396</f>
        <v>12.5</v>
      </c>
      <c r="P394" s="1504"/>
      <c r="Q394" s="1497"/>
      <c r="R394" s="1498"/>
      <c r="S394" s="590"/>
      <c r="T394" s="1504"/>
      <c r="U394" s="1497"/>
      <c r="V394" s="1498"/>
      <c r="W394" s="590"/>
      <c r="X394" s="1504"/>
      <c r="Y394" s="1497"/>
      <c r="Z394" s="1508"/>
    </row>
    <row r="395" spans="2:26" s="593" customFormat="1" ht="60" customHeight="1" x14ac:dyDescent="0.55000000000000004">
      <c r="B395" s="1496"/>
      <c r="C395" s="1497"/>
      <c r="D395" s="1498"/>
      <c r="E395" s="1502" t="s">
        <v>765</v>
      </c>
      <c r="F395" s="1490"/>
      <c r="G395" s="590">
        <v>2</v>
      </c>
      <c r="H395" s="1504"/>
      <c r="I395" s="1497"/>
      <c r="J395" s="1498"/>
      <c r="K395" s="590">
        <v>2</v>
      </c>
      <c r="L395" s="1504"/>
      <c r="M395" s="1497"/>
      <c r="N395" s="1498"/>
      <c r="O395" s="590">
        <v>2</v>
      </c>
      <c r="P395" s="1504"/>
      <c r="Q395" s="1497"/>
      <c r="R395" s="1498"/>
      <c r="S395" s="590"/>
      <c r="T395" s="1504"/>
      <c r="U395" s="1497"/>
      <c r="V395" s="1498"/>
      <c r="W395" s="590"/>
      <c r="X395" s="1504"/>
      <c r="Y395" s="1497"/>
      <c r="Z395" s="1508"/>
    </row>
    <row r="396" spans="2:26" s="593" customFormat="1" ht="60" customHeight="1" x14ac:dyDescent="0.55000000000000004">
      <c r="B396" s="1496"/>
      <c r="C396" s="1497"/>
      <c r="D396" s="1498"/>
      <c r="E396" s="1502" t="s">
        <v>762</v>
      </c>
      <c r="F396" s="1490"/>
      <c r="G396" s="590">
        <v>2</v>
      </c>
      <c r="H396" s="1504"/>
      <c r="I396" s="1497"/>
      <c r="J396" s="1498"/>
      <c r="K396" s="590">
        <v>2</v>
      </c>
      <c r="L396" s="1504"/>
      <c r="M396" s="1497"/>
      <c r="N396" s="1498"/>
      <c r="O396" s="590">
        <v>2</v>
      </c>
      <c r="P396" s="1504"/>
      <c r="Q396" s="1497"/>
      <c r="R396" s="1498"/>
      <c r="S396" s="590"/>
      <c r="T396" s="1504"/>
      <c r="U396" s="1497"/>
      <c r="V396" s="1498"/>
      <c r="W396" s="590"/>
      <c r="X396" s="1504"/>
      <c r="Y396" s="1497"/>
      <c r="Z396" s="1508"/>
    </row>
    <row r="397" spans="2:26" s="593" customFormat="1" ht="60" customHeight="1" x14ac:dyDescent="0.55000000000000004">
      <c r="B397" s="1496"/>
      <c r="C397" s="1497"/>
      <c r="D397" s="1498"/>
      <c r="E397" s="1502" t="s">
        <v>763</v>
      </c>
      <c r="F397" s="1490"/>
      <c r="G397" s="590">
        <f>+G395*G394</f>
        <v>90</v>
      </c>
      <c r="H397" s="1504"/>
      <c r="I397" s="1497"/>
      <c r="J397" s="1498"/>
      <c r="K397" s="590">
        <f>+K395*K394</f>
        <v>50</v>
      </c>
      <c r="L397" s="1504"/>
      <c r="M397" s="1497"/>
      <c r="N397" s="1498"/>
      <c r="O397" s="590">
        <f>+O395*O394</f>
        <v>25</v>
      </c>
      <c r="P397" s="1504"/>
      <c r="Q397" s="1497"/>
      <c r="R397" s="1498"/>
      <c r="S397" s="590"/>
      <c r="T397" s="1504"/>
      <c r="U397" s="1497"/>
      <c r="V397" s="1498"/>
      <c r="W397" s="590"/>
      <c r="X397" s="1504"/>
      <c r="Y397" s="1497"/>
      <c r="Z397" s="1508"/>
    </row>
    <row r="398" spans="2:26" s="593" customFormat="1" ht="60" customHeight="1" x14ac:dyDescent="0.55000000000000004">
      <c r="B398" s="1496"/>
      <c r="C398" s="1497"/>
      <c r="D398" s="1498"/>
      <c r="E398" s="1502" t="s">
        <v>1452</v>
      </c>
      <c r="F398" s="1490"/>
      <c r="G398" s="590"/>
      <c r="H398" s="1504"/>
      <c r="I398" s="1497"/>
      <c r="J398" s="1498"/>
      <c r="K398" s="590"/>
      <c r="L398" s="1504"/>
      <c r="M398" s="1497"/>
      <c r="N398" s="1498"/>
      <c r="O398" s="590"/>
      <c r="P398" s="1504"/>
      <c r="Q398" s="1497"/>
      <c r="R398" s="1498"/>
      <c r="S398" s="590"/>
      <c r="T398" s="1504"/>
      <c r="U398" s="1497"/>
      <c r="V398" s="1498"/>
      <c r="W398" s="591"/>
      <c r="X398" s="1504"/>
      <c r="Y398" s="1497"/>
      <c r="Z398" s="1508"/>
    </row>
    <row r="399" spans="2:26" s="593" customFormat="1" ht="60" customHeight="1" x14ac:dyDescent="0.55000000000000004">
      <c r="B399" s="1499"/>
      <c r="C399" s="1500"/>
      <c r="D399" s="1501"/>
      <c r="E399" s="1502" t="s">
        <v>1453</v>
      </c>
      <c r="F399" s="1490"/>
      <c r="G399" s="590"/>
      <c r="H399" s="1505"/>
      <c r="I399" s="1500"/>
      <c r="J399" s="1501"/>
      <c r="K399" s="590"/>
      <c r="L399" s="1505"/>
      <c r="M399" s="1500"/>
      <c r="N399" s="1501"/>
      <c r="O399" s="590"/>
      <c r="P399" s="1505"/>
      <c r="Q399" s="1500"/>
      <c r="R399" s="1501"/>
      <c r="S399" s="590"/>
      <c r="T399" s="1505"/>
      <c r="U399" s="1500"/>
      <c r="V399" s="1501"/>
      <c r="W399" s="590"/>
      <c r="X399" s="1505"/>
      <c r="Y399" s="1500"/>
      <c r="Z399" s="1509"/>
    </row>
    <row r="400" spans="2:26" s="593" customFormat="1" ht="60" customHeight="1" x14ac:dyDescent="0.55000000000000004">
      <c r="B400" s="583"/>
      <c r="C400" s="584"/>
      <c r="D400" s="592"/>
      <c r="E400" s="584"/>
      <c r="F400" s="584"/>
      <c r="G400" s="584"/>
      <c r="H400" s="584"/>
      <c r="I400" s="584"/>
      <c r="J400" s="584"/>
      <c r="K400" s="584"/>
      <c r="L400" s="584"/>
      <c r="M400" s="584"/>
      <c r="N400" s="584"/>
      <c r="O400" s="584"/>
      <c r="P400" s="584"/>
      <c r="Q400" s="584"/>
      <c r="R400" s="584"/>
      <c r="S400" s="584"/>
      <c r="T400" s="584"/>
      <c r="U400" s="584"/>
      <c r="V400" s="584"/>
      <c r="W400" s="584"/>
      <c r="X400" s="584"/>
      <c r="Y400" s="584"/>
      <c r="Z400" s="585"/>
    </row>
    <row r="401" spans="2:26" s="593" customFormat="1" ht="60" customHeight="1" x14ac:dyDescent="0.55000000000000004">
      <c r="B401" s="1510" t="s">
        <v>38</v>
      </c>
      <c r="C401" s="1511"/>
      <c r="D401" s="586" t="s">
        <v>424</v>
      </c>
      <c r="E401" s="1512" t="s">
        <v>673</v>
      </c>
      <c r="F401" s="1501"/>
      <c r="G401" s="1487" t="s">
        <v>1362</v>
      </c>
      <c r="H401" s="1488"/>
      <c r="I401" s="1485" t="s">
        <v>1397</v>
      </c>
      <c r="J401" s="1486"/>
      <c r="K401" s="1487" t="s">
        <v>1363</v>
      </c>
      <c r="L401" s="1488"/>
      <c r="M401" s="1485" t="s">
        <v>1216</v>
      </c>
      <c r="N401" s="1486"/>
      <c r="O401" s="1487" t="s">
        <v>1364</v>
      </c>
      <c r="P401" s="1488"/>
      <c r="Q401" s="1485" t="s">
        <v>1216</v>
      </c>
      <c r="R401" s="1486"/>
      <c r="S401" s="1487" t="s">
        <v>1365</v>
      </c>
      <c r="T401" s="1488"/>
      <c r="U401" s="1485" t="s">
        <v>1216</v>
      </c>
      <c r="V401" s="1486"/>
      <c r="W401" s="1487" t="s">
        <v>1366</v>
      </c>
      <c r="X401" s="1488"/>
      <c r="Y401" s="1485" t="s">
        <v>1216</v>
      </c>
      <c r="Z401" s="1513"/>
    </row>
    <row r="402" spans="2:26" s="593" customFormat="1" ht="60" customHeight="1" x14ac:dyDescent="0.55000000000000004">
      <c r="B402" s="1493" t="s">
        <v>1390</v>
      </c>
      <c r="C402" s="1494"/>
      <c r="D402" s="1495"/>
      <c r="E402" s="1502" t="s">
        <v>201</v>
      </c>
      <c r="F402" s="1490"/>
      <c r="G402" s="587">
        <f>+G403*G408</f>
        <v>90</v>
      </c>
      <c r="H402" s="1503"/>
      <c r="I402" s="1494"/>
      <c r="J402" s="1495"/>
      <c r="K402" s="588">
        <f>+K403*K408</f>
        <v>50</v>
      </c>
      <c r="L402" s="1503"/>
      <c r="M402" s="1494"/>
      <c r="N402" s="1495"/>
      <c r="O402" s="588">
        <f>+O403*O408</f>
        <v>25</v>
      </c>
      <c r="P402" s="1503"/>
      <c r="Q402" s="1494"/>
      <c r="R402" s="1495"/>
      <c r="S402" s="587"/>
      <c r="T402" s="1503" t="s">
        <v>695</v>
      </c>
      <c r="U402" s="1494"/>
      <c r="V402" s="1495"/>
      <c r="W402" s="589"/>
      <c r="X402" s="1503" t="s">
        <v>695</v>
      </c>
      <c r="Y402" s="1494"/>
      <c r="Z402" s="1507"/>
    </row>
    <row r="403" spans="2:26" s="593" customFormat="1" ht="60" customHeight="1" x14ac:dyDescent="0.55000000000000004">
      <c r="B403" s="1496"/>
      <c r="C403" s="1497"/>
      <c r="D403" s="1498"/>
      <c r="E403" s="1502" t="s">
        <v>132</v>
      </c>
      <c r="F403" s="1490"/>
      <c r="G403" s="590">
        <v>2</v>
      </c>
      <c r="H403" s="1504"/>
      <c r="I403" s="1497"/>
      <c r="J403" s="1498"/>
      <c r="K403" s="590">
        <v>2</v>
      </c>
      <c r="L403" s="1504"/>
      <c r="M403" s="1497"/>
      <c r="N403" s="1498"/>
      <c r="O403" s="590">
        <v>2</v>
      </c>
      <c r="P403" s="1504"/>
      <c r="Q403" s="1497"/>
      <c r="R403" s="1498"/>
      <c r="S403" s="590"/>
      <c r="T403" s="1504"/>
      <c r="U403" s="1497"/>
      <c r="V403" s="1498"/>
      <c r="W403" s="590"/>
      <c r="X403" s="1504"/>
      <c r="Y403" s="1497"/>
      <c r="Z403" s="1508"/>
    </row>
    <row r="404" spans="2:26" s="593" customFormat="1" ht="60" customHeight="1" x14ac:dyDescent="0.55000000000000004">
      <c r="B404" s="1496"/>
      <c r="C404" s="1497"/>
      <c r="D404" s="1498"/>
      <c r="E404" s="1502" t="s">
        <v>674</v>
      </c>
      <c r="F404" s="1490"/>
      <c r="G404" s="590">
        <v>90</v>
      </c>
      <c r="H404" s="1504"/>
      <c r="I404" s="1497"/>
      <c r="J404" s="1498"/>
      <c r="K404" s="590">
        <v>50</v>
      </c>
      <c r="L404" s="1504"/>
      <c r="M404" s="1497"/>
      <c r="N404" s="1498"/>
      <c r="O404" s="590">
        <v>25</v>
      </c>
      <c r="P404" s="1504"/>
      <c r="Q404" s="1497"/>
      <c r="R404" s="1498"/>
      <c r="S404" s="590"/>
      <c r="T404" s="1504"/>
      <c r="U404" s="1497"/>
      <c r="V404" s="1498"/>
      <c r="W404" s="590"/>
      <c r="X404" s="1504"/>
      <c r="Y404" s="1497"/>
      <c r="Z404" s="1508"/>
    </row>
    <row r="405" spans="2:26" s="593" customFormat="1" ht="60" customHeight="1" x14ac:dyDescent="0.55000000000000004">
      <c r="B405" s="1496"/>
      <c r="C405" s="1497"/>
      <c r="D405" s="1498"/>
      <c r="E405" s="1502" t="s">
        <v>760</v>
      </c>
      <c r="F405" s="1490"/>
      <c r="G405" s="590">
        <f>+G404/G407</f>
        <v>45</v>
      </c>
      <c r="H405" s="1504"/>
      <c r="I405" s="1497"/>
      <c r="J405" s="1498"/>
      <c r="K405" s="590">
        <f>+K404/K407</f>
        <v>25</v>
      </c>
      <c r="L405" s="1504"/>
      <c r="M405" s="1497"/>
      <c r="N405" s="1498"/>
      <c r="O405" s="590">
        <f>+O404/O407</f>
        <v>12.5</v>
      </c>
      <c r="P405" s="1504"/>
      <c r="Q405" s="1497"/>
      <c r="R405" s="1498"/>
      <c r="S405" s="590"/>
      <c r="T405" s="1504"/>
      <c r="U405" s="1497"/>
      <c r="V405" s="1498"/>
      <c r="W405" s="590"/>
      <c r="X405" s="1504"/>
      <c r="Y405" s="1497"/>
      <c r="Z405" s="1508"/>
    </row>
    <row r="406" spans="2:26" s="593" customFormat="1" ht="60" customHeight="1" x14ac:dyDescent="0.55000000000000004">
      <c r="B406" s="1496"/>
      <c r="C406" s="1497"/>
      <c r="D406" s="1498"/>
      <c r="E406" s="1502" t="s">
        <v>765</v>
      </c>
      <c r="F406" s="1490"/>
      <c r="G406" s="590">
        <v>1</v>
      </c>
      <c r="H406" s="1504"/>
      <c r="I406" s="1497"/>
      <c r="J406" s="1498"/>
      <c r="K406" s="590">
        <v>1</v>
      </c>
      <c r="L406" s="1504"/>
      <c r="M406" s="1497"/>
      <c r="N406" s="1498"/>
      <c r="O406" s="590">
        <v>1</v>
      </c>
      <c r="P406" s="1504"/>
      <c r="Q406" s="1497"/>
      <c r="R406" s="1498"/>
      <c r="S406" s="590"/>
      <c r="T406" s="1504"/>
      <c r="U406" s="1497"/>
      <c r="V406" s="1498"/>
      <c r="W406" s="590"/>
      <c r="X406" s="1504"/>
      <c r="Y406" s="1497"/>
      <c r="Z406" s="1508"/>
    </row>
    <row r="407" spans="2:26" s="593" customFormat="1" ht="60" customHeight="1" x14ac:dyDescent="0.55000000000000004">
      <c r="B407" s="1496"/>
      <c r="C407" s="1497"/>
      <c r="D407" s="1498"/>
      <c r="E407" s="1502" t="s">
        <v>762</v>
      </c>
      <c r="F407" s="1490"/>
      <c r="G407" s="590">
        <v>2</v>
      </c>
      <c r="H407" s="1504"/>
      <c r="I407" s="1497"/>
      <c r="J407" s="1498"/>
      <c r="K407" s="590">
        <v>2</v>
      </c>
      <c r="L407" s="1504"/>
      <c r="M407" s="1497"/>
      <c r="N407" s="1498"/>
      <c r="O407" s="590">
        <v>2</v>
      </c>
      <c r="P407" s="1504"/>
      <c r="Q407" s="1497"/>
      <c r="R407" s="1498"/>
      <c r="S407" s="590"/>
      <c r="T407" s="1504"/>
      <c r="U407" s="1497"/>
      <c r="V407" s="1498"/>
      <c r="W407" s="590"/>
      <c r="X407" s="1504"/>
      <c r="Y407" s="1497"/>
      <c r="Z407" s="1508"/>
    </row>
    <row r="408" spans="2:26" s="593" customFormat="1" ht="60" customHeight="1" x14ac:dyDescent="0.55000000000000004">
      <c r="B408" s="1496"/>
      <c r="C408" s="1497"/>
      <c r="D408" s="1498"/>
      <c r="E408" s="1502" t="s">
        <v>763</v>
      </c>
      <c r="F408" s="1490"/>
      <c r="G408" s="590">
        <f>+G406*G405</f>
        <v>45</v>
      </c>
      <c r="H408" s="1504"/>
      <c r="I408" s="1497"/>
      <c r="J408" s="1498"/>
      <c r="K408" s="590">
        <f>+K406*K405</f>
        <v>25</v>
      </c>
      <c r="L408" s="1504"/>
      <c r="M408" s="1497"/>
      <c r="N408" s="1498"/>
      <c r="O408" s="590">
        <f>+O406*O405</f>
        <v>12.5</v>
      </c>
      <c r="P408" s="1504"/>
      <c r="Q408" s="1497"/>
      <c r="R408" s="1498"/>
      <c r="S408" s="590"/>
      <c r="T408" s="1504"/>
      <c r="U408" s="1497"/>
      <c r="V408" s="1498"/>
      <c r="W408" s="590"/>
      <c r="X408" s="1504"/>
      <c r="Y408" s="1497"/>
      <c r="Z408" s="1508"/>
    </row>
    <row r="409" spans="2:26" s="593" customFormat="1" ht="60" customHeight="1" x14ac:dyDescent="0.55000000000000004">
      <c r="B409" s="1496"/>
      <c r="C409" s="1497"/>
      <c r="D409" s="1498"/>
      <c r="E409" s="1502" t="s">
        <v>1452</v>
      </c>
      <c r="F409" s="1490"/>
      <c r="G409" s="590"/>
      <c r="H409" s="1504"/>
      <c r="I409" s="1497"/>
      <c r="J409" s="1498"/>
      <c r="K409" s="590"/>
      <c r="L409" s="1504"/>
      <c r="M409" s="1497"/>
      <c r="N409" s="1498"/>
      <c r="O409" s="590"/>
      <c r="P409" s="1504"/>
      <c r="Q409" s="1497"/>
      <c r="R409" s="1498"/>
      <c r="S409" s="590"/>
      <c r="T409" s="1504"/>
      <c r="U409" s="1497"/>
      <c r="V409" s="1498"/>
      <c r="W409" s="591"/>
      <c r="X409" s="1504"/>
      <c r="Y409" s="1497"/>
      <c r="Z409" s="1508"/>
    </row>
    <row r="410" spans="2:26" s="593" customFormat="1" ht="60" customHeight="1" x14ac:dyDescent="0.55000000000000004">
      <c r="B410" s="1499"/>
      <c r="C410" s="1500"/>
      <c r="D410" s="1501"/>
      <c r="E410" s="1502" t="s">
        <v>1453</v>
      </c>
      <c r="F410" s="1490"/>
      <c r="G410" s="590"/>
      <c r="H410" s="1505"/>
      <c r="I410" s="1500"/>
      <c r="J410" s="1501"/>
      <c r="K410" s="590"/>
      <c r="L410" s="1505"/>
      <c r="M410" s="1500"/>
      <c r="N410" s="1501"/>
      <c r="O410" s="590"/>
      <c r="P410" s="1505"/>
      <c r="Q410" s="1500"/>
      <c r="R410" s="1501"/>
      <c r="S410" s="590"/>
      <c r="T410" s="1505"/>
      <c r="U410" s="1500"/>
      <c r="V410" s="1501"/>
      <c r="W410" s="590"/>
      <c r="X410" s="1505"/>
      <c r="Y410" s="1500"/>
      <c r="Z410" s="1509"/>
    </row>
    <row r="411" spans="2:26" s="593" customFormat="1" ht="60" customHeight="1" x14ac:dyDescent="0.55000000000000004">
      <c r="B411" s="583"/>
      <c r="C411" s="584"/>
      <c r="D411" s="592"/>
      <c r="E411" s="584"/>
      <c r="F411" s="584"/>
      <c r="G411" s="584"/>
      <c r="H411" s="584"/>
      <c r="I411" s="584"/>
      <c r="J411" s="584"/>
      <c r="K411" s="584"/>
      <c r="L411" s="584"/>
      <c r="M411" s="584"/>
      <c r="N411" s="584"/>
      <c r="O411" s="584"/>
      <c r="P411" s="584"/>
      <c r="Q411" s="584"/>
      <c r="R411" s="584"/>
      <c r="S411" s="584"/>
      <c r="T411" s="584"/>
      <c r="U411" s="584"/>
      <c r="V411" s="584"/>
      <c r="W411" s="584"/>
      <c r="X411" s="584"/>
      <c r="Y411" s="584"/>
      <c r="Z411" s="585"/>
    </row>
    <row r="412" spans="2:26" s="593" customFormat="1" ht="60" customHeight="1" x14ac:dyDescent="0.55000000000000004">
      <c r="B412" s="1510" t="s">
        <v>38</v>
      </c>
      <c r="C412" s="1511"/>
      <c r="D412" s="586" t="s">
        <v>424</v>
      </c>
      <c r="E412" s="1512" t="s">
        <v>673</v>
      </c>
      <c r="F412" s="1501"/>
      <c r="G412" s="1487" t="s">
        <v>1362</v>
      </c>
      <c r="H412" s="1488"/>
      <c r="I412" s="1485" t="s">
        <v>1398</v>
      </c>
      <c r="J412" s="1486"/>
      <c r="K412" s="1487" t="s">
        <v>1363</v>
      </c>
      <c r="L412" s="1488"/>
      <c r="M412" s="1485" t="s">
        <v>1216</v>
      </c>
      <c r="N412" s="1486"/>
      <c r="O412" s="1487" t="s">
        <v>1364</v>
      </c>
      <c r="P412" s="1488"/>
      <c r="Q412" s="1485" t="s">
        <v>1216</v>
      </c>
      <c r="R412" s="1486"/>
      <c r="S412" s="1487" t="s">
        <v>1365</v>
      </c>
      <c r="T412" s="1488"/>
      <c r="U412" s="1485" t="s">
        <v>1216</v>
      </c>
      <c r="V412" s="1486"/>
      <c r="W412" s="1487" t="s">
        <v>1366</v>
      </c>
      <c r="X412" s="1488"/>
      <c r="Y412" s="1485" t="s">
        <v>1216</v>
      </c>
      <c r="Z412" s="1513"/>
    </row>
    <row r="413" spans="2:26" s="593" customFormat="1" ht="60" customHeight="1" x14ac:dyDescent="0.55000000000000004">
      <c r="B413" s="1493" t="s">
        <v>1454</v>
      </c>
      <c r="C413" s="1494"/>
      <c r="D413" s="1495"/>
      <c r="E413" s="1502" t="s">
        <v>201</v>
      </c>
      <c r="F413" s="1490"/>
      <c r="G413" s="587">
        <f>+G419*G414</f>
        <v>45</v>
      </c>
      <c r="H413" s="1506"/>
      <c r="I413" s="1494"/>
      <c r="J413" s="1495"/>
      <c r="K413" s="588">
        <f>+K419*K414</f>
        <v>25</v>
      </c>
      <c r="L413" s="1503"/>
      <c r="M413" s="1494"/>
      <c r="N413" s="1495"/>
      <c r="O413" s="588">
        <f>+O419*O414</f>
        <v>25</v>
      </c>
      <c r="P413" s="1503"/>
      <c r="Q413" s="1494"/>
      <c r="R413" s="1495"/>
      <c r="S413" s="587"/>
      <c r="T413" s="1503" t="s">
        <v>695</v>
      </c>
      <c r="U413" s="1494"/>
      <c r="V413" s="1495"/>
      <c r="W413" s="589"/>
      <c r="X413" s="1503" t="s">
        <v>695</v>
      </c>
      <c r="Y413" s="1494"/>
      <c r="Z413" s="1507"/>
    </row>
    <row r="414" spans="2:26" s="593" customFormat="1" ht="60" customHeight="1" x14ac:dyDescent="0.55000000000000004">
      <c r="B414" s="1496"/>
      <c r="C414" s="1497"/>
      <c r="D414" s="1498"/>
      <c r="E414" s="1502" t="s">
        <v>132</v>
      </c>
      <c r="F414" s="1490"/>
      <c r="G414" s="590">
        <v>1</v>
      </c>
      <c r="H414" s="1504"/>
      <c r="I414" s="1497"/>
      <c r="J414" s="1498"/>
      <c r="K414" s="590">
        <v>1</v>
      </c>
      <c r="L414" s="1504"/>
      <c r="M414" s="1497"/>
      <c r="N414" s="1498"/>
      <c r="O414" s="590">
        <v>1</v>
      </c>
      <c r="P414" s="1504"/>
      <c r="Q414" s="1497"/>
      <c r="R414" s="1498"/>
      <c r="S414" s="590"/>
      <c r="T414" s="1504"/>
      <c r="U414" s="1497"/>
      <c r="V414" s="1498"/>
      <c r="W414" s="590"/>
      <c r="X414" s="1504"/>
      <c r="Y414" s="1497"/>
      <c r="Z414" s="1508"/>
    </row>
    <row r="415" spans="2:26" s="593" customFormat="1" ht="60" customHeight="1" x14ac:dyDescent="0.55000000000000004">
      <c r="B415" s="1496"/>
      <c r="C415" s="1497"/>
      <c r="D415" s="1498"/>
      <c r="E415" s="1502" t="s">
        <v>674</v>
      </c>
      <c r="F415" s="1490"/>
      <c r="G415" s="590">
        <v>90</v>
      </c>
      <c r="H415" s="1504"/>
      <c r="I415" s="1497"/>
      <c r="J415" s="1498"/>
      <c r="K415" s="590">
        <v>50</v>
      </c>
      <c r="L415" s="1504"/>
      <c r="M415" s="1497"/>
      <c r="N415" s="1498"/>
      <c r="O415" s="590">
        <v>50</v>
      </c>
      <c r="P415" s="1504"/>
      <c r="Q415" s="1497"/>
      <c r="R415" s="1498"/>
      <c r="S415" s="590"/>
      <c r="T415" s="1504"/>
      <c r="U415" s="1497"/>
      <c r="V415" s="1498"/>
      <c r="W415" s="590"/>
      <c r="X415" s="1504"/>
      <c r="Y415" s="1497"/>
      <c r="Z415" s="1508"/>
    </row>
    <row r="416" spans="2:26" s="593" customFormat="1" ht="60" customHeight="1" x14ac:dyDescent="0.55000000000000004">
      <c r="B416" s="1496"/>
      <c r="C416" s="1497"/>
      <c r="D416" s="1498"/>
      <c r="E416" s="1502" t="s">
        <v>760</v>
      </c>
      <c r="F416" s="1490"/>
      <c r="G416" s="590">
        <f>+G415/G418</f>
        <v>45</v>
      </c>
      <c r="H416" s="1504"/>
      <c r="I416" s="1497"/>
      <c r="J416" s="1498"/>
      <c r="K416" s="590">
        <f>+K415/K418</f>
        <v>25</v>
      </c>
      <c r="L416" s="1504"/>
      <c r="M416" s="1497"/>
      <c r="N416" s="1498"/>
      <c r="O416" s="590">
        <f>+O415/O418</f>
        <v>25</v>
      </c>
      <c r="P416" s="1504"/>
      <c r="Q416" s="1497"/>
      <c r="R416" s="1498"/>
      <c r="S416" s="590"/>
      <c r="T416" s="1504"/>
      <c r="U416" s="1497"/>
      <c r="V416" s="1498"/>
      <c r="W416" s="590"/>
      <c r="X416" s="1504"/>
      <c r="Y416" s="1497"/>
      <c r="Z416" s="1508"/>
    </row>
    <row r="417" spans="2:26" s="593" customFormat="1" ht="60" customHeight="1" x14ac:dyDescent="0.55000000000000004">
      <c r="B417" s="1496"/>
      <c r="C417" s="1497"/>
      <c r="D417" s="1498"/>
      <c r="E417" s="1502" t="s">
        <v>761</v>
      </c>
      <c r="F417" s="1490"/>
      <c r="G417" s="590">
        <v>1</v>
      </c>
      <c r="H417" s="1504"/>
      <c r="I417" s="1497"/>
      <c r="J417" s="1498"/>
      <c r="K417" s="590">
        <v>1</v>
      </c>
      <c r="L417" s="1504"/>
      <c r="M417" s="1497"/>
      <c r="N417" s="1498"/>
      <c r="O417" s="590">
        <v>1</v>
      </c>
      <c r="P417" s="1504"/>
      <c r="Q417" s="1497"/>
      <c r="R417" s="1498"/>
      <c r="S417" s="590"/>
      <c r="T417" s="1504"/>
      <c r="U417" s="1497"/>
      <c r="V417" s="1498"/>
      <c r="W417" s="590"/>
      <c r="X417" s="1504"/>
      <c r="Y417" s="1497"/>
      <c r="Z417" s="1508"/>
    </row>
    <row r="418" spans="2:26" s="593" customFormat="1" ht="60" customHeight="1" x14ac:dyDescent="0.55000000000000004">
      <c r="B418" s="1496"/>
      <c r="C418" s="1497"/>
      <c r="D418" s="1498"/>
      <c r="E418" s="1502" t="s">
        <v>762</v>
      </c>
      <c r="F418" s="1490"/>
      <c r="G418" s="590">
        <v>2</v>
      </c>
      <c r="H418" s="1504"/>
      <c r="I418" s="1497"/>
      <c r="J418" s="1498"/>
      <c r="K418" s="590">
        <v>2</v>
      </c>
      <c r="L418" s="1504"/>
      <c r="M418" s="1497"/>
      <c r="N418" s="1498"/>
      <c r="O418" s="590">
        <v>2</v>
      </c>
      <c r="P418" s="1504"/>
      <c r="Q418" s="1497"/>
      <c r="R418" s="1498"/>
      <c r="S418" s="590"/>
      <c r="T418" s="1504"/>
      <c r="U418" s="1497"/>
      <c r="V418" s="1498"/>
      <c r="W418" s="590"/>
      <c r="X418" s="1504"/>
      <c r="Y418" s="1497"/>
      <c r="Z418" s="1508"/>
    </row>
    <row r="419" spans="2:26" s="593" customFormat="1" ht="60" customHeight="1" x14ac:dyDescent="0.55000000000000004">
      <c r="B419" s="1496"/>
      <c r="C419" s="1497"/>
      <c r="D419" s="1498"/>
      <c r="E419" s="1502" t="s">
        <v>763</v>
      </c>
      <c r="F419" s="1490"/>
      <c r="G419" s="590">
        <f>+G416*G417</f>
        <v>45</v>
      </c>
      <c r="H419" s="1504"/>
      <c r="I419" s="1497"/>
      <c r="J419" s="1498"/>
      <c r="K419" s="590">
        <f>+K416*K417</f>
        <v>25</v>
      </c>
      <c r="L419" s="1504"/>
      <c r="M419" s="1497"/>
      <c r="N419" s="1498"/>
      <c r="O419" s="590">
        <f>+O416*O417</f>
        <v>25</v>
      </c>
      <c r="P419" s="1504"/>
      <c r="Q419" s="1497"/>
      <c r="R419" s="1498"/>
      <c r="S419" s="590"/>
      <c r="T419" s="1504"/>
      <c r="U419" s="1497"/>
      <c r="V419" s="1498"/>
      <c r="W419" s="590"/>
      <c r="X419" s="1504"/>
      <c r="Y419" s="1497"/>
      <c r="Z419" s="1508"/>
    </row>
    <row r="420" spans="2:26" s="593" customFormat="1" ht="60" customHeight="1" x14ac:dyDescent="0.55000000000000004">
      <c r="B420" s="1496"/>
      <c r="C420" s="1497"/>
      <c r="D420" s="1498"/>
      <c r="E420" s="1502" t="s">
        <v>1452</v>
      </c>
      <c r="F420" s="1490"/>
      <c r="G420" s="590"/>
      <c r="H420" s="1504"/>
      <c r="I420" s="1497"/>
      <c r="J420" s="1498"/>
      <c r="K420" s="590"/>
      <c r="L420" s="1504"/>
      <c r="M420" s="1497"/>
      <c r="N420" s="1498"/>
      <c r="O420" s="590"/>
      <c r="P420" s="1504"/>
      <c r="Q420" s="1497"/>
      <c r="R420" s="1498"/>
      <c r="S420" s="590"/>
      <c r="T420" s="1504"/>
      <c r="U420" s="1497"/>
      <c r="V420" s="1498"/>
      <c r="W420" s="591"/>
      <c r="X420" s="1504"/>
      <c r="Y420" s="1497"/>
      <c r="Z420" s="1508"/>
    </row>
    <row r="421" spans="2:26" s="593" customFormat="1" ht="60" customHeight="1" x14ac:dyDescent="0.55000000000000004">
      <c r="B421" s="1499"/>
      <c r="C421" s="1500"/>
      <c r="D421" s="1501"/>
      <c r="E421" s="1502" t="s">
        <v>1453</v>
      </c>
      <c r="F421" s="1490"/>
      <c r="G421" s="590"/>
      <c r="H421" s="1505"/>
      <c r="I421" s="1500"/>
      <c r="J421" s="1501"/>
      <c r="K421" s="590"/>
      <c r="L421" s="1505"/>
      <c r="M421" s="1500"/>
      <c r="N421" s="1501"/>
      <c r="O421" s="590"/>
      <c r="P421" s="1505"/>
      <c r="Q421" s="1500"/>
      <c r="R421" s="1501"/>
      <c r="S421" s="590"/>
      <c r="T421" s="1505"/>
      <c r="U421" s="1500"/>
      <c r="V421" s="1501"/>
      <c r="W421" s="590"/>
      <c r="X421" s="1505"/>
      <c r="Y421" s="1500"/>
      <c r="Z421" s="1509"/>
    </row>
    <row r="422" spans="2:26" s="593" customFormat="1" ht="60" customHeight="1" x14ac:dyDescent="0.55000000000000004">
      <c r="B422" s="583"/>
      <c r="C422" s="584"/>
      <c r="D422" s="592"/>
      <c r="E422" s="584"/>
      <c r="F422" s="584"/>
      <c r="G422" s="584"/>
      <c r="H422" s="584"/>
      <c r="I422" s="584"/>
      <c r="J422" s="584"/>
      <c r="K422" s="584"/>
      <c r="L422" s="584"/>
      <c r="M422" s="584"/>
      <c r="N422" s="584"/>
      <c r="O422" s="584"/>
      <c r="P422" s="584"/>
      <c r="Q422" s="584"/>
      <c r="R422" s="584"/>
      <c r="S422" s="584"/>
      <c r="T422" s="584"/>
      <c r="U422" s="584"/>
      <c r="V422" s="584"/>
      <c r="W422" s="584"/>
      <c r="X422" s="584"/>
      <c r="Y422" s="584"/>
      <c r="Z422" s="585"/>
    </row>
    <row r="423" spans="2:26" s="593" customFormat="1" ht="60" customHeight="1" x14ac:dyDescent="0.55000000000000004">
      <c r="B423" s="1510" t="s">
        <v>38</v>
      </c>
      <c r="C423" s="1511"/>
      <c r="D423" s="586" t="s">
        <v>424</v>
      </c>
      <c r="E423" s="1512" t="s">
        <v>673</v>
      </c>
      <c r="F423" s="1501"/>
      <c r="G423" s="1487" t="s">
        <v>1362</v>
      </c>
      <c r="H423" s="1488"/>
      <c r="I423" s="1485" t="s">
        <v>1399</v>
      </c>
      <c r="J423" s="1486"/>
      <c r="K423" s="1487" t="s">
        <v>1363</v>
      </c>
      <c r="L423" s="1488"/>
      <c r="M423" s="1485" t="s">
        <v>1216</v>
      </c>
      <c r="N423" s="1486"/>
      <c r="O423" s="1487" t="s">
        <v>1364</v>
      </c>
      <c r="P423" s="1488"/>
      <c r="Q423" s="1485" t="s">
        <v>1216</v>
      </c>
      <c r="R423" s="1486"/>
      <c r="S423" s="1487" t="s">
        <v>1365</v>
      </c>
      <c r="T423" s="1488"/>
      <c r="U423" s="1485" t="s">
        <v>1216</v>
      </c>
      <c r="V423" s="1486"/>
      <c r="W423" s="1487" t="s">
        <v>1366</v>
      </c>
      <c r="X423" s="1488"/>
      <c r="Y423" s="1485" t="s">
        <v>1216</v>
      </c>
      <c r="Z423" s="1513"/>
    </row>
    <row r="424" spans="2:26" s="593" customFormat="1" ht="60" customHeight="1" x14ac:dyDescent="0.55000000000000004">
      <c r="B424" s="1493" t="s">
        <v>1388</v>
      </c>
      <c r="C424" s="1494"/>
      <c r="D424" s="1495"/>
      <c r="E424" s="1502" t="s">
        <v>201</v>
      </c>
      <c r="F424" s="1490"/>
      <c r="G424" s="587">
        <f>+G430*G425</f>
        <v>180</v>
      </c>
      <c r="H424" s="1506"/>
      <c r="I424" s="1494"/>
      <c r="J424" s="1495"/>
      <c r="K424" s="588">
        <f>+K430*K425</f>
        <v>100</v>
      </c>
      <c r="L424" s="1503"/>
      <c r="M424" s="1494"/>
      <c r="N424" s="1495"/>
      <c r="O424" s="588">
        <f>+O430*O425</f>
        <v>50</v>
      </c>
      <c r="P424" s="1503"/>
      <c r="Q424" s="1494"/>
      <c r="R424" s="1495"/>
      <c r="S424" s="587"/>
      <c r="T424" s="1503" t="s">
        <v>695</v>
      </c>
      <c r="U424" s="1494"/>
      <c r="V424" s="1495"/>
      <c r="W424" s="589"/>
      <c r="X424" s="1503" t="s">
        <v>695</v>
      </c>
      <c r="Y424" s="1494"/>
      <c r="Z424" s="1507"/>
    </row>
    <row r="425" spans="2:26" s="593" customFormat="1" ht="60" customHeight="1" x14ac:dyDescent="0.55000000000000004">
      <c r="B425" s="1496"/>
      <c r="C425" s="1497"/>
      <c r="D425" s="1498"/>
      <c r="E425" s="1502" t="s">
        <v>132</v>
      </c>
      <c r="F425" s="1490"/>
      <c r="G425" s="590">
        <v>1</v>
      </c>
      <c r="H425" s="1504"/>
      <c r="I425" s="1497"/>
      <c r="J425" s="1498"/>
      <c r="K425" s="590">
        <v>1</v>
      </c>
      <c r="L425" s="1504"/>
      <c r="M425" s="1497"/>
      <c r="N425" s="1498"/>
      <c r="O425" s="590">
        <v>1</v>
      </c>
      <c r="P425" s="1504"/>
      <c r="Q425" s="1497"/>
      <c r="R425" s="1498"/>
      <c r="S425" s="590"/>
      <c r="T425" s="1504"/>
      <c r="U425" s="1497"/>
      <c r="V425" s="1498"/>
      <c r="W425" s="590"/>
      <c r="X425" s="1504"/>
      <c r="Y425" s="1497"/>
      <c r="Z425" s="1508"/>
    </row>
    <row r="426" spans="2:26" s="593" customFormat="1" ht="60" customHeight="1" x14ac:dyDescent="0.55000000000000004">
      <c r="B426" s="1496"/>
      <c r="C426" s="1497"/>
      <c r="D426" s="1498"/>
      <c r="E426" s="1502" t="s">
        <v>674</v>
      </c>
      <c r="F426" s="1490"/>
      <c r="G426" s="590">
        <v>90</v>
      </c>
      <c r="H426" s="1504"/>
      <c r="I426" s="1497"/>
      <c r="J426" s="1498"/>
      <c r="K426" s="590">
        <v>50</v>
      </c>
      <c r="L426" s="1504"/>
      <c r="M426" s="1497"/>
      <c r="N426" s="1498"/>
      <c r="O426" s="590">
        <v>25</v>
      </c>
      <c r="P426" s="1504"/>
      <c r="Q426" s="1497"/>
      <c r="R426" s="1498"/>
      <c r="S426" s="590"/>
      <c r="T426" s="1504"/>
      <c r="U426" s="1497"/>
      <c r="V426" s="1498"/>
      <c r="W426" s="590"/>
      <c r="X426" s="1504"/>
      <c r="Y426" s="1497"/>
      <c r="Z426" s="1508"/>
    </row>
    <row r="427" spans="2:26" s="593" customFormat="1" ht="60" customHeight="1" x14ac:dyDescent="0.55000000000000004">
      <c r="B427" s="1496"/>
      <c r="C427" s="1497"/>
      <c r="D427" s="1498"/>
      <c r="E427" s="1502" t="s">
        <v>760</v>
      </c>
      <c r="F427" s="1490"/>
      <c r="G427" s="590">
        <f>+G426/G429</f>
        <v>45</v>
      </c>
      <c r="H427" s="1504"/>
      <c r="I427" s="1497"/>
      <c r="J427" s="1498"/>
      <c r="K427" s="590">
        <f>+K426/K429</f>
        <v>25</v>
      </c>
      <c r="L427" s="1504"/>
      <c r="M427" s="1497"/>
      <c r="N427" s="1498"/>
      <c r="O427" s="590">
        <f>+O426/O429</f>
        <v>12.5</v>
      </c>
      <c r="P427" s="1504"/>
      <c r="Q427" s="1497"/>
      <c r="R427" s="1498"/>
      <c r="S427" s="590"/>
      <c r="T427" s="1504"/>
      <c r="U427" s="1497"/>
      <c r="V427" s="1498"/>
      <c r="W427" s="590"/>
      <c r="X427" s="1504"/>
      <c r="Y427" s="1497"/>
      <c r="Z427" s="1508"/>
    </row>
    <row r="428" spans="2:26" s="593" customFormat="1" ht="60" customHeight="1" x14ac:dyDescent="0.55000000000000004">
      <c r="B428" s="1496"/>
      <c r="C428" s="1497"/>
      <c r="D428" s="1498"/>
      <c r="E428" s="1502" t="s">
        <v>761</v>
      </c>
      <c r="F428" s="1490"/>
      <c r="G428" s="590">
        <v>4</v>
      </c>
      <c r="H428" s="1504"/>
      <c r="I428" s="1497"/>
      <c r="J428" s="1498"/>
      <c r="K428" s="590">
        <v>4</v>
      </c>
      <c r="L428" s="1504"/>
      <c r="M428" s="1497"/>
      <c r="N428" s="1498"/>
      <c r="O428" s="590">
        <v>4</v>
      </c>
      <c r="P428" s="1504"/>
      <c r="Q428" s="1497"/>
      <c r="R428" s="1498"/>
      <c r="S428" s="590"/>
      <c r="T428" s="1504"/>
      <c r="U428" s="1497"/>
      <c r="V428" s="1498"/>
      <c r="W428" s="590"/>
      <c r="X428" s="1504"/>
      <c r="Y428" s="1497"/>
      <c r="Z428" s="1508"/>
    </row>
    <row r="429" spans="2:26" s="593" customFormat="1" ht="60" customHeight="1" x14ac:dyDescent="0.55000000000000004">
      <c r="B429" s="1496"/>
      <c r="C429" s="1497"/>
      <c r="D429" s="1498"/>
      <c r="E429" s="1502" t="s">
        <v>762</v>
      </c>
      <c r="F429" s="1490"/>
      <c r="G429" s="590">
        <v>2</v>
      </c>
      <c r="H429" s="1504"/>
      <c r="I429" s="1497"/>
      <c r="J429" s="1498"/>
      <c r="K429" s="590">
        <v>2</v>
      </c>
      <c r="L429" s="1504"/>
      <c r="M429" s="1497"/>
      <c r="N429" s="1498"/>
      <c r="O429" s="590">
        <v>2</v>
      </c>
      <c r="P429" s="1504"/>
      <c r="Q429" s="1497"/>
      <c r="R429" s="1498"/>
      <c r="S429" s="590"/>
      <c r="T429" s="1504"/>
      <c r="U429" s="1497"/>
      <c r="V429" s="1498"/>
      <c r="W429" s="590"/>
      <c r="X429" s="1504"/>
      <c r="Y429" s="1497"/>
      <c r="Z429" s="1508"/>
    </row>
    <row r="430" spans="2:26" s="593" customFormat="1" ht="60" customHeight="1" x14ac:dyDescent="0.55000000000000004">
      <c r="B430" s="1496"/>
      <c r="C430" s="1497"/>
      <c r="D430" s="1498"/>
      <c r="E430" s="1502" t="s">
        <v>763</v>
      </c>
      <c r="F430" s="1490"/>
      <c r="G430" s="590">
        <f>+G427*G428</f>
        <v>180</v>
      </c>
      <c r="H430" s="1504"/>
      <c r="I430" s="1497"/>
      <c r="J430" s="1498"/>
      <c r="K430" s="590">
        <f>+K427*K428</f>
        <v>100</v>
      </c>
      <c r="L430" s="1504"/>
      <c r="M430" s="1497"/>
      <c r="N430" s="1498"/>
      <c r="O430" s="590">
        <f>+O427*O428</f>
        <v>50</v>
      </c>
      <c r="P430" s="1504"/>
      <c r="Q430" s="1497"/>
      <c r="R430" s="1498"/>
      <c r="S430" s="590"/>
      <c r="T430" s="1504"/>
      <c r="U430" s="1497"/>
      <c r="V430" s="1498"/>
      <c r="W430" s="590"/>
      <c r="X430" s="1504"/>
      <c r="Y430" s="1497"/>
      <c r="Z430" s="1508"/>
    </row>
    <row r="431" spans="2:26" s="593" customFormat="1" ht="60" customHeight="1" x14ac:dyDescent="0.55000000000000004">
      <c r="B431" s="1496"/>
      <c r="C431" s="1497"/>
      <c r="D431" s="1498"/>
      <c r="E431" s="1502" t="s">
        <v>1452</v>
      </c>
      <c r="F431" s="1490"/>
      <c r="G431" s="590"/>
      <c r="H431" s="1504"/>
      <c r="I431" s="1497"/>
      <c r="J431" s="1498"/>
      <c r="K431" s="590"/>
      <c r="L431" s="1504"/>
      <c r="M431" s="1497"/>
      <c r="N431" s="1498"/>
      <c r="O431" s="590"/>
      <c r="P431" s="1504"/>
      <c r="Q431" s="1497"/>
      <c r="R431" s="1498"/>
      <c r="S431" s="590"/>
      <c r="T431" s="1504"/>
      <c r="U431" s="1497"/>
      <c r="V431" s="1498"/>
      <c r="W431" s="591"/>
      <c r="X431" s="1504"/>
      <c r="Y431" s="1497"/>
      <c r="Z431" s="1508"/>
    </row>
    <row r="432" spans="2:26" s="593" customFormat="1" ht="60" customHeight="1" x14ac:dyDescent="0.55000000000000004">
      <c r="B432" s="1499"/>
      <c r="C432" s="1500"/>
      <c r="D432" s="1501"/>
      <c r="E432" s="1502" t="s">
        <v>1453</v>
      </c>
      <c r="F432" s="1490"/>
      <c r="G432" s="590"/>
      <c r="H432" s="1505"/>
      <c r="I432" s="1500"/>
      <c r="J432" s="1501"/>
      <c r="K432" s="590"/>
      <c r="L432" s="1505"/>
      <c r="M432" s="1500"/>
      <c r="N432" s="1501"/>
      <c r="O432" s="590"/>
      <c r="P432" s="1505"/>
      <c r="Q432" s="1500"/>
      <c r="R432" s="1501"/>
      <c r="S432" s="590"/>
      <c r="T432" s="1505"/>
      <c r="U432" s="1500"/>
      <c r="V432" s="1501"/>
      <c r="W432" s="590"/>
      <c r="X432" s="1505"/>
      <c r="Y432" s="1500"/>
      <c r="Z432" s="1509"/>
    </row>
    <row r="433" spans="2:26" s="593" customFormat="1" ht="60" customHeight="1" x14ac:dyDescent="0.55000000000000004">
      <c r="B433" s="583"/>
      <c r="C433" s="584"/>
      <c r="D433" s="592"/>
      <c r="E433" s="584"/>
      <c r="F433" s="584"/>
      <c r="G433" s="584"/>
      <c r="H433" s="584"/>
      <c r="I433" s="584"/>
      <c r="J433" s="584"/>
      <c r="K433" s="584"/>
      <c r="L433" s="584"/>
      <c r="M433" s="584"/>
      <c r="N433" s="584"/>
      <c r="O433" s="584"/>
      <c r="P433" s="584"/>
      <c r="Q433" s="584"/>
      <c r="R433" s="584"/>
      <c r="S433" s="584"/>
      <c r="T433" s="584"/>
      <c r="U433" s="584"/>
      <c r="V433" s="584"/>
      <c r="W433" s="584"/>
      <c r="X433" s="584"/>
      <c r="Y433" s="584"/>
      <c r="Z433" s="585"/>
    </row>
    <row r="434" spans="2:26" s="593" customFormat="1" ht="60" customHeight="1" x14ac:dyDescent="0.55000000000000004">
      <c r="B434" s="1510" t="s">
        <v>38</v>
      </c>
      <c r="C434" s="1511"/>
      <c r="D434" s="586" t="s">
        <v>397</v>
      </c>
      <c r="E434" s="1512" t="s">
        <v>673</v>
      </c>
      <c r="F434" s="1501"/>
      <c r="G434" s="1487" t="s">
        <v>1362</v>
      </c>
      <c r="H434" s="1488"/>
      <c r="I434" s="1485" t="s">
        <v>1400</v>
      </c>
      <c r="J434" s="1486"/>
      <c r="K434" s="1487" t="s">
        <v>1363</v>
      </c>
      <c r="L434" s="1488"/>
      <c r="M434" s="1485" t="s">
        <v>1216</v>
      </c>
      <c r="N434" s="1486"/>
      <c r="O434" s="1487" t="s">
        <v>1364</v>
      </c>
      <c r="P434" s="1488"/>
      <c r="Q434" s="1485" t="s">
        <v>1216</v>
      </c>
      <c r="R434" s="1486"/>
      <c r="S434" s="1487" t="s">
        <v>1365</v>
      </c>
      <c r="T434" s="1488"/>
      <c r="U434" s="1485" t="s">
        <v>1216</v>
      </c>
      <c r="V434" s="1486"/>
      <c r="W434" s="1487" t="s">
        <v>1366</v>
      </c>
      <c r="X434" s="1488"/>
      <c r="Y434" s="1485" t="s">
        <v>1216</v>
      </c>
      <c r="Z434" s="1513"/>
    </row>
    <row r="435" spans="2:26" s="593" customFormat="1" ht="60" customHeight="1" x14ac:dyDescent="0.55000000000000004">
      <c r="B435" s="1493" t="s">
        <v>766</v>
      </c>
      <c r="C435" s="1494"/>
      <c r="D435" s="1495"/>
      <c r="E435" s="1502" t="s">
        <v>201</v>
      </c>
      <c r="F435" s="1490"/>
      <c r="G435" s="587">
        <f>+G442*G436</f>
        <v>43.090185599999998</v>
      </c>
      <c r="H435" s="1506"/>
      <c r="I435" s="1494"/>
      <c r="J435" s="1495"/>
      <c r="K435" s="588">
        <f>+K442*K436</f>
        <v>23.938991999999999</v>
      </c>
      <c r="L435" s="1503"/>
      <c r="M435" s="1494"/>
      <c r="N435" s="1495"/>
      <c r="O435" s="588">
        <f>+O442*O436</f>
        <v>11.969495999999999</v>
      </c>
      <c r="P435" s="1503"/>
      <c r="Q435" s="1494"/>
      <c r="R435" s="1495"/>
      <c r="S435" s="587"/>
      <c r="T435" s="1503" t="s">
        <v>695</v>
      </c>
      <c r="U435" s="1494"/>
      <c r="V435" s="1495"/>
      <c r="W435" s="589"/>
      <c r="X435" s="1503" t="s">
        <v>695</v>
      </c>
      <c r="Y435" s="1494"/>
      <c r="Z435" s="1507"/>
    </row>
    <row r="436" spans="2:26" s="593" customFormat="1" ht="60" customHeight="1" x14ac:dyDescent="0.55000000000000004">
      <c r="B436" s="1496"/>
      <c r="C436" s="1497"/>
      <c r="D436" s="1498"/>
      <c r="E436" s="1502" t="s">
        <v>132</v>
      </c>
      <c r="F436" s="1490"/>
      <c r="G436" s="590">
        <v>1</v>
      </c>
      <c r="H436" s="1504"/>
      <c r="I436" s="1497"/>
      <c r="J436" s="1498"/>
      <c r="K436" s="590">
        <v>1</v>
      </c>
      <c r="L436" s="1504"/>
      <c r="M436" s="1497"/>
      <c r="N436" s="1498"/>
      <c r="O436" s="590">
        <v>1</v>
      </c>
      <c r="P436" s="1504"/>
      <c r="Q436" s="1497"/>
      <c r="R436" s="1498"/>
      <c r="S436" s="590"/>
      <c r="T436" s="1504"/>
      <c r="U436" s="1497"/>
      <c r="V436" s="1498"/>
      <c r="W436" s="590"/>
      <c r="X436" s="1504"/>
      <c r="Y436" s="1497"/>
      <c r="Z436" s="1508"/>
    </row>
    <row r="437" spans="2:26" s="593" customFormat="1" ht="60" customHeight="1" x14ac:dyDescent="0.55000000000000004">
      <c r="B437" s="1496"/>
      <c r="C437" s="1497"/>
      <c r="D437" s="1498"/>
      <c r="E437" s="1502" t="s">
        <v>674</v>
      </c>
      <c r="F437" s="1490"/>
      <c r="G437" s="590">
        <v>90</v>
      </c>
      <c r="H437" s="1504"/>
      <c r="I437" s="1497"/>
      <c r="J437" s="1498"/>
      <c r="K437" s="590">
        <v>50</v>
      </c>
      <c r="L437" s="1504"/>
      <c r="M437" s="1497"/>
      <c r="N437" s="1498"/>
      <c r="O437" s="590">
        <v>25</v>
      </c>
      <c r="P437" s="1504"/>
      <c r="Q437" s="1497"/>
      <c r="R437" s="1498"/>
      <c r="S437" s="590"/>
      <c r="T437" s="1504"/>
      <c r="U437" s="1497"/>
      <c r="V437" s="1498"/>
      <c r="W437" s="590"/>
      <c r="X437" s="1504"/>
      <c r="Y437" s="1497"/>
      <c r="Z437" s="1508"/>
    </row>
    <row r="438" spans="2:26" s="593" customFormat="1" ht="60" customHeight="1" x14ac:dyDescent="0.55000000000000004">
      <c r="B438" s="1496"/>
      <c r="C438" s="1497"/>
      <c r="D438" s="1498"/>
      <c r="E438" s="1502" t="s">
        <v>694</v>
      </c>
      <c r="F438" s="1490"/>
      <c r="G438" s="590">
        <f>2*G443*G439</f>
        <v>0.47877983999999996</v>
      </c>
      <c r="H438" s="1504"/>
      <c r="I438" s="1497"/>
      <c r="J438" s="1498"/>
      <c r="K438" s="590">
        <f>2*K443*K439</f>
        <v>0.47877983999999996</v>
      </c>
      <c r="L438" s="1504"/>
      <c r="M438" s="1497"/>
      <c r="N438" s="1498"/>
      <c r="O438" s="590">
        <f>2*O443*O439</f>
        <v>0.47877983999999996</v>
      </c>
      <c r="P438" s="1504"/>
      <c r="Q438" s="1497"/>
      <c r="R438" s="1498"/>
      <c r="S438" s="590"/>
      <c r="T438" s="1504"/>
      <c r="U438" s="1497"/>
      <c r="V438" s="1498"/>
      <c r="W438" s="590"/>
      <c r="X438" s="1504"/>
      <c r="Y438" s="1497"/>
      <c r="Z438" s="1508"/>
    </row>
    <row r="439" spans="2:26" s="593" customFormat="1" ht="60" customHeight="1" x14ac:dyDescent="0.55000000000000004">
      <c r="B439" s="1496"/>
      <c r="C439" s="1497"/>
      <c r="D439" s="1498"/>
      <c r="E439" s="1502" t="s">
        <v>767</v>
      </c>
      <c r="F439" s="1490"/>
      <c r="G439" s="590">
        <f>+G440/2</f>
        <v>7.619999999999999E-2</v>
      </c>
      <c r="H439" s="1504"/>
      <c r="I439" s="1497"/>
      <c r="J439" s="1498"/>
      <c r="K439" s="590">
        <f>+K440/2</f>
        <v>7.619999999999999E-2</v>
      </c>
      <c r="L439" s="1504"/>
      <c r="M439" s="1497"/>
      <c r="N439" s="1498"/>
      <c r="O439" s="590">
        <f>+O440/2</f>
        <v>7.619999999999999E-2</v>
      </c>
      <c r="P439" s="1504"/>
      <c r="Q439" s="1497"/>
      <c r="R439" s="1498"/>
      <c r="S439" s="590"/>
      <c r="T439" s="1504"/>
      <c r="U439" s="1497"/>
      <c r="V439" s="1498"/>
      <c r="W439" s="590"/>
      <c r="X439" s="1504"/>
      <c r="Y439" s="1497"/>
      <c r="Z439" s="1508"/>
    </row>
    <row r="440" spans="2:26" s="593" customFormat="1" ht="60" customHeight="1" x14ac:dyDescent="0.55000000000000004">
      <c r="B440" s="1496"/>
      <c r="C440" s="1497"/>
      <c r="D440" s="1498"/>
      <c r="E440" s="1502" t="s">
        <v>768</v>
      </c>
      <c r="F440" s="1490"/>
      <c r="G440" s="591">
        <f>+G441*0.0254</f>
        <v>0.15239999999999998</v>
      </c>
      <c r="H440" s="1504"/>
      <c r="I440" s="1497"/>
      <c r="J440" s="1498"/>
      <c r="K440" s="591">
        <f>+K441*0.0254</f>
        <v>0.15239999999999998</v>
      </c>
      <c r="L440" s="1504"/>
      <c r="M440" s="1497"/>
      <c r="N440" s="1498"/>
      <c r="O440" s="591">
        <f>+O441*0.0254</f>
        <v>0.15239999999999998</v>
      </c>
      <c r="P440" s="1504"/>
      <c r="Q440" s="1497"/>
      <c r="R440" s="1498"/>
      <c r="S440" s="590"/>
      <c r="T440" s="1504"/>
      <c r="U440" s="1497"/>
      <c r="V440" s="1498"/>
      <c r="W440" s="590"/>
      <c r="X440" s="1504"/>
      <c r="Y440" s="1497"/>
      <c r="Z440" s="1508"/>
    </row>
    <row r="441" spans="2:26" s="593" customFormat="1" ht="60" customHeight="1" x14ac:dyDescent="0.55000000000000004">
      <c r="B441" s="1496"/>
      <c r="C441" s="1497"/>
      <c r="D441" s="1498"/>
      <c r="E441" s="1502" t="s">
        <v>769</v>
      </c>
      <c r="F441" s="1490"/>
      <c r="G441" s="590">
        <v>6</v>
      </c>
      <c r="H441" s="1504"/>
      <c r="I441" s="1497"/>
      <c r="J441" s="1498"/>
      <c r="K441" s="590">
        <v>6</v>
      </c>
      <c r="L441" s="1504"/>
      <c r="M441" s="1497"/>
      <c r="N441" s="1498"/>
      <c r="O441" s="590">
        <v>6</v>
      </c>
      <c r="P441" s="1504"/>
      <c r="Q441" s="1497"/>
      <c r="R441" s="1498"/>
      <c r="S441" s="590"/>
      <c r="T441" s="1504"/>
      <c r="U441" s="1497"/>
      <c r="V441" s="1498"/>
      <c r="W441" s="590"/>
      <c r="X441" s="1504"/>
      <c r="Y441" s="1497"/>
      <c r="Z441" s="1508"/>
    </row>
    <row r="442" spans="2:26" s="593" customFormat="1" ht="60" customHeight="1" x14ac:dyDescent="0.55000000000000004">
      <c r="B442" s="1496"/>
      <c r="C442" s="1497"/>
      <c r="D442" s="1498"/>
      <c r="E442" s="1502" t="s">
        <v>1452</v>
      </c>
      <c r="F442" s="1490"/>
      <c r="G442" s="590">
        <f>+G438*G437</f>
        <v>43.090185599999998</v>
      </c>
      <c r="H442" s="1504"/>
      <c r="I442" s="1497"/>
      <c r="J442" s="1498"/>
      <c r="K442" s="590">
        <f>+K438*K437</f>
        <v>23.938991999999999</v>
      </c>
      <c r="L442" s="1504"/>
      <c r="M442" s="1497"/>
      <c r="N442" s="1498"/>
      <c r="O442" s="590">
        <f>+O438*O437</f>
        <v>11.969495999999999</v>
      </c>
      <c r="P442" s="1504"/>
      <c r="Q442" s="1497"/>
      <c r="R442" s="1498"/>
      <c r="S442" s="590"/>
      <c r="T442" s="1504"/>
      <c r="U442" s="1497"/>
      <c r="V442" s="1498"/>
      <c r="W442" s="591"/>
      <c r="X442" s="1504"/>
      <c r="Y442" s="1497"/>
      <c r="Z442" s="1508"/>
    </row>
    <row r="443" spans="2:26" s="593" customFormat="1" ht="60" customHeight="1" x14ac:dyDescent="0.55000000000000004">
      <c r="B443" s="1499"/>
      <c r="C443" s="1500"/>
      <c r="D443" s="1501"/>
      <c r="E443" s="1502" t="s">
        <v>770</v>
      </c>
      <c r="F443" s="1490"/>
      <c r="G443" s="591">
        <v>3.1415999999999999</v>
      </c>
      <c r="H443" s="1505"/>
      <c r="I443" s="1500"/>
      <c r="J443" s="1501"/>
      <c r="K443" s="591">
        <v>3.1415999999999999</v>
      </c>
      <c r="L443" s="1505"/>
      <c r="M443" s="1500"/>
      <c r="N443" s="1501"/>
      <c r="O443" s="591">
        <v>3.1415999999999999</v>
      </c>
      <c r="P443" s="1505"/>
      <c r="Q443" s="1500"/>
      <c r="R443" s="1501"/>
      <c r="S443" s="590"/>
      <c r="T443" s="1505"/>
      <c r="U443" s="1500"/>
      <c r="V443" s="1501"/>
      <c r="W443" s="590"/>
      <c r="X443" s="1505"/>
      <c r="Y443" s="1500"/>
      <c r="Z443" s="1509"/>
    </row>
    <row r="444" spans="2:26" s="593" customFormat="1" ht="60" customHeight="1" x14ac:dyDescent="0.55000000000000004">
      <c r="B444" s="583"/>
      <c r="C444" s="584"/>
      <c r="D444" s="592"/>
      <c r="E444" s="584"/>
      <c r="F444" s="584"/>
      <c r="G444" s="584"/>
      <c r="H444" s="584"/>
      <c r="I444" s="584"/>
      <c r="J444" s="584"/>
      <c r="K444" s="584"/>
      <c r="L444" s="584"/>
      <c r="M444" s="584"/>
      <c r="N444" s="584"/>
      <c r="O444" s="584"/>
      <c r="P444" s="584"/>
      <c r="Q444" s="584"/>
      <c r="R444" s="584"/>
      <c r="S444" s="584"/>
      <c r="T444" s="584"/>
      <c r="U444" s="584"/>
      <c r="V444" s="584"/>
      <c r="W444" s="584"/>
      <c r="X444" s="584"/>
      <c r="Y444" s="584"/>
      <c r="Z444" s="585"/>
    </row>
    <row r="445" spans="2:26" s="593" customFormat="1" ht="60" customHeight="1" x14ac:dyDescent="0.55000000000000004">
      <c r="B445" s="1510" t="s">
        <v>38</v>
      </c>
      <c r="C445" s="1511"/>
      <c r="D445" s="586" t="s">
        <v>424</v>
      </c>
      <c r="E445" s="1512" t="s">
        <v>673</v>
      </c>
      <c r="F445" s="1501"/>
      <c r="G445" s="1487" t="s">
        <v>1362</v>
      </c>
      <c r="H445" s="1488"/>
      <c r="I445" s="1485" t="s">
        <v>1401</v>
      </c>
      <c r="J445" s="1486"/>
      <c r="K445" s="1487" t="s">
        <v>1363</v>
      </c>
      <c r="L445" s="1488"/>
      <c r="M445" s="1485" t="s">
        <v>1216</v>
      </c>
      <c r="N445" s="1486"/>
      <c r="O445" s="1487" t="s">
        <v>1364</v>
      </c>
      <c r="P445" s="1488"/>
      <c r="Q445" s="1485" t="s">
        <v>1216</v>
      </c>
      <c r="R445" s="1486"/>
      <c r="S445" s="1487" t="s">
        <v>1365</v>
      </c>
      <c r="T445" s="1488"/>
      <c r="U445" s="1485" t="s">
        <v>1216</v>
      </c>
      <c r="V445" s="1486"/>
      <c r="W445" s="1487" t="s">
        <v>1366</v>
      </c>
      <c r="X445" s="1488"/>
      <c r="Y445" s="1485" t="s">
        <v>1216</v>
      </c>
      <c r="Z445" s="1513"/>
    </row>
    <row r="446" spans="2:26" s="593" customFormat="1" ht="60" customHeight="1" x14ac:dyDescent="0.55000000000000004">
      <c r="B446" s="1493" t="s">
        <v>1389</v>
      </c>
      <c r="C446" s="1494"/>
      <c r="D446" s="1495"/>
      <c r="E446" s="1502" t="s">
        <v>201</v>
      </c>
      <c r="F446" s="1490"/>
      <c r="G446" s="587">
        <f>+G447</f>
        <v>4</v>
      </c>
      <c r="H446" s="1503"/>
      <c r="I446" s="1494"/>
      <c r="J446" s="1495"/>
      <c r="K446" s="588">
        <f>+K447</f>
        <v>4</v>
      </c>
      <c r="L446" s="1503"/>
      <c r="M446" s="1494"/>
      <c r="N446" s="1495"/>
      <c r="O446" s="588">
        <f>+O447</f>
        <v>4</v>
      </c>
      <c r="P446" s="1503"/>
      <c r="Q446" s="1494"/>
      <c r="R446" s="1495"/>
      <c r="S446" s="587"/>
      <c r="T446" s="1503" t="s">
        <v>695</v>
      </c>
      <c r="U446" s="1494"/>
      <c r="V446" s="1495"/>
      <c r="W446" s="589"/>
      <c r="X446" s="1503" t="s">
        <v>695</v>
      </c>
      <c r="Y446" s="1494"/>
      <c r="Z446" s="1507"/>
    </row>
    <row r="447" spans="2:26" s="593" customFormat="1" ht="60" customHeight="1" x14ac:dyDescent="0.55000000000000004">
      <c r="B447" s="1496"/>
      <c r="C447" s="1497"/>
      <c r="D447" s="1498"/>
      <c r="E447" s="1502" t="s">
        <v>132</v>
      </c>
      <c r="F447" s="1490"/>
      <c r="G447" s="590">
        <v>4</v>
      </c>
      <c r="H447" s="1504"/>
      <c r="I447" s="1497"/>
      <c r="J447" s="1498"/>
      <c r="K447" s="590">
        <v>4</v>
      </c>
      <c r="L447" s="1504"/>
      <c r="M447" s="1497"/>
      <c r="N447" s="1498"/>
      <c r="O447" s="590">
        <v>4</v>
      </c>
      <c r="P447" s="1504"/>
      <c r="Q447" s="1497"/>
      <c r="R447" s="1498"/>
      <c r="S447" s="590"/>
      <c r="T447" s="1504"/>
      <c r="U447" s="1497"/>
      <c r="V447" s="1498"/>
      <c r="W447" s="590"/>
      <c r="X447" s="1504"/>
      <c r="Y447" s="1497"/>
      <c r="Z447" s="1508"/>
    </row>
    <row r="448" spans="2:26" s="593" customFormat="1" ht="60" customHeight="1" x14ac:dyDescent="0.55000000000000004">
      <c r="B448" s="1496"/>
      <c r="C448" s="1497"/>
      <c r="D448" s="1498"/>
      <c r="E448" s="1502" t="s">
        <v>674</v>
      </c>
      <c r="F448" s="1490"/>
      <c r="G448" s="590"/>
      <c r="H448" s="1504"/>
      <c r="I448" s="1497"/>
      <c r="J448" s="1498"/>
      <c r="K448" s="590"/>
      <c r="L448" s="1504"/>
      <c r="M448" s="1497"/>
      <c r="N448" s="1498"/>
      <c r="O448" s="590"/>
      <c r="P448" s="1504"/>
      <c r="Q448" s="1497"/>
      <c r="R448" s="1498"/>
      <c r="S448" s="590"/>
      <c r="T448" s="1504"/>
      <c r="U448" s="1497"/>
      <c r="V448" s="1498"/>
      <c r="W448" s="590"/>
      <c r="X448" s="1504"/>
      <c r="Y448" s="1497"/>
      <c r="Z448" s="1508"/>
    </row>
    <row r="449" spans="2:26" s="593" customFormat="1" ht="60" customHeight="1" x14ac:dyDescent="0.55000000000000004">
      <c r="B449" s="1496"/>
      <c r="C449" s="1497"/>
      <c r="D449" s="1498"/>
      <c r="E449" s="1502" t="s">
        <v>694</v>
      </c>
      <c r="F449" s="1490"/>
      <c r="G449" s="590"/>
      <c r="H449" s="1504"/>
      <c r="I449" s="1497"/>
      <c r="J449" s="1498"/>
      <c r="K449" s="590"/>
      <c r="L449" s="1504"/>
      <c r="M449" s="1497"/>
      <c r="N449" s="1498"/>
      <c r="O449" s="590"/>
      <c r="P449" s="1504"/>
      <c r="Q449" s="1497"/>
      <c r="R449" s="1498"/>
      <c r="S449" s="590"/>
      <c r="T449" s="1504"/>
      <c r="U449" s="1497"/>
      <c r="V449" s="1498"/>
      <c r="W449" s="590"/>
      <c r="X449" s="1504"/>
      <c r="Y449" s="1497"/>
      <c r="Z449" s="1508"/>
    </row>
    <row r="450" spans="2:26" s="593" customFormat="1" ht="60" customHeight="1" x14ac:dyDescent="0.55000000000000004">
      <c r="B450" s="1496"/>
      <c r="C450" s="1497"/>
      <c r="D450" s="1498"/>
      <c r="E450" s="1502" t="s">
        <v>767</v>
      </c>
      <c r="F450" s="1490"/>
      <c r="G450" s="590"/>
      <c r="H450" s="1504"/>
      <c r="I450" s="1497"/>
      <c r="J450" s="1498"/>
      <c r="K450" s="590"/>
      <c r="L450" s="1504"/>
      <c r="M450" s="1497"/>
      <c r="N450" s="1498"/>
      <c r="O450" s="590"/>
      <c r="P450" s="1504"/>
      <c r="Q450" s="1497"/>
      <c r="R450" s="1498"/>
      <c r="S450" s="590"/>
      <c r="T450" s="1504"/>
      <c r="U450" s="1497"/>
      <c r="V450" s="1498"/>
      <c r="W450" s="590"/>
      <c r="X450" s="1504"/>
      <c r="Y450" s="1497"/>
      <c r="Z450" s="1508"/>
    </row>
    <row r="451" spans="2:26" s="593" customFormat="1" ht="60" customHeight="1" x14ac:dyDescent="0.55000000000000004">
      <c r="B451" s="1496"/>
      <c r="C451" s="1497"/>
      <c r="D451" s="1498"/>
      <c r="E451" s="1502" t="s">
        <v>768</v>
      </c>
      <c r="F451" s="1490"/>
      <c r="G451" s="590"/>
      <c r="H451" s="1504"/>
      <c r="I451" s="1497"/>
      <c r="J451" s="1498"/>
      <c r="K451" s="590"/>
      <c r="L451" s="1504"/>
      <c r="M451" s="1497"/>
      <c r="N451" s="1498"/>
      <c r="O451" s="590"/>
      <c r="P451" s="1504"/>
      <c r="Q451" s="1497"/>
      <c r="R451" s="1498"/>
      <c r="S451" s="590"/>
      <c r="T451" s="1504"/>
      <c r="U451" s="1497"/>
      <c r="V451" s="1498"/>
      <c r="W451" s="590"/>
      <c r="X451" s="1504"/>
      <c r="Y451" s="1497"/>
      <c r="Z451" s="1508"/>
    </row>
    <row r="452" spans="2:26" s="593" customFormat="1" ht="60" customHeight="1" x14ac:dyDescent="0.6">
      <c r="B452" s="1496"/>
      <c r="C452" s="1497"/>
      <c r="D452" s="1498"/>
      <c r="E452" s="1502" t="s">
        <v>769</v>
      </c>
      <c r="F452" s="1490"/>
      <c r="G452" s="590"/>
      <c r="H452" s="1504"/>
      <c r="I452" s="1497"/>
      <c r="J452" s="1498"/>
      <c r="K452" s="590"/>
      <c r="L452" s="1504"/>
      <c r="M452" s="1497"/>
      <c r="N452" s="1498"/>
      <c r="O452" s="594"/>
      <c r="P452" s="1504"/>
      <c r="Q452" s="1497"/>
      <c r="R452" s="1498"/>
      <c r="S452" s="590"/>
      <c r="T452" s="1504"/>
      <c r="U452" s="1497"/>
      <c r="V452" s="1498"/>
      <c r="W452" s="590"/>
      <c r="X452" s="1504"/>
      <c r="Y452" s="1497"/>
      <c r="Z452" s="1508"/>
    </row>
    <row r="453" spans="2:26" s="593" customFormat="1" ht="60" customHeight="1" x14ac:dyDescent="0.55000000000000004">
      <c r="B453" s="1496"/>
      <c r="C453" s="1497"/>
      <c r="D453" s="1498"/>
      <c r="E453" s="1502" t="s">
        <v>1452</v>
      </c>
      <c r="F453" s="1490"/>
      <c r="G453" s="590"/>
      <c r="H453" s="1504"/>
      <c r="I453" s="1497"/>
      <c r="J453" s="1498"/>
      <c r="K453" s="590"/>
      <c r="L453" s="1504"/>
      <c r="M453" s="1497"/>
      <c r="N453" s="1498"/>
      <c r="O453" s="590"/>
      <c r="P453" s="1504"/>
      <c r="Q453" s="1497"/>
      <c r="R453" s="1498"/>
      <c r="S453" s="590"/>
      <c r="T453" s="1504"/>
      <c r="U453" s="1497"/>
      <c r="V453" s="1498"/>
      <c r="W453" s="591"/>
      <c r="X453" s="1504"/>
      <c r="Y453" s="1497"/>
      <c r="Z453" s="1508"/>
    </row>
    <row r="454" spans="2:26" s="593" customFormat="1" ht="60" customHeight="1" x14ac:dyDescent="0.55000000000000004">
      <c r="B454" s="1499"/>
      <c r="C454" s="1500"/>
      <c r="D454" s="1501"/>
      <c r="E454" s="1502" t="s">
        <v>770</v>
      </c>
      <c r="F454" s="1490"/>
      <c r="G454" s="590"/>
      <c r="H454" s="1505"/>
      <c r="I454" s="1500"/>
      <c r="J454" s="1501"/>
      <c r="K454" s="590"/>
      <c r="L454" s="1505"/>
      <c r="M454" s="1500"/>
      <c r="N454" s="1501"/>
      <c r="O454" s="590"/>
      <c r="P454" s="1505"/>
      <c r="Q454" s="1500"/>
      <c r="R454" s="1501"/>
      <c r="S454" s="590"/>
      <c r="T454" s="1505"/>
      <c r="U454" s="1500"/>
      <c r="V454" s="1501"/>
      <c r="W454" s="590"/>
      <c r="X454" s="1505"/>
      <c r="Y454" s="1500"/>
      <c r="Z454" s="1509"/>
    </row>
    <row r="455" spans="2:26" s="593" customFormat="1" ht="60" customHeight="1" x14ac:dyDescent="0.55000000000000004">
      <c r="B455" s="583"/>
      <c r="C455" s="584"/>
      <c r="D455" s="592"/>
      <c r="E455" s="584"/>
      <c r="F455" s="584"/>
      <c r="G455" s="584"/>
      <c r="H455" s="584"/>
      <c r="I455" s="584"/>
      <c r="J455" s="584"/>
      <c r="K455" s="584"/>
      <c r="L455" s="584"/>
      <c r="M455" s="584"/>
      <c r="N455" s="584"/>
      <c r="O455" s="584"/>
      <c r="P455" s="584"/>
      <c r="Q455" s="584"/>
      <c r="R455" s="584"/>
      <c r="S455" s="584"/>
      <c r="T455" s="584"/>
      <c r="U455" s="584"/>
      <c r="V455" s="584"/>
      <c r="W455" s="584"/>
      <c r="X455" s="584"/>
      <c r="Y455" s="584"/>
      <c r="Z455" s="585"/>
    </row>
    <row r="456" spans="2:26" s="593" customFormat="1" ht="60" customHeight="1" x14ac:dyDescent="0.55000000000000004">
      <c r="B456" s="1510" t="s">
        <v>38</v>
      </c>
      <c r="C456" s="1511"/>
      <c r="D456" s="586" t="s">
        <v>424</v>
      </c>
      <c r="E456" s="1512" t="s">
        <v>673</v>
      </c>
      <c r="F456" s="1501"/>
      <c r="G456" s="1487" t="s">
        <v>1362</v>
      </c>
      <c r="H456" s="1488"/>
      <c r="I456" s="1485" t="s">
        <v>1402</v>
      </c>
      <c r="J456" s="1486"/>
      <c r="K456" s="1487" t="s">
        <v>1363</v>
      </c>
      <c r="L456" s="1488"/>
      <c r="M456" s="1485" t="s">
        <v>1216</v>
      </c>
      <c r="N456" s="1486"/>
      <c r="O456" s="1487" t="s">
        <v>1364</v>
      </c>
      <c r="P456" s="1488"/>
      <c r="Q456" s="1485" t="s">
        <v>1216</v>
      </c>
      <c r="R456" s="1486"/>
      <c r="S456" s="1487" t="s">
        <v>1365</v>
      </c>
      <c r="T456" s="1488"/>
      <c r="U456" s="1485" t="s">
        <v>1216</v>
      </c>
      <c r="V456" s="1486"/>
      <c r="W456" s="1487" t="s">
        <v>1366</v>
      </c>
      <c r="X456" s="1488"/>
      <c r="Y456" s="1485" t="s">
        <v>1216</v>
      </c>
      <c r="Z456" s="1513"/>
    </row>
    <row r="457" spans="2:26" s="593" customFormat="1" ht="60" customHeight="1" x14ac:dyDescent="0.55000000000000004">
      <c r="B457" s="1493" t="s">
        <v>1391</v>
      </c>
      <c r="C457" s="1494"/>
      <c r="D457" s="1495"/>
      <c r="E457" s="1502" t="s">
        <v>201</v>
      </c>
      <c r="F457" s="1490"/>
      <c r="G457" s="587">
        <f>+G463*G458</f>
        <v>45</v>
      </c>
      <c r="H457" s="1506"/>
      <c r="I457" s="1494"/>
      <c r="J457" s="1495"/>
      <c r="K457" s="588">
        <f>+K463*K458</f>
        <v>25</v>
      </c>
      <c r="L457" s="1503"/>
      <c r="M457" s="1494"/>
      <c r="N457" s="1495"/>
      <c r="O457" s="588">
        <f>+O463*O458</f>
        <v>13</v>
      </c>
      <c r="P457" s="1503"/>
      <c r="Q457" s="1494"/>
      <c r="R457" s="1495"/>
      <c r="S457" s="587"/>
      <c r="T457" s="1503" t="s">
        <v>695</v>
      </c>
      <c r="U457" s="1494"/>
      <c r="V457" s="1495"/>
      <c r="W457" s="589"/>
      <c r="X457" s="1503" t="s">
        <v>695</v>
      </c>
      <c r="Y457" s="1494"/>
      <c r="Z457" s="1507"/>
    </row>
    <row r="458" spans="2:26" s="593" customFormat="1" ht="60" customHeight="1" x14ac:dyDescent="0.55000000000000004">
      <c r="B458" s="1496"/>
      <c r="C458" s="1497"/>
      <c r="D458" s="1498"/>
      <c r="E458" s="1502" t="s">
        <v>132</v>
      </c>
      <c r="F458" s="1490"/>
      <c r="G458" s="590">
        <v>1</v>
      </c>
      <c r="H458" s="1504"/>
      <c r="I458" s="1497"/>
      <c r="J458" s="1498"/>
      <c r="K458" s="590">
        <v>1</v>
      </c>
      <c r="L458" s="1504"/>
      <c r="M458" s="1497"/>
      <c r="N458" s="1498"/>
      <c r="O458" s="590">
        <v>1</v>
      </c>
      <c r="P458" s="1504"/>
      <c r="Q458" s="1497"/>
      <c r="R458" s="1498"/>
      <c r="S458" s="590"/>
      <c r="T458" s="1504"/>
      <c r="U458" s="1497"/>
      <c r="V458" s="1498"/>
      <c r="W458" s="590"/>
      <c r="X458" s="1504"/>
      <c r="Y458" s="1497"/>
      <c r="Z458" s="1508"/>
    </row>
    <row r="459" spans="2:26" s="593" customFormat="1" ht="60" customHeight="1" x14ac:dyDescent="0.55000000000000004">
      <c r="B459" s="1496"/>
      <c r="C459" s="1497"/>
      <c r="D459" s="1498"/>
      <c r="E459" s="1502" t="s">
        <v>674</v>
      </c>
      <c r="F459" s="1490"/>
      <c r="G459" s="590">
        <v>90</v>
      </c>
      <c r="H459" s="1504"/>
      <c r="I459" s="1497"/>
      <c r="J459" s="1498"/>
      <c r="K459" s="590">
        <v>50</v>
      </c>
      <c r="L459" s="1504"/>
      <c r="M459" s="1497"/>
      <c r="N459" s="1498"/>
      <c r="O459" s="590">
        <v>26</v>
      </c>
      <c r="P459" s="1504"/>
      <c r="Q459" s="1497"/>
      <c r="R459" s="1498"/>
      <c r="S459" s="590"/>
      <c r="T459" s="1504"/>
      <c r="U459" s="1497"/>
      <c r="V459" s="1498"/>
      <c r="W459" s="590"/>
      <c r="X459" s="1504"/>
      <c r="Y459" s="1497"/>
      <c r="Z459" s="1508"/>
    </row>
    <row r="460" spans="2:26" s="593" customFormat="1" ht="60" customHeight="1" x14ac:dyDescent="0.55000000000000004">
      <c r="B460" s="1496"/>
      <c r="C460" s="1497"/>
      <c r="D460" s="1498"/>
      <c r="E460" s="1502" t="s">
        <v>760</v>
      </c>
      <c r="F460" s="1490"/>
      <c r="G460" s="590">
        <f>+G459/G462</f>
        <v>45</v>
      </c>
      <c r="H460" s="1504"/>
      <c r="I460" s="1497"/>
      <c r="J460" s="1498"/>
      <c r="K460" s="590">
        <f>+K459/K462</f>
        <v>25</v>
      </c>
      <c r="L460" s="1504"/>
      <c r="M460" s="1497"/>
      <c r="N460" s="1498"/>
      <c r="O460" s="590">
        <f>+O459/O462</f>
        <v>13</v>
      </c>
      <c r="P460" s="1504"/>
      <c r="Q460" s="1497"/>
      <c r="R460" s="1498"/>
      <c r="S460" s="590"/>
      <c r="T460" s="1504"/>
      <c r="U460" s="1497"/>
      <c r="V460" s="1498"/>
      <c r="W460" s="590"/>
      <c r="X460" s="1504"/>
      <c r="Y460" s="1497"/>
      <c r="Z460" s="1508"/>
    </row>
    <row r="461" spans="2:26" s="593" customFormat="1" ht="60" customHeight="1" x14ac:dyDescent="0.55000000000000004">
      <c r="B461" s="1496"/>
      <c r="C461" s="1497"/>
      <c r="D461" s="1498"/>
      <c r="E461" s="1502" t="s">
        <v>761</v>
      </c>
      <c r="F461" s="1490"/>
      <c r="G461" s="590">
        <v>1</v>
      </c>
      <c r="H461" s="1504"/>
      <c r="I461" s="1497"/>
      <c r="J461" s="1498"/>
      <c r="K461" s="590">
        <v>1</v>
      </c>
      <c r="L461" s="1504"/>
      <c r="M461" s="1497"/>
      <c r="N461" s="1498"/>
      <c r="O461" s="590">
        <v>1</v>
      </c>
      <c r="P461" s="1504"/>
      <c r="Q461" s="1497"/>
      <c r="R461" s="1498"/>
      <c r="S461" s="590"/>
      <c r="T461" s="1504"/>
      <c r="U461" s="1497"/>
      <c r="V461" s="1498"/>
      <c r="W461" s="590"/>
      <c r="X461" s="1504"/>
      <c r="Y461" s="1497"/>
      <c r="Z461" s="1508"/>
    </row>
    <row r="462" spans="2:26" s="593" customFormat="1" ht="60" customHeight="1" x14ac:dyDescent="0.55000000000000004">
      <c r="B462" s="1496"/>
      <c r="C462" s="1497"/>
      <c r="D462" s="1498"/>
      <c r="E462" s="1502" t="s">
        <v>762</v>
      </c>
      <c r="F462" s="1490"/>
      <c r="G462" s="590">
        <v>2</v>
      </c>
      <c r="H462" s="1504"/>
      <c r="I462" s="1497"/>
      <c r="J462" s="1498"/>
      <c r="K462" s="590">
        <v>2</v>
      </c>
      <c r="L462" s="1504"/>
      <c r="M462" s="1497"/>
      <c r="N462" s="1498"/>
      <c r="O462" s="590">
        <v>2</v>
      </c>
      <c r="P462" s="1504"/>
      <c r="Q462" s="1497"/>
      <c r="R462" s="1498"/>
      <c r="S462" s="590"/>
      <c r="T462" s="1504"/>
      <c r="U462" s="1497"/>
      <c r="V462" s="1498"/>
      <c r="W462" s="590"/>
      <c r="X462" s="1504"/>
      <c r="Y462" s="1497"/>
      <c r="Z462" s="1508"/>
    </row>
    <row r="463" spans="2:26" s="593" customFormat="1" ht="60" customHeight="1" x14ac:dyDescent="0.55000000000000004">
      <c r="B463" s="1496"/>
      <c r="C463" s="1497"/>
      <c r="D463" s="1498"/>
      <c r="E463" s="1502" t="s">
        <v>763</v>
      </c>
      <c r="F463" s="1490"/>
      <c r="G463" s="590">
        <f>+G460*G461</f>
        <v>45</v>
      </c>
      <c r="H463" s="1504"/>
      <c r="I463" s="1497"/>
      <c r="J463" s="1498"/>
      <c r="K463" s="590">
        <f>+K460*K461</f>
        <v>25</v>
      </c>
      <c r="L463" s="1504"/>
      <c r="M463" s="1497"/>
      <c r="N463" s="1498"/>
      <c r="O463" s="590">
        <f>+O460*O461</f>
        <v>13</v>
      </c>
      <c r="P463" s="1504"/>
      <c r="Q463" s="1497"/>
      <c r="R463" s="1498"/>
      <c r="S463" s="590"/>
      <c r="T463" s="1504"/>
      <c r="U463" s="1497"/>
      <c r="V463" s="1498"/>
      <c r="W463" s="590"/>
      <c r="X463" s="1504"/>
      <c r="Y463" s="1497"/>
      <c r="Z463" s="1508"/>
    </row>
    <row r="464" spans="2:26" s="593" customFormat="1" ht="60" customHeight="1" x14ac:dyDescent="0.55000000000000004">
      <c r="B464" s="1496"/>
      <c r="C464" s="1497"/>
      <c r="D464" s="1498"/>
      <c r="E464" s="1502" t="s">
        <v>1452</v>
      </c>
      <c r="F464" s="1490"/>
      <c r="G464" s="590"/>
      <c r="H464" s="1504"/>
      <c r="I464" s="1497"/>
      <c r="J464" s="1498"/>
      <c r="K464" s="590"/>
      <c r="L464" s="1504"/>
      <c r="M464" s="1497"/>
      <c r="N464" s="1498"/>
      <c r="O464" s="590"/>
      <c r="P464" s="1504"/>
      <c r="Q464" s="1497"/>
      <c r="R464" s="1498"/>
      <c r="S464" s="590"/>
      <c r="T464" s="1504"/>
      <c r="U464" s="1497"/>
      <c r="V464" s="1498"/>
      <c r="W464" s="591"/>
      <c r="X464" s="1504"/>
      <c r="Y464" s="1497"/>
      <c r="Z464" s="1508"/>
    </row>
    <row r="465" spans="2:26" s="593" customFormat="1" ht="60" customHeight="1" x14ac:dyDescent="0.55000000000000004">
      <c r="B465" s="1499"/>
      <c r="C465" s="1500"/>
      <c r="D465" s="1501"/>
      <c r="E465" s="1502" t="s">
        <v>1453</v>
      </c>
      <c r="F465" s="1490"/>
      <c r="G465" s="590"/>
      <c r="H465" s="1505"/>
      <c r="I465" s="1500"/>
      <c r="J465" s="1501"/>
      <c r="K465" s="590"/>
      <c r="L465" s="1505"/>
      <c r="M465" s="1500"/>
      <c r="N465" s="1501"/>
      <c r="O465" s="590"/>
      <c r="P465" s="1505"/>
      <c r="Q465" s="1500"/>
      <c r="R465" s="1501"/>
      <c r="S465" s="590"/>
      <c r="T465" s="1505"/>
      <c r="U465" s="1500"/>
      <c r="V465" s="1501"/>
      <c r="W465" s="590"/>
      <c r="X465" s="1505"/>
      <c r="Y465" s="1500"/>
      <c r="Z465" s="1509"/>
    </row>
    <row r="466" spans="2:26" s="593" customFormat="1" ht="60" customHeight="1" x14ac:dyDescent="0.55000000000000004">
      <c r="B466" s="583"/>
      <c r="C466" s="584"/>
      <c r="D466" s="592"/>
      <c r="E466" s="584"/>
      <c r="F466" s="584"/>
      <c r="G466" s="584"/>
      <c r="H466" s="584"/>
      <c r="I466" s="584"/>
      <c r="J466" s="584"/>
      <c r="K466" s="584"/>
      <c r="L466" s="584"/>
      <c r="M466" s="584"/>
      <c r="N466" s="584"/>
      <c r="O466" s="584"/>
      <c r="P466" s="584"/>
      <c r="Q466" s="584"/>
      <c r="R466" s="584"/>
      <c r="S466" s="584"/>
      <c r="T466" s="584"/>
      <c r="U466" s="584"/>
      <c r="V466" s="584"/>
      <c r="W466" s="584"/>
      <c r="X466" s="584"/>
      <c r="Y466" s="584"/>
      <c r="Z466" s="585"/>
    </row>
    <row r="467" spans="2:26" s="593" customFormat="1" ht="60" customHeight="1" x14ac:dyDescent="0.55000000000000004">
      <c r="B467" s="1510" t="s">
        <v>38</v>
      </c>
      <c r="C467" s="1511"/>
      <c r="D467" s="586" t="s">
        <v>424</v>
      </c>
      <c r="E467" s="1512" t="s">
        <v>673</v>
      </c>
      <c r="F467" s="1501"/>
      <c r="G467" s="1487" t="s">
        <v>1362</v>
      </c>
      <c r="H467" s="1488"/>
      <c r="I467" s="1485" t="s">
        <v>1403</v>
      </c>
      <c r="J467" s="1486"/>
      <c r="K467" s="1487" t="s">
        <v>1363</v>
      </c>
      <c r="L467" s="1488"/>
      <c r="M467" s="1485" t="s">
        <v>1216</v>
      </c>
      <c r="N467" s="1486"/>
      <c r="O467" s="1487" t="s">
        <v>1364</v>
      </c>
      <c r="P467" s="1488"/>
      <c r="Q467" s="1485" t="s">
        <v>1216</v>
      </c>
      <c r="R467" s="1486"/>
      <c r="S467" s="1487" t="s">
        <v>1365</v>
      </c>
      <c r="T467" s="1488"/>
      <c r="U467" s="1485" t="s">
        <v>1216</v>
      </c>
      <c r="V467" s="1486"/>
      <c r="W467" s="1487" t="s">
        <v>1366</v>
      </c>
      <c r="X467" s="1488"/>
      <c r="Y467" s="1485" t="s">
        <v>1216</v>
      </c>
      <c r="Z467" s="1513"/>
    </row>
    <row r="468" spans="2:26" s="593" customFormat="1" ht="60" customHeight="1" x14ac:dyDescent="0.55000000000000004">
      <c r="B468" s="1493" t="s">
        <v>1392</v>
      </c>
      <c r="C468" s="1494"/>
      <c r="D468" s="1495"/>
      <c r="E468" s="1502" t="s">
        <v>201</v>
      </c>
      <c r="F468" s="1490"/>
      <c r="G468" s="587">
        <f>+G474*G469</f>
        <v>225</v>
      </c>
      <c r="H468" s="1506"/>
      <c r="I468" s="1494"/>
      <c r="J468" s="1495"/>
      <c r="K468" s="588">
        <f>+K474*K469</f>
        <v>125</v>
      </c>
      <c r="L468" s="1503"/>
      <c r="M468" s="1494"/>
      <c r="N468" s="1495"/>
      <c r="O468" s="588">
        <f>+O474*O469</f>
        <v>65</v>
      </c>
      <c r="P468" s="1503"/>
      <c r="Q468" s="1494"/>
      <c r="R468" s="1495"/>
      <c r="S468" s="587"/>
      <c r="T468" s="1503" t="s">
        <v>695</v>
      </c>
      <c r="U468" s="1494"/>
      <c r="V468" s="1495"/>
      <c r="W468" s="589"/>
      <c r="X468" s="1503" t="s">
        <v>695</v>
      </c>
      <c r="Y468" s="1494"/>
      <c r="Z468" s="1507"/>
    </row>
    <row r="469" spans="2:26" s="593" customFormat="1" ht="60" customHeight="1" x14ac:dyDescent="0.55000000000000004">
      <c r="B469" s="1496"/>
      <c r="C469" s="1497"/>
      <c r="D469" s="1498"/>
      <c r="E469" s="1502" t="s">
        <v>132</v>
      </c>
      <c r="F469" s="1490"/>
      <c r="G469" s="590">
        <v>1</v>
      </c>
      <c r="H469" s="1504"/>
      <c r="I469" s="1497"/>
      <c r="J469" s="1498"/>
      <c r="K469" s="590">
        <v>1</v>
      </c>
      <c r="L469" s="1504"/>
      <c r="M469" s="1497"/>
      <c r="N469" s="1498"/>
      <c r="O469" s="590">
        <v>1</v>
      </c>
      <c r="P469" s="1504"/>
      <c r="Q469" s="1497"/>
      <c r="R469" s="1498"/>
      <c r="S469" s="590"/>
      <c r="T469" s="1504"/>
      <c r="U469" s="1497"/>
      <c r="V469" s="1498"/>
      <c r="W469" s="590"/>
      <c r="X469" s="1504"/>
      <c r="Y469" s="1497"/>
      <c r="Z469" s="1508"/>
    </row>
    <row r="470" spans="2:26" s="593" customFormat="1" ht="60" customHeight="1" x14ac:dyDescent="0.55000000000000004">
      <c r="B470" s="1496"/>
      <c r="C470" s="1497"/>
      <c r="D470" s="1498"/>
      <c r="E470" s="1502" t="s">
        <v>674</v>
      </c>
      <c r="F470" s="1490"/>
      <c r="G470" s="590">
        <v>90</v>
      </c>
      <c r="H470" s="1504"/>
      <c r="I470" s="1497"/>
      <c r="J470" s="1498"/>
      <c r="K470" s="590">
        <v>50</v>
      </c>
      <c r="L470" s="1504"/>
      <c r="M470" s="1497"/>
      <c r="N470" s="1498"/>
      <c r="O470" s="590">
        <v>26</v>
      </c>
      <c r="P470" s="1504"/>
      <c r="Q470" s="1497"/>
      <c r="R470" s="1498"/>
      <c r="S470" s="590"/>
      <c r="T470" s="1504"/>
      <c r="U470" s="1497"/>
      <c r="V470" s="1498"/>
      <c r="W470" s="590"/>
      <c r="X470" s="1504"/>
      <c r="Y470" s="1497"/>
      <c r="Z470" s="1508"/>
    </row>
    <row r="471" spans="2:26" s="593" customFormat="1" ht="60" customHeight="1" x14ac:dyDescent="0.55000000000000004">
      <c r="B471" s="1496"/>
      <c r="C471" s="1497"/>
      <c r="D471" s="1498"/>
      <c r="E471" s="1502" t="s">
        <v>760</v>
      </c>
      <c r="F471" s="1490"/>
      <c r="G471" s="590">
        <f>+G470/G473</f>
        <v>45</v>
      </c>
      <c r="H471" s="1504"/>
      <c r="I471" s="1497"/>
      <c r="J471" s="1498"/>
      <c r="K471" s="590">
        <f>+K470/K473</f>
        <v>25</v>
      </c>
      <c r="L471" s="1504"/>
      <c r="M471" s="1497"/>
      <c r="N471" s="1498"/>
      <c r="O471" s="590">
        <f>+O470/O473</f>
        <v>13</v>
      </c>
      <c r="P471" s="1504"/>
      <c r="Q471" s="1497"/>
      <c r="R471" s="1498"/>
      <c r="S471" s="590"/>
      <c r="T471" s="1504"/>
      <c r="U471" s="1497"/>
      <c r="V471" s="1498"/>
      <c r="W471" s="590"/>
      <c r="X471" s="1504"/>
      <c r="Y471" s="1497"/>
      <c r="Z471" s="1508"/>
    </row>
    <row r="472" spans="2:26" s="593" customFormat="1" ht="60" customHeight="1" x14ac:dyDescent="0.55000000000000004">
      <c r="B472" s="1496"/>
      <c r="C472" s="1497"/>
      <c r="D472" s="1498"/>
      <c r="E472" s="1502" t="s">
        <v>761</v>
      </c>
      <c r="F472" s="1490"/>
      <c r="G472" s="590">
        <v>5</v>
      </c>
      <c r="H472" s="1504"/>
      <c r="I472" s="1497"/>
      <c r="J472" s="1498"/>
      <c r="K472" s="590">
        <v>5</v>
      </c>
      <c r="L472" s="1504"/>
      <c r="M472" s="1497"/>
      <c r="N472" s="1498"/>
      <c r="O472" s="590">
        <v>5</v>
      </c>
      <c r="P472" s="1504"/>
      <c r="Q472" s="1497"/>
      <c r="R472" s="1498"/>
      <c r="S472" s="590"/>
      <c r="T472" s="1504"/>
      <c r="U472" s="1497"/>
      <c r="V472" s="1498"/>
      <c r="W472" s="590"/>
      <c r="X472" s="1504"/>
      <c r="Y472" s="1497"/>
      <c r="Z472" s="1508"/>
    </row>
    <row r="473" spans="2:26" s="593" customFormat="1" ht="60" customHeight="1" x14ac:dyDescent="0.55000000000000004">
      <c r="B473" s="1496"/>
      <c r="C473" s="1497"/>
      <c r="D473" s="1498"/>
      <c r="E473" s="1502" t="s">
        <v>762</v>
      </c>
      <c r="F473" s="1490"/>
      <c r="G473" s="590">
        <v>2</v>
      </c>
      <c r="H473" s="1504"/>
      <c r="I473" s="1497"/>
      <c r="J473" s="1498"/>
      <c r="K473" s="590">
        <v>2</v>
      </c>
      <c r="L473" s="1504"/>
      <c r="M473" s="1497"/>
      <c r="N473" s="1498"/>
      <c r="O473" s="590">
        <v>2</v>
      </c>
      <c r="P473" s="1504"/>
      <c r="Q473" s="1497"/>
      <c r="R473" s="1498"/>
      <c r="S473" s="590"/>
      <c r="T473" s="1504"/>
      <c r="U473" s="1497"/>
      <c r="V473" s="1498"/>
      <c r="W473" s="590"/>
      <c r="X473" s="1504"/>
      <c r="Y473" s="1497"/>
      <c r="Z473" s="1508"/>
    </row>
    <row r="474" spans="2:26" s="593" customFormat="1" ht="60" customHeight="1" x14ac:dyDescent="0.55000000000000004">
      <c r="B474" s="1496"/>
      <c r="C474" s="1497"/>
      <c r="D474" s="1498"/>
      <c r="E474" s="1502" t="s">
        <v>763</v>
      </c>
      <c r="F474" s="1490"/>
      <c r="G474" s="590">
        <f>+G471*G472</f>
        <v>225</v>
      </c>
      <c r="H474" s="1504"/>
      <c r="I474" s="1497"/>
      <c r="J474" s="1498"/>
      <c r="K474" s="590">
        <f>+K471*K472</f>
        <v>125</v>
      </c>
      <c r="L474" s="1504"/>
      <c r="M474" s="1497"/>
      <c r="N474" s="1498"/>
      <c r="O474" s="590">
        <f>+O471*O472</f>
        <v>65</v>
      </c>
      <c r="P474" s="1504"/>
      <c r="Q474" s="1497"/>
      <c r="R474" s="1498"/>
      <c r="S474" s="590"/>
      <c r="T474" s="1504"/>
      <c r="U474" s="1497"/>
      <c r="V474" s="1498"/>
      <c r="W474" s="590"/>
      <c r="X474" s="1504"/>
      <c r="Y474" s="1497"/>
      <c r="Z474" s="1508"/>
    </row>
    <row r="475" spans="2:26" s="593" customFormat="1" ht="60" customHeight="1" x14ac:dyDescent="0.55000000000000004">
      <c r="B475" s="1496"/>
      <c r="C475" s="1497"/>
      <c r="D475" s="1498"/>
      <c r="E475" s="1502" t="s">
        <v>1452</v>
      </c>
      <c r="F475" s="1490"/>
      <c r="G475" s="590"/>
      <c r="H475" s="1504"/>
      <c r="I475" s="1497"/>
      <c r="J475" s="1498"/>
      <c r="K475" s="590"/>
      <c r="L475" s="1504"/>
      <c r="M475" s="1497"/>
      <c r="N475" s="1498"/>
      <c r="O475" s="590"/>
      <c r="P475" s="1504"/>
      <c r="Q475" s="1497"/>
      <c r="R475" s="1498"/>
      <c r="S475" s="590"/>
      <c r="T475" s="1504"/>
      <c r="U475" s="1497"/>
      <c r="V475" s="1498"/>
      <c r="W475" s="591"/>
      <c r="X475" s="1504"/>
      <c r="Y475" s="1497"/>
      <c r="Z475" s="1508"/>
    </row>
    <row r="476" spans="2:26" s="593" customFormat="1" ht="60" customHeight="1" x14ac:dyDescent="0.55000000000000004">
      <c r="B476" s="1499"/>
      <c r="C476" s="1500"/>
      <c r="D476" s="1501"/>
      <c r="E476" s="1502" t="s">
        <v>1453</v>
      </c>
      <c r="F476" s="1490"/>
      <c r="G476" s="590"/>
      <c r="H476" s="1505"/>
      <c r="I476" s="1500"/>
      <c r="J476" s="1501"/>
      <c r="K476" s="590"/>
      <c r="L476" s="1505"/>
      <c r="M476" s="1500"/>
      <c r="N476" s="1501"/>
      <c r="O476" s="590"/>
      <c r="P476" s="1505"/>
      <c r="Q476" s="1500"/>
      <c r="R476" s="1501"/>
      <c r="S476" s="590"/>
      <c r="T476" s="1505"/>
      <c r="U476" s="1500"/>
      <c r="V476" s="1501"/>
      <c r="W476" s="590"/>
      <c r="X476" s="1505"/>
      <c r="Y476" s="1500"/>
      <c r="Z476" s="1509"/>
    </row>
    <row r="477" spans="2:26" s="593" customFormat="1" ht="51" customHeight="1" x14ac:dyDescent="0.55000000000000004">
      <c r="B477" s="583"/>
      <c r="C477" s="584"/>
      <c r="D477" s="592"/>
      <c r="E477" s="584"/>
      <c r="F477" s="584"/>
      <c r="G477" s="584"/>
      <c r="H477" s="584"/>
      <c r="I477" s="584"/>
      <c r="J477" s="584"/>
      <c r="K477" s="584"/>
      <c r="L477" s="584"/>
      <c r="M477" s="584"/>
      <c r="N477" s="584"/>
      <c r="O477" s="584"/>
      <c r="P477" s="584"/>
      <c r="Q477" s="584"/>
      <c r="R477" s="584"/>
      <c r="S477" s="584"/>
      <c r="T477" s="584"/>
      <c r="U477" s="584"/>
      <c r="V477" s="584"/>
      <c r="W477" s="584"/>
      <c r="X477" s="584"/>
      <c r="Y477" s="584"/>
      <c r="Z477" s="585"/>
    </row>
    <row r="478" spans="2:26" s="593" customFormat="1" ht="51" customHeight="1" x14ac:dyDescent="0.55000000000000004">
      <c r="B478" s="583"/>
      <c r="C478" s="584"/>
      <c r="D478" s="592"/>
      <c r="E478" s="584"/>
      <c r="F478" s="584"/>
      <c r="G478" s="584"/>
      <c r="H478" s="584"/>
      <c r="I478" s="584"/>
      <c r="J478" s="584"/>
      <c r="K478" s="584"/>
      <c r="L478" s="584"/>
      <c r="M478" s="584"/>
      <c r="N478" s="584"/>
      <c r="O478" s="584"/>
      <c r="P478" s="584"/>
      <c r="Q478" s="584"/>
      <c r="R478" s="584"/>
      <c r="S478" s="584"/>
      <c r="T478" s="584"/>
      <c r="U478" s="584"/>
      <c r="V478" s="584"/>
      <c r="W478" s="584"/>
      <c r="X478" s="584"/>
      <c r="Y478" s="584"/>
      <c r="Z478" s="585"/>
    </row>
    <row r="479" spans="2:26" s="593" customFormat="1" ht="51" customHeight="1" x14ac:dyDescent="0.55000000000000004">
      <c r="B479" s="583"/>
      <c r="C479" s="584"/>
      <c r="D479" s="592"/>
      <c r="E479" s="584"/>
      <c r="F479" s="584"/>
      <c r="G479" s="584"/>
      <c r="H479" s="584"/>
      <c r="I479" s="584"/>
      <c r="J479" s="584"/>
      <c r="K479" s="584"/>
      <c r="L479" s="584"/>
      <c r="M479" s="584"/>
      <c r="N479" s="584"/>
      <c r="O479" s="584"/>
      <c r="P479" s="584"/>
      <c r="Q479" s="584"/>
      <c r="R479" s="584"/>
      <c r="S479" s="584"/>
      <c r="T479" s="584"/>
      <c r="U479" s="584"/>
      <c r="V479" s="584"/>
      <c r="W479" s="584"/>
      <c r="X479" s="584"/>
      <c r="Y479" s="584"/>
      <c r="Z479" s="585"/>
    </row>
    <row r="480" spans="2:26" s="593" customFormat="1" ht="51" customHeight="1" x14ac:dyDescent="0.55000000000000004">
      <c r="B480" s="583"/>
      <c r="C480" s="584"/>
      <c r="D480" s="592"/>
      <c r="E480" s="584"/>
      <c r="F480" s="584"/>
      <c r="G480" s="584"/>
      <c r="H480" s="584"/>
      <c r="I480" s="584"/>
      <c r="J480" s="584"/>
      <c r="K480" s="584"/>
      <c r="L480" s="584"/>
      <c r="M480" s="584"/>
      <c r="N480" s="584"/>
      <c r="O480" s="584"/>
      <c r="P480" s="584"/>
      <c r="Q480" s="584"/>
      <c r="R480" s="584"/>
      <c r="S480" s="584"/>
      <c r="T480" s="584"/>
      <c r="U480" s="584"/>
      <c r="V480" s="584"/>
      <c r="W480" s="584"/>
      <c r="X480" s="584"/>
      <c r="Y480" s="584"/>
      <c r="Z480" s="585"/>
    </row>
    <row r="481" spans="2:26" s="593" customFormat="1" ht="51" customHeight="1" x14ac:dyDescent="0.55000000000000004">
      <c r="B481" s="583"/>
      <c r="C481" s="584"/>
      <c r="D481" s="592"/>
      <c r="E481" s="584"/>
      <c r="F481" s="584"/>
      <c r="G481" s="584"/>
      <c r="H481" s="584"/>
      <c r="I481" s="584"/>
      <c r="J481" s="584"/>
      <c r="K481" s="584"/>
      <c r="L481" s="584"/>
      <c r="M481" s="584"/>
      <c r="N481" s="584"/>
      <c r="O481" s="584"/>
      <c r="P481" s="584"/>
      <c r="Q481" s="584"/>
      <c r="R481" s="584"/>
      <c r="S481" s="584"/>
      <c r="T481" s="584"/>
      <c r="U481" s="584"/>
      <c r="V481" s="584"/>
      <c r="W481" s="584"/>
      <c r="X481" s="584"/>
      <c r="Y481" s="584"/>
      <c r="Z481" s="585"/>
    </row>
    <row r="482" spans="2:26" s="593" customFormat="1" ht="51" customHeight="1" x14ac:dyDescent="0.55000000000000004">
      <c r="B482" s="583"/>
      <c r="C482" s="584"/>
      <c r="D482" s="592"/>
      <c r="E482" s="584"/>
      <c r="F482" s="584"/>
      <c r="G482" s="584"/>
      <c r="H482" s="584"/>
      <c r="I482" s="584"/>
      <c r="J482" s="584"/>
      <c r="K482" s="584"/>
      <c r="L482" s="584"/>
      <c r="M482" s="584"/>
      <c r="N482" s="584"/>
      <c r="O482" s="584"/>
      <c r="P482" s="584"/>
      <c r="Q482" s="584"/>
      <c r="R482" s="584"/>
      <c r="S482" s="584"/>
      <c r="T482" s="584"/>
      <c r="U482" s="584"/>
      <c r="V482" s="584"/>
      <c r="W482" s="584"/>
      <c r="X482" s="584"/>
      <c r="Y482" s="584"/>
      <c r="Z482" s="585"/>
    </row>
    <row r="483" spans="2:26" s="593" customFormat="1" ht="51" customHeight="1" x14ac:dyDescent="0.55000000000000004">
      <c r="B483" s="583"/>
      <c r="C483" s="584"/>
      <c r="D483" s="592"/>
      <c r="E483" s="584"/>
      <c r="F483" s="584"/>
      <c r="G483" s="584"/>
      <c r="H483" s="584"/>
      <c r="I483" s="584"/>
      <c r="J483" s="584"/>
      <c r="K483" s="584"/>
      <c r="L483" s="584"/>
      <c r="M483" s="584"/>
      <c r="N483" s="584"/>
      <c r="O483" s="584"/>
      <c r="P483" s="584"/>
      <c r="Q483" s="584"/>
      <c r="R483" s="584"/>
      <c r="S483" s="584"/>
      <c r="T483" s="584"/>
      <c r="U483" s="584"/>
      <c r="V483" s="584"/>
      <c r="W483" s="584"/>
      <c r="X483" s="584"/>
      <c r="Y483" s="584"/>
      <c r="Z483" s="585"/>
    </row>
    <row r="484" spans="2:26" s="593" customFormat="1" ht="51" customHeight="1" x14ac:dyDescent="0.55000000000000004">
      <c r="B484" s="583"/>
      <c r="C484" s="584"/>
      <c r="D484" s="592"/>
      <c r="E484" s="584"/>
      <c r="F484" s="584"/>
      <c r="G484" s="584"/>
      <c r="H484" s="584"/>
      <c r="I484" s="584"/>
      <c r="J484" s="584"/>
      <c r="K484" s="584"/>
      <c r="L484" s="584"/>
      <c r="M484" s="584"/>
      <c r="N484" s="584"/>
      <c r="O484" s="584"/>
      <c r="P484" s="584"/>
      <c r="Q484" s="584"/>
      <c r="R484" s="584"/>
      <c r="S484" s="584"/>
      <c r="T484" s="584"/>
      <c r="U484" s="584"/>
      <c r="V484" s="584"/>
      <c r="W484" s="584"/>
      <c r="X484" s="584"/>
      <c r="Y484" s="584"/>
      <c r="Z484" s="585"/>
    </row>
    <row r="485" spans="2:26" s="593" customFormat="1" ht="51" customHeight="1" x14ac:dyDescent="0.55000000000000004">
      <c r="B485" s="583"/>
      <c r="C485" s="584"/>
      <c r="D485" s="592"/>
      <c r="E485" s="584"/>
      <c r="F485" s="584"/>
      <c r="G485" s="584"/>
      <c r="H485" s="584"/>
      <c r="I485" s="584"/>
      <c r="J485" s="584"/>
      <c r="K485" s="584"/>
      <c r="L485" s="584"/>
      <c r="M485" s="584"/>
      <c r="N485" s="584"/>
      <c r="O485" s="584"/>
      <c r="P485" s="584"/>
      <c r="Q485" s="584"/>
      <c r="R485" s="584"/>
      <c r="S485" s="584"/>
      <c r="T485" s="584"/>
      <c r="U485" s="584"/>
      <c r="V485" s="584"/>
      <c r="W485" s="584"/>
      <c r="X485" s="584"/>
      <c r="Y485" s="584"/>
      <c r="Z485" s="585"/>
    </row>
    <row r="486" spans="2:26" s="593" customFormat="1" ht="51" customHeight="1" x14ac:dyDescent="0.55000000000000004">
      <c r="B486" s="583"/>
      <c r="C486" s="584"/>
      <c r="D486" s="592"/>
      <c r="E486" s="584"/>
      <c r="F486" s="584"/>
      <c r="G486" s="584"/>
      <c r="H486" s="584"/>
      <c r="I486" s="584"/>
      <c r="J486" s="584"/>
      <c r="K486" s="584"/>
      <c r="L486" s="584"/>
      <c r="M486" s="584"/>
      <c r="N486" s="584"/>
      <c r="O486" s="584"/>
      <c r="P486" s="584"/>
      <c r="Q486" s="584"/>
      <c r="R486" s="584"/>
      <c r="S486" s="584"/>
      <c r="T486" s="584"/>
      <c r="U486" s="584"/>
      <c r="V486" s="584"/>
      <c r="W486" s="584"/>
      <c r="X486" s="584"/>
      <c r="Y486" s="584"/>
      <c r="Z486" s="585"/>
    </row>
    <row r="487" spans="2:26" s="593" customFormat="1" ht="51" customHeight="1" x14ac:dyDescent="0.55000000000000004">
      <c r="B487" s="583"/>
      <c r="C487" s="584"/>
      <c r="D487" s="592"/>
      <c r="E487" s="584"/>
      <c r="F487" s="604"/>
      <c r="G487" s="584"/>
      <c r="H487" s="584"/>
      <c r="I487" s="584"/>
      <c r="J487" s="584"/>
      <c r="K487" s="584"/>
      <c r="L487" s="584"/>
      <c r="M487" s="584"/>
      <c r="N487" s="584"/>
      <c r="O487" s="584"/>
      <c r="P487" s="584"/>
      <c r="Q487" s="584"/>
      <c r="R487" s="584"/>
      <c r="S487" s="584"/>
      <c r="T487" s="584"/>
      <c r="U487" s="584"/>
      <c r="V487" s="584"/>
      <c r="W487" s="584"/>
      <c r="X487" s="584"/>
      <c r="Y487" s="584"/>
      <c r="Z487" s="585"/>
    </row>
    <row r="488" spans="2:26" s="593" customFormat="1" ht="51" customHeight="1" x14ac:dyDescent="0.55000000000000004">
      <c r="B488" s="583"/>
      <c r="C488" s="584"/>
      <c r="D488" s="592"/>
      <c r="E488" s="584"/>
      <c r="F488" s="604"/>
      <c r="G488" s="584"/>
      <c r="H488" s="584"/>
      <c r="I488" s="584"/>
      <c r="J488" s="584"/>
      <c r="K488" s="584"/>
      <c r="L488" s="584"/>
      <c r="M488" s="584"/>
      <c r="N488" s="584"/>
      <c r="O488" s="584"/>
      <c r="P488" s="584"/>
      <c r="Q488" s="584"/>
      <c r="R488" s="584"/>
      <c r="S488" s="584"/>
      <c r="T488" s="584"/>
      <c r="U488" s="584"/>
      <c r="V488" s="584"/>
      <c r="W488" s="584"/>
      <c r="X488" s="584"/>
      <c r="Y488" s="584"/>
      <c r="Z488" s="585"/>
    </row>
    <row r="489" spans="2:26" s="593" customFormat="1" ht="51" customHeight="1" thickBot="1" x14ac:dyDescent="0.65">
      <c r="B489" s="583"/>
      <c r="C489" s="584"/>
      <c r="D489" s="592"/>
      <c r="E489" s="584"/>
      <c r="F489" s="594"/>
      <c r="G489" s="594"/>
      <c r="H489" s="594"/>
      <c r="I489" s="594"/>
      <c r="J489" s="594"/>
      <c r="K489" s="594"/>
      <c r="L489" s="594"/>
      <c r="M489" s="594"/>
      <c r="N489" s="594"/>
      <c r="O489" s="594"/>
      <c r="P489" s="594"/>
      <c r="Q489" s="594"/>
      <c r="R489" s="594"/>
      <c r="S489" s="594"/>
      <c r="T489" s="594"/>
      <c r="U489" s="594"/>
      <c r="V489" s="584"/>
      <c r="W489" s="584"/>
      <c r="X489" s="584"/>
      <c r="Y489" s="584"/>
      <c r="Z489" s="585"/>
    </row>
    <row r="490" spans="2:26" s="593" customFormat="1" ht="51" customHeight="1" x14ac:dyDescent="0.55000000000000004">
      <c r="B490" s="583"/>
      <c r="C490" s="584"/>
      <c r="D490" s="592"/>
      <c r="E490" s="584"/>
      <c r="F490" s="1480" t="s">
        <v>1449</v>
      </c>
      <c r="G490" s="1480"/>
      <c r="H490" s="1480"/>
      <c r="I490" s="1480"/>
      <c r="J490" s="1480"/>
      <c r="K490" s="605"/>
      <c r="L490" s="606"/>
      <c r="M490" s="606"/>
      <c r="N490" s="606"/>
      <c r="O490" s="606"/>
      <c r="P490" s="606"/>
      <c r="Q490" s="1480" t="s">
        <v>865</v>
      </c>
      <c r="R490" s="1480"/>
      <c r="S490" s="1480"/>
      <c r="T490" s="1480"/>
      <c r="U490" s="1480"/>
      <c r="V490" s="584"/>
      <c r="W490" s="584"/>
      <c r="X490" s="584"/>
      <c r="Y490" s="584"/>
      <c r="Z490" s="585"/>
    </row>
    <row r="491" spans="2:26" s="593" customFormat="1" ht="51" customHeight="1" x14ac:dyDescent="0.55000000000000004">
      <c r="B491" s="583"/>
      <c r="C491" s="584"/>
      <c r="D491" s="592"/>
      <c r="E491" s="584"/>
      <c r="F491" s="1481" t="s">
        <v>1450</v>
      </c>
      <c r="G491" s="1481"/>
      <c r="H491" s="1481"/>
      <c r="I491" s="1481"/>
      <c r="J491" s="1481"/>
      <c r="K491" s="605"/>
      <c r="L491" s="606"/>
      <c r="M491" s="606"/>
      <c r="N491" s="606"/>
      <c r="O491" s="606"/>
      <c r="P491" s="606"/>
      <c r="Q491" s="1482" t="s">
        <v>866</v>
      </c>
      <c r="R491" s="1482"/>
      <c r="S491" s="1482"/>
      <c r="T491" s="1482"/>
      <c r="U491" s="1482"/>
      <c r="V491" s="584"/>
      <c r="W491" s="584"/>
      <c r="X491" s="584"/>
      <c r="Y491" s="584"/>
      <c r="Z491" s="585"/>
    </row>
    <row r="492" spans="2:26" s="593" customFormat="1" ht="51" customHeight="1" x14ac:dyDescent="0.55000000000000004">
      <c r="B492" s="583"/>
      <c r="C492" s="584"/>
      <c r="D492" s="592"/>
      <c r="E492" s="584"/>
      <c r="F492" s="1483"/>
      <c r="G492" s="1484"/>
      <c r="H492" s="1484"/>
      <c r="I492" s="1484"/>
      <c r="J492" s="605"/>
      <c r="K492" s="605"/>
      <c r="L492" s="606"/>
      <c r="M492" s="606"/>
      <c r="N492" s="606"/>
      <c r="O492" s="606"/>
      <c r="P492" s="606"/>
      <c r="Q492" s="1482" t="s">
        <v>867</v>
      </c>
      <c r="R492" s="1482"/>
      <c r="S492" s="1482"/>
      <c r="T492" s="1482"/>
      <c r="U492" s="1482"/>
      <c r="V492" s="584"/>
      <c r="W492" s="584"/>
      <c r="X492" s="584"/>
      <c r="Y492" s="584"/>
      <c r="Z492" s="585"/>
    </row>
    <row r="493" spans="2:26" x14ac:dyDescent="0.4">
      <c r="B493" s="554"/>
      <c r="C493" s="555"/>
      <c r="D493" s="557"/>
      <c r="E493" s="555"/>
      <c r="F493" s="555"/>
      <c r="G493" s="555"/>
      <c r="H493" s="555"/>
      <c r="I493" s="555"/>
      <c r="J493" s="555"/>
      <c r="K493" s="555"/>
      <c r="L493" s="555"/>
      <c r="M493" s="555"/>
      <c r="N493" s="555"/>
      <c r="O493" s="555"/>
      <c r="P493" s="555"/>
      <c r="Q493" s="555"/>
      <c r="R493" s="555"/>
      <c r="S493" s="555"/>
      <c r="T493" s="555"/>
      <c r="U493" s="555"/>
      <c r="V493" s="555"/>
      <c r="W493" s="555"/>
      <c r="X493" s="555"/>
      <c r="Y493" s="555"/>
      <c r="Z493" s="556"/>
    </row>
    <row r="494" spans="2:26" x14ac:dyDescent="0.4">
      <c r="B494" s="554"/>
      <c r="C494" s="555"/>
      <c r="D494" s="557"/>
      <c r="E494" s="555"/>
      <c r="F494" s="555"/>
      <c r="G494" s="555"/>
      <c r="H494" s="555"/>
      <c r="I494" s="555"/>
      <c r="J494" s="555"/>
      <c r="K494" s="555"/>
      <c r="L494" s="555"/>
      <c r="M494" s="555"/>
      <c r="N494" s="555"/>
      <c r="O494" s="555"/>
      <c r="P494" s="555"/>
      <c r="Q494" s="555"/>
      <c r="R494" s="555"/>
      <c r="S494" s="555"/>
      <c r="T494" s="555"/>
      <c r="U494" s="555"/>
      <c r="V494" s="555"/>
      <c r="W494" s="555"/>
      <c r="X494" s="555"/>
      <c r="Y494" s="555"/>
      <c r="Z494" s="556"/>
    </row>
    <row r="495" spans="2:26" x14ac:dyDescent="0.4">
      <c r="B495" s="554"/>
      <c r="C495" s="555"/>
      <c r="D495" s="557"/>
      <c r="E495" s="555"/>
      <c r="F495" s="555"/>
      <c r="G495" s="555"/>
      <c r="H495" s="555"/>
      <c r="I495" s="555"/>
      <c r="J495" s="555"/>
      <c r="K495" s="555"/>
      <c r="L495" s="555"/>
      <c r="M495" s="555"/>
      <c r="N495" s="555"/>
      <c r="O495" s="555"/>
      <c r="P495" s="555"/>
      <c r="Q495" s="555"/>
      <c r="R495" s="555"/>
      <c r="S495" s="555"/>
      <c r="T495" s="555"/>
      <c r="U495" s="555"/>
      <c r="V495" s="555"/>
      <c r="W495" s="555"/>
      <c r="X495" s="555"/>
      <c r="Y495" s="555"/>
      <c r="Z495" s="556"/>
    </row>
    <row r="496" spans="2:26" ht="30.75" thickBot="1" x14ac:dyDescent="0.45">
      <c r="B496" s="558"/>
      <c r="C496" s="559"/>
      <c r="D496" s="560"/>
      <c r="E496" s="559"/>
      <c r="F496" s="559"/>
      <c r="G496" s="559"/>
      <c r="H496" s="559"/>
      <c r="I496" s="559"/>
      <c r="J496" s="559"/>
      <c r="K496" s="559"/>
      <c r="L496" s="559"/>
      <c r="M496" s="559"/>
      <c r="N496" s="559"/>
      <c r="O496" s="559"/>
      <c r="P496" s="559"/>
      <c r="Q496" s="559"/>
      <c r="R496" s="559"/>
      <c r="S496" s="559"/>
      <c r="T496" s="559"/>
      <c r="U496" s="559"/>
      <c r="V496" s="559"/>
      <c r="W496" s="559"/>
      <c r="X496" s="559"/>
      <c r="Y496" s="559"/>
      <c r="Z496" s="561"/>
    </row>
  </sheetData>
  <sortState xmlns:xlrd2="http://schemas.microsoft.com/office/spreadsheetml/2017/richdata2" ref="B7:L65">
    <sortCondition ref="C7:C65"/>
  </sortState>
  <mergeCells count="1007">
    <mergeCell ref="H380:J388"/>
    <mergeCell ref="L380:N388"/>
    <mergeCell ref="P380:R388"/>
    <mergeCell ref="Q390:R390"/>
    <mergeCell ref="G390:H390"/>
    <mergeCell ref="I390:J390"/>
    <mergeCell ref="Q467:R467"/>
    <mergeCell ref="Q357:R357"/>
    <mergeCell ref="H369:J377"/>
    <mergeCell ref="L369:N377"/>
    <mergeCell ref="P369:R377"/>
    <mergeCell ref="K346:L346"/>
    <mergeCell ref="M346:N346"/>
    <mergeCell ref="O346:P346"/>
    <mergeCell ref="W280:X280"/>
    <mergeCell ref="Y280:Z280"/>
    <mergeCell ref="U291:V291"/>
    <mergeCell ref="W291:X291"/>
    <mergeCell ref="Y291:Z291"/>
    <mergeCell ref="Y302:Z302"/>
    <mergeCell ref="T292:V300"/>
    <mergeCell ref="T303:V311"/>
    <mergeCell ref="T281:V289"/>
    <mergeCell ref="O291:P291"/>
    <mergeCell ref="Q291:R291"/>
    <mergeCell ref="P292:R300"/>
    <mergeCell ref="X292:Z300"/>
    <mergeCell ref="W302:X302"/>
    <mergeCell ref="H325:J333"/>
    <mergeCell ref="L325:N333"/>
    <mergeCell ref="P325:R333"/>
    <mergeCell ref="X325:Z333"/>
    <mergeCell ref="U269:V269"/>
    <mergeCell ref="W269:X269"/>
    <mergeCell ref="Y269:Z269"/>
    <mergeCell ref="X270:Z278"/>
    <mergeCell ref="U280:V280"/>
    <mergeCell ref="U170:V170"/>
    <mergeCell ref="W170:X170"/>
    <mergeCell ref="Y170:Z170"/>
    <mergeCell ref="U181:V181"/>
    <mergeCell ref="W181:X181"/>
    <mergeCell ref="Y181:Z181"/>
    <mergeCell ref="T193:V201"/>
    <mergeCell ref="T270:V278"/>
    <mergeCell ref="T248:V256"/>
    <mergeCell ref="T259:V267"/>
    <mergeCell ref="U258:V258"/>
    <mergeCell ref="T226:V234"/>
    <mergeCell ref="T182:V190"/>
    <mergeCell ref="S181:T181"/>
    <mergeCell ref="W192:X192"/>
    <mergeCell ref="S192:T192"/>
    <mergeCell ref="Y214:Z214"/>
    <mergeCell ref="T171:V179"/>
    <mergeCell ref="Y192:Z192"/>
    <mergeCell ref="U203:V203"/>
    <mergeCell ref="W203:X203"/>
    <mergeCell ref="T105:V113"/>
    <mergeCell ref="L105:N113"/>
    <mergeCell ref="P105:R113"/>
    <mergeCell ref="U137:V137"/>
    <mergeCell ref="K159:L159"/>
    <mergeCell ref="M159:N159"/>
    <mergeCell ref="O159:P159"/>
    <mergeCell ref="Q159:R159"/>
    <mergeCell ref="S159:T159"/>
    <mergeCell ref="E80:F80"/>
    <mergeCell ref="B67:Z69"/>
    <mergeCell ref="B2:Z4"/>
    <mergeCell ref="T72:V80"/>
    <mergeCell ref="X72:Z80"/>
    <mergeCell ref="E73:F73"/>
    <mergeCell ref="E74:F74"/>
    <mergeCell ref="E75:F75"/>
    <mergeCell ref="E76:F76"/>
    <mergeCell ref="E77:F77"/>
    <mergeCell ref="E78:F78"/>
    <mergeCell ref="E79:F79"/>
    <mergeCell ref="U71:V71"/>
    <mergeCell ref="W71:X71"/>
    <mergeCell ref="Y71:Z71"/>
    <mergeCell ref="B72:D80"/>
    <mergeCell ref="E72:F72"/>
    <mergeCell ref="H72:J80"/>
    <mergeCell ref="L72:N80"/>
    <mergeCell ref="P72:R80"/>
    <mergeCell ref="B71:C71"/>
    <mergeCell ref="E71:F71"/>
    <mergeCell ref="G71:H71"/>
    <mergeCell ref="I71:J71"/>
    <mergeCell ref="K71:L71"/>
    <mergeCell ref="M71:N71"/>
    <mergeCell ref="O71:P71"/>
    <mergeCell ref="Q71:R71"/>
    <mergeCell ref="S71:T71"/>
    <mergeCell ref="X105:Z113"/>
    <mergeCell ref="B104:C104"/>
    <mergeCell ref="E104:F104"/>
    <mergeCell ref="G104:H104"/>
    <mergeCell ref="I104:J104"/>
    <mergeCell ref="K104:L104"/>
    <mergeCell ref="M104:N104"/>
    <mergeCell ref="O104:P104"/>
    <mergeCell ref="Q104:R104"/>
    <mergeCell ref="S104:T104"/>
    <mergeCell ref="U104:V104"/>
    <mergeCell ref="W104:X104"/>
    <mergeCell ref="Y104:Z104"/>
    <mergeCell ref="B105:D113"/>
    <mergeCell ref="E105:F105"/>
    <mergeCell ref="E106:F106"/>
    <mergeCell ref="E107:F107"/>
    <mergeCell ref="E108:F108"/>
    <mergeCell ref="E109:F109"/>
    <mergeCell ref="E110:F110"/>
    <mergeCell ref="E111:F111"/>
    <mergeCell ref="E112:F112"/>
    <mergeCell ref="E113:F113"/>
    <mergeCell ref="H105:J113"/>
    <mergeCell ref="B82:C82"/>
    <mergeCell ref="O82:P82"/>
    <mergeCell ref="U115:V115"/>
    <mergeCell ref="W115:X115"/>
    <mergeCell ref="B138:D146"/>
    <mergeCell ref="E138:F138"/>
    <mergeCell ref="E139:F139"/>
    <mergeCell ref="E140:F140"/>
    <mergeCell ref="E141:F141"/>
    <mergeCell ref="E142:F142"/>
    <mergeCell ref="E143:F143"/>
    <mergeCell ref="E144:F144"/>
    <mergeCell ref="E145:F145"/>
    <mergeCell ref="E146:F146"/>
    <mergeCell ref="B137:C137"/>
    <mergeCell ref="E137:F137"/>
    <mergeCell ref="G137:H137"/>
    <mergeCell ref="I137:J137"/>
    <mergeCell ref="K137:L137"/>
    <mergeCell ref="M137:N137"/>
    <mergeCell ref="O137:P137"/>
    <mergeCell ref="H138:J146"/>
    <mergeCell ref="L138:N146"/>
    <mergeCell ref="P138:R146"/>
    <mergeCell ref="T138:V146"/>
    <mergeCell ref="M126:N126"/>
    <mergeCell ref="O126:P126"/>
    <mergeCell ref="Q126:R126"/>
    <mergeCell ref="S126:T126"/>
    <mergeCell ref="U126:V126"/>
    <mergeCell ref="W126:X126"/>
    <mergeCell ref="X138:Z146"/>
    <mergeCell ref="O115:P115"/>
    <mergeCell ref="Q115:R115"/>
    <mergeCell ref="Y126:Z126"/>
    <mergeCell ref="M148:N148"/>
    <mergeCell ref="O148:P148"/>
    <mergeCell ref="Q148:R148"/>
    <mergeCell ref="S148:T148"/>
    <mergeCell ref="U148:V148"/>
    <mergeCell ref="W148:X148"/>
    <mergeCell ref="W137:X137"/>
    <mergeCell ref="Y137:Z137"/>
    <mergeCell ref="Q137:R137"/>
    <mergeCell ref="S137:T137"/>
    <mergeCell ref="E184:F184"/>
    <mergeCell ref="Y115:Z115"/>
    <mergeCell ref="B116:D124"/>
    <mergeCell ref="E116:F116"/>
    <mergeCell ref="H116:J124"/>
    <mergeCell ref="L116:N124"/>
    <mergeCell ref="P116:R124"/>
    <mergeCell ref="T116:V124"/>
    <mergeCell ref="X116:Z124"/>
    <mergeCell ref="E117:F117"/>
    <mergeCell ref="E118:F118"/>
    <mergeCell ref="E119:F119"/>
    <mergeCell ref="E120:F120"/>
    <mergeCell ref="E121:F121"/>
    <mergeCell ref="E122:F122"/>
    <mergeCell ref="E123:F123"/>
    <mergeCell ref="E124:F124"/>
    <mergeCell ref="B115:C115"/>
    <mergeCell ref="E115:F115"/>
    <mergeCell ref="E167:F167"/>
    <mergeCell ref="E168:F168"/>
    <mergeCell ref="S115:T115"/>
    <mergeCell ref="U159:V159"/>
    <mergeCell ref="W159:X159"/>
    <mergeCell ref="Y159:Z159"/>
    <mergeCell ref="G115:H115"/>
    <mergeCell ref="I115:J115"/>
    <mergeCell ref="K115:L115"/>
    <mergeCell ref="M115:N115"/>
    <mergeCell ref="E173:F173"/>
    <mergeCell ref="E174:F174"/>
    <mergeCell ref="E175:F175"/>
    <mergeCell ref="E176:F176"/>
    <mergeCell ref="E177:F177"/>
    <mergeCell ref="E178:F178"/>
    <mergeCell ref="E179:F179"/>
    <mergeCell ref="B159:C159"/>
    <mergeCell ref="E159:F159"/>
    <mergeCell ref="G159:H159"/>
    <mergeCell ref="I159:J159"/>
    <mergeCell ref="B160:D168"/>
    <mergeCell ref="E160:F160"/>
    <mergeCell ref="H160:J168"/>
    <mergeCell ref="L160:N168"/>
    <mergeCell ref="P160:R168"/>
    <mergeCell ref="X160:Z168"/>
    <mergeCell ref="E161:F161"/>
    <mergeCell ref="E162:F162"/>
    <mergeCell ref="E163:F163"/>
    <mergeCell ref="E164:F164"/>
    <mergeCell ref="E165:F165"/>
    <mergeCell ref="E166:F166"/>
    <mergeCell ref="T160:V168"/>
    <mergeCell ref="B193:D201"/>
    <mergeCell ref="E193:F193"/>
    <mergeCell ref="H193:J201"/>
    <mergeCell ref="L193:N201"/>
    <mergeCell ref="P193:R201"/>
    <mergeCell ref="X193:Z201"/>
    <mergeCell ref="B170:C170"/>
    <mergeCell ref="E170:F170"/>
    <mergeCell ref="G170:H170"/>
    <mergeCell ref="I170:J170"/>
    <mergeCell ref="K170:L170"/>
    <mergeCell ref="M170:N170"/>
    <mergeCell ref="O170:P170"/>
    <mergeCell ref="Q170:R170"/>
    <mergeCell ref="S170:T170"/>
    <mergeCell ref="B181:C181"/>
    <mergeCell ref="E181:F181"/>
    <mergeCell ref="G181:H181"/>
    <mergeCell ref="I181:J181"/>
    <mergeCell ref="K181:L181"/>
    <mergeCell ref="M181:N181"/>
    <mergeCell ref="O181:P181"/>
    <mergeCell ref="Q181:R181"/>
    <mergeCell ref="U192:V192"/>
    <mergeCell ref="B171:D179"/>
    <mergeCell ref="E171:F171"/>
    <mergeCell ref="H171:J179"/>
    <mergeCell ref="L171:N179"/>
    <mergeCell ref="E194:F194"/>
    <mergeCell ref="P171:R179"/>
    <mergeCell ref="X171:Z179"/>
    <mergeCell ref="I192:J192"/>
    <mergeCell ref="B236:C236"/>
    <mergeCell ref="E236:F236"/>
    <mergeCell ref="H226:J234"/>
    <mergeCell ref="L226:N234"/>
    <mergeCell ref="P226:R234"/>
    <mergeCell ref="X226:Z234"/>
    <mergeCell ref="B225:C225"/>
    <mergeCell ref="B226:D234"/>
    <mergeCell ref="E226:F226"/>
    <mergeCell ref="E227:F227"/>
    <mergeCell ref="E228:F228"/>
    <mergeCell ref="E229:F229"/>
    <mergeCell ref="E230:F230"/>
    <mergeCell ref="E231:F231"/>
    <mergeCell ref="E232:F232"/>
    <mergeCell ref="E233:F233"/>
    <mergeCell ref="E234:F234"/>
    <mergeCell ref="E225:F225"/>
    <mergeCell ref="G225:H225"/>
    <mergeCell ref="I225:J225"/>
    <mergeCell ref="K225:L225"/>
    <mergeCell ref="M225:N225"/>
    <mergeCell ref="O225:P225"/>
    <mergeCell ref="Q225:R225"/>
    <mergeCell ref="S225:T225"/>
    <mergeCell ref="U225:V225"/>
    <mergeCell ref="W225:X225"/>
    <mergeCell ref="Y225:Z225"/>
    <mergeCell ref="B247:C247"/>
    <mergeCell ref="E247:F247"/>
    <mergeCell ref="G247:H247"/>
    <mergeCell ref="I247:J247"/>
    <mergeCell ref="K247:L247"/>
    <mergeCell ref="M247:N247"/>
    <mergeCell ref="O247:P247"/>
    <mergeCell ref="Q247:R247"/>
    <mergeCell ref="S247:T247"/>
    <mergeCell ref="B237:D245"/>
    <mergeCell ref="E237:F237"/>
    <mergeCell ref="E238:F238"/>
    <mergeCell ref="E239:F239"/>
    <mergeCell ref="E240:F240"/>
    <mergeCell ref="E241:F241"/>
    <mergeCell ref="E242:F242"/>
    <mergeCell ref="E243:F243"/>
    <mergeCell ref="E244:F244"/>
    <mergeCell ref="E245:F245"/>
    <mergeCell ref="T237:V245"/>
    <mergeCell ref="L248:N256"/>
    <mergeCell ref="P248:R256"/>
    <mergeCell ref="X248:Z256"/>
    <mergeCell ref="E249:F249"/>
    <mergeCell ref="E250:F250"/>
    <mergeCell ref="E251:F251"/>
    <mergeCell ref="E252:F252"/>
    <mergeCell ref="E253:F253"/>
    <mergeCell ref="E254:F254"/>
    <mergeCell ref="E255:F255"/>
    <mergeCell ref="E256:F256"/>
    <mergeCell ref="U247:V247"/>
    <mergeCell ref="W247:X247"/>
    <mergeCell ref="Y247:Z247"/>
    <mergeCell ref="G236:H236"/>
    <mergeCell ref="I236:J236"/>
    <mergeCell ref="K236:L236"/>
    <mergeCell ref="M236:N236"/>
    <mergeCell ref="O236:P236"/>
    <mergeCell ref="Q236:R236"/>
    <mergeCell ref="S236:T236"/>
    <mergeCell ref="U236:V236"/>
    <mergeCell ref="W236:X236"/>
    <mergeCell ref="H237:J245"/>
    <mergeCell ref="L237:N245"/>
    <mergeCell ref="P237:R245"/>
    <mergeCell ref="X237:Z245"/>
    <mergeCell ref="Y236:Z236"/>
    <mergeCell ref="P259:R267"/>
    <mergeCell ref="X259:Z267"/>
    <mergeCell ref="E260:F260"/>
    <mergeCell ref="E261:F261"/>
    <mergeCell ref="E262:F262"/>
    <mergeCell ref="E263:F263"/>
    <mergeCell ref="E264:F264"/>
    <mergeCell ref="E265:F265"/>
    <mergeCell ref="E266:F266"/>
    <mergeCell ref="E267:F267"/>
    <mergeCell ref="B258:C258"/>
    <mergeCell ref="E258:F258"/>
    <mergeCell ref="G258:H258"/>
    <mergeCell ref="I258:J258"/>
    <mergeCell ref="K258:L258"/>
    <mergeCell ref="M258:N258"/>
    <mergeCell ref="O258:P258"/>
    <mergeCell ref="Q258:R258"/>
    <mergeCell ref="S258:T258"/>
    <mergeCell ref="W258:X258"/>
    <mergeCell ref="Y258:Z258"/>
    <mergeCell ref="B280:C280"/>
    <mergeCell ref="E280:F280"/>
    <mergeCell ref="G280:H280"/>
    <mergeCell ref="I280:J280"/>
    <mergeCell ref="K280:L280"/>
    <mergeCell ref="M280:N280"/>
    <mergeCell ref="O280:P280"/>
    <mergeCell ref="Q280:R280"/>
    <mergeCell ref="S280:T280"/>
    <mergeCell ref="B270:D278"/>
    <mergeCell ref="B269:C269"/>
    <mergeCell ref="E269:F269"/>
    <mergeCell ref="G269:H269"/>
    <mergeCell ref="I269:J269"/>
    <mergeCell ref="K269:L269"/>
    <mergeCell ref="M269:N269"/>
    <mergeCell ref="O269:P269"/>
    <mergeCell ref="Q269:R269"/>
    <mergeCell ref="H270:J278"/>
    <mergeCell ref="L270:N278"/>
    <mergeCell ref="P270:R278"/>
    <mergeCell ref="E270:F270"/>
    <mergeCell ref="E271:F271"/>
    <mergeCell ref="E272:F272"/>
    <mergeCell ref="E273:F273"/>
    <mergeCell ref="E274:F274"/>
    <mergeCell ref="E275:F275"/>
    <mergeCell ref="E276:F276"/>
    <mergeCell ref="E277:F277"/>
    <mergeCell ref="E278:F278"/>
    <mergeCell ref="S269:T269"/>
    <mergeCell ref="E293:F293"/>
    <mergeCell ref="E294:F294"/>
    <mergeCell ref="E295:F295"/>
    <mergeCell ref="E296:F296"/>
    <mergeCell ref="E297:F297"/>
    <mergeCell ref="E298:F298"/>
    <mergeCell ref="E299:F299"/>
    <mergeCell ref="E300:F300"/>
    <mergeCell ref="Q302:R302"/>
    <mergeCell ref="S291:T291"/>
    <mergeCell ref="B281:D289"/>
    <mergeCell ref="E281:F281"/>
    <mergeCell ref="H281:J289"/>
    <mergeCell ref="L281:N289"/>
    <mergeCell ref="P281:R289"/>
    <mergeCell ref="X281:Z289"/>
    <mergeCell ref="E282:F282"/>
    <mergeCell ref="E283:F283"/>
    <mergeCell ref="E284:F284"/>
    <mergeCell ref="E285:F285"/>
    <mergeCell ref="E286:F286"/>
    <mergeCell ref="E287:F287"/>
    <mergeCell ref="E288:F288"/>
    <mergeCell ref="E289:F289"/>
    <mergeCell ref="B291:C291"/>
    <mergeCell ref="E291:F291"/>
    <mergeCell ref="G291:H291"/>
    <mergeCell ref="I291:J291"/>
    <mergeCell ref="K291:L291"/>
    <mergeCell ref="M291:N291"/>
    <mergeCell ref="S302:T302"/>
    <mergeCell ref="U302:V302"/>
    <mergeCell ref="B303:D311"/>
    <mergeCell ref="E303:F303"/>
    <mergeCell ref="E304:F304"/>
    <mergeCell ref="E305:F305"/>
    <mergeCell ref="E306:F306"/>
    <mergeCell ref="E307:F307"/>
    <mergeCell ref="E308:F308"/>
    <mergeCell ref="E309:F309"/>
    <mergeCell ref="E310:F310"/>
    <mergeCell ref="E311:F311"/>
    <mergeCell ref="H303:J311"/>
    <mergeCell ref="L303:N311"/>
    <mergeCell ref="P303:R311"/>
    <mergeCell ref="X303:Z311"/>
    <mergeCell ref="B302:C302"/>
    <mergeCell ref="E302:F302"/>
    <mergeCell ref="G302:H302"/>
    <mergeCell ref="I302:J302"/>
    <mergeCell ref="K302:L302"/>
    <mergeCell ref="M302:N302"/>
    <mergeCell ref="O302:P302"/>
    <mergeCell ref="B314:D322"/>
    <mergeCell ref="B325:D333"/>
    <mergeCell ref="E314:F314"/>
    <mergeCell ref="E315:F315"/>
    <mergeCell ref="E316:F316"/>
    <mergeCell ref="E317:F317"/>
    <mergeCell ref="E318:F318"/>
    <mergeCell ref="E319:F319"/>
    <mergeCell ref="E320:F320"/>
    <mergeCell ref="E321:F321"/>
    <mergeCell ref="E322:F322"/>
    <mergeCell ref="E325:F325"/>
    <mergeCell ref="E326:F326"/>
    <mergeCell ref="E327:F327"/>
    <mergeCell ref="E328:F328"/>
    <mergeCell ref="E329:F329"/>
    <mergeCell ref="E330:F330"/>
    <mergeCell ref="E331:F331"/>
    <mergeCell ref="E332:F332"/>
    <mergeCell ref="E333:F333"/>
    <mergeCell ref="E324:F324"/>
    <mergeCell ref="T314:V322"/>
    <mergeCell ref="G313:H313"/>
    <mergeCell ref="I313:J313"/>
    <mergeCell ref="K313:L313"/>
    <mergeCell ref="M313:N313"/>
    <mergeCell ref="O313:P313"/>
    <mergeCell ref="Q324:R324"/>
    <mergeCell ref="S324:T324"/>
    <mergeCell ref="U324:V324"/>
    <mergeCell ref="W324:X324"/>
    <mergeCell ref="Y324:Z324"/>
    <mergeCell ref="T325:V333"/>
    <mergeCell ref="G324:H324"/>
    <mergeCell ref="I324:J324"/>
    <mergeCell ref="K324:L324"/>
    <mergeCell ref="M324:N324"/>
    <mergeCell ref="O324:P324"/>
    <mergeCell ref="H314:J322"/>
    <mergeCell ref="B127:D135"/>
    <mergeCell ref="E127:F127"/>
    <mergeCell ref="H127:J135"/>
    <mergeCell ref="L127:N135"/>
    <mergeCell ref="B94:D102"/>
    <mergeCell ref="E195:F195"/>
    <mergeCell ref="E196:F196"/>
    <mergeCell ref="E197:F197"/>
    <mergeCell ref="E198:F198"/>
    <mergeCell ref="E199:F199"/>
    <mergeCell ref="E200:F200"/>
    <mergeCell ref="E201:F201"/>
    <mergeCell ref="B192:C192"/>
    <mergeCell ref="E192:F192"/>
    <mergeCell ref="G192:H192"/>
    <mergeCell ref="E82:F82"/>
    <mergeCell ref="G82:H82"/>
    <mergeCell ref="I82:J82"/>
    <mergeCell ref="K82:L82"/>
    <mergeCell ref="B93:C93"/>
    <mergeCell ref="E93:F93"/>
    <mergeCell ref="G93:H93"/>
    <mergeCell ref="I93:J93"/>
    <mergeCell ref="K93:L93"/>
    <mergeCell ref="B126:C126"/>
    <mergeCell ref="E126:F126"/>
    <mergeCell ref="G126:H126"/>
    <mergeCell ref="I126:J126"/>
    <mergeCell ref="K126:L126"/>
    <mergeCell ref="B148:C148"/>
    <mergeCell ref="E148:F148"/>
    <mergeCell ref="G148:H148"/>
    <mergeCell ref="Q82:R82"/>
    <mergeCell ref="S82:T82"/>
    <mergeCell ref="U82:V82"/>
    <mergeCell ref="W82:X82"/>
    <mergeCell ref="Y82:Z82"/>
    <mergeCell ref="B83:D91"/>
    <mergeCell ref="E83:F83"/>
    <mergeCell ref="H83:J91"/>
    <mergeCell ref="L83:N91"/>
    <mergeCell ref="P83:R91"/>
    <mergeCell ref="T83:V91"/>
    <mergeCell ref="X83:Z91"/>
    <mergeCell ref="E84:F84"/>
    <mergeCell ref="E85:F85"/>
    <mergeCell ref="E86:F86"/>
    <mergeCell ref="E87:F87"/>
    <mergeCell ref="E88:F88"/>
    <mergeCell ref="E89:F89"/>
    <mergeCell ref="E90:F90"/>
    <mergeCell ref="E91:F91"/>
    <mergeCell ref="M82:N82"/>
    <mergeCell ref="P127:R135"/>
    <mergeCell ref="T127:V135"/>
    <mergeCell ref="X127:Z135"/>
    <mergeCell ref="E128:F128"/>
    <mergeCell ref="E129:F129"/>
    <mergeCell ref="E130:F130"/>
    <mergeCell ref="E131:F131"/>
    <mergeCell ref="E132:F132"/>
    <mergeCell ref="E133:F133"/>
    <mergeCell ref="E134:F134"/>
    <mergeCell ref="E135:F135"/>
    <mergeCell ref="M93:N93"/>
    <mergeCell ref="O93:P93"/>
    <mergeCell ref="Q93:R93"/>
    <mergeCell ref="S93:T93"/>
    <mergeCell ref="U93:V93"/>
    <mergeCell ref="W93:X93"/>
    <mergeCell ref="Y93:Z93"/>
    <mergeCell ref="E94:F94"/>
    <mergeCell ref="H94:J102"/>
    <mergeCell ref="L94:N102"/>
    <mergeCell ref="P94:R102"/>
    <mergeCell ref="T94:V102"/>
    <mergeCell ref="X94:Z102"/>
    <mergeCell ref="E95:F95"/>
    <mergeCell ref="E96:F96"/>
    <mergeCell ref="E97:F97"/>
    <mergeCell ref="E98:F98"/>
    <mergeCell ref="E99:F99"/>
    <mergeCell ref="E100:F100"/>
    <mergeCell ref="E101:F101"/>
    <mergeCell ref="E102:F102"/>
    <mergeCell ref="Y148:Z148"/>
    <mergeCell ref="B149:D157"/>
    <mergeCell ref="E149:F149"/>
    <mergeCell ref="H149:J157"/>
    <mergeCell ref="L149:N157"/>
    <mergeCell ref="P149:R157"/>
    <mergeCell ref="T149:V157"/>
    <mergeCell ref="X149:Z157"/>
    <mergeCell ref="E150:F150"/>
    <mergeCell ref="E151:F151"/>
    <mergeCell ref="E152:F152"/>
    <mergeCell ref="E153:F153"/>
    <mergeCell ref="E154:F154"/>
    <mergeCell ref="E155:F155"/>
    <mergeCell ref="E156:F156"/>
    <mergeCell ref="E157:F157"/>
    <mergeCell ref="B182:D190"/>
    <mergeCell ref="E182:F182"/>
    <mergeCell ref="H182:J190"/>
    <mergeCell ref="L182:N190"/>
    <mergeCell ref="P182:R190"/>
    <mergeCell ref="X182:Z190"/>
    <mergeCell ref="E183:F183"/>
    <mergeCell ref="I148:J148"/>
    <mergeCell ref="K148:L148"/>
    <mergeCell ref="E185:F185"/>
    <mergeCell ref="E186:F186"/>
    <mergeCell ref="E187:F187"/>
    <mergeCell ref="E188:F188"/>
    <mergeCell ref="E189:F189"/>
    <mergeCell ref="E190:F190"/>
    <mergeCell ref="E172:F172"/>
    <mergeCell ref="Q335:R335"/>
    <mergeCell ref="S335:T335"/>
    <mergeCell ref="U335:V335"/>
    <mergeCell ref="W335:X335"/>
    <mergeCell ref="O214:P214"/>
    <mergeCell ref="Q214:R214"/>
    <mergeCell ref="S214:T214"/>
    <mergeCell ref="U214:V214"/>
    <mergeCell ref="W214:X214"/>
    <mergeCell ref="E210:F210"/>
    <mergeCell ref="E211:F211"/>
    <mergeCell ref="E212:F212"/>
    <mergeCell ref="X215:Z223"/>
    <mergeCell ref="E221:F221"/>
    <mergeCell ref="E222:F222"/>
    <mergeCell ref="E223:F223"/>
    <mergeCell ref="E292:F292"/>
    <mergeCell ref="H292:J300"/>
    <mergeCell ref="L292:N300"/>
    <mergeCell ref="E259:F259"/>
    <mergeCell ref="H259:J267"/>
    <mergeCell ref="L259:N267"/>
    <mergeCell ref="E248:F248"/>
    <mergeCell ref="H248:J256"/>
    <mergeCell ref="Q313:R313"/>
    <mergeCell ref="S313:T313"/>
    <mergeCell ref="U313:V313"/>
    <mergeCell ref="E214:F214"/>
    <mergeCell ref="G214:H214"/>
    <mergeCell ref="L314:N322"/>
    <mergeCell ref="P314:R322"/>
    <mergeCell ref="X314:Z322"/>
    <mergeCell ref="K192:L192"/>
    <mergeCell ref="M192:N192"/>
    <mergeCell ref="O192:P192"/>
    <mergeCell ref="Q192:R192"/>
    <mergeCell ref="G203:H203"/>
    <mergeCell ref="I203:J203"/>
    <mergeCell ref="K203:L203"/>
    <mergeCell ref="M203:N203"/>
    <mergeCell ref="O203:P203"/>
    <mergeCell ref="Y335:Z335"/>
    <mergeCell ref="L336:N344"/>
    <mergeCell ref="P336:R344"/>
    <mergeCell ref="T336:V344"/>
    <mergeCell ref="X336:Z344"/>
    <mergeCell ref="B335:C335"/>
    <mergeCell ref="E335:F335"/>
    <mergeCell ref="G335:H335"/>
    <mergeCell ref="I335:J335"/>
    <mergeCell ref="Y203:Z203"/>
    <mergeCell ref="B204:D212"/>
    <mergeCell ref="E204:F204"/>
    <mergeCell ref="H204:J212"/>
    <mergeCell ref="L204:N212"/>
    <mergeCell ref="P204:R212"/>
    <mergeCell ref="T204:V212"/>
    <mergeCell ref="X204:Z212"/>
    <mergeCell ref="E205:F205"/>
    <mergeCell ref="E206:F206"/>
    <mergeCell ref="E207:F207"/>
    <mergeCell ref="E208:F208"/>
    <mergeCell ref="E209:F209"/>
    <mergeCell ref="B203:C203"/>
    <mergeCell ref="E203:F203"/>
    <mergeCell ref="S203:T203"/>
    <mergeCell ref="Q203:R203"/>
    <mergeCell ref="B313:C313"/>
    <mergeCell ref="E313:F313"/>
    <mergeCell ref="B324:C324"/>
    <mergeCell ref="B357:C357"/>
    <mergeCell ref="E357:F357"/>
    <mergeCell ref="G357:H357"/>
    <mergeCell ref="I357:J357"/>
    <mergeCell ref="B336:D344"/>
    <mergeCell ref="E336:F336"/>
    <mergeCell ref="E337:F337"/>
    <mergeCell ref="E338:F338"/>
    <mergeCell ref="E339:F339"/>
    <mergeCell ref="E340:F340"/>
    <mergeCell ref="B346:C346"/>
    <mergeCell ref="E346:F346"/>
    <mergeCell ref="G346:H346"/>
    <mergeCell ref="I346:J346"/>
    <mergeCell ref="B215:D223"/>
    <mergeCell ref="E215:F215"/>
    <mergeCell ref="H215:J223"/>
    <mergeCell ref="L215:N223"/>
    <mergeCell ref="P215:R223"/>
    <mergeCell ref="T215:V223"/>
    <mergeCell ref="E216:F216"/>
    <mergeCell ref="E217:F217"/>
    <mergeCell ref="E218:F218"/>
    <mergeCell ref="E219:F219"/>
    <mergeCell ref="E220:F220"/>
    <mergeCell ref="B214:C214"/>
    <mergeCell ref="B358:D366"/>
    <mergeCell ref="E358:F358"/>
    <mergeCell ref="E359:F359"/>
    <mergeCell ref="E360:F360"/>
    <mergeCell ref="E361:F361"/>
    <mergeCell ref="E362:F362"/>
    <mergeCell ref="E363:F363"/>
    <mergeCell ref="E364:F364"/>
    <mergeCell ref="E365:F365"/>
    <mergeCell ref="E366:F366"/>
    <mergeCell ref="H336:J344"/>
    <mergeCell ref="H358:J366"/>
    <mergeCell ref="E369:F369"/>
    <mergeCell ref="E370:F370"/>
    <mergeCell ref="E371:F371"/>
    <mergeCell ref="E372:F372"/>
    <mergeCell ref="E373:F373"/>
    <mergeCell ref="E341:F341"/>
    <mergeCell ref="E342:F342"/>
    <mergeCell ref="E343:F343"/>
    <mergeCell ref="E344:F344"/>
    <mergeCell ref="E374:F374"/>
    <mergeCell ref="E375:F375"/>
    <mergeCell ref="E376:F376"/>
    <mergeCell ref="E377:F377"/>
    <mergeCell ref="S357:T357"/>
    <mergeCell ref="U357:V357"/>
    <mergeCell ref="W357:X357"/>
    <mergeCell ref="Y357:Z357"/>
    <mergeCell ref="L358:N366"/>
    <mergeCell ref="P358:R366"/>
    <mergeCell ref="T358:V366"/>
    <mergeCell ref="X358:Z366"/>
    <mergeCell ref="Q368:R368"/>
    <mergeCell ref="S368:T368"/>
    <mergeCell ref="U368:V368"/>
    <mergeCell ref="W368:X368"/>
    <mergeCell ref="Y368:Z368"/>
    <mergeCell ref="K357:L357"/>
    <mergeCell ref="M357:N357"/>
    <mergeCell ref="O357:P357"/>
    <mergeCell ref="M368:N368"/>
    <mergeCell ref="O368:P368"/>
    <mergeCell ref="T380:V388"/>
    <mergeCell ref="X380:Z388"/>
    <mergeCell ref="E381:F381"/>
    <mergeCell ref="E382:F382"/>
    <mergeCell ref="E383:F383"/>
    <mergeCell ref="E384:F384"/>
    <mergeCell ref="E385:F385"/>
    <mergeCell ref="E386:F386"/>
    <mergeCell ref="E387:F387"/>
    <mergeCell ref="E388:F388"/>
    <mergeCell ref="B368:C368"/>
    <mergeCell ref="E368:F368"/>
    <mergeCell ref="G368:H368"/>
    <mergeCell ref="I368:J368"/>
    <mergeCell ref="K368:L368"/>
    <mergeCell ref="B380:D388"/>
    <mergeCell ref="E380:F380"/>
    <mergeCell ref="T369:V377"/>
    <mergeCell ref="X369:Z377"/>
    <mergeCell ref="B379:C379"/>
    <mergeCell ref="E379:F379"/>
    <mergeCell ref="G379:H379"/>
    <mergeCell ref="I379:J379"/>
    <mergeCell ref="K379:L379"/>
    <mergeCell ref="M379:N379"/>
    <mergeCell ref="O379:P379"/>
    <mergeCell ref="Q379:R379"/>
    <mergeCell ref="S379:T379"/>
    <mergeCell ref="U379:V379"/>
    <mergeCell ref="W379:X379"/>
    <mergeCell ref="Y379:Z379"/>
    <mergeCell ref="B369:D377"/>
    <mergeCell ref="S390:T390"/>
    <mergeCell ref="U390:V390"/>
    <mergeCell ref="W390:X390"/>
    <mergeCell ref="Y390:Z390"/>
    <mergeCell ref="L391:N399"/>
    <mergeCell ref="P391:R399"/>
    <mergeCell ref="T391:V399"/>
    <mergeCell ref="X391:Z399"/>
    <mergeCell ref="K390:L390"/>
    <mergeCell ref="M390:N390"/>
    <mergeCell ref="O390:P390"/>
    <mergeCell ref="B390:C390"/>
    <mergeCell ref="E390:F390"/>
    <mergeCell ref="H413:J421"/>
    <mergeCell ref="B412:C412"/>
    <mergeCell ref="E412:F412"/>
    <mergeCell ref="G412:H412"/>
    <mergeCell ref="I412:J412"/>
    <mergeCell ref="B401:C401"/>
    <mergeCell ref="E401:F401"/>
    <mergeCell ref="G401:H401"/>
    <mergeCell ref="I401:J401"/>
    <mergeCell ref="U401:V401"/>
    <mergeCell ref="W401:X401"/>
    <mergeCell ref="Y401:Z401"/>
    <mergeCell ref="B402:D410"/>
    <mergeCell ref="E402:F402"/>
    <mergeCell ref="H402:J410"/>
    <mergeCell ref="L402:N410"/>
    <mergeCell ref="P402:R410"/>
    <mergeCell ref="T402:V410"/>
    <mergeCell ref="X402:Z410"/>
    <mergeCell ref="B391:D399"/>
    <mergeCell ref="E391:F391"/>
    <mergeCell ref="E392:F392"/>
    <mergeCell ref="E393:F393"/>
    <mergeCell ref="E394:F394"/>
    <mergeCell ref="E395:F395"/>
    <mergeCell ref="E396:F396"/>
    <mergeCell ref="E397:F397"/>
    <mergeCell ref="E398:F398"/>
    <mergeCell ref="E399:F399"/>
    <mergeCell ref="H391:J399"/>
    <mergeCell ref="E428:F428"/>
    <mergeCell ref="E429:F429"/>
    <mergeCell ref="E430:F430"/>
    <mergeCell ref="E431:F431"/>
    <mergeCell ref="E432:F432"/>
    <mergeCell ref="Q412:R412"/>
    <mergeCell ref="E409:F409"/>
    <mergeCell ref="E410:F410"/>
    <mergeCell ref="K401:L401"/>
    <mergeCell ref="M401:N401"/>
    <mergeCell ref="O401:P401"/>
    <mergeCell ref="Q401:R401"/>
    <mergeCell ref="B413:D421"/>
    <mergeCell ref="E413:F413"/>
    <mergeCell ref="E414:F414"/>
    <mergeCell ref="E415:F415"/>
    <mergeCell ref="E416:F416"/>
    <mergeCell ref="E417:F417"/>
    <mergeCell ref="B423:C423"/>
    <mergeCell ref="O423:P423"/>
    <mergeCell ref="Q423:R423"/>
    <mergeCell ref="S423:T423"/>
    <mergeCell ref="U423:V423"/>
    <mergeCell ref="W423:X423"/>
    <mergeCell ref="Y423:Z423"/>
    <mergeCell ref="L424:N432"/>
    <mergeCell ref="P446:R454"/>
    <mergeCell ref="T446:V454"/>
    <mergeCell ref="X446:Z454"/>
    <mergeCell ref="T435:V443"/>
    <mergeCell ref="X435:Z443"/>
    <mergeCell ref="U434:V434"/>
    <mergeCell ref="W434:X434"/>
    <mergeCell ref="E442:F442"/>
    <mergeCell ref="E443:F443"/>
    <mergeCell ref="H435:J443"/>
    <mergeCell ref="Y434:Z434"/>
    <mergeCell ref="L435:N443"/>
    <mergeCell ref="P435:R443"/>
    <mergeCell ref="E436:F436"/>
    <mergeCell ref="E437:F437"/>
    <mergeCell ref="E438:F438"/>
    <mergeCell ref="E439:F439"/>
    <mergeCell ref="E440:F440"/>
    <mergeCell ref="E441:F441"/>
    <mergeCell ref="E448:F448"/>
    <mergeCell ref="E449:F449"/>
    <mergeCell ref="E450:F450"/>
    <mergeCell ref="E451:F451"/>
    <mergeCell ref="E452:F452"/>
    <mergeCell ref="E453:F453"/>
    <mergeCell ref="E454:F454"/>
    <mergeCell ref="S412:T412"/>
    <mergeCell ref="U412:V412"/>
    <mergeCell ref="W412:X412"/>
    <mergeCell ref="Y412:Z412"/>
    <mergeCell ref="L413:N421"/>
    <mergeCell ref="P413:R421"/>
    <mergeCell ref="T413:V421"/>
    <mergeCell ref="X413:Z421"/>
    <mergeCell ref="H424:J432"/>
    <mergeCell ref="K412:L412"/>
    <mergeCell ref="M412:N412"/>
    <mergeCell ref="O412:P412"/>
    <mergeCell ref="E403:F403"/>
    <mergeCell ref="E404:F404"/>
    <mergeCell ref="E405:F405"/>
    <mergeCell ref="E406:F406"/>
    <mergeCell ref="E407:F407"/>
    <mergeCell ref="E408:F408"/>
    <mergeCell ref="P424:R432"/>
    <mergeCell ref="T424:V432"/>
    <mergeCell ref="X424:Z432"/>
    <mergeCell ref="E423:F423"/>
    <mergeCell ref="G423:H423"/>
    <mergeCell ref="I423:J423"/>
    <mergeCell ref="E424:F424"/>
    <mergeCell ref="E425:F425"/>
    <mergeCell ref="E418:F418"/>
    <mergeCell ref="E419:F419"/>
    <mergeCell ref="E420:F420"/>
    <mergeCell ref="E421:F421"/>
    <mergeCell ref="K423:L423"/>
    <mergeCell ref="M423:N423"/>
    <mergeCell ref="B456:C456"/>
    <mergeCell ref="E456:F456"/>
    <mergeCell ref="G456:H456"/>
    <mergeCell ref="I456:J456"/>
    <mergeCell ref="E457:F457"/>
    <mergeCell ref="E458:F458"/>
    <mergeCell ref="E459:F459"/>
    <mergeCell ref="E460:F460"/>
    <mergeCell ref="E461:F461"/>
    <mergeCell ref="E462:F462"/>
    <mergeCell ref="E463:F463"/>
    <mergeCell ref="E464:F464"/>
    <mergeCell ref="E465:F465"/>
    <mergeCell ref="H457:J465"/>
    <mergeCell ref="B457:D465"/>
    <mergeCell ref="K456:L456"/>
    <mergeCell ref="M456:N456"/>
    <mergeCell ref="B467:C467"/>
    <mergeCell ref="E467:F467"/>
    <mergeCell ref="G467:H467"/>
    <mergeCell ref="I467:J467"/>
    <mergeCell ref="E468:F468"/>
    <mergeCell ref="E469:F469"/>
    <mergeCell ref="E470:F470"/>
    <mergeCell ref="E471:F471"/>
    <mergeCell ref="E472:F472"/>
    <mergeCell ref="E473:F473"/>
    <mergeCell ref="E474:F474"/>
    <mergeCell ref="E475:F475"/>
    <mergeCell ref="E476:F476"/>
    <mergeCell ref="B468:D476"/>
    <mergeCell ref="K467:L467"/>
    <mergeCell ref="M467:N467"/>
    <mergeCell ref="O467:P467"/>
    <mergeCell ref="H468:J476"/>
    <mergeCell ref="Q456:R456"/>
    <mergeCell ref="S456:T456"/>
    <mergeCell ref="U456:V456"/>
    <mergeCell ref="W456:X456"/>
    <mergeCell ref="Y456:Z456"/>
    <mergeCell ref="U467:V467"/>
    <mergeCell ref="W467:X467"/>
    <mergeCell ref="Y467:Z467"/>
    <mergeCell ref="L468:N476"/>
    <mergeCell ref="P468:R476"/>
    <mergeCell ref="T468:V476"/>
    <mergeCell ref="X468:Z476"/>
    <mergeCell ref="S467:T467"/>
    <mergeCell ref="U445:V445"/>
    <mergeCell ref="W445:X445"/>
    <mergeCell ref="Y445:Z445"/>
    <mergeCell ref="W313:X313"/>
    <mergeCell ref="Y313:Z313"/>
    <mergeCell ref="K335:L335"/>
    <mergeCell ref="M335:N335"/>
    <mergeCell ref="O335:P335"/>
    <mergeCell ref="S401:T401"/>
    <mergeCell ref="S434:T434"/>
    <mergeCell ref="K434:L434"/>
    <mergeCell ref="M434:N434"/>
    <mergeCell ref="O434:P434"/>
    <mergeCell ref="Q434:R434"/>
    <mergeCell ref="L457:N465"/>
    <mergeCell ref="P457:R465"/>
    <mergeCell ref="T457:V465"/>
    <mergeCell ref="X457:Z465"/>
    <mergeCell ref="O456:P456"/>
    <mergeCell ref="B446:D454"/>
    <mergeCell ref="K445:L445"/>
    <mergeCell ref="L446:N454"/>
    <mergeCell ref="B445:C445"/>
    <mergeCell ref="E445:F445"/>
    <mergeCell ref="G445:H445"/>
    <mergeCell ref="I445:J445"/>
    <mergeCell ref="H446:J454"/>
    <mergeCell ref="E446:F446"/>
    <mergeCell ref="E447:F447"/>
    <mergeCell ref="M445:N445"/>
    <mergeCell ref="O445:P445"/>
    <mergeCell ref="Q445:R445"/>
    <mergeCell ref="S445:T445"/>
    <mergeCell ref="E426:F426"/>
    <mergeCell ref="E427:F427"/>
    <mergeCell ref="B435:D443"/>
    <mergeCell ref="E435:F435"/>
    <mergeCell ref="B434:C434"/>
    <mergeCell ref="E434:F434"/>
    <mergeCell ref="G434:H434"/>
    <mergeCell ref="I434:J434"/>
    <mergeCell ref="B424:D432"/>
    <mergeCell ref="F490:J490"/>
    <mergeCell ref="Q490:U490"/>
    <mergeCell ref="F491:J491"/>
    <mergeCell ref="Q491:U491"/>
    <mergeCell ref="F492:I492"/>
    <mergeCell ref="Q492:U492"/>
    <mergeCell ref="I214:J214"/>
    <mergeCell ref="K214:L214"/>
    <mergeCell ref="M214:N214"/>
    <mergeCell ref="Q346:R346"/>
    <mergeCell ref="S346:T346"/>
    <mergeCell ref="U346:V346"/>
    <mergeCell ref="W346:X346"/>
    <mergeCell ref="Y346:Z346"/>
    <mergeCell ref="B347:D355"/>
    <mergeCell ref="E347:F347"/>
    <mergeCell ref="H347:J355"/>
    <mergeCell ref="L347:N355"/>
    <mergeCell ref="P347:R355"/>
    <mergeCell ref="T347:V355"/>
    <mergeCell ref="X347:Z355"/>
    <mergeCell ref="E348:F348"/>
    <mergeCell ref="E349:F349"/>
    <mergeCell ref="E350:F350"/>
    <mergeCell ref="E351:F351"/>
    <mergeCell ref="E352:F352"/>
    <mergeCell ref="E353:F353"/>
    <mergeCell ref="E354:F354"/>
    <mergeCell ref="E355:F355"/>
    <mergeCell ref="B292:D300"/>
    <mergeCell ref="B259:D267"/>
    <mergeCell ref="B248:D256"/>
  </mergeCells>
  <conditionalFormatting sqref="S106:S113">
    <cfRule type="cellIs" dxfId="541" priority="447" operator="lessThan">
      <formula>0.1</formula>
    </cfRule>
  </conditionalFormatting>
  <conditionalFormatting sqref="S171">
    <cfRule type="cellIs" dxfId="540" priority="448" operator="lessThan">
      <formula>0.1</formula>
    </cfRule>
  </conditionalFormatting>
  <conditionalFormatting sqref="G186:G190">
    <cfRule type="cellIs" dxfId="539" priority="439" operator="lessThan">
      <formula>0.1</formula>
    </cfRule>
  </conditionalFormatting>
  <conditionalFormatting sqref="W190">
    <cfRule type="cellIs" dxfId="538" priority="440" operator="lessThan">
      <formula>0.1</formula>
    </cfRule>
  </conditionalFormatting>
  <conditionalFormatting sqref="G73:G75">
    <cfRule type="cellIs" dxfId="537" priority="517" operator="lessThan">
      <formula>0.1</formula>
    </cfRule>
  </conditionalFormatting>
  <conditionalFormatting sqref="F76:F80">
    <cfRule type="cellIs" dxfId="536" priority="518" operator="lessThan">
      <formula>0.1</formula>
    </cfRule>
  </conditionalFormatting>
  <conditionalFormatting sqref="G76:G80">
    <cfRule type="cellIs" dxfId="535" priority="519" operator="lessThan">
      <formula>0.1</formula>
    </cfRule>
  </conditionalFormatting>
  <conditionalFormatting sqref="S75:S79">
    <cfRule type="cellIs" dxfId="534" priority="520" operator="lessThan">
      <formula>0.1</formula>
    </cfRule>
  </conditionalFormatting>
  <conditionalFormatting sqref="S80">
    <cfRule type="cellIs" dxfId="533" priority="521" operator="lessThan">
      <formula>0.1</formula>
    </cfRule>
  </conditionalFormatting>
  <conditionalFormatting sqref="W80">
    <cfRule type="cellIs" dxfId="532" priority="522" operator="lessThan">
      <formula>0.1</formula>
    </cfRule>
  </conditionalFormatting>
  <conditionalFormatting sqref="W73 W79">
    <cfRule type="cellIs" dxfId="531" priority="523" operator="lessThan">
      <formula>0.1</formula>
    </cfRule>
  </conditionalFormatting>
  <conditionalFormatting sqref="W74:W78">
    <cfRule type="cellIs" dxfId="530" priority="524" operator="lessThan">
      <formula>0.1</formula>
    </cfRule>
  </conditionalFormatting>
  <conditionalFormatting sqref="W72">
    <cfRule type="cellIs" dxfId="529" priority="525" operator="lessThan">
      <formula>0.1</formula>
    </cfRule>
  </conditionalFormatting>
  <conditionalFormatting sqref="W107:W111">
    <cfRule type="cellIs" dxfId="528" priority="510" operator="lessThan">
      <formula>0.1</formula>
    </cfRule>
  </conditionalFormatting>
  <conditionalFormatting sqref="W183 W189">
    <cfRule type="cellIs" dxfId="527" priority="441" operator="lessThan">
      <formula>0.1</formula>
    </cfRule>
  </conditionalFormatting>
  <conditionalFormatting sqref="W184:W188">
    <cfRule type="cellIs" dxfId="526" priority="442" operator="lessThan">
      <formula>0.1</formula>
    </cfRule>
  </conditionalFormatting>
  <conditionalFormatting sqref="S182">
    <cfRule type="cellIs" dxfId="525" priority="430" operator="lessThan">
      <formula>0.1</formula>
    </cfRule>
  </conditionalFormatting>
  <conditionalFormatting sqref="G106:G108">
    <cfRule type="cellIs" dxfId="524" priority="504" operator="lessThan">
      <formula>0.1</formula>
    </cfRule>
  </conditionalFormatting>
  <conditionalFormatting sqref="G109:G112">
    <cfRule type="cellIs" dxfId="523" priority="505" operator="lessThan">
      <formula>0.1</formula>
    </cfRule>
  </conditionalFormatting>
  <conditionalFormatting sqref="W140:W144">
    <cfRule type="cellIs" dxfId="522" priority="494" operator="lessThan">
      <formula>0.1</formula>
    </cfRule>
  </conditionalFormatting>
  <conditionalFormatting sqref="W138">
    <cfRule type="cellIs" dxfId="521" priority="495" operator="lessThan">
      <formula>0.1</formula>
    </cfRule>
  </conditionalFormatting>
  <conditionalFormatting sqref="W113">
    <cfRule type="cellIs" dxfId="520" priority="508" operator="lessThan">
      <formula>0.1</formula>
    </cfRule>
  </conditionalFormatting>
  <conditionalFormatting sqref="W106 W112">
    <cfRule type="cellIs" dxfId="519" priority="509" operator="lessThan">
      <formula>0.1</formula>
    </cfRule>
  </conditionalFormatting>
  <conditionalFormatting sqref="S72">
    <cfRule type="cellIs" dxfId="518" priority="498" operator="lessThan">
      <formula>0.1</formula>
    </cfRule>
  </conditionalFormatting>
  <conditionalFormatting sqref="W105">
    <cfRule type="cellIs" dxfId="517" priority="511" operator="lessThan">
      <formula>0.1</formula>
    </cfRule>
  </conditionalFormatting>
  <conditionalFormatting sqref="S138">
    <cfRule type="cellIs" dxfId="516" priority="484" operator="lessThan">
      <formula>0.1</formula>
    </cfRule>
  </conditionalFormatting>
  <conditionalFormatting sqref="S105">
    <cfRule type="cellIs" dxfId="515" priority="496" operator="lessThan">
      <formula>0.1</formula>
    </cfRule>
  </conditionalFormatting>
  <conditionalFormatting sqref="W139 W145">
    <cfRule type="cellIs" dxfId="514" priority="493" operator="lessThan">
      <formula>0.1</formula>
    </cfRule>
  </conditionalFormatting>
  <conditionalFormatting sqref="G139:G141">
    <cfRule type="cellIs" dxfId="513" priority="490" operator="lessThan">
      <formula>0.1</formula>
    </cfRule>
  </conditionalFormatting>
  <conditionalFormatting sqref="G142:G146">
    <cfRule type="cellIs" dxfId="512" priority="491" operator="lessThan">
      <formula>0.1</formula>
    </cfRule>
  </conditionalFormatting>
  <conditionalFormatting sqref="W146">
    <cfRule type="cellIs" dxfId="511" priority="492" operator="lessThan">
      <formula>0.1</formula>
    </cfRule>
  </conditionalFormatting>
  <conditionalFormatting sqref="W162:W166">
    <cfRule type="cellIs" dxfId="510" priority="482" operator="lessThan">
      <formula>0.1</formula>
    </cfRule>
  </conditionalFormatting>
  <conditionalFormatting sqref="W160">
    <cfRule type="cellIs" dxfId="509" priority="483" operator="lessThan">
      <formula>0.1</formula>
    </cfRule>
  </conditionalFormatting>
  <conditionalFormatting sqref="W228:W232">
    <cfRule type="cellIs" dxfId="508" priority="426" operator="lessThan">
      <formula>0.1</formula>
    </cfRule>
  </conditionalFormatting>
  <conditionalFormatting sqref="W161 W167">
    <cfRule type="cellIs" dxfId="507" priority="481" operator="lessThan">
      <formula>0.1</formula>
    </cfRule>
  </conditionalFormatting>
  <conditionalFormatting sqref="S161:S168">
    <cfRule type="cellIs" dxfId="506" priority="445" operator="lessThan">
      <formula>0.1</formula>
    </cfRule>
  </conditionalFormatting>
  <conditionalFormatting sqref="W226">
    <cfRule type="cellIs" dxfId="505" priority="427" operator="lessThan">
      <formula>0.1</formula>
    </cfRule>
  </conditionalFormatting>
  <conditionalFormatting sqref="W234">
    <cfRule type="cellIs" dxfId="504" priority="424" operator="lessThan">
      <formula>0.1</formula>
    </cfRule>
  </conditionalFormatting>
  <conditionalFormatting sqref="W227 W233">
    <cfRule type="cellIs" dxfId="503" priority="425" operator="lessThan">
      <formula>0.1</formula>
    </cfRule>
  </conditionalFormatting>
  <conditionalFormatting sqref="W168">
    <cfRule type="cellIs" dxfId="502" priority="480" operator="lessThan">
      <formula>0.1</formula>
    </cfRule>
  </conditionalFormatting>
  <conditionalFormatting sqref="W179">
    <cfRule type="cellIs" dxfId="501" priority="456" operator="lessThan">
      <formula>0.1</formula>
    </cfRule>
  </conditionalFormatting>
  <conditionalFormatting sqref="W172 W178">
    <cfRule type="cellIs" dxfId="500" priority="457" operator="lessThan">
      <formula>0.1</formula>
    </cfRule>
  </conditionalFormatting>
  <conditionalFormatting sqref="G175:G179">
    <cfRule type="cellIs" dxfId="499" priority="455" operator="lessThan">
      <formula>0.1</formula>
    </cfRule>
  </conditionalFormatting>
  <conditionalFormatting sqref="S139:S146">
    <cfRule type="cellIs" dxfId="498" priority="446" operator="lessThan">
      <formula>0.1</formula>
    </cfRule>
  </conditionalFormatting>
  <conditionalFormatting sqref="K241:K245">
    <cfRule type="cellIs" dxfId="497" priority="406" operator="lessThan">
      <formula>0.1</formula>
    </cfRule>
  </conditionalFormatting>
  <conditionalFormatting sqref="K238:K240">
    <cfRule type="cellIs" dxfId="496" priority="407" operator="lessThan">
      <formula>0.1</formula>
    </cfRule>
  </conditionalFormatting>
  <conditionalFormatting sqref="G172:G174">
    <cfRule type="cellIs" dxfId="495" priority="454" operator="lessThan">
      <formula>0.1</formula>
    </cfRule>
  </conditionalFormatting>
  <conditionalFormatting sqref="W173:W177">
    <cfRule type="cellIs" dxfId="494" priority="458" operator="lessThan">
      <formula>0.1</formula>
    </cfRule>
  </conditionalFormatting>
  <conditionalFormatting sqref="W171">
    <cfRule type="cellIs" dxfId="493" priority="459" operator="lessThan">
      <formula>0.1</formula>
    </cfRule>
  </conditionalFormatting>
  <conditionalFormatting sqref="W237">
    <cfRule type="cellIs" dxfId="492" priority="413" operator="lessThan">
      <formula>0.1</formula>
    </cfRule>
  </conditionalFormatting>
  <conditionalFormatting sqref="S172:S179">
    <cfRule type="cellIs" dxfId="491" priority="432" operator="lessThan">
      <formula>0.1</formula>
    </cfRule>
  </conditionalFormatting>
  <conditionalFormatting sqref="W239:W243">
    <cfRule type="cellIs" dxfId="490" priority="412" operator="lessThan">
      <formula>0.1</formula>
    </cfRule>
  </conditionalFormatting>
  <conditionalFormatting sqref="O245">
    <cfRule type="cellIs" dxfId="489" priority="405" operator="lessThan">
      <formula>0.1</formula>
    </cfRule>
  </conditionalFormatting>
  <conditionalFormatting sqref="G183:G185">
    <cfRule type="cellIs" dxfId="488" priority="438" operator="lessThan">
      <formula>0.1</formula>
    </cfRule>
  </conditionalFormatting>
  <conditionalFormatting sqref="S183:S190">
    <cfRule type="cellIs" dxfId="487" priority="428" operator="lessThan">
      <formula>0.1</formula>
    </cfRule>
  </conditionalFormatting>
  <conditionalFormatting sqref="O238:O242 O244">
    <cfRule type="cellIs" dxfId="486" priority="404" operator="lessThan">
      <formula>0.1</formula>
    </cfRule>
  </conditionalFormatting>
  <conditionalFormatting sqref="O234">
    <cfRule type="cellIs" dxfId="485" priority="419" operator="lessThan">
      <formula>0.1</formula>
    </cfRule>
  </conditionalFormatting>
  <conditionalFormatting sqref="S238:S245">
    <cfRule type="cellIs" dxfId="484" priority="400" operator="lessThan">
      <formula>0.1</formula>
    </cfRule>
  </conditionalFormatting>
  <conditionalFormatting sqref="O282:O286 O288">
    <cfRule type="cellIs" dxfId="483" priority="352" operator="lessThan">
      <formula>0.1</formula>
    </cfRule>
  </conditionalFormatting>
  <conditionalFormatting sqref="W182">
    <cfRule type="cellIs" dxfId="482" priority="443" operator="lessThan">
      <formula>0.1</formula>
    </cfRule>
  </conditionalFormatting>
  <conditionalFormatting sqref="K230:K234">
    <cfRule type="cellIs" dxfId="481" priority="420" operator="lessThan">
      <formula>0.1</formula>
    </cfRule>
  </conditionalFormatting>
  <conditionalFormatting sqref="K227:K229">
    <cfRule type="cellIs" dxfId="480" priority="421" operator="lessThan">
      <formula>0.1</formula>
    </cfRule>
  </conditionalFormatting>
  <conditionalFormatting sqref="G227:G229">
    <cfRule type="cellIs" dxfId="479" priority="422" operator="lessThan">
      <formula>0.1</formula>
    </cfRule>
  </conditionalFormatting>
  <conditionalFormatting sqref="G230:G234">
    <cfRule type="cellIs" dxfId="478" priority="423" operator="lessThan">
      <formula>0.1</formula>
    </cfRule>
  </conditionalFormatting>
  <conditionalFormatting sqref="S226">
    <cfRule type="cellIs" dxfId="477" priority="414" operator="lessThan">
      <formula>0.1</formula>
    </cfRule>
  </conditionalFormatting>
  <conditionalFormatting sqref="O227:O233">
    <cfRule type="cellIs" dxfId="476" priority="418" operator="lessThan">
      <formula>0.1</formula>
    </cfRule>
  </conditionalFormatting>
  <conditionalFormatting sqref="G249:G251">
    <cfRule type="cellIs" dxfId="475" priority="394" operator="lessThan">
      <formula>0.1</formula>
    </cfRule>
  </conditionalFormatting>
  <conditionalFormatting sqref="G252:G256">
    <cfRule type="cellIs" dxfId="474" priority="395" operator="lessThan">
      <formula>0.1</formula>
    </cfRule>
  </conditionalFormatting>
  <conditionalFormatting sqref="K274:K278">
    <cfRule type="cellIs" dxfId="473" priority="366" operator="lessThan">
      <formula>0.1</formula>
    </cfRule>
  </conditionalFormatting>
  <conditionalFormatting sqref="W238 W244">
    <cfRule type="cellIs" dxfId="472" priority="411" operator="lessThan">
      <formula>0.1</formula>
    </cfRule>
  </conditionalFormatting>
  <conditionalFormatting sqref="G238:G240">
    <cfRule type="cellIs" dxfId="471" priority="408" operator="lessThan">
      <formula>0.1</formula>
    </cfRule>
  </conditionalFormatting>
  <conditionalFormatting sqref="G241:G245">
    <cfRule type="cellIs" dxfId="470" priority="409" operator="lessThan">
      <formula>0.1</formula>
    </cfRule>
  </conditionalFormatting>
  <conditionalFormatting sqref="W245">
    <cfRule type="cellIs" dxfId="469" priority="410" operator="lessThan">
      <formula>0.1</formula>
    </cfRule>
  </conditionalFormatting>
  <conditionalFormatting sqref="S237">
    <cfRule type="cellIs" dxfId="468" priority="401" operator="lessThan">
      <formula>0.1</formula>
    </cfRule>
  </conditionalFormatting>
  <conditionalFormatting sqref="S227:S234">
    <cfRule type="cellIs" dxfId="467" priority="415" operator="lessThan">
      <formula>0.1</formula>
    </cfRule>
  </conditionalFormatting>
  <conditionalFormatting sqref="O249:O253 O255">
    <cfRule type="cellIs" dxfId="466" priority="390" operator="lessThan">
      <formula>0.1</formula>
    </cfRule>
  </conditionalFormatting>
  <conditionalFormatting sqref="S249:S256">
    <cfRule type="cellIs" dxfId="465" priority="386" operator="lessThan">
      <formula>0.1</formula>
    </cfRule>
  </conditionalFormatting>
  <conditionalFormatting sqref="S248">
    <cfRule type="cellIs" dxfId="464" priority="387" operator="lessThan">
      <formula>0.1</formula>
    </cfRule>
  </conditionalFormatting>
  <conditionalFormatting sqref="W259">
    <cfRule type="cellIs" dxfId="463" priority="385" operator="lessThan">
      <formula>0.1</formula>
    </cfRule>
  </conditionalFormatting>
  <conditionalFormatting sqref="K271:K273">
    <cfRule type="cellIs" dxfId="462" priority="367" operator="lessThan">
      <formula>0.1</formula>
    </cfRule>
  </conditionalFormatting>
  <conditionalFormatting sqref="G260:G262">
    <cfRule type="cellIs" dxfId="461" priority="380" operator="lessThan">
      <formula>0.1</formula>
    </cfRule>
  </conditionalFormatting>
  <conditionalFormatting sqref="G263:G267">
    <cfRule type="cellIs" dxfId="460" priority="381" operator="lessThan">
      <formula>0.1</formula>
    </cfRule>
  </conditionalFormatting>
  <conditionalFormatting sqref="W267">
    <cfRule type="cellIs" dxfId="459" priority="382" operator="lessThan">
      <formula>0.1</formula>
    </cfRule>
  </conditionalFormatting>
  <conditionalFormatting sqref="W260 W266">
    <cfRule type="cellIs" dxfId="458" priority="383" operator="lessThan">
      <formula>0.1</formula>
    </cfRule>
  </conditionalFormatting>
  <conditionalFormatting sqref="W261:W265">
    <cfRule type="cellIs" dxfId="457" priority="384" operator="lessThan">
      <formula>0.1</formula>
    </cfRule>
  </conditionalFormatting>
  <conditionalFormatting sqref="O289">
    <cfRule type="cellIs" dxfId="456" priority="353" operator="lessThan">
      <formula>0.1</formula>
    </cfRule>
  </conditionalFormatting>
  <conditionalFormatting sqref="O271:O275 O277">
    <cfRule type="cellIs" dxfId="455" priority="364" operator="lessThan">
      <formula>0.1</formula>
    </cfRule>
  </conditionalFormatting>
  <conditionalFormatting sqref="W250:W254">
    <cfRule type="cellIs" dxfId="454" priority="398" operator="lessThan">
      <formula>0.1</formula>
    </cfRule>
  </conditionalFormatting>
  <conditionalFormatting sqref="W248">
    <cfRule type="cellIs" dxfId="453" priority="399" operator="lessThan">
      <formula>0.1</formula>
    </cfRule>
  </conditionalFormatting>
  <conditionalFormatting sqref="W249 W255">
    <cfRule type="cellIs" dxfId="452" priority="397" operator="lessThan">
      <formula>0.1</formula>
    </cfRule>
  </conditionalFormatting>
  <conditionalFormatting sqref="O256">
    <cfRule type="cellIs" dxfId="451" priority="391" operator="lessThan">
      <formula>0.1</formula>
    </cfRule>
  </conditionalFormatting>
  <conditionalFormatting sqref="K252:K256">
    <cfRule type="cellIs" dxfId="450" priority="392" operator="lessThan">
      <formula>0.1</formula>
    </cfRule>
  </conditionalFormatting>
  <conditionalFormatting sqref="K249:K251">
    <cfRule type="cellIs" dxfId="449" priority="393" operator="lessThan">
      <formula>0.1</formula>
    </cfRule>
  </conditionalFormatting>
  <conditionalFormatting sqref="W256">
    <cfRule type="cellIs" dxfId="448" priority="396" operator="lessThan">
      <formula>0.1</formula>
    </cfRule>
  </conditionalFormatting>
  <conditionalFormatting sqref="W289">
    <cfRule type="cellIs" dxfId="447" priority="358" operator="lessThan">
      <formula>0.1</formula>
    </cfRule>
  </conditionalFormatting>
  <conditionalFormatting sqref="W282 W288">
    <cfRule type="cellIs" dxfId="446" priority="359" operator="lessThan">
      <formula>0.1</formula>
    </cfRule>
  </conditionalFormatting>
  <conditionalFormatting sqref="O278">
    <cfRule type="cellIs" dxfId="445" priority="365" operator="lessThan">
      <formula>0.1</formula>
    </cfRule>
  </conditionalFormatting>
  <conditionalFormatting sqref="S282:S289">
    <cfRule type="cellIs" dxfId="444" priority="350" operator="lessThan">
      <formula>0.1</formula>
    </cfRule>
  </conditionalFormatting>
  <conditionalFormatting sqref="W272:W276">
    <cfRule type="cellIs" dxfId="443" priority="372" operator="lessThan">
      <formula>0.1</formula>
    </cfRule>
  </conditionalFormatting>
  <conditionalFormatting sqref="W270">
    <cfRule type="cellIs" dxfId="442" priority="373" operator="lessThan">
      <formula>0.1</formula>
    </cfRule>
  </conditionalFormatting>
  <conditionalFormatting sqref="W271 W277">
    <cfRule type="cellIs" dxfId="441" priority="371" operator="lessThan">
      <formula>0.1</formula>
    </cfRule>
  </conditionalFormatting>
  <conditionalFormatting sqref="S271:S278">
    <cfRule type="cellIs" dxfId="440" priority="351" operator="lessThan">
      <formula>0.1</formula>
    </cfRule>
  </conditionalFormatting>
  <conditionalFormatting sqref="W292">
    <cfRule type="cellIs" dxfId="439" priority="348" operator="lessThan">
      <formula>0.1</formula>
    </cfRule>
  </conditionalFormatting>
  <conditionalFormatting sqref="S261:S267">
    <cfRule type="cellIs" dxfId="438" priority="349" operator="lessThan">
      <formula>0.1</formula>
    </cfRule>
  </conditionalFormatting>
  <conditionalFormatting sqref="G271:G273">
    <cfRule type="cellIs" dxfId="437" priority="368" operator="lessThan">
      <formula>0.1</formula>
    </cfRule>
  </conditionalFormatting>
  <conditionalFormatting sqref="G274:G278">
    <cfRule type="cellIs" dxfId="436" priority="369" operator="lessThan">
      <formula>0.1</formula>
    </cfRule>
  </conditionalFormatting>
  <conditionalFormatting sqref="W278">
    <cfRule type="cellIs" dxfId="435" priority="370" operator="lessThan">
      <formula>0.1</formula>
    </cfRule>
  </conditionalFormatting>
  <conditionalFormatting sqref="S293:S300">
    <cfRule type="cellIs" dxfId="434" priority="337" operator="lessThan">
      <formula>0.1</formula>
    </cfRule>
  </conditionalFormatting>
  <conditionalFormatting sqref="W283:W287">
    <cfRule type="cellIs" dxfId="433" priority="360" operator="lessThan">
      <formula>0.1</formula>
    </cfRule>
  </conditionalFormatting>
  <conditionalFormatting sqref="W281">
    <cfRule type="cellIs" dxfId="432" priority="361" operator="lessThan">
      <formula>0.1</formula>
    </cfRule>
  </conditionalFormatting>
  <conditionalFormatting sqref="O293:O297 O299">
    <cfRule type="cellIs" dxfId="431" priority="339" operator="lessThan">
      <formula>0.1</formula>
    </cfRule>
  </conditionalFormatting>
  <conditionalFormatting sqref="K285:K289">
    <cfRule type="cellIs" dxfId="430" priority="354" operator="lessThan">
      <formula>0.1</formula>
    </cfRule>
  </conditionalFormatting>
  <conditionalFormatting sqref="K282:K284">
    <cfRule type="cellIs" dxfId="429" priority="355" operator="lessThan">
      <formula>0.1</formula>
    </cfRule>
  </conditionalFormatting>
  <conditionalFormatting sqref="G282:G284">
    <cfRule type="cellIs" dxfId="428" priority="356" operator="lessThan">
      <formula>0.1</formula>
    </cfRule>
  </conditionalFormatting>
  <conditionalFormatting sqref="G285:G289">
    <cfRule type="cellIs" dxfId="427" priority="357" operator="lessThan">
      <formula>0.1</formula>
    </cfRule>
  </conditionalFormatting>
  <conditionalFormatting sqref="O304:O308 O310">
    <cfRule type="cellIs" dxfId="426" priority="327" operator="lessThan">
      <formula>0.1</formula>
    </cfRule>
  </conditionalFormatting>
  <conditionalFormatting sqref="O300">
    <cfRule type="cellIs" dxfId="425" priority="340" operator="lessThan">
      <formula>0.1</formula>
    </cfRule>
  </conditionalFormatting>
  <conditionalFormatting sqref="W294:W298">
    <cfRule type="cellIs" dxfId="424" priority="347" operator="lessThan">
      <formula>0.1</formula>
    </cfRule>
  </conditionalFormatting>
  <conditionalFormatting sqref="W293 W299">
    <cfRule type="cellIs" dxfId="423" priority="346" operator="lessThan">
      <formula>0.1</formula>
    </cfRule>
  </conditionalFormatting>
  <conditionalFormatting sqref="K296:K300">
    <cfRule type="cellIs" dxfId="422" priority="341" operator="lessThan">
      <formula>0.1</formula>
    </cfRule>
  </conditionalFormatting>
  <conditionalFormatting sqref="K293:K295">
    <cfRule type="cellIs" dxfId="421" priority="342" operator="lessThan">
      <formula>0.1</formula>
    </cfRule>
  </conditionalFormatting>
  <conditionalFormatting sqref="G293:G295">
    <cfRule type="cellIs" dxfId="420" priority="343" operator="lessThan">
      <formula>0.1</formula>
    </cfRule>
  </conditionalFormatting>
  <conditionalFormatting sqref="G296:G300">
    <cfRule type="cellIs" dxfId="419" priority="344" operator="lessThan">
      <formula>0.1</formula>
    </cfRule>
  </conditionalFormatting>
  <conditionalFormatting sqref="W300">
    <cfRule type="cellIs" dxfId="418" priority="345" operator="lessThan">
      <formula>0.1</formula>
    </cfRule>
  </conditionalFormatting>
  <conditionalFormatting sqref="O311">
    <cfRule type="cellIs" dxfId="417" priority="328" operator="lessThan">
      <formula>0.1</formula>
    </cfRule>
  </conditionalFormatting>
  <conditionalFormatting sqref="W305:W309">
    <cfRule type="cellIs" dxfId="416" priority="335" operator="lessThan">
      <formula>0.1</formula>
    </cfRule>
  </conditionalFormatting>
  <conditionalFormatting sqref="W303">
    <cfRule type="cellIs" dxfId="415" priority="336" operator="lessThan">
      <formula>0.1</formula>
    </cfRule>
  </conditionalFormatting>
  <conditionalFormatting sqref="W304 W310">
    <cfRule type="cellIs" dxfId="414" priority="334" operator="lessThan">
      <formula>0.1</formula>
    </cfRule>
  </conditionalFormatting>
  <conditionalFormatting sqref="K307:K311">
    <cfRule type="cellIs" dxfId="413" priority="329" operator="lessThan">
      <formula>0.1</formula>
    </cfRule>
  </conditionalFormatting>
  <conditionalFormatting sqref="K304:K306">
    <cfRule type="cellIs" dxfId="412" priority="330" operator="lessThan">
      <formula>0.1</formula>
    </cfRule>
  </conditionalFormatting>
  <conditionalFormatting sqref="G304:G306">
    <cfRule type="cellIs" dxfId="411" priority="331" operator="lessThan">
      <formula>0.1</formula>
    </cfRule>
  </conditionalFormatting>
  <conditionalFormatting sqref="G307:G311">
    <cfRule type="cellIs" dxfId="410" priority="332" operator="lessThan">
      <formula>0.1</formula>
    </cfRule>
  </conditionalFormatting>
  <conditionalFormatting sqref="W311">
    <cfRule type="cellIs" dxfId="409" priority="333" operator="lessThan">
      <formula>0.1</formula>
    </cfRule>
  </conditionalFormatting>
  <conditionalFormatting sqref="S304:S311">
    <cfRule type="cellIs" dxfId="408" priority="304" operator="lessThan">
      <formula>0.1</formula>
    </cfRule>
  </conditionalFormatting>
  <conditionalFormatting sqref="S87:S90">
    <cfRule type="cellIs" dxfId="407" priority="296" operator="lessThan">
      <formula>0.1</formula>
    </cfRule>
  </conditionalFormatting>
  <conditionalFormatting sqref="S326:S333">
    <cfRule type="cellIs" dxfId="406" priority="302" operator="lessThan">
      <formula>0.1</formula>
    </cfRule>
  </conditionalFormatting>
  <conditionalFormatting sqref="G84:G86">
    <cfRule type="cellIs" dxfId="405" priority="286" operator="lessThan">
      <formula>0.1</formula>
    </cfRule>
  </conditionalFormatting>
  <conditionalFormatting sqref="G95:G97">
    <cfRule type="cellIs" dxfId="404" priority="272" operator="lessThan">
      <formula>0.1</formula>
    </cfRule>
  </conditionalFormatting>
  <conditionalFormatting sqref="G113">
    <cfRule type="cellIs" dxfId="403" priority="259" operator="lessThan">
      <formula>0.1</formula>
    </cfRule>
  </conditionalFormatting>
  <conditionalFormatting sqref="S128:S135">
    <cfRule type="cellIs" dxfId="402" priority="247" operator="lessThan">
      <formula>0.1</formula>
    </cfRule>
  </conditionalFormatting>
  <conditionalFormatting sqref="G161:G163">
    <cfRule type="cellIs" dxfId="401" priority="233" operator="lessThan">
      <formula>0.1</formula>
    </cfRule>
  </conditionalFormatting>
  <conditionalFormatting sqref="S194:S201">
    <cfRule type="cellIs" dxfId="400" priority="221" operator="lessThan">
      <formula>0.1</formula>
    </cfRule>
  </conditionalFormatting>
  <conditionalFormatting sqref="S205:S212">
    <cfRule type="cellIs" dxfId="399" priority="209" operator="lessThan">
      <formula>0.1</formula>
    </cfRule>
  </conditionalFormatting>
  <conditionalFormatting sqref="G326:G328">
    <cfRule type="cellIs" dxfId="398" priority="310" operator="lessThan">
      <formula>0.1</formula>
    </cfRule>
  </conditionalFormatting>
  <conditionalFormatting sqref="G329:G333">
    <cfRule type="cellIs" dxfId="397" priority="311" operator="lessThan">
      <formula>0.1</formula>
    </cfRule>
  </conditionalFormatting>
  <conditionalFormatting sqref="W316:W320">
    <cfRule type="cellIs" dxfId="396" priority="324" operator="lessThan">
      <formula>0.1</formula>
    </cfRule>
  </conditionalFormatting>
  <conditionalFormatting sqref="W314">
    <cfRule type="cellIs" dxfId="395" priority="325" operator="lessThan">
      <formula>0.1</formula>
    </cfRule>
  </conditionalFormatting>
  <conditionalFormatting sqref="W315 W321">
    <cfRule type="cellIs" dxfId="394" priority="323" operator="lessThan">
      <formula>0.1</formula>
    </cfRule>
  </conditionalFormatting>
  <conditionalFormatting sqref="G315:G317">
    <cfRule type="cellIs" dxfId="393" priority="320" operator="lessThan">
      <formula>0.1</formula>
    </cfRule>
  </conditionalFormatting>
  <conditionalFormatting sqref="G318:G322">
    <cfRule type="cellIs" dxfId="392" priority="321" operator="lessThan">
      <formula>0.1</formula>
    </cfRule>
  </conditionalFormatting>
  <conditionalFormatting sqref="W322">
    <cfRule type="cellIs" dxfId="391" priority="322" operator="lessThan">
      <formula>0.1</formula>
    </cfRule>
  </conditionalFormatting>
  <conditionalFormatting sqref="S315:S322">
    <cfRule type="cellIs" dxfId="390" priority="305" operator="lessThan">
      <formula>0.1</formula>
    </cfRule>
  </conditionalFormatting>
  <conditionalFormatting sqref="W327:W331">
    <cfRule type="cellIs" dxfId="389" priority="314" operator="lessThan">
      <formula>0.1</formula>
    </cfRule>
  </conditionalFormatting>
  <conditionalFormatting sqref="W325">
    <cfRule type="cellIs" dxfId="388" priority="315" operator="lessThan">
      <formula>0.1</formula>
    </cfRule>
  </conditionalFormatting>
  <conditionalFormatting sqref="W326 W332">
    <cfRule type="cellIs" dxfId="387" priority="313" operator="lessThan">
      <formula>0.1</formula>
    </cfRule>
  </conditionalFormatting>
  <conditionalFormatting sqref="S91">
    <cfRule type="cellIs" dxfId="386" priority="297" operator="lessThan">
      <formula>0.1</formula>
    </cfRule>
  </conditionalFormatting>
  <conditionalFormatting sqref="W333">
    <cfRule type="cellIs" dxfId="385" priority="312" operator="lessThan">
      <formula>0.1</formula>
    </cfRule>
  </conditionalFormatting>
  <conditionalFormatting sqref="G87:G91">
    <cfRule type="cellIs" dxfId="384" priority="287" operator="lessThan">
      <formula>0.1</formula>
    </cfRule>
  </conditionalFormatting>
  <conditionalFormatting sqref="G194:G196">
    <cfRule type="cellIs" dxfId="383" priority="227" operator="lessThan">
      <formula>0.1</formula>
    </cfRule>
  </conditionalFormatting>
  <conditionalFormatting sqref="G197:G201">
    <cfRule type="cellIs" dxfId="382" priority="228" operator="lessThan">
      <formula>0.1</formula>
    </cfRule>
  </conditionalFormatting>
  <conditionalFormatting sqref="W206:W210">
    <cfRule type="cellIs" dxfId="381" priority="219" operator="lessThan">
      <formula>0.1</formula>
    </cfRule>
  </conditionalFormatting>
  <conditionalFormatting sqref="W204">
    <cfRule type="cellIs" dxfId="380" priority="220" operator="lessThan">
      <formula>0.1</formula>
    </cfRule>
  </conditionalFormatting>
  <conditionalFormatting sqref="W212">
    <cfRule type="cellIs" dxfId="379" priority="217" operator="lessThan">
      <formula>0.1</formula>
    </cfRule>
  </conditionalFormatting>
  <conditionalFormatting sqref="F87:F91">
    <cfRule type="cellIs" dxfId="378" priority="294" operator="lessThan">
      <formula>0.1</formula>
    </cfRule>
  </conditionalFormatting>
  <conditionalFormatting sqref="F98:F102">
    <cfRule type="cellIs" dxfId="377" priority="279" operator="lessThan">
      <formula>0.1</formula>
    </cfRule>
  </conditionalFormatting>
  <conditionalFormatting sqref="W91">
    <cfRule type="cellIs" dxfId="376" priority="298" operator="lessThan">
      <formula>0.1</formula>
    </cfRule>
  </conditionalFormatting>
  <conditionalFormatting sqref="W84 W90">
    <cfRule type="cellIs" dxfId="375" priority="299" operator="lessThan">
      <formula>0.1</formula>
    </cfRule>
  </conditionalFormatting>
  <conditionalFormatting sqref="W85:W89">
    <cfRule type="cellIs" dxfId="374" priority="300" operator="lessThan">
      <formula>0.1</formula>
    </cfRule>
  </conditionalFormatting>
  <conditionalFormatting sqref="W83">
    <cfRule type="cellIs" dxfId="373" priority="301" operator="lessThan">
      <formula>0.1</formula>
    </cfRule>
  </conditionalFormatting>
  <conditionalFormatting sqref="S83:S86">
    <cfRule type="cellIs" dxfId="372" priority="288" operator="lessThan">
      <formula>0.1</formula>
    </cfRule>
  </conditionalFormatting>
  <conditionalFormatting sqref="G98:G102">
    <cfRule type="cellIs" dxfId="371" priority="273" operator="lessThan">
      <formula>0.1</formula>
    </cfRule>
  </conditionalFormatting>
  <conditionalFormatting sqref="S117:S124">
    <cfRule type="cellIs" dxfId="370" priority="260" operator="lessThan">
      <formula>0.1</formula>
    </cfRule>
  </conditionalFormatting>
  <conditionalFormatting sqref="W205 W211">
    <cfRule type="cellIs" dxfId="369" priority="218" operator="lessThan">
      <formula>0.1</formula>
    </cfRule>
  </conditionalFormatting>
  <conditionalFormatting sqref="G208:G212">
    <cfRule type="cellIs" dxfId="368" priority="216" operator="lessThan">
      <formula>0.1</formula>
    </cfRule>
  </conditionalFormatting>
  <conditionalFormatting sqref="S204">
    <cfRule type="cellIs" dxfId="367" priority="210" operator="lessThan">
      <formula>0.1</formula>
    </cfRule>
  </conditionalFormatting>
  <conditionalFormatting sqref="G117:G119">
    <cfRule type="cellIs" dxfId="366" priority="266" operator="lessThan">
      <formula>0.1</formula>
    </cfRule>
  </conditionalFormatting>
  <conditionalFormatting sqref="S95:S101">
    <cfRule type="cellIs" dxfId="365" priority="280" operator="lessThan">
      <formula>0.1</formula>
    </cfRule>
  </conditionalFormatting>
  <conditionalFormatting sqref="S102">
    <cfRule type="cellIs" dxfId="364" priority="281" operator="lessThan">
      <formula>0.1</formula>
    </cfRule>
  </conditionalFormatting>
  <conditionalFormatting sqref="W102">
    <cfRule type="cellIs" dxfId="363" priority="282" operator="lessThan">
      <formula>0.1</formula>
    </cfRule>
  </conditionalFormatting>
  <conditionalFormatting sqref="W95 W101">
    <cfRule type="cellIs" dxfId="362" priority="283" operator="lessThan">
      <formula>0.1</formula>
    </cfRule>
  </conditionalFormatting>
  <conditionalFormatting sqref="W96:W100">
    <cfRule type="cellIs" dxfId="361" priority="284" operator="lessThan">
      <formula>0.1</formula>
    </cfRule>
  </conditionalFormatting>
  <conditionalFormatting sqref="W94">
    <cfRule type="cellIs" dxfId="360" priority="285" operator="lessThan">
      <formula>0.1</formula>
    </cfRule>
  </conditionalFormatting>
  <conditionalFormatting sqref="S94">
    <cfRule type="cellIs" dxfId="359" priority="274" operator="lessThan">
      <formula>0.1</formula>
    </cfRule>
  </conditionalFormatting>
  <conditionalFormatting sqref="W118:W122">
    <cfRule type="cellIs" dxfId="358" priority="270" operator="lessThan">
      <formula>0.1</formula>
    </cfRule>
  </conditionalFormatting>
  <conditionalFormatting sqref="W336">
    <cfRule type="cellIs" dxfId="357" priority="208" operator="lessThan">
      <formula>0.1</formula>
    </cfRule>
  </conditionalFormatting>
  <conditionalFormatting sqref="W358">
    <cfRule type="cellIs" dxfId="356" priority="199" operator="lessThan">
      <formula>0.1</formula>
    </cfRule>
  </conditionalFormatting>
  <conditionalFormatting sqref="W360:W364">
    <cfRule type="cellIs" dxfId="355" priority="198" operator="lessThan">
      <formula>0.1</formula>
    </cfRule>
  </conditionalFormatting>
  <conditionalFormatting sqref="G131:G135">
    <cfRule type="cellIs" dxfId="354" priority="254" operator="lessThan">
      <formula>0.1</formula>
    </cfRule>
  </conditionalFormatting>
  <conditionalFormatting sqref="G120:G124">
    <cfRule type="cellIs" dxfId="353" priority="267" operator="lessThan">
      <formula>0.1</formula>
    </cfRule>
  </conditionalFormatting>
  <conditionalFormatting sqref="W124">
    <cfRule type="cellIs" dxfId="352" priority="268" operator="lessThan">
      <formula>0.1</formula>
    </cfRule>
  </conditionalFormatting>
  <conditionalFormatting sqref="W117 W123">
    <cfRule type="cellIs" dxfId="351" priority="269" operator="lessThan">
      <formula>0.1</formula>
    </cfRule>
  </conditionalFormatting>
  <conditionalFormatting sqref="W116">
    <cfRule type="cellIs" dxfId="350" priority="271" operator="lessThan">
      <formula>0.1</formula>
    </cfRule>
  </conditionalFormatting>
  <conditionalFormatting sqref="S116">
    <cfRule type="cellIs" dxfId="349" priority="261" operator="lessThan">
      <formula>0.1</formula>
    </cfRule>
  </conditionalFormatting>
  <conditionalFormatting sqref="S127">
    <cfRule type="cellIs" dxfId="348" priority="248" operator="lessThan">
      <formula>0.1</formula>
    </cfRule>
  </conditionalFormatting>
  <conditionalFormatting sqref="W338:W342">
    <cfRule type="cellIs" dxfId="347" priority="207" operator="lessThan">
      <formula>0.1</formula>
    </cfRule>
  </conditionalFormatting>
  <conditionalFormatting sqref="G128:G130">
    <cfRule type="cellIs" dxfId="346" priority="253" operator="lessThan">
      <formula>0.1</formula>
    </cfRule>
  </conditionalFormatting>
  <conditionalFormatting sqref="W129:W133">
    <cfRule type="cellIs" dxfId="345" priority="257" operator="lessThan">
      <formula>0.1</formula>
    </cfRule>
  </conditionalFormatting>
  <conditionalFormatting sqref="S337:S344">
    <cfRule type="cellIs" dxfId="344" priority="200" operator="lessThan">
      <formula>0.1</formula>
    </cfRule>
  </conditionalFormatting>
  <conditionalFormatting sqref="K337:K339">
    <cfRule type="cellIs" dxfId="343" priority="204" operator="lessThan">
      <formula>0.1</formula>
    </cfRule>
  </conditionalFormatting>
  <conditionalFormatting sqref="W366">
    <cfRule type="cellIs" dxfId="342" priority="196" operator="lessThan">
      <formula>0.1</formula>
    </cfRule>
  </conditionalFormatting>
  <conditionalFormatting sqref="W135">
    <cfRule type="cellIs" dxfId="341" priority="255" operator="lessThan">
      <formula>0.1</formula>
    </cfRule>
  </conditionalFormatting>
  <conditionalFormatting sqref="W128 W134">
    <cfRule type="cellIs" dxfId="340" priority="256" operator="lessThan">
      <formula>0.1</formula>
    </cfRule>
  </conditionalFormatting>
  <conditionalFormatting sqref="W127">
    <cfRule type="cellIs" dxfId="339" priority="258" operator="lessThan">
      <formula>0.1</formula>
    </cfRule>
  </conditionalFormatting>
  <conditionalFormatting sqref="G164:G168">
    <cfRule type="cellIs" dxfId="338" priority="234" operator="lessThan">
      <formula>0.1</formula>
    </cfRule>
  </conditionalFormatting>
  <conditionalFormatting sqref="W151:W155">
    <cfRule type="cellIs" dxfId="337" priority="245" operator="lessThan">
      <formula>0.1</formula>
    </cfRule>
  </conditionalFormatting>
  <conditionalFormatting sqref="W149">
    <cfRule type="cellIs" dxfId="336" priority="246" operator="lessThan">
      <formula>0.1</formula>
    </cfRule>
  </conditionalFormatting>
  <conditionalFormatting sqref="K340:K344">
    <cfRule type="cellIs" dxfId="335" priority="203" operator="lessThan">
      <formula>0.1</formula>
    </cfRule>
  </conditionalFormatting>
  <conditionalFormatting sqref="S149">
    <cfRule type="cellIs" dxfId="334" priority="236" operator="lessThan">
      <formula>0.1</formula>
    </cfRule>
  </conditionalFormatting>
  <conditionalFormatting sqref="W150 W156">
    <cfRule type="cellIs" dxfId="333" priority="244" operator="lessThan">
      <formula>0.1</formula>
    </cfRule>
  </conditionalFormatting>
  <conditionalFormatting sqref="K194:K196">
    <cfRule type="cellIs" dxfId="332" priority="226" operator="lessThan">
      <formula>0.1</formula>
    </cfRule>
  </conditionalFormatting>
  <conditionalFormatting sqref="W377">
    <cfRule type="cellIs" dxfId="331" priority="185" operator="lessThan">
      <formula>0.1</formula>
    </cfRule>
  </conditionalFormatting>
  <conditionalFormatting sqref="G150:G152">
    <cfRule type="cellIs" dxfId="330" priority="241" operator="lessThan">
      <formula>0.1</formula>
    </cfRule>
  </conditionalFormatting>
  <conditionalFormatting sqref="G153:G157">
    <cfRule type="cellIs" dxfId="329" priority="242" operator="lessThan">
      <formula>0.1</formula>
    </cfRule>
  </conditionalFormatting>
  <conditionalFormatting sqref="W157">
    <cfRule type="cellIs" dxfId="328" priority="243" operator="lessThan">
      <formula>0.1</formula>
    </cfRule>
  </conditionalFormatting>
  <conditionalFormatting sqref="S150:S157">
    <cfRule type="cellIs" dxfId="327" priority="235" operator="lessThan">
      <formula>0.1</formula>
    </cfRule>
  </conditionalFormatting>
  <conditionalFormatting sqref="S193">
    <cfRule type="cellIs" dxfId="326" priority="222" operator="lessThan">
      <formula>0.1</formula>
    </cfRule>
  </conditionalFormatting>
  <conditionalFormatting sqref="O201">
    <cfRule type="cellIs" dxfId="325" priority="224" operator="lessThan">
      <formula>0.1</formula>
    </cfRule>
  </conditionalFormatting>
  <conditionalFormatting sqref="W195:W199">
    <cfRule type="cellIs" dxfId="324" priority="231" operator="lessThan">
      <formula>0.1</formula>
    </cfRule>
  </conditionalFormatting>
  <conditionalFormatting sqref="K197:K201">
    <cfRule type="cellIs" dxfId="323" priority="225" operator="lessThan">
      <formula>0.1</formula>
    </cfRule>
  </conditionalFormatting>
  <conditionalFormatting sqref="W201">
    <cfRule type="cellIs" dxfId="322" priority="229" operator="lessThan">
      <formula>0.1</formula>
    </cfRule>
  </conditionalFormatting>
  <conditionalFormatting sqref="W194 W200">
    <cfRule type="cellIs" dxfId="321" priority="230" operator="lessThan">
      <formula>0.1</formula>
    </cfRule>
  </conditionalFormatting>
  <conditionalFormatting sqref="O194:O200">
    <cfRule type="cellIs" dxfId="320" priority="223" operator="lessThan">
      <formula>0.1</formula>
    </cfRule>
  </conditionalFormatting>
  <conditionalFormatting sqref="W193">
    <cfRule type="cellIs" dxfId="319" priority="232" operator="lessThan">
      <formula>0.1</formula>
    </cfRule>
  </conditionalFormatting>
  <conditionalFormatting sqref="W370 W376">
    <cfRule type="cellIs" dxfId="318" priority="186" operator="lessThan">
      <formula>0.1</formula>
    </cfRule>
  </conditionalFormatting>
  <conditionalFormatting sqref="O337:O341 O343">
    <cfRule type="cellIs" dxfId="317" priority="201" operator="lessThan">
      <formula>0.1</formula>
    </cfRule>
  </conditionalFormatting>
  <conditionalFormatting sqref="G205:G207">
    <cfRule type="cellIs" dxfId="316" priority="215" operator="lessThan">
      <formula>0.1</formula>
    </cfRule>
  </conditionalFormatting>
  <conditionalFormatting sqref="G337:G344">
    <cfRule type="cellIs" dxfId="315" priority="190" operator="lessThan">
      <formula>0.1</formula>
    </cfRule>
  </conditionalFormatting>
  <conditionalFormatting sqref="O344">
    <cfRule type="cellIs" dxfId="314" priority="202" operator="lessThan">
      <formula>0.1</formula>
    </cfRule>
  </conditionalFormatting>
  <conditionalFormatting sqref="G359:G366">
    <cfRule type="cellIs" dxfId="313" priority="189" operator="lessThan">
      <formula>0.1</formula>
    </cfRule>
  </conditionalFormatting>
  <conditionalFormatting sqref="W337 W343">
    <cfRule type="cellIs" dxfId="312" priority="206" operator="lessThan">
      <formula>0.1</formula>
    </cfRule>
  </conditionalFormatting>
  <conditionalFormatting sqref="W344">
    <cfRule type="cellIs" dxfId="311" priority="205" operator="lessThan">
      <formula>0.1</formula>
    </cfRule>
  </conditionalFormatting>
  <conditionalFormatting sqref="S359:S366">
    <cfRule type="cellIs" dxfId="310" priority="191" operator="lessThan">
      <formula>0.1</formula>
    </cfRule>
  </conditionalFormatting>
  <conditionalFormatting sqref="W359 W365">
    <cfRule type="cellIs" dxfId="309" priority="197" operator="lessThan">
      <formula>0.1</formula>
    </cfRule>
  </conditionalFormatting>
  <conditionalFormatting sqref="W388">
    <cfRule type="cellIs" dxfId="308" priority="176" operator="lessThan">
      <formula>0.1</formula>
    </cfRule>
  </conditionalFormatting>
  <conditionalFormatting sqref="S370:S377">
    <cfRule type="cellIs" dxfId="307" priority="180" operator="lessThan">
      <formula>0.1</formula>
    </cfRule>
  </conditionalFormatting>
  <conditionalFormatting sqref="W371:W375">
    <cfRule type="cellIs" dxfId="306" priority="187" operator="lessThan">
      <formula>0.1</formula>
    </cfRule>
  </conditionalFormatting>
  <conditionalFormatting sqref="W369">
    <cfRule type="cellIs" dxfId="305" priority="188" operator="lessThan">
      <formula>0.1</formula>
    </cfRule>
  </conditionalFormatting>
  <conditionalFormatting sqref="S381:S388">
    <cfRule type="cellIs" dxfId="304" priority="171" operator="lessThan">
      <formula>0.1</formula>
    </cfRule>
  </conditionalFormatting>
  <conditionalFormatting sqref="W382:W386">
    <cfRule type="cellIs" dxfId="303" priority="178" operator="lessThan">
      <formula>0.1</formula>
    </cfRule>
  </conditionalFormatting>
  <conditionalFormatting sqref="W380">
    <cfRule type="cellIs" dxfId="302" priority="179" operator="lessThan">
      <formula>0.1</formula>
    </cfRule>
  </conditionalFormatting>
  <conditionalFormatting sqref="W381 W387">
    <cfRule type="cellIs" dxfId="301" priority="177" operator="lessThan">
      <formula>0.1</formula>
    </cfRule>
  </conditionalFormatting>
  <conditionalFormatting sqref="S392:S399">
    <cfRule type="cellIs" dxfId="300" priority="162" operator="lessThan">
      <formula>0.1</formula>
    </cfRule>
  </conditionalFormatting>
  <conditionalFormatting sqref="W393:W397">
    <cfRule type="cellIs" dxfId="299" priority="169" operator="lessThan">
      <formula>0.1</formula>
    </cfRule>
  </conditionalFormatting>
  <conditionalFormatting sqref="W391">
    <cfRule type="cellIs" dxfId="298" priority="170" operator="lessThan">
      <formula>0.1</formula>
    </cfRule>
  </conditionalFormatting>
  <conditionalFormatting sqref="W392 W398">
    <cfRule type="cellIs" dxfId="297" priority="168" operator="lessThan">
      <formula>0.1</formula>
    </cfRule>
  </conditionalFormatting>
  <conditionalFormatting sqref="W399">
    <cfRule type="cellIs" dxfId="296" priority="167" operator="lessThan">
      <formula>0.1</formula>
    </cfRule>
  </conditionalFormatting>
  <conditionalFormatting sqref="S414:S421">
    <cfRule type="cellIs" dxfId="295" priority="153" operator="lessThan">
      <formula>0.1</formula>
    </cfRule>
  </conditionalFormatting>
  <conditionalFormatting sqref="W415:W419">
    <cfRule type="cellIs" dxfId="294" priority="160" operator="lessThan">
      <formula>0.1</formula>
    </cfRule>
  </conditionalFormatting>
  <conditionalFormatting sqref="W413">
    <cfRule type="cellIs" dxfId="293" priority="161" operator="lessThan">
      <formula>0.1</formula>
    </cfRule>
  </conditionalFormatting>
  <conditionalFormatting sqref="W414 W420">
    <cfRule type="cellIs" dxfId="292" priority="159" operator="lessThan">
      <formula>0.1</formula>
    </cfRule>
  </conditionalFormatting>
  <conditionalFormatting sqref="W421">
    <cfRule type="cellIs" dxfId="291" priority="158" operator="lessThan">
      <formula>0.1</formula>
    </cfRule>
  </conditionalFormatting>
  <conditionalFormatting sqref="S425:S432">
    <cfRule type="cellIs" dxfId="290" priority="144" operator="lessThan">
      <formula>0.1</formula>
    </cfRule>
  </conditionalFormatting>
  <conditionalFormatting sqref="W426:W430">
    <cfRule type="cellIs" dxfId="289" priority="151" operator="lessThan">
      <formula>0.1</formula>
    </cfRule>
  </conditionalFormatting>
  <conditionalFormatting sqref="W424">
    <cfRule type="cellIs" dxfId="288" priority="152" operator="lessThan">
      <formula>0.1</formula>
    </cfRule>
  </conditionalFormatting>
  <conditionalFormatting sqref="W425 W431">
    <cfRule type="cellIs" dxfId="287" priority="150" operator="lessThan">
      <formula>0.1</formula>
    </cfRule>
  </conditionalFormatting>
  <conditionalFormatting sqref="W432">
    <cfRule type="cellIs" dxfId="286" priority="149" operator="lessThan">
      <formula>0.1</formula>
    </cfRule>
  </conditionalFormatting>
  <conditionalFormatting sqref="S436:S443">
    <cfRule type="cellIs" dxfId="285" priority="135" operator="lessThan">
      <formula>0.1</formula>
    </cfRule>
  </conditionalFormatting>
  <conditionalFormatting sqref="W437:W441">
    <cfRule type="cellIs" dxfId="284" priority="142" operator="lessThan">
      <formula>0.1</formula>
    </cfRule>
  </conditionalFormatting>
  <conditionalFormatting sqref="W435">
    <cfRule type="cellIs" dxfId="283" priority="143" operator="lessThan">
      <formula>0.1</formula>
    </cfRule>
  </conditionalFormatting>
  <conditionalFormatting sqref="W436 W442">
    <cfRule type="cellIs" dxfId="282" priority="141" operator="lessThan">
      <formula>0.1</formula>
    </cfRule>
  </conditionalFormatting>
  <conditionalFormatting sqref="W443">
    <cfRule type="cellIs" dxfId="281" priority="140" operator="lessThan">
      <formula>0.1</formula>
    </cfRule>
  </conditionalFormatting>
  <conditionalFormatting sqref="O449:O451 O453">
    <cfRule type="cellIs" dxfId="280" priority="127" operator="lessThan">
      <formula>0.1</formula>
    </cfRule>
  </conditionalFormatting>
  <conditionalFormatting sqref="S447:S454">
    <cfRule type="cellIs" dxfId="279" priority="126" operator="lessThan">
      <formula>0.1</formula>
    </cfRule>
  </conditionalFormatting>
  <conditionalFormatting sqref="O454">
    <cfRule type="cellIs" dxfId="278" priority="128" operator="lessThan">
      <formula>0.1</formula>
    </cfRule>
  </conditionalFormatting>
  <conditionalFormatting sqref="W448:W452">
    <cfRule type="cellIs" dxfId="277" priority="133" operator="lessThan">
      <formula>0.1</formula>
    </cfRule>
  </conditionalFormatting>
  <conditionalFormatting sqref="W446">
    <cfRule type="cellIs" dxfId="276" priority="134" operator="lessThan">
      <formula>0.1</formula>
    </cfRule>
  </conditionalFormatting>
  <conditionalFormatting sqref="W447 W453">
    <cfRule type="cellIs" dxfId="275" priority="132" operator="lessThan">
      <formula>0.1</formula>
    </cfRule>
  </conditionalFormatting>
  <conditionalFormatting sqref="K450:K454">
    <cfRule type="cellIs" dxfId="274" priority="129" operator="lessThan">
      <formula>0.1</formula>
    </cfRule>
  </conditionalFormatting>
  <conditionalFormatting sqref="K448:K449">
    <cfRule type="cellIs" dxfId="273" priority="130" operator="lessThan">
      <formula>0.1</formula>
    </cfRule>
  </conditionalFormatting>
  <conditionalFormatting sqref="W454">
    <cfRule type="cellIs" dxfId="272" priority="131" operator="lessThan">
      <formula>0.1</formula>
    </cfRule>
  </conditionalFormatting>
  <conditionalFormatting sqref="S403:S410">
    <cfRule type="cellIs" dxfId="271" priority="117" operator="lessThan">
      <formula>0.1</formula>
    </cfRule>
  </conditionalFormatting>
  <conditionalFormatting sqref="O410">
    <cfRule type="cellIs" dxfId="270" priority="119" operator="lessThan">
      <formula>0.1</formula>
    </cfRule>
  </conditionalFormatting>
  <conditionalFormatting sqref="W404:W408">
    <cfRule type="cellIs" dxfId="269" priority="124" operator="lessThan">
      <formula>0.1</formula>
    </cfRule>
  </conditionalFormatting>
  <conditionalFormatting sqref="W402">
    <cfRule type="cellIs" dxfId="268" priority="125" operator="lessThan">
      <formula>0.1</formula>
    </cfRule>
  </conditionalFormatting>
  <conditionalFormatting sqref="W403 W409">
    <cfRule type="cellIs" dxfId="267" priority="123" operator="lessThan">
      <formula>0.1</formula>
    </cfRule>
  </conditionalFormatting>
  <conditionalFormatting sqref="W410">
    <cfRule type="cellIs" dxfId="266" priority="122" operator="lessThan">
      <formula>0.1</formula>
    </cfRule>
  </conditionalFormatting>
  <conditionalFormatting sqref="S458:S465">
    <cfRule type="cellIs" dxfId="265" priority="108" operator="lessThan">
      <formula>0.1</formula>
    </cfRule>
  </conditionalFormatting>
  <conditionalFormatting sqref="W459:W463">
    <cfRule type="cellIs" dxfId="264" priority="115" operator="lessThan">
      <formula>0.1</formula>
    </cfRule>
  </conditionalFormatting>
  <conditionalFormatting sqref="W457">
    <cfRule type="cellIs" dxfId="263" priority="116" operator="lessThan">
      <formula>0.1</formula>
    </cfRule>
  </conditionalFormatting>
  <conditionalFormatting sqref="W458 W464">
    <cfRule type="cellIs" dxfId="262" priority="114" operator="lessThan">
      <formula>0.1</formula>
    </cfRule>
  </conditionalFormatting>
  <conditionalFormatting sqref="W465">
    <cfRule type="cellIs" dxfId="261" priority="113" operator="lessThan">
      <formula>0.1</formula>
    </cfRule>
  </conditionalFormatting>
  <conditionalFormatting sqref="S469:S476">
    <cfRule type="cellIs" dxfId="260" priority="99" operator="lessThan">
      <formula>0.1</formula>
    </cfRule>
  </conditionalFormatting>
  <conditionalFormatting sqref="W470:W474">
    <cfRule type="cellIs" dxfId="259" priority="106" operator="lessThan">
      <formula>0.1</formula>
    </cfRule>
  </conditionalFormatting>
  <conditionalFormatting sqref="W468">
    <cfRule type="cellIs" dxfId="258" priority="107" operator="lessThan">
      <formula>0.1</formula>
    </cfRule>
  </conditionalFormatting>
  <conditionalFormatting sqref="W469 W475">
    <cfRule type="cellIs" dxfId="257" priority="105" operator="lessThan">
      <formula>0.1</formula>
    </cfRule>
  </conditionalFormatting>
  <conditionalFormatting sqref="W476">
    <cfRule type="cellIs" dxfId="256" priority="104" operator="lessThan">
      <formula>0.1</formula>
    </cfRule>
  </conditionalFormatting>
  <conditionalFormatting sqref="S216:S223">
    <cfRule type="cellIs" dxfId="255" priority="87" operator="lessThan">
      <formula>0.1</formula>
    </cfRule>
  </conditionalFormatting>
  <conditionalFormatting sqref="K95:K96">
    <cfRule type="cellIs" dxfId="254" priority="76" operator="lessThan">
      <formula>0.1</formula>
    </cfRule>
  </conditionalFormatting>
  <conditionalFormatting sqref="G219:G223">
    <cfRule type="cellIs" dxfId="253" priority="94" operator="lessThan">
      <formula>0.1</formula>
    </cfRule>
  </conditionalFormatting>
  <conditionalFormatting sqref="S215">
    <cfRule type="cellIs" dxfId="252" priority="88" operator="lessThan">
      <formula>0.1</formula>
    </cfRule>
  </conditionalFormatting>
  <conditionalFormatting sqref="O109:O112">
    <cfRule type="cellIs" dxfId="251" priority="68" operator="lessThan">
      <formula>0.1</formula>
    </cfRule>
  </conditionalFormatting>
  <conditionalFormatting sqref="W217:W221">
    <cfRule type="cellIs" dxfId="250" priority="97" operator="lessThan">
      <formula>0.1</formula>
    </cfRule>
  </conditionalFormatting>
  <conditionalFormatting sqref="O102">
    <cfRule type="cellIs" dxfId="249" priority="75" operator="lessThan">
      <formula>0.1</formula>
    </cfRule>
  </conditionalFormatting>
  <conditionalFormatting sqref="G216:G218">
    <cfRule type="cellIs" dxfId="248" priority="93" operator="lessThan">
      <formula>0.1</formula>
    </cfRule>
  </conditionalFormatting>
  <conditionalFormatting sqref="W223">
    <cfRule type="cellIs" dxfId="247" priority="95" operator="lessThan">
      <formula>0.1</formula>
    </cfRule>
  </conditionalFormatting>
  <conditionalFormatting sqref="W216 W222">
    <cfRule type="cellIs" dxfId="246" priority="96" operator="lessThan">
      <formula>0.1</formula>
    </cfRule>
  </conditionalFormatting>
  <conditionalFormatting sqref="O106:O108">
    <cfRule type="cellIs" dxfId="245" priority="67" operator="lessThan">
      <formula>0.1</formula>
    </cfRule>
  </conditionalFormatting>
  <conditionalFormatting sqref="W215">
    <cfRule type="cellIs" dxfId="244" priority="98" operator="lessThan">
      <formula>0.1</formula>
    </cfRule>
  </conditionalFormatting>
  <conditionalFormatting sqref="K73:K75">
    <cfRule type="cellIs" dxfId="243" priority="85" operator="lessThan">
      <formula>0.1</formula>
    </cfRule>
  </conditionalFormatting>
  <conditionalFormatting sqref="K76:K80">
    <cfRule type="cellIs" dxfId="242" priority="86" operator="lessThan">
      <formula>0.1</formula>
    </cfRule>
  </conditionalFormatting>
  <conditionalFormatting sqref="O73:O75">
    <cfRule type="cellIs" dxfId="241" priority="83" operator="lessThan">
      <formula>0.1</formula>
    </cfRule>
  </conditionalFormatting>
  <conditionalFormatting sqref="O76:O80">
    <cfRule type="cellIs" dxfId="240" priority="84" operator="lessThan">
      <formula>0.1</formula>
    </cfRule>
  </conditionalFormatting>
  <conditionalFormatting sqref="K84:K86">
    <cfRule type="cellIs" dxfId="239" priority="81" operator="lessThan">
      <formula>0.1</formula>
    </cfRule>
  </conditionalFormatting>
  <conditionalFormatting sqref="K87:K91">
    <cfRule type="cellIs" dxfId="238" priority="82" operator="lessThan">
      <formula>0.1</formula>
    </cfRule>
  </conditionalFormatting>
  <conditionalFormatting sqref="O84:O86">
    <cfRule type="cellIs" dxfId="237" priority="79" operator="lessThan">
      <formula>0.1</formula>
    </cfRule>
  </conditionalFormatting>
  <conditionalFormatting sqref="O87:O91">
    <cfRule type="cellIs" dxfId="236" priority="80" operator="lessThan">
      <formula>0.1</formula>
    </cfRule>
  </conditionalFormatting>
  <conditionalFormatting sqref="K98:K102">
    <cfRule type="cellIs" dxfId="235" priority="77" operator="lessThan">
      <formula>0.1</formula>
    </cfRule>
  </conditionalFormatting>
  <conditionalFormatting sqref="K97">
    <cfRule type="cellIs" dxfId="234" priority="78" operator="lessThan">
      <formula>0.1</formula>
    </cfRule>
  </conditionalFormatting>
  <conditionalFormatting sqref="K142:K146">
    <cfRule type="cellIs" dxfId="233" priority="58" operator="lessThan">
      <formula>0.1</formula>
    </cfRule>
  </conditionalFormatting>
  <conditionalFormatting sqref="O95:O96">
    <cfRule type="cellIs" dxfId="232" priority="73" operator="lessThan">
      <formula>0.1</formula>
    </cfRule>
  </conditionalFormatting>
  <conditionalFormatting sqref="O97:O101">
    <cfRule type="cellIs" dxfId="231" priority="74" operator="lessThan">
      <formula>0.1</formula>
    </cfRule>
  </conditionalFormatting>
  <conditionalFormatting sqref="K139:K141">
    <cfRule type="cellIs" dxfId="230" priority="57" operator="lessThan">
      <formula>0.1</formula>
    </cfRule>
  </conditionalFormatting>
  <conditionalFormatting sqref="K113">
    <cfRule type="cellIs" dxfId="229" priority="72" operator="lessThan">
      <formula>0.1</formula>
    </cfRule>
  </conditionalFormatting>
  <conditionalFormatting sqref="K106:K108">
    <cfRule type="cellIs" dxfId="228" priority="70" operator="lessThan">
      <formula>0.1</formula>
    </cfRule>
  </conditionalFormatting>
  <conditionalFormatting sqref="K109:K112">
    <cfRule type="cellIs" dxfId="227" priority="71" operator="lessThan">
      <formula>0.1</formula>
    </cfRule>
  </conditionalFormatting>
  <conditionalFormatting sqref="O113">
    <cfRule type="cellIs" dxfId="226" priority="69" operator="lessThan">
      <formula>0.1</formula>
    </cfRule>
  </conditionalFormatting>
  <conditionalFormatting sqref="K117:K119">
    <cfRule type="cellIs" dxfId="225" priority="65" operator="lessThan">
      <formula>0.1</formula>
    </cfRule>
  </conditionalFormatting>
  <conditionalFormatting sqref="K120:K124">
    <cfRule type="cellIs" dxfId="224" priority="66" operator="lessThan">
      <formula>0.1</formula>
    </cfRule>
  </conditionalFormatting>
  <conditionalFormatting sqref="O120:O124">
    <cfRule type="cellIs" dxfId="223" priority="64" operator="lessThan">
      <formula>0.1</formula>
    </cfRule>
  </conditionalFormatting>
  <conditionalFormatting sqref="O117:O119">
    <cfRule type="cellIs" dxfId="222" priority="63" operator="lessThan">
      <formula>0.1</formula>
    </cfRule>
  </conditionalFormatting>
  <conditionalFormatting sqref="K131:K135">
    <cfRule type="cellIs" dxfId="221" priority="61" operator="lessThan">
      <formula>0.1</formula>
    </cfRule>
  </conditionalFormatting>
  <conditionalFormatting sqref="K128:K130">
    <cfRule type="cellIs" dxfId="220" priority="62" operator="lessThan">
      <formula>0.1</formula>
    </cfRule>
  </conditionalFormatting>
  <conditionalFormatting sqref="O131:O135">
    <cfRule type="cellIs" dxfId="219" priority="59" operator="lessThan">
      <formula>0.1</formula>
    </cfRule>
  </conditionalFormatting>
  <conditionalFormatting sqref="O128:O130">
    <cfRule type="cellIs" dxfId="218" priority="60" operator="lessThan">
      <formula>0.1</formula>
    </cfRule>
  </conditionalFormatting>
  <conditionalFormatting sqref="O139:O141">
    <cfRule type="cellIs" dxfId="217" priority="55" operator="lessThan">
      <formula>0.1</formula>
    </cfRule>
  </conditionalFormatting>
  <conditionalFormatting sqref="O142:O146">
    <cfRule type="cellIs" dxfId="216" priority="56" operator="lessThan">
      <formula>0.1</formula>
    </cfRule>
  </conditionalFormatting>
  <conditionalFormatting sqref="K150:K152">
    <cfRule type="cellIs" dxfId="215" priority="53" operator="lessThan">
      <formula>0.1</formula>
    </cfRule>
  </conditionalFormatting>
  <conditionalFormatting sqref="K153:K157">
    <cfRule type="cellIs" dxfId="214" priority="54" operator="lessThan">
      <formula>0.1</formula>
    </cfRule>
  </conditionalFormatting>
  <conditionalFormatting sqref="O150:O152">
    <cfRule type="cellIs" dxfId="213" priority="51" operator="lessThan">
      <formula>0.1</formula>
    </cfRule>
  </conditionalFormatting>
  <conditionalFormatting sqref="O153:O157">
    <cfRule type="cellIs" dxfId="212" priority="52" operator="lessThan">
      <formula>0.1</formula>
    </cfRule>
  </conditionalFormatting>
  <conditionalFormatting sqref="K161:K163">
    <cfRule type="cellIs" dxfId="211" priority="49" operator="lessThan">
      <formula>0.1</formula>
    </cfRule>
  </conditionalFormatting>
  <conditionalFormatting sqref="K164:K168">
    <cfRule type="cellIs" dxfId="210" priority="50" operator="lessThan">
      <formula>0.1</formula>
    </cfRule>
  </conditionalFormatting>
  <conditionalFormatting sqref="O161:O163">
    <cfRule type="cellIs" dxfId="209" priority="47" operator="lessThan">
      <formula>0.1</formula>
    </cfRule>
  </conditionalFormatting>
  <conditionalFormatting sqref="O164:O168">
    <cfRule type="cellIs" dxfId="208" priority="48" operator="lessThan">
      <formula>0.1</formula>
    </cfRule>
  </conditionalFormatting>
  <conditionalFormatting sqref="K175:K179">
    <cfRule type="cellIs" dxfId="207" priority="45" operator="lessThan">
      <formula>0.1</formula>
    </cfRule>
  </conditionalFormatting>
  <conditionalFormatting sqref="K172:K174">
    <cfRule type="cellIs" dxfId="206" priority="46" operator="lessThan">
      <formula>0.1</formula>
    </cfRule>
  </conditionalFormatting>
  <conditionalFormatting sqref="O172:O174">
    <cfRule type="cellIs" dxfId="205" priority="44" operator="lessThan">
      <formula>0.1</formula>
    </cfRule>
  </conditionalFormatting>
  <conditionalFormatting sqref="O175:O179">
    <cfRule type="cellIs" dxfId="204" priority="43" operator="lessThan">
      <formula>0.1</formula>
    </cfRule>
  </conditionalFormatting>
  <conditionalFormatting sqref="K183:K185">
    <cfRule type="cellIs" dxfId="203" priority="41" operator="lessThan">
      <formula>0.1</formula>
    </cfRule>
  </conditionalFormatting>
  <conditionalFormatting sqref="K186:K190">
    <cfRule type="cellIs" dxfId="202" priority="42" operator="lessThan">
      <formula>0.1</formula>
    </cfRule>
  </conditionalFormatting>
  <conditionalFormatting sqref="O183:O185">
    <cfRule type="cellIs" dxfId="201" priority="39" operator="lessThan">
      <formula>0.1</formula>
    </cfRule>
  </conditionalFormatting>
  <conditionalFormatting sqref="O186:O190">
    <cfRule type="cellIs" dxfId="200" priority="40" operator="lessThan">
      <formula>0.1</formula>
    </cfRule>
  </conditionalFormatting>
  <conditionalFormatting sqref="K208:K212">
    <cfRule type="cellIs" dxfId="199" priority="37" operator="lessThan">
      <formula>0.1</formula>
    </cfRule>
  </conditionalFormatting>
  <conditionalFormatting sqref="K205:K207">
    <cfRule type="cellIs" dxfId="198" priority="38" operator="lessThan">
      <formula>0.1</formula>
    </cfRule>
  </conditionalFormatting>
  <conditionalFormatting sqref="O205:O207">
    <cfRule type="cellIs" dxfId="197" priority="36" operator="lessThan">
      <formula>0.1</formula>
    </cfRule>
  </conditionalFormatting>
  <conditionalFormatting sqref="O208:O212">
    <cfRule type="cellIs" dxfId="196" priority="35" operator="lessThan">
      <formula>0.1</formula>
    </cfRule>
  </conditionalFormatting>
  <conditionalFormatting sqref="K219:K223">
    <cfRule type="cellIs" dxfId="195" priority="33" operator="lessThan">
      <formula>0.1</formula>
    </cfRule>
  </conditionalFormatting>
  <conditionalFormatting sqref="K216:K218">
    <cfRule type="cellIs" dxfId="194" priority="34" operator="lessThan">
      <formula>0.1</formula>
    </cfRule>
  </conditionalFormatting>
  <conditionalFormatting sqref="O219:O223">
    <cfRule type="cellIs" dxfId="193" priority="31" operator="lessThan">
      <formula>0.1</formula>
    </cfRule>
  </conditionalFormatting>
  <conditionalFormatting sqref="O216:O218">
    <cfRule type="cellIs" dxfId="192" priority="32" operator="lessThan">
      <formula>0.1</formula>
    </cfRule>
  </conditionalFormatting>
  <conditionalFormatting sqref="K260:K262">
    <cfRule type="cellIs" dxfId="191" priority="29" operator="lessThan">
      <formula>0.1</formula>
    </cfRule>
  </conditionalFormatting>
  <conditionalFormatting sqref="K263:K267">
    <cfRule type="cellIs" dxfId="190" priority="30" operator="lessThan">
      <formula>0.1</formula>
    </cfRule>
  </conditionalFormatting>
  <conditionalFormatting sqref="O260:O262">
    <cfRule type="cellIs" dxfId="189" priority="27" operator="lessThan">
      <formula>0.1</formula>
    </cfRule>
  </conditionalFormatting>
  <conditionalFormatting sqref="O263:O267">
    <cfRule type="cellIs" dxfId="188" priority="28" operator="lessThan">
      <formula>0.1</formula>
    </cfRule>
  </conditionalFormatting>
  <conditionalFormatting sqref="K315:K317">
    <cfRule type="cellIs" dxfId="187" priority="25" operator="lessThan">
      <formula>0.1</formula>
    </cfRule>
  </conditionalFormatting>
  <conditionalFormatting sqref="K318:K322">
    <cfRule type="cellIs" dxfId="186" priority="26" operator="lessThan">
      <formula>0.1</formula>
    </cfRule>
  </conditionalFormatting>
  <conditionalFormatting sqref="O315:O317">
    <cfRule type="cellIs" dxfId="185" priority="23" operator="lessThan">
      <formula>0.1</formula>
    </cfRule>
  </conditionalFormatting>
  <conditionalFormatting sqref="O318:O322">
    <cfRule type="cellIs" dxfId="184" priority="24" operator="lessThan">
      <formula>0.1</formula>
    </cfRule>
  </conditionalFormatting>
  <conditionalFormatting sqref="K326:K328">
    <cfRule type="cellIs" dxfId="183" priority="21" operator="lessThan">
      <formula>0.1</formula>
    </cfRule>
  </conditionalFormatting>
  <conditionalFormatting sqref="K329:K333">
    <cfRule type="cellIs" dxfId="182" priority="22" operator="lessThan">
      <formula>0.1</formula>
    </cfRule>
  </conditionalFormatting>
  <conditionalFormatting sqref="O326:O328">
    <cfRule type="cellIs" dxfId="181" priority="19" operator="lessThan">
      <formula>0.1</formula>
    </cfRule>
  </conditionalFormatting>
  <conditionalFormatting sqref="O329:O333">
    <cfRule type="cellIs" dxfId="180" priority="20" operator="lessThan">
      <formula>0.1</formula>
    </cfRule>
  </conditionalFormatting>
  <conditionalFormatting sqref="S348:S355">
    <cfRule type="cellIs" dxfId="179" priority="13" operator="lessThan">
      <formula>0.1</formula>
    </cfRule>
  </conditionalFormatting>
  <conditionalFormatting sqref="W349:W353">
    <cfRule type="cellIs" dxfId="178" priority="14" operator="lessThan">
      <formula>0.1</formula>
    </cfRule>
  </conditionalFormatting>
  <conditionalFormatting sqref="W347">
    <cfRule type="cellIs" dxfId="177" priority="15" operator="lessThan">
      <formula>0.1</formula>
    </cfRule>
  </conditionalFormatting>
  <conditionalFormatting sqref="W348 W354">
    <cfRule type="cellIs" dxfId="176" priority="16" operator="lessThan">
      <formula>0.1</formula>
    </cfRule>
  </conditionalFormatting>
  <conditionalFormatting sqref="W355">
    <cfRule type="cellIs" dxfId="175" priority="17" operator="lessThan">
      <formula>0.1</formula>
    </cfRule>
  </conditionalFormatting>
  <conditionalFormatting sqref="G348:G355">
    <cfRule type="cellIs" dxfId="174" priority="18" operator="lessThan">
      <formula>0.1</formula>
    </cfRule>
  </conditionalFormatting>
  <conditionalFormatting sqref="K348:K355">
    <cfRule type="cellIs" dxfId="173" priority="12" operator="lessThan">
      <formula>0.1</formula>
    </cfRule>
  </conditionalFormatting>
  <conditionalFormatting sqref="O348:O355">
    <cfRule type="cellIs" dxfId="172" priority="11" operator="lessThan">
      <formula>0.1</formula>
    </cfRule>
  </conditionalFormatting>
  <conditionalFormatting sqref="K359:K366">
    <cfRule type="cellIs" dxfId="171" priority="10" operator="lessThan">
      <formula>0.1</formula>
    </cfRule>
  </conditionalFormatting>
  <conditionalFormatting sqref="O359:O366">
    <cfRule type="cellIs" dxfId="170" priority="9" operator="lessThan">
      <formula>0.1</formula>
    </cfRule>
  </conditionalFormatting>
  <conditionalFormatting sqref="O372">
    <cfRule type="cellIs" dxfId="169" priority="8" operator="lessThan">
      <formula>0.1</formula>
    </cfRule>
  </conditionalFormatting>
  <conditionalFormatting sqref="O375">
    <cfRule type="cellIs" dxfId="168" priority="7" operator="lessThan">
      <formula>0.1</formula>
    </cfRule>
  </conditionalFormatting>
  <conditionalFormatting sqref="O376">
    <cfRule type="cellIs" dxfId="167" priority="6" operator="lessThan">
      <formula>0.1</formula>
    </cfRule>
  </conditionalFormatting>
  <conditionalFormatting sqref="O377">
    <cfRule type="cellIs" dxfId="166" priority="5" operator="lessThan">
      <formula>0.1</formula>
    </cfRule>
  </conditionalFormatting>
  <conditionalFormatting sqref="K377">
    <cfRule type="cellIs" dxfId="165" priority="4" operator="lessThan">
      <formula>0.1</formula>
    </cfRule>
  </conditionalFormatting>
  <conditionalFormatting sqref="K376">
    <cfRule type="cellIs" dxfId="164" priority="3" operator="lessThan">
      <formula>0.1</formula>
    </cfRule>
  </conditionalFormatting>
  <conditionalFormatting sqref="K375">
    <cfRule type="cellIs" dxfId="163" priority="2" operator="lessThan">
      <formula>0.1</formula>
    </cfRule>
  </conditionalFormatting>
  <conditionalFormatting sqref="K372">
    <cfRule type="cellIs" dxfId="162" priority="1" operator="lessThan">
      <formula>0.1</formula>
    </cfRule>
  </conditionalFormatting>
  <printOptions horizontalCentered="1" verticalCentered="1"/>
  <pageMargins left="0.1" right="0.1" top="0.1" bottom="0.1" header="0" footer="0"/>
  <pageSetup scale="12" fitToHeight="0" orientation="landscape" r:id="rId1"/>
  <rowBreaks count="5" manualBreakCount="5">
    <brk id="91" max="26" man="1"/>
    <brk id="168" max="26" man="1"/>
    <brk id="255" max="26" man="1"/>
    <brk id="334" max="26" man="1"/>
    <brk id="421" max="26"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9">
    <pageSetUpPr fitToPage="1"/>
  </sheetPr>
  <dimension ref="B1:AA476"/>
  <sheetViews>
    <sheetView view="pageBreakPreview" topLeftCell="A151" zoomScale="55" zoomScaleNormal="85" zoomScaleSheetLayoutView="55" workbookViewId="0">
      <selection activeCell="J61" sqref="J61"/>
    </sheetView>
  </sheetViews>
  <sheetFormatPr baseColWidth="10" defaultColWidth="11.42578125" defaultRowHeight="15" customHeight="1" x14ac:dyDescent="0.2"/>
  <cols>
    <col min="1" max="1" width="3.7109375" customWidth="1"/>
    <col min="2" max="2" width="18.140625" customWidth="1"/>
    <col min="3" max="3" width="27" customWidth="1"/>
    <col min="4" max="4" width="21.140625" customWidth="1"/>
    <col min="5" max="5" width="24.28515625" customWidth="1"/>
    <col min="6" max="6" width="20.28515625" customWidth="1"/>
    <col min="7" max="7" width="20.7109375" customWidth="1"/>
    <col min="8" max="8" width="15.5703125" customWidth="1"/>
    <col min="9" max="9" width="24.42578125" customWidth="1"/>
    <col min="10" max="10" width="18.140625" customWidth="1"/>
    <col min="11" max="11" width="26.140625" customWidth="1"/>
    <col min="12" max="12" width="20.85546875" customWidth="1"/>
    <col min="13" max="13" width="19.7109375" customWidth="1"/>
    <col min="15" max="15" width="11.42578125" customWidth="1"/>
  </cols>
  <sheetData>
    <row r="1" spans="2:27" ht="15" customHeight="1" thickBot="1" x14ac:dyDescent="0.25"/>
    <row r="2" spans="2:27" s="609" customFormat="1" ht="19.899999999999999" customHeight="1" x14ac:dyDescent="0.3">
      <c r="B2" s="1558" t="s">
        <v>118</v>
      </c>
      <c r="C2" s="1559"/>
      <c r="D2" s="1559"/>
      <c r="E2" s="1559"/>
      <c r="F2" s="1559"/>
      <c r="G2" s="1559"/>
      <c r="H2" s="1559"/>
      <c r="I2" s="1559"/>
      <c r="J2" s="1559"/>
      <c r="K2" s="1559"/>
      <c r="L2" s="1559"/>
      <c r="M2" s="1559"/>
      <c r="N2" s="1560"/>
      <c r="O2" s="610"/>
      <c r="P2" s="610"/>
      <c r="Q2" s="610"/>
      <c r="R2" s="610"/>
      <c r="S2" s="610"/>
      <c r="T2" s="610"/>
      <c r="U2" s="610"/>
      <c r="V2" s="610"/>
      <c r="W2" s="610"/>
      <c r="X2" s="610"/>
      <c r="Y2" s="610"/>
      <c r="Z2" s="610"/>
      <c r="AA2" s="610"/>
    </row>
    <row r="3" spans="2:27" s="609" customFormat="1" ht="19.899999999999999" customHeight="1" x14ac:dyDescent="0.3">
      <c r="B3" s="1561"/>
      <c r="C3" s="1562"/>
      <c r="D3" s="1562"/>
      <c r="E3" s="1562"/>
      <c r="F3" s="1562"/>
      <c r="G3" s="1562"/>
      <c r="H3" s="1562"/>
      <c r="I3" s="1562"/>
      <c r="J3" s="1562"/>
      <c r="K3" s="1562"/>
      <c r="L3" s="1562"/>
      <c r="M3" s="1562"/>
      <c r="N3" s="1563"/>
      <c r="O3" s="610"/>
      <c r="P3" s="610"/>
      <c r="Q3" s="610"/>
      <c r="R3" s="610"/>
      <c r="S3" s="610"/>
      <c r="T3" s="610"/>
      <c r="U3" s="610"/>
      <c r="V3" s="610"/>
      <c r="W3" s="610"/>
      <c r="X3" s="610"/>
      <c r="Y3" s="610"/>
      <c r="Z3" s="610"/>
      <c r="AA3" s="610"/>
    </row>
    <row r="4" spans="2:27" s="609" customFormat="1" ht="19.899999999999999" customHeight="1" x14ac:dyDescent="0.3">
      <c r="B4" s="627"/>
      <c r="C4" s="628"/>
      <c r="D4" s="628"/>
      <c r="E4" s="628"/>
      <c r="F4" s="628"/>
      <c r="G4" s="628"/>
      <c r="H4" s="628"/>
      <c r="I4" s="628"/>
      <c r="J4" s="628"/>
      <c r="K4" s="628"/>
      <c r="L4" s="628"/>
      <c r="M4" s="632"/>
      <c r="N4" s="635"/>
    </row>
    <row r="5" spans="2:27" s="609" customFormat="1" ht="19.899999999999999" customHeight="1" x14ac:dyDescent="0.3">
      <c r="B5" s="627"/>
      <c r="C5" s="628"/>
      <c r="D5" s="628"/>
      <c r="E5" s="628"/>
      <c r="F5" s="628"/>
      <c r="G5" s="628"/>
      <c r="H5" s="628"/>
      <c r="I5" s="628"/>
      <c r="J5" s="628"/>
      <c r="K5" s="628"/>
      <c r="L5" s="628"/>
      <c r="M5" s="632"/>
      <c r="N5" s="635"/>
    </row>
    <row r="6" spans="2:27" s="609" customFormat="1" ht="19.899999999999999" customHeight="1" x14ac:dyDescent="0.3">
      <c r="B6" s="1553"/>
      <c r="C6" s="1554"/>
      <c r="D6" s="1556" t="s">
        <v>1874</v>
      </c>
      <c r="E6" s="1568" t="s">
        <v>818</v>
      </c>
      <c r="F6" s="1569"/>
      <c r="G6" s="1570"/>
      <c r="H6" s="1565" t="s">
        <v>816</v>
      </c>
      <c r="I6" s="1566"/>
      <c r="J6" s="1567"/>
      <c r="K6" s="628"/>
      <c r="L6" s="628"/>
      <c r="M6" s="632"/>
      <c r="N6" s="635"/>
    </row>
    <row r="7" spans="2:27" s="609" customFormat="1" ht="19.899999999999999" customHeight="1" x14ac:dyDescent="0.3">
      <c r="B7" s="1543"/>
      <c r="C7" s="1555"/>
      <c r="D7" s="1557"/>
      <c r="E7" s="611" t="s">
        <v>819</v>
      </c>
      <c r="F7" s="611" t="s">
        <v>1873</v>
      </c>
      <c r="G7" s="611" t="s">
        <v>1872</v>
      </c>
      <c r="H7" s="611">
        <v>3</v>
      </c>
      <c r="I7" s="611" t="s">
        <v>820</v>
      </c>
      <c r="J7" s="611" t="s">
        <v>821</v>
      </c>
      <c r="K7" s="628"/>
      <c r="L7" s="628"/>
      <c r="M7" s="632"/>
      <c r="N7" s="635"/>
    </row>
    <row r="8" spans="2:27" s="609" customFormat="1" ht="19.899999999999999" customHeight="1" x14ac:dyDescent="0.3">
      <c r="B8" s="1564" t="s">
        <v>696</v>
      </c>
      <c r="C8" s="1547"/>
      <c r="D8" s="613">
        <f>COUNTIF($H$11:$H$38,D6)</f>
        <v>10</v>
      </c>
      <c r="E8" s="613">
        <f>COUNTIF($H$11:$H$38,E7)</f>
        <v>15</v>
      </c>
      <c r="F8" s="613">
        <f>COUNTIF($H$11:$H$38,F7)</f>
        <v>1</v>
      </c>
      <c r="G8" s="613">
        <f>COUNTIF($H$11:$H$38,G7)</f>
        <v>1</v>
      </c>
      <c r="H8" s="613">
        <f>COUNTIF($H$11:$H$68,H7)</f>
        <v>31</v>
      </c>
      <c r="I8" s="613">
        <f>COUNTIF($H$11:$H$38,I7)</f>
        <v>0</v>
      </c>
      <c r="J8" s="613">
        <f>COUNTIF($H$11:$H$38,J7)</f>
        <v>0</v>
      </c>
      <c r="K8" s="628"/>
      <c r="L8" s="628"/>
      <c r="M8" s="632"/>
      <c r="N8" s="635"/>
    </row>
    <row r="9" spans="2:27" s="609" customFormat="1" ht="19.899999999999999" customHeight="1" x14ac:dyDescent="0.3">
      <c r="B9" s="627"/>
      <c r="C9" s="628"/>
      <c r="D9" s="628"/>
      <c r="E9" s="628"/>
      <c r="F9" s="628"/>
      <c r="G9" s="628"/>
      <c r="H9" s="628"/>
      <c r="I9" s="628"/>
      <c r="J9" s="628"/>
      <c r="K9" s="628"/>
      <c r="L9" s="628"/>
      <c r="M9" s="632"/>
      <c r="N9" s="635"/>
    </row>
    <row r="10" spans="2:27" s="609" customFormat="1" ht="19.899999999999999" customHeight="1" x14ac:dyDescent="0.3">
      <c r="B10" s="630" t="s">
        <v>798</v>
      </c>
      <c r="C10" s="611" t="s">
        <v>748</v>
      </c>
      <c r="D10" s="611" t="s">
        <v>749</v>
      </c>
      <c r="E10" s="611"/>
      <c r="F10" s="611"/>
      <c r="G10" s="611"/>
      <c r="H10" s="611" t="s">
        <v>815</v>
      </c>
      <c r="I10" s="611"/>
      <c r="J10" s="611"/>
      <c r="K10" s="628"/>
      <c r="L10" s="628"/>
      <c r="M10" s="632"/>
      <c r="N10" s="635"/>
    </row>
    <row r="11" spans="2:27" s="609" customFormat="1" ht="19.899999999999999" customHeight="1" x14ac:dyDescent="0.3">
      <c r="B11" s="637" t="s">
        <v>1846</v>
      </c>
      <c r="C11" s="614">
        <v>1159586.81</v>
      </c>
      <c r="D11" s="614">
        <v>785296.44</v>
      </c>
      <c r="E11" s="614" t="s">
        <v>2039</v>
      </c>
      <c r="F11" s="614" t="s">
        <v>2039</v>
      </c>
      <c r="G11" s="614" t="s">
        <v>2039</v>
      </c>
      <c r="H11" s="614" t="s">
        <v>1872</v>
      </c>
      <c r="I11" s="614"/>
      <c r="J11" s="614"/>
      <c r="K11" s="628"/>
      <c r="L11" s="628"/>
      <c r="M11" s="632"/>
      <c r="N11" s="635"/>
    </row>
    <row r="12" spans="2:27" s="609" customFormat="1" ht="19.899999999999999" customHeight="1" x14ac:dyDescent="0.3">
      <c r="B12" s="637" t="s">
        <v>1979</v>
      </c>
      <c r="C12" s="614">
        <v>1160245.18</v>
      </c>
      <c r="D12" s="614">
        <v>784886.84</v>
      </c>
      <c r="E12" s="614" t="s">
        <v>2039</v>
      </c>
      <c r="F12" s="614" t="s">
        <v>2039</v>
      </c>
      <c r="G12" s="614" t="s">
        <v>2039</v>
      </c>
      <c r="H12" s="614" t="s">
        <v>819</v>
      </c>
      <c r="I12" s="614"/>
      <c r="J12" s="614"/>
      <c r="K12" s="628"/>
      <c r="L12" s="628"/>
      <c r="M12" s="632"/>
      <c r="N12" s="635"/>
    </row>
    <row r="13" spans="2:27" s="609" customFormat="1" ht="19.899999999999999" customHeight="1" x14ac:dyDescent="0.3">
      <c r="B13" s="637" t="s">
        <v>1980</v>
      </c>
      <c r="C13" s="614">
        <v>1160045.98</v>
      </c>
      <c r="D13" s="614">
        <v>784963.27</v>
      </c>
      <c r="E13" s="614" t="s">
        <v>2039</v>
      </c>
      <c r="F13" s="614" t="s">
        <v>2039</v>
      </c>
      <c r="G13" s="614" t="s">
        <v>2039</v>
      </c>
      <c r="H13" s="614" t="s">
        <v>819</v>
      </c>
      <c r="I13" s="614"/>
      <c r="J13" s="614"/>
      <c r="K13" s="628"/>
      <c r="L13" s="628"/>
      <c r="M13" s="632"/>
      <c r="N13" s="635"/>
    </row>
    <row r="14" spans="2:27" s="609" customFormat="1" ht="19.899999999999999" customHeight="1" x14ac:dyDescent="0.3">
      <c r="B14" s="637" t="s">
        <v>1981</v>
      </c>
      <c r="C14" s="614">
        <v>1160230.19</v>
      </c>
      <c r="D14" s="614">
        <v>784669.18</v>
      </c>
      <c r="E14" s="614" t="s">
        <v>2039</v>
      </c>
      <c r="F14" s="614" t="s">
        <v>2039</v>
      </c>
      <c r="G14" s="614" t="s">
        <v>2039</v>
      </c>
      <c r="H14" s="614" t="s">
        <v>819</v>
      </c>
      <c r="I14" s="614"/>
      <c r="J14" s="614"/>
      <c r="K14" s="628"/>
      <c r="L14" s="628"/>
      <c r="M14" s="632"/>
      <c r="N14" s="635"/>
    </row>
    <row r="15" spans="2:27" s="609" customFormat="1" ht="19.899999999999999" customHeight="1" x14ac:dyDescent="0.3">
      <c r="B15" s="637" t="s">
        <v>1982</v>
      </c>
      <c r="C15" s="614">
        <v>1160342.26</v>
      </c>
      <c r="D15" s="614">
        <v>784904.16</v>
      </c>
      <c r="E15" s="614" t="s">
        <v>2039</v>
      </c>
      <c r="F15" s="614" t="s">
        <v>2039</v>
      </c>
      <c r="G15" s="614" t="s">
        <v>2039</v>
      </c>
      <c r="H15" s="614" t="s">
        <v>819</v>
      </c>
      <c r="I15" s="614"/>
      <c r="J15" s="614"/>
      <c r="K15" s="628"/>
      <c r="L15" s="628"/>
      <c r="M15" s="632"/>
      <c r="N15" s="635"/>
    </row>
    <row r="16" spans="2:27" s="609" customFormat="1" ht="19.899999999999999" customHeight="1" x14ac:dyDescent="0.3">
      <c r="B16" s="637" t="s">
        <v>1983</v>
      </c>
      <c r="C16" s="614">
        <v>1160315.33</v>
      </c>
      <c r="D16" s="614">
        <v>784858.16</v>
      </c>
      <c r="E16" s="614" t="s">
        <v>2039</v>
      </c>
      <c r="F16" s="614" t="s">
        <v>2039</v>
      </c>
      <c r="G16" s="614" t="s">
        <v>2039</v>
      </c>
      <c r="H16" s="614" t="s">
        <v>819</v>
      </c>
      <c r="I16" s="614"/>
      <c r="J16" s="614"/>
      <c r="K16" s="628"/>
      <c r="L16" s="628"/>
      <c r="M16" s="632"/>
      <c r="N16" s="635"/>
    </row>
    <row r="17" spans="2:14" s="609" customFormat="1" ht="19.899999999999999" customHeight="1" x14ac:dyDescent="0.3">
      <c r="B17" s="637" t="s">
        <v>1984</v>
      </c>
      <c r="C17" s="614">
        <v>1160316.3600000001</v>
      </c>
      <c r="D17" s="614">
        <v>784859.18</v>
      </c>
      <c r="E17" s="614" t="s">
        <v>2039</v>
      </c>
      <c r="F17" s="614" t="s">
        <v>2039</v>
      </c>
      <c r="G17" s="614" t="s">
        <v>2039</v>
      </c>
      <c r="H17" s="614" t="s">
        <v>819</v>
      </c>
      <c r="I17" s="614"/>
      <c r="J17" s="614"/>
      <c r="K17" s="628"/>
      <c r="L17" s="628"/>
      <c r="M17" s="632"/>
      <c r="N17" s="635"/>
    </row>
    <row r="18" spans="2:14" s="609" customFormat="1" ht="19.899999999999999" customHeight="1" x14ac:dyDescent="0.3">
      <c r="B18" s="637" t="s">
        <v>1985</v>
      </c>
      <c r="C18" s="614">
        <v>1160363.7</v>
      </c>
      <c r="D18" s="614">
        <v>784837.25</v>
      </c>
      <c r="E18" s="614" t="s">
        <v>2039</v>
      </c>
      <c r="F18" s="614" t="s">
        <v>2039</v>
      </c>
      <c r="G18" s="614" t="s">
        <v>2039</v>
      </c>
      <c r="H18" s="614" t="s">
        <v>819</v>
      </c>
      <c r="I18" s="614"/>
      <c r="J18" s="614"/>
      <c r="K18" s="628"/>
      <c r="L18" s="628"/>
      <c r="M18" s="632"/>
      <c r="N18" s="635"/>
    </row>
    <row r="19" spans="2:14" s="609" customFormat="1" ht="19.899999999999999" customHeight="1" x14ac:dyDescent="0.3">
      <c r="B19" s="637" t="s">
        <v>1986</v>
      </c>
      <c r="C19" s="614">
        <v>1160486.21</v>
      </c>
      <c r="D19" s="614">
        <v>784877.56</v>
      </c>
      <c r="E19" s="614" t="s">
        <v>2039</v>
      </c>
      <c r="F19" s="614" t="s">
        <v>2039</v>
      </c>
      <c r="G19" s="614" t="s">
        <v>2039</v>
      </c>
      <c r="H19" s="614" t="s">
        <v>819</v>
      </c>
      <c r="I19" s="614"/>
      <c r="J19" s="614"/>
      <c r="K19" s="628"/>
      <c r="L19" s="628"/>
      <c r="M19" s="632"/>
      <c r="N19" s="635"/>
    </row>
    <row r="20" spans="2:14" s="609" customFormat="1" ht="19.899999999999999" customHeight="1" x14ac:dyDescent="0.3">
      <c r="B20" s="637" t="s">
        <v>1987</v>
      </c>
      <c r="C20" s="614">
        <v>1160384.2</v>
      </c>
      <c r="D20" s="614">
        <v>784876.06599999999</v>
      </c>
      <c r="E20" s="614" t="s">
        <v>2039</v>
      </c>
      <c r="F20" s="614" t="s">
        <v>2039</v>
      </c>
      <c r="G20" s="614" t="s">
        <v>2039</v>
      </c>
      <c r="H20" s="614" t="s">
        <v>819</v>
      </c>
      <c r="I20" s="614"/>
      <c r="J20" s="614"/>
      <c r="K20" s="628"/>
      <c r="L20" s="628"/>
      <c r="M20" s="632"/>
      <c r="N20" s="635"/>
    </row>
    <row r="21" spans="2:14" s="609" customFormat="1" ht="19.899999999999999" customHeight="1" x14ac:dyDescent="0.3">
      <c r="B21" s="637" t="s">
        <v>1988</v>
      </c>
      <c r="C21" s="614">
        <v>1160489.9099999999</v>
      </c>
      <c r="D21" s="614">
        <v>784714.29</v>
      </c>
      <c r="E21" s="614" t="s">
        <v>2039</v>
      </c>
      <c r="F21" s="614" t="s">
        <v>2039</v>
      </c>
      <c r="G21" s="614" t="s">
        <v>2039</v>
      </c>
      <c r="H21" s="614" t="s">
        <v>819</v>
      </c>
      <c r="I21" s="614"/>
      <c r="J21" s="614"/>
      <c r="K21" s="628"/>
      <c r="L21" s="628"/>
      <c r="M21" s="632"/>
      <c r="N21" s="635"/>
    </row>
    <row r="22" spans="2:14" s="609" customFormat="1" ht="19.899999999999999" customHeight="1" x14ac:dyDescent="0.3">
      <c r="B22" s="637" t="s">
        <v>1989</v>
      </c>
      <c r="C22" s="614">
        <v>1160487.93</v>
      </c>
      <c r="D22" s="614">
        <v>784789.83</v>
      </c>
      <c r="E22" s="614" t="s">
        <v>2039</v>
      </c>
      <c r="F22" s="614" t="s">
        <v>2039</v>
      </c>
      <c r="G22" s="614" t="s">
        <v>2039</v>
      </c>
      <c r="H22" s="614" t="s">
        <v>819</v>
      </c>
      <c r="I22" s="614"/>
      <c r="J22" s="614"/>
      <c r="K22" s="628"/>
      <c r="L22" s="628"/>
      <c r="M22" s="632"/>
      <c r="N22" s="635"/>
    </row>
    <row r="23" spans="2:14" s="609" customFormat="1" ht="19.899999999999999" customHeight="1" x14ac:dyDescent="0.3">
      <c r="B23" s="637" t="s">
        <v>1829</v>
      </c>
      <c r="C23" s="614">
        <v>1160727.83</v>
      </c>
      <c r="D23" s="614">
        <v>784665.02</v>
      </c>
      <c r="E23" s="614" t="s">
        <v>2039</v>
      </c>
      <c r="F23" s="614" t="s">
        <v>2039</v>
      </c>
      <c r="G23" s="614" t="s">
        <v>2039</v>
      </c>
      <c r="H23" s="614" t="s">
        <v>819</v>
      </c>
      <c r="I23" s="614"/>
      <c r="J23" s="614"/>
      <c r="K23" s="628"/>
      <c r="L23" s="628"/>
      <c r="M23" s="632"/>
      <c r="N23" s="635"/>
    </row>
    <row r="24" spans="2:14" s="609" customFormat="1" ht="19.899999999999999" customHeight="1" x14ac:dyDescent="0.3">
      <c r="B24" s="637" t="s">
        <v>1828</v>
      </c>
      <c r="C24" s="614">
        <v>1160819.51</v>
      </c>
      <c r="D24" s="614">
        <v>74656.399999999994</v>
      </c>
      <c r="E24" s="614" t="s">
        <v>2039</v>
      </c>
      <c r="F24" s="614" t="s">
        <v>2039</v>
      </c>
      <c r="G24" s="614" t="s">
        <v>2039</v>
      </c>
      <c r="H24" s="614" t="s">
        <v>819</v>
      </c>
      <c r="I24" s="614"/>
      <c r="J24" s="614"/>
      <c r="K24" s="628"/>
      <c r="L24" s="628"/>
      <c r="M24" s="632"/>
      <c r="N24" s="635"/>
    </row>
    <row r="25" spans="2:14" s="609" customFormat="1" ht="19.899999999999999" customHeight="1" x14ac:dyDescent="0.3">
      <c r="B25" s="637" t="s">
        <v>1824</v>
      </c>
      <c r="C25" s="614">
        <v>1160824.01</v>
      </c>
      <c r="D25" s="614">
        <v>784698.57</v>
      </c>
      <c r="E25" s="614" t="s">
        <v>2039</v>
      </c>
      <c r="F25" s="614" t="s">
        <v>2039</v>
      </c>
      <c r="G25" s="614" t="s">
        <v>2039</v>
      </c>
      <c r="H25" s="614" t="s">
        <v>819</v>
      </c>
      <c r="I25" s="614"/>
      <c r="J25" s="614"/>
      <c r="K25" s="628"/>
      <c r="L25" s="628"/>
      <c r="M25" s="632"/>
      <c r="N25" s="635"/>
    </row>
    <row r="26" spans="2:14" s="609" customFormat="1" ht="19.899999999999999" customHeight="1" x14ac:dyDescent="0.3">
      <c r="B26" s="637" t="s">
        <v>1990</v>
      </c>
      <c r="C26" s="614">
        <v>1160824.78</v>
      </c>
      <c r="D26" s="614">
        <v>784699.81</v>
      </c>
      <c r="E26" s="614" t="s">
        <v>2039</v>
      </c>
      <c r="F26" s="614" t="s">
        <v>2039</v>
      </c>
      <c r="G26" s="614" t="s">
        <v>2039</v>
      </c>
      <c r="H26" s="614" t="s">
        <v>819</v>
      </c>
      <c r="I26" s="614"/>
      <c r="J26" s="614"/>
      <c r="K26" s="628"/>
      <c r="L26" s="628"/>
      <c r="M26" s="632"/>
      <c r="N26" s="635"/>
    </row>
    <row r="27" spans="2:14" s="609" customFormat="1" ht="19.899999999999999" customHeight="1" x14ac:dyDescent="0.3">
      <c r="B27" s="637" t="s">
        <v>1991</v>
      </c>
      <c r="C27" s="614">
        <v>1160273.6299999999</v>
      </c>
      <c r="D27" s="614">
        <v>78649.64</v>
      </c>
      <c r="E27" s="614" t="s">
        <v>2039</v>
      </c>
      <c r="F27" s="614" t="s">
        <v>2039</v>
      </c>
      <c r="G27" s="614" t="s">
        <v>2039</v>
      </c>
      <c r="H27" s="614" t="s">
        <v>1873</v>
      </c>
      <c r="I27" s="614"/>
      <c r="J27" s="614"/>
      <c r="K27" s="628"/>
      <c r="L27" s="628"/>
      <c r="M27" s="632"/>
      <c r="N27" s="635"/>
    </row>
    <row r="28" spans="2:14" s="609" customFormat="1" ht="19.899999999999999" customHeight="1" x14ac:dyDescent="0.3">
      <c r="B28" s="637" t="s">
        <v>1992</v>
      </c>
      <c r="C28" s="614"/>
      <c r="D28" s="614"/>
      <c r="E28" s="614" t="s">
        <v>2039</v>
      </c>
      <c r="F28" s="614" t="s">
        <v>2039</v>
      </c>
      <c r="G28" s="614" t="s">
        <v>2039</v>
      </c>
      <c r="H28" s="614" t="s">
        <v>1874</v>
      </c>
      <c r="I28" s="614"/>
      <c r="J28" s="614"/>
      <c r="K28" s="628"/>
      <c r="L28" s="628"/>
      <c r="M28" s="632"/>
      <c r="N28" s="635"/>
    </row>
    <row r="29" spans="2:14" s="609" customFormat="1" ht="19.899999999999999" customHeight="1" x14ac:dyDescent="0.3">
      <c r="B29" s="637" t="s">
        <v>1993</v>
      </c>
      <c r="C29" s="614"/>
      <c r="D29" s="614"/>
      <c r="E29" s="614" t="s">
        <v>2039</v>
      </c>
      <c r="F29" s="614" t="s">
        <v>2039</v>
      </c>
      <c r="G29" s="614" t="s">
        <v>2039</v>
      </c>
      <c r="H29" s="614" t="s">
        <v>1874</v>
      </c>
      <c r="I29" s="614"/>
      <c r="J29" s="614"/>
      <c r="K29" s="628"/>
      <c r="L29" s="628"/>
      <c r="M29" s="632"/>
      <c r="N29" s="635"/>
    </row>
    <row r="30" spans="2:14" s="609" customFormat="1" ht="19.899999999999999" customHeight="1" x14ac:dyDescent="0.3">
      <c r="B30" s="637" t="s">
        <v>1994</v>
      </c>
      <c r="C30" s="614"/>
      <c r="D30" s="614"/>
      <c r="E30" s="614" t="s">
        <v>2039</v>
      </c>
      <c r="F30" s="614" t="s">
        <v>2039</v>
      </c>
      <c r="G30" s="614" t="s">
        <v>2039</v>
      </c>
      <c r="H30" s="614" t="s">
        <v>1874</v>
      </c>
      <c r="I30" s="614"/>
      <c r="J30" s="614"/>
      <c r="K30" s="628"/>
      <c r="L30" s="628"/>
      <c r="M30" s="632"/>
      <c r="N30" s="635"/>
    </row>
    <row r="31" spans="2:14" s="609" customFormat="1" ht="19.899999999999999" customHeight="1" x14ac:dyDescent="0.3">
      <c r="B31" s="637" t="s">
        <v>1995</v>
      </c>
      <c r="C31" s="614"/>
      <c r="D31" s="614"/>
      <c r="E31" s="614" t="s">
        <v>2039</v>
      </c>
      <c r="F31" s="614" t="s">
        <v>2039</v>
      </c>
      <c r="G31" s="614" t="s">
        <v>2039</v>
      </c>
      <c r="H31" s="614" t="s">
        <v>1874</v>
      </c>
      <c r="I31" s="614"/>
      <c r="J31" s="614"/>
      <c r="K31" s="628"/>
      <c r="L31" s="628"/>
      <c r="M31" s="632"/>
      <c r="N31" s="635"/>
    </row>
    <row r="32" spans="2:14" s="609" customFormat="1" ht="19.899999999999999" customHeight="1" x14ac:dyDescent="0.3">
      <c r="B32" s="637" t="s">
        <v>1996</v>
      </c>
      <c r="C32" s="614"/>
      <c r="D32" s="614"/>
      <c r="E32" s="614" t="s">
        <v>2039</v>
      </c>
      <c r="F32" s="614" t="s">
        <v>2039</v>
      </c>
      <c r="G32" s="614" t="s">
        <v>2039</v>
      </c>
      <c r="H32" s="614" t="s">
        <v>1874</v>
      </c>
      <c r="I32" s="614"/>
      <c r="J32" s="614"/>
      <c r="K32" s="628"/>
      <c r="L32" s="628"/>
      <c r="M32" s="632"/>
      <c r="N32" s="635"/>
    </row>
    <row r="33" spans="2:14" s="609" customFormat="1" ht="19.899999999999999" customHeight="1" x14ac:dyDescent="0.3">
      <c r="B33" s="637" t="s">
        <v>1997</v>
      </c>
      <c r="C33" s="614"/>
      <c r="D33" s="614"/>
      <c r="E33" s="614" t="s">
        <v>2039</v>
      </c>
      <c r="F33" s="614" t="s">
        <v>2039</v>
      </c>
      <c r="G33" s="614" t="s">
        <v>2039</v>
      </c>
      <c r="H33" s="614" t="s">
        <v>1874</v>
      </c>
      <c r="I33" s="614"/>
      <c r="J33" s="614"/>
      <c r="K33" s="628"/>
      <c r="L33" s="628"/>
      <c r="M33" s="632"/>
      <c r="N33" s="635"/>
    </row>
    <row r="34" spans="2:14" s="609" customFormat="1" ht="19.899999999999999" customHeight="1" x14ac:dyDescent="0.3">
      <c r="B34" s="637" t="s">
        <v>1998</v>
      </c>
      <c r="C34" s="614"/>
      <c r="D34" s="614"/>
      <c r="E34" s="614" t="s">
        <v>2039</v>
      </c>
      <c r="F34" s="614" t="s">
        <v>2039</v>
      </c>
      <c r="G34" s="614" t="s">
        <v>2039</v>
      </c>
      <c r="H34" s="614" t="s">
        <v>1874</v>
      </c>
      <c r="I34" s="614"/>
      <c r="J34" s="614"/>
      <c r="K34" s="628"/>
      <c r="L34" s="628"/>
      <c r="M34" s="632"/>
      <c r="N34" s="635"/>
    </row>
    <row r="35" spans="2:14" s="609" customFormat="1" ht="19.899999999999999" customHeight="1" x14ac:dyDescent="0.3">
      <c r="B35" s="637" t="s">
        <v>1999</v>
      </c>
      <c r="C35" s="614"/>
      <c r="D35" s="614"/>
      <c r="E35" s="614" t="s">
        <v>2039</v>
      </c>
      <c r="F35" s="614" t="s">
        <v>2039</v>
      </c>
      <c r="G35" s="614" t="s">
        <v>2039</v>
      </c>
      <c r="H35" s="614" t="s">
        <v>1874</v>
      </c>
      <c r="I35" s="614"/>
      <c r="J35" s="614"/>
      <c r="K35" s="628"/>
      <c r="L35" s="628"/>
      <c r="M35" s="632"/>
      <c r="N35" s="635"/>
    </row>
    <row r="36" spans="2:14" s="609" customFormat="1" ht="19.899999999999999" customHeight="1" x14ac:dyDescent="0.3">
      <c r="B36" s="637" t="s">
        <v>2000</v>
      </c>
      <c r="C36" s="614"/>
      <c r="D36" s="614"/>
      <c r="E36" s="614" t="s">
        <v>2039</v>
      </c>
      <c r="F36" s="614" t="s">
        <v>2039</v>
      </c>
      <c r="G36" s="614" t="s">
        <v>2039</v>
      </c>
      <c r="H36" s="614" t="s">
        <v>1874</v>
      </c>
      <c r="I36" s="614"/>
      <c r="J36" s="614"/>
      <c r="K36" s="628"/>
      <c r="L36" s="628"/>
      <c r="M36" s="632"/>
      <c r="N36" s="635"/>
    </row>
    <row r="37" spans="2:14" s="609" customFormat="1" ht="19.899999999999999" customHeight="1" x14ac:dyDescent="0.3">
      <c r="B37" s="637" t="s">
        <v>2001</v>
      </c>
      <c r="C37" s="614"/>
      <c r="D37" s="614"/>
      <c r="E37" s="614" t="s">
        <v>2039</v>
      </c>
      <c r="F37" s="614" t="s">
        <v>2039</v>
      </c>
      <c r="G37" s="614" t="s">
        <v>2039</v>
      </c>
      <c r="H37" s="614" t="s">
        <v>1874</v>
      </c>
      <c r="I37" s="614"/>
      <c r="J37" s="614"/>
      <c r="K37" s="628"/>
      <c r="L37" s="628"/>
      <c r="M37" s="632"/>
      <c r="N37" s="635"/>
    </row>
    <row r="38" spans="2:14" s="609" customFormat="1" ht="19.899999999999999" customHeight="1" x14ac:dyDescent="0.3">
      <c r="B38" s="637" t="s">
        <v>2002</v>
      </c>
      <c r="C38" s="614">
        <v>1160022.74</v>
      </c>
      <c r="D38" s="614">
        <v>784898.32700000005</v>
      </c>
      <c r="E38" s="614" t="s">
        <v>2039</v>
      </c>
      <c r="F38" s="614" t="s">
        <v>2039</v>
      </c>
      <c r="G38" s="614" t="s">
        <v>2039</v>
      </c>
      <c r="H38" s="614">
        <v>3</v>
      </c>
      <c r="I38" s="614"/>
      <c r="J38" s="614"/>
      <c r="K38" s="628"/>
      <c r="L38" s="628"/>
      <c r="M38" s="632"/>
      <c r="N38" s="635"/>
    </row>
    <row r="39" spans="2:14" s="609" customFormat="1" ht="19.899999999999999" customHeight="1" x14ac:dyDescent="0.3">
      <c r="B39" s="637" t="s">
        <v>2003</v>
      </c>
      <c r="C39" s="614">
        <v>1160045.47</v>
      </c>
      <c r="D39" s="614">
        <v>784962.08100000001</v>
      </c>
      <c r="E39" s="614" t="s">
        <v>2039</v>
      </c>
      <c r="F39" s="614" t="s">
        <v>2039</v>
      </c>
      <c r="G39" s="614" t="s">
        <v>2039</v>
      </c>
      <c r="H39" s="614">
        <v>3</v>
      </c>
      <c r="I39" s="614"/>
      <c r="J39" s="614"/>
      <c r="K39" s="628"/>
      <c r="L39" s="628"/>
      <c r="M39" s="632"/>
      <c r="N39" s="635"/>
    </row>
    <row r="40" spans="2:14" s="609" customFormat="1" ht="19.899999999999999" customHeight="1" x14ac:dyDescent="0.3">
      <c r="B40" s="637" t="s">
        <v>2004</v>
      </c>
      <c r="C40" s="614">
        <v>1160341.51</v>
      </c>
      <c r="D40" s="614">
        <v>784903.61399999994</v>
      </c>
      <c r="E40" s="614" t="s">
        <v>2039</v>
      </c>
      <c r="F40" s="614" t="s">
        <v>2039</v>
      </c>
      <c r="G40" s="614" t="s">
        <v>2039</v>
      </c>
      <c r="H40" s="614">
        <v>3</v>
      </c>
      <c r="I40" s="614"/>
      <c r="J40" s="614"/>
      <c r="K40" s="628"/>
      <c r="L40" s="628"/>
      <c r="M40" s="632"/>
      <c r="N40" s="635"/>
    </row>
    <row r="41" spans="2:14" s="609" customFormat="1" ht="19.899999999999999" customHeight="1" x14ac:dyDescent="0.3">
      <c r="B41" s="637" t="s">
        <v>2005</v>
      </c>
      <c r="C41" s="614">
        <v>1160342.04</v>
      </c>
      <c r="D41" s="614">
        <v>784903.47</v>
      </c>
      <c r="E41" s="614" t="s">
        <v>2039</v>
      </c>
      <c r="F41" s="614" t="s">
        <v>2039</v>
      </c>
      <c r="G41" s="614" t="s">
        <v>2039</v>
      </c>
      <c r="H41" s="614">
        <v>3</v>
      </c>
      <c r="I41" s="614"/>
      <c r="J41" s="614"/>
      <c r="K41" s="628"/>
      <c r="L41" s="628"/>
      <c r="M41" s="632"/>
      <c r="N41" s="635"/>
    </row>
    <row r="42" spans="2:14" s="609" customFormat="1" ht="19.899999999999999" customHeight="1" x14ac:dyDescent="0.3">
      <c r="B42" s="637" t="s">
        <v>2006</v>
      </c>
      <c r="C42" s="614">
        <v>1160315.6000000001</v>
      </c>
      <c r="D42" s="614">
        <v>784858.77899999998</v>
      </c>
      <c r="E42" s="614" t="s">
        <v>2039</v>
      </c>
      <c r="F42" s="614" t="s">
        <v>2039</v>
      </c>
      <c r="G42" s="614" t="s">
        <v>2039</v>
      </c>
      <c r="H42" s="614">
        <v>3</v>
      </c>
      <c r="I42" s="614"/>
      <c r="J42" s="614"/>
      <c r="K42" s="628"/>
      <c r="L42" s="628"/>
      <c r="M42" s="632"/>
      <c r="N42" s="635"/>
    </row>
    <row r="43" spans="2:14" s="609" customFormat="1" ht="19.899999999999999" customHeight="1" x14ac:dyDescent="0.3">
      <c r="B43" s="637" t="s">
        <v>2007</v>
      </c>
      <c r="C43" s="614">
        <v>1160316.1100000001</v>
      </c>
      <c r="D43" s="614">
        <v>784858.56900000002</v>
      </c>
      <c r="E43" s="614" t="s">
        <v>2039</v>
      </c>
      <c r="F43" s="614" t="s">
        <v>2039</v>
      </c>
      <c r="G43" s="614" t="s">
        <v>2039</v>
      </c>
      <c r="H43" s="614">
        <v>3</v>
      </c>
      <c r="I43" s="614"/>
      <c r="J43" s="614"/>
      <c r="K43" s="628"/>
      <c r="L43" s="628"/>
      <c r="M43" s="632"/>
      <c r="N43" s="635"/>
    </row>
    <row r="44" spans="2:14" s="609" customFormat="1" ht="19.899999999999999" customHeight="1" x14ac:dyDescent="0.3">
      <c r="B44" s="637" t="s">
        <v>2008</v>
      </c>
      <c r="C44" s="614">
        <v>1160362.53</v>
      </c>
      <c r="D44" s="614">
        <v>784837.71400000004</v>
      </c>
      <c r="E44" s="614" t="s">
        <v>2039</v>
      </c>
      <c r="F44" s="614" t="s">
        <v>2039</v>
      </c>
      <c r="G44" s="614" t="s">
        <v>2039</v>
      </c>
      <c r="H44" s="614">
        <v>3</v>
      </c>
      <c r="I44" s="614"/>
      <c r="J44" s="614"/>
      <c r="K44" s="628"/>
      <c r="L44" s="628"/>
      <c r="M44" s="632"/>
      <c r="N44" s="635"/>
    </row>
    <row r="45" spans="2:14" s="609" customFormat="1" ht="19.899999999999999" customHeight="1" x14ac:dyDescent="0.3">
      <c r="B45" s="637" t="s">
        <v>2009</v>
      </c>
      <c r="C45" s="614">
        <v>1160363.05</v>
      </c>
      <c r="D45" s="614">
        <v>784837.50399999996</v>
      </c>
      <c r="E45" s="614" t="s">
        <v>2039</v>
      </c>
      <c r="F45" s="614" t="s">
        <v>2039</v>
      </c>
      <c r="G45" s="614" t="s">
        <v>2039</v>
      </c>
      <c r="H45" s="614">
        <v>3</v>
      </c>
      <c r="I45" s="614"/>
      <c r="J45" s="614"/>
      <c r="K45" s="628"/>
      <c r="L45" s="628"/>
      <c r="M45" s="632"/>
      <c r="N45" s="635"/>
    </row>
    <row r="46" spans="2:14" s="609" customFormat="1" ht="19.899999999999999" customHeight="1" x14ac:dyDescent="0.3">
      <c r="B46" s="637" t="s">
        <v>2010</v>
      </c>
      <c r="C46" s="614">
        <v>1160439.3999999999</v>
      </c>
      <c r="D46" s="614">
        <v>784928.95499999996</v>
      </c>
      <c r="E46" s="614" t="s">
        <v>2039</v>
      </c>
      <c r="F46" s="614" t="s">
        <v>2039</v>
      </c>
      <c r="G46" s="614" t="s">
        <v>2039</v>
      </c>
      <c r="H46" s="614">
        <v>3</v>
      </c>
      <c r="I46" s="614"/>
      <c r="J46" s="614"/>
      <c r="K46" s="628"/>
      <c r="L46" s="628"/>
      <c r="M46" s="632"/>
      <c r="N46" s="635"/>
    </row>
    <row r="47" spans="2:14" s="609" customFormat="1" ht="19.899999999999999" customHeight="1" x14ac:dyDescent="0.3">
      <c r="B47" s="637" t="s">
        <v>2011</v>
      </c>
      <c r="C47" s="614">
        <v>1160384.73</v>
      </c>
      <c r="D47" s="614">
        <v>784875.598</v>
      </c>
      <c r="E47" s="614" t="s">
        <v>2039</v>
      </c>
      <c r="F47" s="614" t="s">
        <v>2039</v>
      </c>
      <c r="G47" s="614" t="s">
        <v>2039</v>
      </c>
      <c r="H47" s="614">
        <v>3</v>
      </c>
      <c r="I47" s="614"/>
      <c r="J47" s="614"/>
      <c r="K47" s="628"/>
      <c r="L47" s="628"/>
      <c r="M47" s="632"/>
      <c r="N47" s="635"/>
    </row>
    <row r="48" spans="2:14" s="609" customFormat="1" ht="19.899999999999999" customHeight="1" x14ac:dyDescent="0.3">
      <c r="B48" s="637" t="s">
        <v>2012</v>
      </c>
      <c r="C48" s="614">
        <v>1160575.8700000001</v>
      </c>
      <c r="D48" s="614">
        <v>784997.15800000005</v>
      </c>
      <c r="E48" s="614" t="s">
        <v>2039</v>
      </c>
      <c r="F48" s="614" t="s">
        <v>2039</v>
      </c>
      <c r="G48" s="614" t="s">
        <v>2039</v>
      </c>
      <c r="H48" s="614">
        <v>3</v>
      </c>
      <c r="I48" s="614"/>
      <c r="J48" s="614"/>
      <c r="K48" s="628"/>
      <c r="L48" s="628"/>
      <c r="M48" s="632"/>
      <c r="N48" s="635"/>
    </row>
    <row r="49" spans="2:14" s="609" customFormat="1" ht="19.899999999999999" customHeight="1" x14ac:dyDescent="0.3">
      <c r="B49" s="637" t="s">
        <v>1636</v>
      </c>
      <c r="C49" s="614">
        <v>1160591.83</v>
      </c>
      <c r="D49" s="614">
        <v>784926.652</v>
      </c>
      <c r="E49" s="614" t="s">
        <v>2039</v>
      </c>
      <c r="F49" s="614" t="s">
        <v>2039</v>
      </c>
      <c r="G49" s="614" t="s">
        <v>2039</v>
      </c>
      <c r="H49" s="614">
        <v>3</v>
      </c>
      <c r="I49" s="614"/>
      <c r="J49" s="614"/>
      <c r="K49" s="628"/>
      <c r="L49" s="628"/>
      <c r="M49" s="632"/>
      <c r="N49" s="635"/>
    </row>
    <row r="50" spans="2:14" s="609" customFormat="1" ht="19.899999999999999" customHeight="1" x14ac:dyDescent="0.3">
      <c r="B50" s="637" t="s">
        <v>1637</v>
      </c>
      <c r="C50" s="614">
        <v>1160627.8899999999</v>
      </c>
      <c r="D50" s="614">
        <v>784675.86100000003</v>
      </c>
      <c r="E50" s="614" t="s">
        <v>2039</v>
      </c>
      <c r="F50" s="614" t="s">
        <v>2039</v>
      </c>
      <c r="G50" s="614" t="s">
        <v>2039</v>
      </c>
      <c r="H50" s="614">
        <v>3</v>
      </c>
      <c r="I50" s="614"/>
      <c r="J50" s="614"/>
      <c r="K50" s="628"/>
      <c r="L50" s="628"/>
      <c r="M50" s="632"/>
      <c r="N50" s="635"/>
    </row>
    <row r="51" spans="2:14" s="609" customFormat="1" ht="19.899999999999999" customHeight="1" x14ac:dyDescent="0.3">
      <c r="B51" s="637" t="s">
        <v>1638</v>
      </c>
      <c r="C51" s="614">
        <v>1160490.81</v>
      </c>
      <c r="D51" s="614">
        <v>784714.07400000002</v>
      </c>
      <c r="E51" s="614" t="s">
        <v>2039</v>
      </c>
      <c r="F51" s="614" t="s">
        <v>2039</v>
      </c>
      <c r="G51" s="614" t="s">
        <v>2039</v>
      </c>
      <c r="H51" s="614">
        <v>3</v>
      </c>
      <c r="I51" s="614"/>
      <c r="J51" s="614"/>
      <c r="K51" s="628"/>
      <c r="L51" s="628"/>
      <c r="M51" s="632"/>
      <c r="N51" s="635"/>
    </row>
    <row r="52" spans="2:14" s="609" customFormat="1" ht="19.899999999999999" customHeight="1" x14ac:dyDescent="0.3">
      <c r="B52" s="637" t="s">
        <v>1806</v>
      </c>
      <c r="C52" s="614">
        <v>1160488.6200000001</v>
      </c>
      <c r="D52" s="614">
        <v>784789.78899999999</v>
      </c>
      <c r="E52" s="614" t="s">
        <v>2039</v>
      </c>
      <c r="F52" s="614" t="s">
        <v>2039</v>
      </c>
      <c r="G52" s="614" t="s">
        <v>2039</v>
      </c>
      <c r="H52" s="614">
        <v>3</v>
      </c>
      <c r="I52" s="614"/>
      <c r="J52" s="614"/>
      <c r="K52" s="628"/>
      <c r="L52" s="628"/>
      <c r="M52" s="632"/>
      <c r="N52" s="635"/>
    </row>
    <row r="53" spans="2:14" s="609" customFormat="1" ht="19.899999999999999" customHeight="1" x14ac:dyDescent="0.3">
      <c r="B53" s="637" t="s">
        <v>1802</v>
      </c>
      <c r="C53" s="614">
        <v>1160488.6299999999</v>
      </c>
      <c r="D53" s="614">
        <v>784789.23400000005</v>
      </c>
      <c r="E53" s="614" t="s">
        <v>2039</v>
      </c>
      <c r="F53" s="614" t="s">
        <v>2039</v>
      </c>
      <c r="G53" s="614" t="s">
        <v>2039</v>
      </c>
      <c r="H53" s="614">
        <v>3</v>
      </c>
      <c r="I53" s="614"/>
      <c r="J53" s="614"/>
      <c r="K53" s="628"/>
      <c r="L53" s="628"/>
      <c r="M53" s="632"/>
      <c r="N53" s="635"/>
    </row>
    <row r="54" spans="2:14" s="609" customFormat="1" ht="19.899999999999999" customHeight="1" x14ac:dyDescent="0.3">
      <c r="B54" s="637" t="s">
        <v>1635</v>
      </c>
      <c r="C54" s="614">
        <v>1160727.78</v>
      </c>
      <c r="D54" s="614">
        <v>784664.36600000004</v>
      </c>
      <c r="E54" s="614" t="s">
        <v>2039</v>
      </c>
      <c r="F54" s="614" t="s">
        <v>2039</v>
      </c>
      <c r="G54" s="614" t="s">
        <v>2039</v>
      </c>
      <c r="H54" s="614">
        <v>3</v>
      </c>
      <c r="I54" s="614"/>
      <c r="J54" s="614"/>
      <c r="K54" s="628"/>
      <c r="L54" s="628"/>
      <c r="M54" s="632"/>
      <c r="N54" s="635"/>
    </row>
    <row r="55" spans="2:14" s="609" customFormat="1" ht="19.899999999999999" customHeight="1" x14ac:dyDescent="0.3">
      <c r="B55" s="637" t="s">
        <v>2013</v>
      </c>
      <c r="C55" s="614">
        <v>1160599.32</v>
      </c>
      <c r="D55" s="614">
        <v>784884.17099999997</v>
      </c>
      <c r="E55" s="614" t="s">
        <v>2039</v>
      </c>
      <c r="F55" s="614" t="s">
        <v>2039</v>
      </c>
      <c r="G55" s="614" t="s">
        <v>2039</v>
      </c>
      <c r="H55" s="614">
        <v>3</v>
      </c>
      <c r="I55" s="614"/>
      <c r="J55" s="614"/>
      <c r="K55" s="628"/>
      <c r="L55" s="628"/>
      <c r="M55" s="632"/>
      <c r="N55" s="635"/>
    </row>
    <row r="56" spans="2:14" s="609" customFormat="1" ht="19.899999999999999" customHeight="1" x14ac:dyDescent="0.3">
      <c r="B56" s="637" t="s">
        <v>2014</v>
      </c>
      <c r="C56" s="614">
        <v>1160657.07</v>
      </c>
      <c r="D56" s="614">
        <v>784890.76800000004</v>
      </c>
      <c r="E56" s="614" t="s">
        <v>2039</v>
      </c>
      <c r="F56" s="614" t="s">
        <v>2039</v>
      </c>
      <c r="G56" s="614" t="s">
        <v>2039</v>
      </c>
      <c r="H56" s="614">
        <v>3</v>
      </c>
      <c r="I56" s="614"/>
      <c r="J56" s="614"/>
      <c r="K56" s="628"/>
      <c r="L56" s="628"/>
      <c r="M56" s="632"/>
      <c r="N56" s="635"/>
    </row>
    <row r="57" spans="2:14" s="609" customFormat="1" ht="19.899999999999999" customHeight="1" x14ac:dyDescent="0.3">
      <c r="B57" s="637" t="s">
        <v>2015</v>
      </c>
      <c r="C57" s="614">
        <v>1160660.8</v>
      </c>
      <c r="D57" s="614">
        <v>784844.90500000003</v>
      </c>
      <c r="E57" s="614" t="s">
        <v>2039</v>
      </c>
      <c r="F57" s="614" t="s">
        <v>2039</v>
      </c>
      <c r="G57" s="614" t="s">
        <v>2039</v>
      </c>
      <c r="H57" s="614">
        <v>3</v>
      </c>
      <c r="I57" s="614"/>
      <c r="J57" s="614"/>
      <c r="K57" s="628"/>
      <c r="L57" s="628"/>
      <c r="M57" s="632"/>
      <c r="N57" s="635"/>
    </row>
    <row r="58" spans="2:14" s="609" customFormat="1" ht="19.899999999999999" customHeight="1" x14ac:dyDescent="0.3">
      <c r="B58" s="637" t="s">
        <v>2016</v>
      </c>
      <c r="C58" s="614">
        <v>1160699.03</v>
      </c>
      <c r="D58" s="614">
        <v>784943.06599999999</v>
      </c>
      <c r="E58" s="614" t="s">
        <v>2039</v>
      </c>
      <c r="F58" s="614" t="s">
        <v>2039</v>
      </c>
      <c r="G58" s="614" t="s">
        <v>2039</v>
      </c>
      <c r="H58" s="614">
        <v>3</v>
      </c>
      <c r="I58" s="614"/>
      <c r="J58" s="614"/>
      <c r="K58" s="628"/>
      <c r="L58" s="628"/>
      <c r="M58" s="632"/>
      <c r="N58" s="635"/>
    </row>
    <row r="59" spans="2:14" s="609" customFormat="1" ht="19.899999999999999" customHeight="1" x14ac:dyDescent="0.3">
      <c r="B59" s="637" t="s">
        <v>2017</v>
      </c>
      <c r="C59" s="614">
        <v>1160819.48</v>
      </c>
      <c r="D59" s="614">
        <v>784655.77500000002</v>
      </c>
      <c r="E59" s="614" t="s">
        <v>2039</v>
      </c>
      <c r="F59" s="614" t="s">
        <v>2039</v>
      </c>
      <c r="G59" s="614" t="s">
        <v>2039</v>
      </c>
      <c r="H59" s="614">
        <v>3</v>
      </c>
      <c r="I59" s="614"/>
      <c r="J59" s="614"/>
      <c r="K59" s="628"/>
      <c r="L59" s="628"/>
      <c r="M59" s="632"/>
      <c r="N59" s="635"/>
    </row>
    <row r="60" spans="2:14" s="609" customFormat="1" ht="19.899999999999999" customHeight="1" x14ac:dyDescent="0.3">
      <c r="B60" s="637" t="s">
        <v>1659</v>
      </c>
      <c r="C60" s="614">
        <v>1160824.1299999999</v>
      </c>
      <c r="D60" s="614">
        <v>784699.24</v>
      </c>
      <c r="E60" s="614" t="s">
        <v>2039</v>
      </c>
      <c r="F60" s="614" t="s">
        <v>2039</v>
      </c>
      <c r="G60" s="614" t="s">
        <v>2039</v>
      </c>
      <c r="H60" s="614">
        <v>3</v>
      </c>
      <c r="I60" s="614"/>
      <c r="J60" s="614"/>
      <c r="K60" s="628"/>
      <c r="L60" s="628"/>
      <c r="M60" s="632"/>
      <c r="N60" s="635"/>
    </row>
    <row r="61" spans="2:14" s="609" customFormat="1" ht="19.899999999999999" customHeight="1" x14ac:dyDescent="0.3">
      <c r="B61" s="637" t="s">
        <v>1634</v>
      </c>
      <c r="C61" s="614">
        <v>1160824.68</v>
      </c>
      <c r="D61" s="614">
        <v>784699.152</v>
      </c>
      <c r="E61" s="614" t="s">
        <v>2039</v>
      </c>
      <c r="F61" s="614" t="s">
        <v>2039</v>
      </c>
      <c r="G61" s="614" t="s">
        <v>2039</v>
      </c>
      <c r="H61" s="614">
        <v>3</v>
      </c>
      <c r="I61" s="614"/>
      <c r="J61" s="614"/>
      <c r="K61" s="628"/>
      <c r="L61" s="628"/>
      <c r="M61" s="632"/>
      <c r="N61" s="635"/>
    </row>
    <row r="62" spans="2:14" s="609" customFormat="1" ht="19.899999999999999" customHeight="1" x14ac:dyDescent="0.3">
      <c r="B62" s="637" t="s">
        <v>2018</v>
      </c>
      <c r="C62" s="614">
        <v>1160244.6100000001</v>
      </c>
      <c r="D62" s="614">
        <v>784887.14</v>
      </c>
      <c r="E62" s="614" t="s">
        <v>2039</v>
      </c>
      <c r="F62" s="614" t="s">
        <v>2039</v>
      </c>
      <c r="G62" s="614" t="s">
        <v>2039</v>
      </c>
      <c r="H62" s="614">
        <v>3</v>
      </c>
      <c r="I62" s="614"/>
      <c r="J62" s="614"/>
      <c r="K62" s="628"/>
      <c r="L62" s="628"/>
      <c r="M62" s="632"/>
      <c r="N62" s="635"/>
    </row>
    <row r="63" spans="2:14" s="609" customFormat="1" ht="19.899999999999999" customHeight="1" x14ac:dyDescent="0.3">
      <c r="B63" s="637" t="s">
        <v>1639</v>
      </c>
      <c r="C63" s="614">
        <v>1160273.1499999999</v>
      </c>
      <c r="D63" s="614">
        <v>784648.82900000003</v>
      </c>
      <c r="E63" s="614" t="s">
        <v>2039</v>
      </c>
      <c r="F63" s="614" t="s">
        <v>2039</v>
      </c>
      <c r="G63" s="614" t="s">
        <v>2039</v>
      </c>
      <c r="H63" s="614">
        <v>3</v>
      </c>
      <c r="I63" s="614"/>
      <c r="J63" s="614"/>
      <c r="K63" s="628"/>
      <c r="L63" s="628"/>
      <c r="M63" s="632"/>
      <c r="N63" s="635"/>
    </row>
    <row r="64" spans="2:14" s="609" customFormat="1" ht="19.899999999999999" customHeight="1" x14ac:dyDescent="0.3">
      <c r="B64" s="637" t="s">
        <v>1640</v>
      </c>
      <c r="C64" s="614">
        <v>1160273.3600000001</v>
      </c>
      <c r="D64" s="614">
        <v>784649.201</v>
      </c>
      <c r="E64" s="614" t="s">
        <v>2039</v>
      </c>
      <c r="F64" s="614" t="s">
        <v>2039</v>
      </c>
      <c r="G64" s="614" t="s">
        <v>2039</v>
      </c>
      <c r="H64" s="614">
        <v>3</v>
      </c>
      <c r="I64" s="614"/>
      <c r="J64" s="614"/>
      <c r="K64" s="628"/>
      <c r="L64" s="628"/>
      <c r="M64" s="632"/>
      <c r="N64" s="635"/>
    </row>
    <row r="65" spans="2:27" s="609" customFormat="1" ht="19.899999999999999" customHeight="1" x14ac:dyDescent="0.3">
      <c r="B65" s="637" t="s">
        <v>1641</v>
      </c>
      <c r="C65" s="614">
        <v>1160229.8600000001</v>
      </c>
      <c r="D65" s="614">
        <v>784668.37800000003</v>
      </c>
      <c r="E65" s="614" t="s">
        <v>2039</v>
      </c>
      <c r="F65" s="614" t="s">
        <v>2039</v>
      </c>
      <c r="G65" s="614" t="s">
        <v>2039</v>
      </c>
      <c r="H65" s="614">
        <v>3</v>
      </c>
      <c r="I65" s="614"/>
      <c r="J65" s="614"/>
      <c r="K65" s="628"/>
      <c r="L65" s="628"/>
      <c r="M65" s="632"/>
      <c r="N65" s="635"/>
    </row>
    <row r="66" spans="2:27" s="609" customFormat="1" ht="19.899999999999999" customHeight="1" x14ac:dyDescent="0.3">
      <c r="B66" s="637" t="s">
        <v>1642</v>
      </c>
      <c r="C66" s="614">
        <v>1160386.03</v>
      </c>
      <c r="D66" s="614">
        <v>784599.70200000005</v>
      </c>
      <c r="E66" s="614" t="s">
        <v>2039</v>
      </c>
      <c r="F66" s="614" t="s">
        <v>2039</v>
      </c>
      <c r="G66" s="614" t="s">
        <v>2039</v>
      </c>
      <c r="H66" s="614">
        <v>3</v>
      </c>
      <c r="I66" s="614"/>
      <c r="J66" s="614"/>
      <c r="K66" s="628"/>
      <c r="L66" s="628"/>
      <c r="M66" s="632"/>
      <c r="N66" s="635"/>
    </row>
    <row r="67" spans="2:27" s="609" customFormat="1" ht="19.899999999999999" customHeight="1" x14ac:dyDescent="0.3">
      <c r="B67" s="637" t="s">
        <v>1643</v>
      </c>
      <c r="C67" s="614">
        <v>1160385.8899999999</v>
      </c>
      <c r="D67" s="614">
        <v>784599.3</v>
      </c>
      <c r="E67" s="614" t="s">
        <v>2039</v>
      </c>
      <c r="F67" s="614" t="s">
        <v>2039</v>
      </c>
      <c r="G67" s="614" t="s">
        <v>2039</v>
      </c>
      <c r="H67" s="614">
        <v>3</v>
      </c>
      <c r="I67" s="614"/>
      <c r="J67" s="614"/>
      <c r="K67" s="628"/>
      <c r="L67" s="628"/>
      <c r="M67" s="632"/>
      <c r="N67" s="635"/>
    </row>
    <row r="68" spans="2:27" s="609" customFormat="1" ht="19.899999999999999" customHeight="1" x14ac:dyDescent="0.3">
      <c r="B68" s="637" t="s">
        <v>1644</v>
      </c>
      <c r="C68" s="614">
        <v>1160240.8400000001</v>
      </c>
      <c r="D68" s="614">
        <v>784584.37</v>
      </c>
      <c r="E68" s="614" t="s">
        <v>2039</v>
      </c>
      <c r="F68" s="614" t="s">
        <v>2039</v>
      </c>
      <c r="G68" s="614" t="s">
        <v>2039</v>
      </c>
      <c r="H68" s="614">
        <v>3</v>
      </c>
      <c r="I68" s="614"/>
      <c r="J68" s="614"/>
      <c r="K68" s="628"/>
      <c r="L68" s="628"/>
      <c r="M68" s="632"/>
      <c r="N68" s="635"/>
    </row>
    <row r="69" spans="2:27" s="609" customFormat="1" ht="19.899999999999999" customHeight="1" x14ac:dyDescent="0.3">
      <c r="B69" s="638"/>
      <c r="C69" s="639"/>
      <c r="D69" s="639"/>
      <c r="E69" s="639"/>
      <c r="F69" s="639"/>
      <c r="G69" s="639"/>
      <c r="H69" s="639"/>
      <c r="I69" s="611">
        <f>SUM(I11:I38)</f>
        <v>0</v>
      </c>
      <c r="J69" s="611">
        <f>SUM(J11:J38)</f>
        <v>0</v>
      </c>
      <c r="K69" s="628"/>
      <c r="L69" s="628"/>
      <c r="M69" s="632"/>
      <c r="N69" s="635"/>
    </row>
    <row r="70" spans="2:27" s="609" customFormat="1" ht="19.899999999999999" customHeight="1" x14ac:dyDescent="0.3">
      <c r="B70" s="627"/>
      <c r="C70" s="628"/>
      <c r="D70" s="628"/>
      <c r="E70" s="628"/>
      <c r="F70" s="628"/>
      <c r="G70" s="628"/>
      <c r="H70" s="628"/>
      <c r="I70" s="628"/>
      <c r="J70" s="628"/>
      <c r="K70" s="628"/>
      <c r="L70" s="628"/>
      <c r="M70" s="632"/>
      <c r="N70" s="635"/>
    </row>
    <row r="71" spans="2:27" s="609" customFormat="1" ht="19.899999999999999" customHeight="1" x14ac:dyDescent="0.3">
      <c r="B71" s="627"/>
      <c r="C71" s="628"/>
      <c r="D71" s="628"/>
      <c r="E71" s="628"/>
      <c r="F71" s="628"/>
      <c r="G71" s="628"/>
      <c r="H71" s="628"/>
      <c r="I71" s="628"/>
      <c r="J71" s="628"/>
      <c r="K71" s="628"/>
      <c r="L71" s="628"/>
      <c r="M71" s="632"/>
      <c r="N71" s="635"/>
    </row>
    <row r="72" spans="2:27" s="609" customFormat="1" ht="19.899999999999999" customHeight="1" x14ac:dyDescent="0.3">
      <c r="B72" s="630" t="s">
        <v>815</v>
      </c>
      <c r="C72" s="611" t="s">
        <v>806</v>
      </c>
      <c r="D72" s="611" t="s">
        <v>824</v>
      </c>
      <c r="E72" s="611" t="s">
        <v>807</v>
      </c>
      <c r="F72" s="611" t="s">
        <v>808</v>
      </c>
      <c r="G72" s="628"/>
      <c r="H72" s="628"/>
      <c r="I72" s="628"/>
      <c r="J72" s="628"/>
      <c r="K72" s="628"/>
      <c r="L72" s="628"/>
      <c r="M72" s="632"/>
      <c r="N72" s="635"/>
    </row>
    <row r="73" spans="2:27" s="609" customFormat="1" ht="19.899999999999999" customHeight="1" x14ac:dyDescent="0.3">
      <c r="B73" s="637" t="s">
        <v>817</v>
      </c>
      <c r="C73" s="614">
        <v>75</v>
      </c>
      <c r="D73" s="614">
        <v>21.22</v>
      </c>
      <c r="E73" s="616">
        <v>0.55700000000000005</v>
      </c>
      <c r="F73" s="614">
        <f>+D73*E73</f>
        <v>11.81954</v>
      </c>
      <c r="G73" s="628"/>
      <c r="H73" s="628"/>
      <c r="I73" s="628"/>
      <c r="J73" s="628"/>
      <c r="K73" s="628"/>
      <c r="L73" s="628"/>
      <c r="M73" s="632"/>
      <c r="N73" s="635"/>
    </row>
    <row r="74" spans="2:27" s="609" customFormat="1" ht="19.899999999999999" customHeight="1" x14ac:dyDescent="0.3">
      <c r="B74" s="637" t="s">
        <v>822</v>
      </c>
      <c r="C74" s="614">
        <v>25</v>
      </c>
      <c r="D74" s="614">
        <v>7.6</v>
      </c>
      <c r="E74" s="616">
        <v>0.55700000000000005</v>
      </c>
      <c r="F74" s="614">
        <f>+D74*E74</f>
        <v>4.2332000000000001</v>
      </c>
      <c r="G74" s="628"/>
      <c r="H74" s="628"/>
      <c r="I74" s="628"/>
      <c r="J74" s="628"/>
      <c r="K74" s="628"/>
      <c r="L74" s="628"/>
      <c r="M74" s="632"/>
      <c r="N74" s="635"/>
    </row>
    <row r="75" spans="2:27" s="609" customFormat="1" ht="19.899999999999999" customHeight="1" x14ac:dyDescent="0.3">
      <c r="B75" s="637" t="s">
        <v>822</v>
      </c>
      <c r="C75" s="614">
        <v>75</v>
      </c>
      <c r="D75" s="614">
        <v>12.7</v>
      </c>
      <c r="E75" s="616">
        <v>0.55700000000000005</v>
      </c>
      <c r="F75" s="614">
        <f>+D75*E75</f>
        <v>7.0739000000000001</v>
      </c>
      <c r="G75" s="628"/>
      <c r="H75" s="628"/>
      <c r="I75" s="628"/>
      <c r="J75" s="628"/>
      <c r="K75" s="628"/>
      <c r="L75" s="628"/>
      <c r="M75" s="632"/>
      <c r="N75" s="635"/>
    </row>
    <row r="76" spans="2:27" s="609" customFormat="1" ht="19.899999999999999" customHeight="1" x14ac:dyDescent="0.3">
      <c r="B76" s="637" t="s">
        <v>823</v>
      </c>
      <c r="C76" s="614">
        <v>75</v>
      </c>
      <c r="D76" s="614">
        <v>20.6</v>
      </c>
      <c r="E76" s="616">
        <v>0.55700000000000005</v>
      </c>
      <c r="F76" s="614">
        <f>+D76*E76</f>
        <v>11.474200000000002</v>
      </c>
      <c r="G76" s="628"/>
      <c r="H76" s="628"/>
      <c r="I76" s="628"/>
      <c r="J76" s="628"/>
      <c r="K76" s="628"/>
      <c r="L76" s="628"/>
      <c r="M76" s="632"/>
      <c r="N76" s="635"/>
    </row>
    <row r="77" spans="2:27" s="609" customFormat="1" ht="19.899999999999999" customHeight="1" x14ac:dyDescent="0.3">
      <c r="B77" s="637" t="s">
        <v>823</v>
      </c>
      <c r="C77" s="614">
        <v>25</v>
      </c>
      <c r="D77" s="614">
        <v>9.75</v>
      </c>
      <c r="E77" s="616">
        <v>0.55700000000000005</v>
      </c>
      <c r="F77" s="614">
        <f>+D77*E77</f>
        <v>5.4307500000000006</v>
      </c>
      <c r="G77" s="628"/>
      <c r="H77" s="628"/>
      <c r="I77" s="628"/>
      <c r="J77" s="628"/>
      <c r="K77" s="628"/>
      <c r="L77" s="628"/>
      <c r="M77" s="632"/>
      <c r="N77" s="635"/>
    </row>
    <row r="78" spans="2:27" s="609" customFormat="1" ht="19.899999999999999" customHeight="1" x14ac:dyDescent="0.3">
      <c r="B78" s="627"/>
      <c r="C78" s="628"/>
      <c r="D78" s="628"/>
      <c r="E78" s="628"/>
      <c r="F78" s="628"/>
      <c r="G78" s="628"/>
      <c r="H78" s="628"/>
      <c r="I78" s="628"/>
      <c r="J78" s="628"/>
      <c r="K78" s="628"/>
      <c r="L78" s="628"/>
      <c r="M78" s="632"/>
      <c r="N78" s="635"/>
    </row>
    <row r="79" spans="2:27" s="609" customFormat="1" ht="19.899999999999999" customHeight="1" x14ac:dyDescent="0.3">
      <c r="B79" s="627"/>
      <c r="C79" s="628"/>
      <c r="D79" s="628"/>
      <c r="E79" s="628"/>
      <c r="F79" s="628"/>
      <c r="G79" s="628"/>
      <c r="H79" s="628"/>
      <c r="I79" s="628"/>
      <c r="J79" s="628"/>
      <c r="K79" s="628"/>
      <c r="L79" s="628"/>
      <c r="M79" s="632"/>
      <c r="N79" s="635"/>
    </row>
    <row r="80" spans="2:27" s="609" customFormat="1" ht="19.899999999999999" customHeight="1" x14ac:dyDescent="0.3">
      <c r="B80" s="630" t="s">
        <v>814</v>
      </c>
      <c r="C80" s="611" t="s">
        <v>748</v>
      </c>
      <c r="D80" s="611" t="s">
        <v>749</v>
      </c>
      <c r="E80" s="611" t="s">
        <v>791</v>
      </c>
      <c r="F80" s="611" t="s">
        <v>812</v>
      </c>
      <c r="G80" s="611" t="s">
        <v>815</v>
      </c>
      <c r="H80" s="617" t="s">
        <v>677</v>
      </c>
      <c r="I80" s="617" t="s">
        <v>813</v>
      </c>
      <c r="J80" s="618"/>
      <c r="K80" s="618"/>
      <c r="L80" s="618"/>
      <c r="M80" s="618"/>
      <c r="N80" s="629"/>
      <c r="O80" s="610"/>
      <c r="P80" s="610"/>
      <c r="Q80" s="610"/>
      <c r="R80" s="610"/>
      <c r="S80" s="610"/>
      <c r="T80" s="610"/>
      <c r="U80" s="610"/>
      <c r="V80" s="610"/>
      <c r="W80" s="610"/>
      <c r="X80" s="610"/>
      <c r="Y80" s="610"/>
      <c r="Z80" s="610"/>
      <c r="AA80" s="610"/>
    </row>
    <row r="81" spans="2:27" s="609" customFormat="1" ht="19.899999999999999" customHeight="1" x14ac:dyDescent="0.3">
      <c r="B81" s="637" t="s">
        <v>1853</v>
      </c>
      <c r="C81" s="614">
        <v>1159772.2</v>
      </c>
      <c r="D81" s="614">
        <v>785201.14</v>
      </c>
      <c r="E81" s="614"/>
      <c r="F81" s="614" t="s">
        <v>811</v>
      </c>
      <c r="G81" s="614" t="s">
        <v>809</v>
      </c>
      <c r="H81" s="615">
        <v>12</v>
      </c>
      <c r="I81" s="615" t="str">
        <f t="shared" ref="I81:I100" si="0">G81&amp;" - Ø"&amp;H81</f>
        <v>Codo 45 - Ø12</v>
      </c>
      <c r="J81" s="618"/>
      <c r="K81" s="618"/>
      <c r="L81" s="618"/>
      <c r="M81" s="618"/>
      <c r="N81" s="629"/>
      <c r="O81" s="610"/>
      <c r="P81" s="610"/>
      <c r="Q81" s="610"/>
      <c r="R81" s="610"/>
      <c r="S81" s="610"/>
      <c r="T81" s="610"/>
      <c r="U81" s="610"/>
      <c r="V81" s="610"/>
      <c r="W81" s="610"/>
      <c r="X81" s="610"/>
      <c r="Y81" s="610"/>
      <c r="Z81" s="610"/>
      <c r="AA81" s="610"/>
    </row>
    <row r="82" spans="2:27" s="609" customFormat="1" ht="19.899999999999999" customHeight="1" x14ac:dyDescent="0.3">
      <c r="B82" s="637" t="s">
        <v>1854</v>
      </c>
      <c r="C82" s="614">
        <v>1159832.5</v>
      </c>
      <c r="D82" s="614">
        <v>785101.33</v>
      </c>
      <c r="E82" s="614"/>
      <c r="F82" s="614" t="s">
        <v>811</v>
      </c>
      <c r="G82" s="614" t="s">
        <v>810</v>
      </c>
      <c r="H82" s="615">
        <v>12</v>
      </c>
      <c r="I82" s="615" t="str">
        <f t="shared" si="0"/>
        <v>Codo 90 - Ø12</v>
      </c>
      <c r="J82" s="618"/>
      <c r="K82" s="618"/>
      <c r="L82" s="618"/>
      <c r="M82" s="618"/>
      <c r="N82" s="629"/>
      <c r="O82" s="610"/>
      <c r="P82" s="610"/>
      <c r="Q82" s="610"/>
      <c r="R82" s="610"/>
      <c r="S82" s="610"/>
      <c r="T82" s="610"/>
      <c r="U82" s="610"/>
      <c r="V82" s="610"/>
      <c r="W82" s="610"/>
      <c r="X82" s="610"/>
      <c r="Y82" s="610"/>
      <c r="Z82" s="610"/>
      <c r="AA82" s="610"/>
    </row>
    <row r="83" spans="2:27" s="609" customFormat="1" ht="19.899999999999999" customHeight="1" x14ac:dyDescent="0.3">
      <c r="B83" s="637" t="s">
        <v>2019</v>
      </c>
      <c r="C83" s="614">
        <v>1159850.5</v>
      </c>
      <c r="D83" s="614">
        <v>785091.2</v>
      </c>
      <c r="E83" s="614"/>
      <c r="F83" s="614" t="s">
        <v>811</v>
      </c>
      <c r="G83" s="614" t="s">
        <v>810</v>
      </c>
      <c r="H83" s="615">
        <v>3</v>
      </c>
      <c r="I83" s="615" t="str">
        <f t="shared" si="0"/>
        <v>Codo 90 - Ø3</v>
      </c>
      <c r="J83" s="618"/>
      <c r="K83" s="618"/>
      <c r="L83" s="618"/>
      <c r="M83" s="618"/>
      <c r="N83" s="629"/>
      <c r="O83" s="610"/>
      <c r="P83" s="610"/>
      <c r="Q83" s="610"/>
      <c r="R83" s="610"/>
      <c r="S83" s="610"/>
      <c r="T83" s="610"/>
      <c r="U83" s="610"/>
      <c r="V83" s="610"/>
      <c r="W83" s="610"/>
      <c r="X83" s="610"/>
      <c r="Y83" s="610"/>
      <c r="Z83" s="610"/>
      <c r="AA83" s="610"/>
    </row>
    <row r="84" spans="2:27" s="609" customFormat="1" ht="19.899999999999999" customHeight="1" x14ac:dyDescent="0.3">
      <c r="B84" s="637" t="s">
        <v>2020</v>
      </c>
      <c r="C84" s="614">
        <v>1159853.7</v>
      </c>
      <c r="D84" s="614">
        <v>785087.55</v>
      </c>
      <c r="E84" s="614"/>
      <c r="F84" s="614" t="s">
        <v>811</v>
      </c>
      <c r="G84" s="614" t="s">
        <v>810</v>
      </c>
      <c r="H84" s="615">
        <v>3</v>
      </c>
      <c r="I84" s="615" t="str">
        <f t="shared" si="0"/>
        <v>Codo 90 - Ø3</v>
      </c>
      <c r="J84" s="618"/>
      <c r="K84" s="618"/>
      <c r="L84" s="618"/>
      <c r="M84" s="618"/>
      <c r="N84" s="629"/>
      <c r="O84" s="610"/>
      <c r="P84" s="610"/>
      <c r="Q84" s="610"/>
      <c r="R84" s="610"/>
      <c r="S84" s="610"/>
      <c r="T84" s="610"/>
      <c r="U84" s="610"/>
      <c r="V84" s="610"/>
      <c r="W84" s="610"/>
      <c r="X84" s="610"/>
      <c r="Y84" s="610"/>
      <c r="Z84" s="610"/>
      <c r="AA84" s="610"/>
    </row>
    <row r="85" spans="2:27" s="609" customFormat="1" ht="19.899999999999999" customHeight="1" x14ac:dyDescent="0.3">
      <c r="B85" s="637" t="s">
        <v>2021</v>
      </c>
      <c r="C85" s="614">
        <v>1159832.5</v>
      </c>
      <c r="D85" s="614">
        <v>785066.9</v>
      </c>
      <c r="E85" s="614"/>
      <c r="F85" s="614" t="s">
        <v>811</v>
      </c>
      <c r="G85" s="614" t="s">
        <v>810</v>
      </c>
      <c r="H85" s="615">
        <v>3</v>
      </c>
      <c r="I85" s="615" t="str">
        <f t="shared" si="0"/>
        <v>Codo 90 - Ø3</v>
      </c>
      <c r="J85" s="618"/>
      <c r="K85" s="618"/>
      <c r="L85" s="618"/>
      <c r="M85" s="618"/>
      <c r="N85" s="629"/>
      <c r="O85" s="610"/>
      <c r="P85" s="610"/>
      <c r="Q85" s="610"/>
      <c r="R85" s="610"/>
      <c r="S85" s="610"/>
      <c r="T85" s="610"/>
      <c r="U85" s="610"/>
      <c r="V85" s="610"/>
      <c r="W85" s="610"/>
      <c r="X85" s="610"/>
      <c r="Y85" s="610"/>
      <c r="Z85" s="610"/>
      <c r="AA85" s="610"/>
    </row>
    <row r="86" spans="2:27" s="609" customFormat="1" ht="19.899999999999999" customHeight="1" x14ac:dyDescent="0.3">
      <c r="B86" s="637" t="s">
        <v>2022</v>
      </c>
      <c r="C86" s="614">
        <v>1159998.8</v>
      </c>
      <c r="D86" s="614">
        <v>784909.79</v>
      </c>
      <c r="E86" s="614"/>
      <c r="F86" s="614" t="s">
        <v>811</v>
      </c>
      <c r="G86" s="614" t="s">
        <v>810</v>
      </c>
      <c r="H86" s="615">
        <v>3</v>
      </c>
      <c r="I86" s="615" t="str">
        <f t="shared" si="0"/>
        <v>Codo 90 - Ø3</v>
      </c>
      <c r="J86" s="618"/>
      <c r="K86" s="618"/>
      <c r="L86" s="618"/>
      <c r="M86" s="618"/>
      <c r="N86" s="629"/>
      <c r="O86" s="610"/>
      <c r="P86" s="610"/>
      <c r="Q86" s="610"/>
      <c r="R86" s="610"/>
      <c r="S86" s="610"/>
      <c r="T86" s="610"/>
      <c r="U86" s="610"/>
      <c r="V86" s="610"/>
      <c r="W86" s="610"/>
      <c r="X86" s="610"/>
      <c r="Y86" s="610"/>
      <c r="Z86" s="610"/>
      <c r="AA86" s="610"/>
    </row>
    <row r="87" spans="2:27" s="609" customFormat="1" ht="19.899999999999999" customHeight="1" x14ac:dyDescent="0.3">
      <c r="B87" s="637" t="s">
        <v>2023</v>
      </c>
      <c r="C87" s="614">
        <v>1160046.5</v>
      </c>
      <c r="D87" s="614">
        <v>784964.71</v>
      </c>
      <c r="E87" s="614"/>
      <c r="F87" s="614" t="s">
        <v>811</v>
      </c>
      <c r="G87" s="614" t="s">
        <v>810</v>
      </c>
      <c r="H87" s="615">
        <v>3</v>
      </c>
      <c r="I87" s="615" t="str">
        <f t="shared" si="0"/>
        <v>Codo 90 - Ø3</v>
      </c>
      <c r="J87" s="618"/>
      <c r="K87" s="618"/>
      <c r="L87" s="618"/>
      <c r="M87" s="618"/>
      <c r="N87" s="629"/>
      <c r="O87" s="610"/>
      <c r="P87" s="610"/>
      <c r="Q87" s="610"/>
      <c r="R87" s="610"/>
      <c r="S87" s="610"/>
      <c r="T87" s="610"/>
      <c r="U87" s="610"/>
      <c r="V87" s="610"/>
      <c r="W87" s="610"/>
      <c r="X87" s="610"/>
      <c r="Y87" s="610"/>
      <c r="Z87" s="610"/>
      <c r="AA87" s="610"/>
    </row>
    <row r="88" spans="2:27" s="609" customFormat="1" ht="19.899999999999999" customHeight="1" x14ac:dyDescent="0.3">
      <c r="B88" s="637" t="s">
        <v>2024</v>
      </c>
      <c r="C88" s="614">
        <v>1160244.1000000001</v>
      </c>
      <c r="D88" s="614">
        <v>784888.61</v>
      </c>
      <c r="E88" s="614"/>
      <c r="F88" s="614" t="s">
        <v>811</v>
      </c>
      <c r="G88" s="614" t="s">
        <v>810</v>
      </c>
      <c r="H88" s="615">
        <v>3</v>
      </c>
      <c r="I88" s="615" t="str">
        <f t="shared" si="0"/>
        <v>Codo 90 - Ø3</v>
      </c>
      <c r="J88" s="618"/>
      <c r="K88" s="618"/>
      <c r="L88" s="618"/>
      <c r="M88" s="618"/>
      <c r="N88" s="629"/>
      <c r="O88" s="610"/>
      <c r="P88" s="610"/>
      <c r="Q88" s="610"/>
      <c r="R88" s="610"/>
      <c r="S88" s="610"/>
      <c r="T88" s="610"/>
      <c r="U88" s="610"/>
      <c r="V88" s="610"/>
      <c r="W88" s="610"/>
      <c r="X88" s="610"/>
      <c r="Y88" s="610"/>
      <c r="Z88" s="610"/>
      <c r="AA88" s="610"/>
    </row>
    <row r="89" spans="2:27" s="609" customFormat="1" ht="19.899999999999999" customHeight="1" x14ac:dyDescent="0.3">
      <c r="B89" s="637" t="s">
        <v>2025</v>
      </c>
      <c r="C89" s="614">
        <v>1160259</v>
      </c>
      <c r="D89" s="614">
        <v>784925.65</v>
      </c>
      <c r="E89" s="614"/>
      <c r="F89" s="614" t="s">
        <v>811</v>
      </c>
      <c r="G89" s="614" t="s">
        <v>810</v>
      </c>
      <c r="H89" s="615">
        <v>3</v>
      </c>
      <c r="I89" s="615" t="str">
        <f t="shared" si="0"/>
        <v>Codo 90 - Ø3</v>
      </c>
      <c r="J89" s="618"/>
      <c r="K89" s="618"/>
      <c r="L89" s="618"/>
      <c r="M89" s="618"/>
      <c r="N89" s="629"/>
      <c r="O89" s="610"/>
      <c r="P89" s="610"/>
      <c r="Q89" s="610"/>
      <c r="R89" s="610"/>
      <c r="S89" s="610"/>
      <c r="T89" s="610"/>
      <c r="U89" s="610"/>
      <c r="V89" s="610"/>
      <c r="W89" s="610"/>
      <c r="X89" s="610"/>
      <c r="Y89" s="610"/>
      <c r="Z89" s="610"/>
      <c r="AA89" s="610"/>
    </row>
    <row r="90" spans="2:27" s="609" customFormat="1" ht="19.899999999999999" customHeight="1" x14ac:dyDescent="0.3">
      <c r="B90" s="637" t="s">
        <v>2026</v>
      </c>
      <c r="C90" s="614">
        <v>1160340.6000000001</v>
      </c>
      <c r="D90" s="614">
        <v>784905.92</v>
      </c>
      <c r="E90" s="614"/>
      <c r="F90" s="614" t="s">
        <v>811</v>
      </c>
      <c r="G90" s="614" t="s">
        <v>810</v>
      </c>
      <c r="H90" s="615">
        <v>3</v>
      </c>
      <c r="I90" s="615" t="str">
        <f t="shared" si="0"/>
        <v>Codo 90 - Ø3</v>
      </c>
      <c r="J90" s="618"/>
      <c r="K90" s="618"/>
      <c r="L90" s="618"/>
      <c r="M90" s="618"/>
      <c r="N90" s="629"/>
      <c r="O90" s="610"/>
      <c r="P90" s="610"/>
      <c r="Q90" s="610"/>
      <c r="R90" s="610"/>
      <c r="S90" s="610"/>
      <c r="T90" s="610"/>
      <c r="U90" s="610"/>
      <c r="V90" s="610"/>
      <c r="W90" s="610"/>
      <c r="X90" s="610"/>
      <c r="Y90" s="610"/>
      <c r="Z90" s="610"/>
      <c r="AA90" s="610"/>
    </row>
    <row r="91" spans="2:27" s="609" customFormat="1" ht="19.899999999999999" customHeight="1" x14ac:dyDescent="0.3">
      <c r="B91" s="637" t="s">
        <v>2027</v>
      </c>
      <c r="C91" s="614">
        <v>1160442.1000000001</v>
      </c>
      <c r="D91" s="614">
        <v>784932.28</v>
      </c>
      <c r="E91" s="614"/>
      <c r="F91" s="614" t="s">
        <v>811</v>
      </c>
      <c r="G91" s="614" t="s">
        <v>810</v>
      </c>
      <c r="H91" s="615">
        <v>3</v>
      </c>
      <c r="I91" s="615" t="str">
        <f t="shared" si="0"/>
        <v>Codo 90 - Ø3</v>
      </c>
      <c r="J91" s="618"/>
      <c r="K91" s="618"/>
      <c r="L91" s="618"/>
      <c r="M91" s="618"/>
      <c r="N91" s="629"/>
      <c r="O91" s="610"/>
      <c r="P91" s="610"/>
      <c r="Q91" s="610"/>
      <c r="R91" s="610"/>
      <c r="S91" s="610"/>
      <c r="T91" s="610"/>
      <c r="U91" s="610"/>
      <c r="V91" s="610"/>
      <c r="W91" s="610"/>
      <c r="X91" s="610"/>
      <c r="Y91" s="610"/>
      <c r="Z91" s="610"/>
      <c r="AA91" s="610"/>
    </row>
    <row r="92" spans="2:27" s="609" customFormat="1" ht="19.899999999999999" customHeight="1" x14ac:dyDescent="0.3">
      <c r="B92" s="637" t="s">
        <v>2028</v>
      </c>
      <c r="C92" s="614">
        <v>1160640.7</v>
      </c>
      <c r="D92" s="614">
        <v>784765.45</v>
      </c>
      <c r="E92" s="614"/>
      <c r="F92" s="614" t="s">
        <v>811</v>
      </c>
      <c r="G92" s="614" t="s">
        <v>809</v>
      </c>
      <c r="H92" s="615">
        <v>3</v>
      </c>
      <c r="I92" s="615" t="str">
        <f t="shared" si="0"/>
        <v>Codo 45 - Ø3</v>
      </c>
      <c r="J92" s="618"/>
      <c r="K92" s="618"/>
      <c r="L92" s="618"/>
      <c r="M92" s="618"/>
      <c r="N92" s="629"/>
      <c r="O92" s="610"/>
      <c r="P92" s="610"/>
      <c r="Q92" s="610"/>
      <c r="R92" s="610"/>
      <c r="S92" s="610"/>
      <c r="T92" s="610"/>
      <c r="U92" s="610"/>
      <c r="V92" s="610"/>
      <c r="W92" s="610"/>
      <c r="X92" s="610"/>
      <c r="Y92" s="610"/>
      <c r="Z92" s="610"/>
      <c r="AA92" s="610"/>
    </row>
    <row r="93" spans="2:27" s="609" customFormat="1" ht="19.899999999999999" customHeight="1" x14ac:dyDescent="0.3">
      <c r="B93" s="637" t="s">
        <v>2029</v>
      </c>
      <c r="C93" s="614">
        <v>1160607.8</v>
      </c>
      <c r="D93" s="614">
        <v>784844.58</v>
      </c>
      <c r="E93" s="614"/>
      <c r="F93" s="614" t="s">
        <v>811</v>
      </c>
      <c r="G93" s="614" t="s">
        <v>809</v>
      </c>
      <c r="H93" s="615">
        <v>3</v>
      </c>
      <c r="I93" s="615" t="str">
        <f t="shared" si="0"/>
        <v>Codo 45 - Ø3</v>
      </c>
      <c r="J93" s="618"/>
      <c r="K93" s="618"/>
      <c r="L93" s="618"/>
      <c r="M93" s="618"/>
      <c r="N93" s="629"/>
      <c r="O93" s="610"/>
      <c r="P93" s="610"/>
      <c r="Q93" s="610"/>
      <c r="R93" s="610"/>
      <c r="S93" s="610"/>
      <c r="T93" s="610"/>
      <c r="U93" s="610"/>
      <c r="V93" s="610"/>
      <c r="W93" s="610"/>
      <c r="X93" s="610"/>
      <c r="Y93" s="610"/>
      <c r="Z93" s="610"/>
      <c r="AA93" s="610"/>
    </row>
    <row r="94" spans="2:27" s="609" customFormat="1" ht="19.899999999999999" customHeight="1" x14ac:dyDescent="0.3">
      <c r="B94" s="637" t="s">
        <v>2030</v>
      </c>
      <c r="C94" s="614">
        <v>1160705.6000000001</v>
      </c>
      <c r="D94" s="614">
        <v>784895.68</v>
      </c>
      <c r="E94" s="614"/>
      <c r="F94" s="614" t="s">
        <v>811</v>
      </c>
      <c r="G94" s="614" t="s">
        <v>809</v>
      </c>
      <c r="H94" s="615">
        <v>3</v>
      </c>
      <c r="I94" s="615" t="str">
        <f t="shared" si="0"/>
        <v>Codo 45 - Ø3</v>
      </c>
      <c r="J94" s="618"/>
      <c r="K94" s="618"/>
      <c r="L94" s="618"/>
      <c r="M94" s="618"/>
      <c r="N94" s="629"/>
      <c r="O94" s="610"/>
      <c r="P94" s="610"/>
      <c r="Q94" s="610"/>
      <c r="R94" s="610"/>
      <c r="S94" s="610"/>
      <c r="T94" s="610"/>
      <c r="U94" s="610"/>
      <c r="V94" s="610"/>
      <c r="W94" s="610"/>
      <c r="X94" s="610"/>
      <c r="Y94" s="610"/>
      <c r="Z94" s="610"/>
      <c r="AA94" s="610"/>
    </row>
    <row r="95" spans="2:27" s="609" customFormat="1" ht="19.899999999999999" customHeight="1" x14ac:dyDescent="0.3">
      <c r="B95" s="637" t="s">
        <v>2031</v>
      </c>
      <c r="C95" s="614">
        <v>1160730.3</v>
      </c>
      <c r="D95" s="614">
        <v>784942.02</v>
      </c>
      <c r="E95" s="614"/>
      <c r="F95" s="614" t="s">
        <v>811</v>
      </c>
      <c r="G95" s="614" t="s">
        <v>809</v>
      </c>
      <c r="H95" s="615">
        <v>3</v>
      </c>
      <c r="I95" s="615" t="str">
        <f t="shared" si="0"/>
        <v>Codo 45 - Ø3</v>
      </c>
      <c r="J95" s="618"/>
      <c r="K95" s="618"/>
      <c r="L95" s="618"/>
      <c r="M95" s="618"/>
      <c r="N95" s="629"/>
      <c r="O95" s="610"/>
      <c r="P95" s="610"/>
      <c r="Q95" s="610"/>
      <c r="R95" s="610"/>
      <c r="S95" s="610"/>
      <c r="T95" s="610"/>
      <c r="U95" s="610"/>
      <c r="V95" s="610"/>
      <c r="W95" s="610"/>
      <c r="X95" s="610"/>
      <c r="Y95" s="610"/>
      <c r="Z95" s="610"/>
      <c r="AA95" s="610"/>
    </row>
    <row r="96" spans="2:27" s="609" customFormat="1" ht="19.899999999999999" customHeight="1" x14ac:dyDescent="0.3">
      <c r="B96" s="637" t="s">
        <v>2032</v>
      </c>
      <c r="C96" s="614">
        <v>1160812.8999999999</v>
      </c>
      <c r="D96" s="614">
        <v>784645.07</v>
      </c>
      <c r="E96" s="614"/>
      <c r="F96" s="614" t="s">
        <v>811</v>
      </c>
      <c r="G96" s="614" t="s">
        <v>809</v>
      </c>
      <c r="H96" s="615">
        <v>3</v>
      </c>
      <c r="I96" s="615" t="str">
        <f t="shared" si="0"/>
        <v>Codo 45 - Ø3</v>
      </c>
      <c r="J96" s="618"/>
      <c r="K96" s="618"/>
      <c r="L96" s="618"/>
      <c r="M96" s="618"/>
      <c r="N96" s="629"/>
      <c r="O96" s="610"/>
      <c r="P96" s="610"/>
      <c r="Q96" s="610"/>
      <c r="R96" s="610"/>
      <c r="S96" s="610"/>
      <c r="T96" s="610"/>
      <c r="U96" s="610"/>
      <c r="V96" s="610"/>
      <c r="W96" s="610"/>
      <c r="X96" s="610"/>
      <c r="Y96" s="610"/>
      <c r="Z96" s="610"/>
      <c r="AA96" s="610"/>
    </row>
    <row r="97" spans="2:27" s="609" customFormat="1" ht="19.899999999999999" customHeight="1" x14ac:dyDescent="0.3">
      <c r="B97" s="637" t="s">
        <v>2033</v>
      </c>
      <c r="C97" s="614">
        <v>1160200.3999999999</v>
      </c>
      <c r="D97" s="614">
        <v>784483.04</v>
      </c>
      <c r="E97" s="614"/>
      <c r="F97" s="614" t="s">
        <v>811</v>
      </c>
      <c r="G97" s="614" t="s">
        <v>809</v>
      </c>
      <c r="H97" s="615">
        <v>3</v>
      </c>
      <c r="I97" s="615" t="str">
        <f t="shared" si="0"/>
        <v>Codo 45 - Ø3</v>
      </c>
      <c r="J97" s="618"/>
      <c r="K97" s="618"/>
      <c r="L97" s="618"/>
      <c r="M97" s="618"/>
      <c r="N97" s="629"/>
      <c r="O97" s="610"/>
      <c r="P97" s="610"/>
      <c r="Q97" s="610"/>
      <c r="R97" s="610"/>
      <c r="S97" s="610"/>
      <c r="T97" s="610"/>
      <c r="U97" s="610"/>
      <c r="V97" s="610"/>
      <c r="W97" s="610"/>
      <c r="X97" s="610"/>
      <c r="Y97" s="610"/>
      <c r="Z97" s="610"/>
      <c r="AA97" s="610"/>
    </row>
    <row r="98" spans="2:27" s="609" customFormat="1" ht="19.899999999999999" customHeight="1" x14ac:dyDescent="0.3">
      <c r="B98" s="637" t="s">
        <v>2034</v>
      </c>
      <c r="C98" s="614">
        <v>1160269.8999999999</v>
      </c>
      <c r="D98" s="614">
        <v>784456.91</v>
      </c>
      <c r="E98" s="614"/>
      <c r="F98" s="614" t="s">
        <v>811</v>
      </c>
      <c r="G98" s="614" t="s">
        <v>809</v>
      </c>
      <c r="H98" s="615">
        <v>3</v>
      </c>
      <c r="I98" s="615" t="str">
        <f t="shared" si="0"/>
        <v>Codo 45 - Ø3</v>
      </c>
      <c r="J98" s="618"/>
      <c r="K98" s="618"/>
      <c r="L98" s="618"/>
      <c r="M98" s="618"/>
      <c r="N98" s="629"/>
      <c r="O98" s="610"/>
      <c r="P98" s="610"/>
      <c r="Q98" s="610"/>
      <c r="R98" s="610"/>
      <c r="S98" s="610"/>
      <c r="T98" s="610"/>
      <c r="U98" s="610"/>
      <c r="V98" s="610"/>
      <c r="W98" s="610"/>
      <c r="X98" s="610"/>
      <c r="Y98" s="610"/>
      <c r="Z98" s="610"/>
      <c r="AA98" s="610"/>
    </row>
    <row r="99" spans="2:27" s="609" customFormat="1" ht="19.899999999999999" customHeight="1" x14ac:dyDescent="0.3">
      <c r="B99" s="637" t="s">
        <v>2035</v>
      </c>
      <c r="C99" s="614">
        <v>1160339.2</v>
      </c>
      <c r="D99" s="614">
        <v>784351.37</v>
      </c>
      <c r="E99" s="614"/>
      <c r="F99" s="614" t="s">
        <v>811</v>
      </c>
      <c r="G99" s="614" t="s">
        <v>809</v>
      </c>
      <c r="H99" s="615">
        <v>3</v>
      </c>
      <c r="I99" s="615" t="str">
        <f t="shared" si="0"/>
        <v>Codo 45 - Ø3</v>
      </c>
      <c r="J99" s="618"/>
      <c r="K99" s="618"/>
      <c r="L99" s="618"/>
      <c r="M99" s="618"/>
      <c r="N99" s="629"/>
      <c r="O99" s="610"/>
      <c r="P99" s="610"/>
      <c r="Q99" s="610"/>
      <c r="R99" s="610"/>
      <c r="S99" s="610"/>
      <c r="T99" s="610"/>
      <c r="U99" s="610"/>
      <c r="V99" s="610"/>
      <c r="W99" s="610"/>
      <c r="X99" s="610"/>
      <c r="Y99" s="610"/>
      <c r="Z99" s="610"/>
      <c r="AA99" s="610"/>
    </row>
    <row r="100" spans="2:27" s="609" customFormat="1" ht="19.899999999999999" customHeight="1" x14ac:dyDescent="0.3">
      <c r="B100" s="637" t="s">
        <v>2036</v>
      </c>
      <c r="C100" s="614">
        <v>1160367.25</v>
      </c>
      <c r="D100" s="614">
        <v>784538.61</v>
      </c>
      <c r="E100" s="614"/>
      <c r="F100" s="614" t="s">
        <v>811</v>
      </c>
      <c r="G100" s="614" t="s">
        <v>809</v>
      </c>
      <c r="H100" s="615">
        <v>3</v>
      </c>
      <c r="I100" s="615" t="str">
        <f t="shared" si="0"/>
        <v>Codo 45 - Ø3</v>
      </c>
      <c r="J100" s="618"/>
      <c r="K100" s="618"/>
      <c r="L100" s="618"/>
      <c r="M100" s="618"/>
      <c r="N100" s="629"/>
      <c r="O100" s="610"/>
      <c r="P100" s="610"/>
      <c r="Q100" s="610"/>
      <c r="R100" s="610"/>
      <c r="S100" s="610"/>
      <c r="T100" s="610"/>
      <c r="U100" s="610"/>
      <c r="V100" s="610"/>
      <c r="W100" s="610"/>
      <c r="X100" s="610"/>
      <c r="Y100" s="610"/>
      <c r="Z100" s="610"/>
      <c r="AA100" s="610"/>
    </row>
    <row r="101" spans="2:27" s="609" customFormat="1" ht="19.899999999999999" customHeight="1" x14ac:dyDescent="0.3">
      <c r="B101" s="640"/>
      <c r="C101" s="618"/>
      <c r="D101" s="618"/>
      <c r="E101" s="618"/>
      <c r="F101" s="618"/>
      <c r="G101" s="618"/>
      <c r="H101" s="619"/>
      <c r="I101" s="619"/>
      <c r="J101" s="618"/>
      <c r="K101" s="618"/>
      <c r="L101" s="618"/>
      <c r="M101" s="618"/>
      <c r="N101" s="629"/>
      <c r="O101" s="610"/>
      <c r="P101" s="610"/>
      <c r="Q101" s="610"/>
      <c r="R101" s="610"/>
      <c r="S101" s="610"/>
      <c r="T101" s="610"/>
      <c r="U101" s="610"/>
      <c r="V101" s="610"/>
      <c r="W101" s="610"/>
      <c r="X101" s="610"/>
      <c r="Y101" s="610"/>
      <c r="Z101" s="610"/>
      <c r="AA101" s="610"/>
    </row>
    <row r="102" spans="2:27" s="609" customFormat="1" ht="19.899999999999999" customHeight="1" x14ac:dyDescent="0.3">
      <c r="B102" s="822" t="s">
        <v>792</v>
      </c>
      <c r="C102" s="822" t="s">
        <v>815</v>
      </c>
      <c r="D102" s="822" t="s">
        <v>696</v>
      </c>
      <c r="E102" s="618"/>
      <c r="F102" s="618"/>
      <c r="G102" s="618"/>
      <c r="H102" s="619"/>
      <c r="I102" s="619"/>
      <c r="J102" s="618"/>
      <c r="K102" s="618"/>
      <c r="L102" s="618"/>
      <c r="M102" s="618"/>
      <c r="N102" s="629"/>
      <c r="O102" s="610"/>
      <c r="P102" s="610"/>
      <c r="Q102" s="610"/>
      <c r="R102" s="610"/>
      <c r="S102" s="610"/>
      <c r="T102" s="610"/>
      <c r="U102" s="610"/>
      <c r="V102" s="610"/>
      <c r="W102" s="610"/>
      <c r="X102" s="610"/>
      <c r="Y102" s="610"/>
      <c r="Z102" s="610"/>
      <c r="AA102" s="610"/>
    </row>
    <row r="103" spans="2:27" s="609" customFormat="1" ht="19.899999999999999" customHeight="1" x14ac:dyDescent="0.3">
      <c r="B103" s="812">
        <v>12</v>
      </c>
      <c r="C103" s="823" t="str">
        <f>+G81</f>
        <v>Codo 45</v>
      </c>
      <c r="D103" s="812">
        <v>1</v>
      </c>
      <c r="E103" s="618"/>
      <c r="F103" s="618"/>
      <c r="G103" s="618"/>
      <c r="H103" s="619"/>
      <c r="I103" s="619"/>
      <c r="J103" s="618"/>
      <c r="K103" s="619"/>
      <c r="L103" s="618"/>
      <c r="M103" s="618"/>
      <c r="N103" s="629"/>
      <c r="O103" s="610"/>
      <c r="P103" s="610"/>
      <c r="Q103" s="610"/>
      <c r="R103" s="610"/>
      <c r="S103" s="610"/>
      <c r="T103" s="610"/>
      <c r="U103" s="610"/>
      <c r="V103" s="610"/>
      <c r="W103" s="610"/>
      <c r="X103" s="610"/>
      <c r="Y103" s="610"/>
      <c r="Z103" s="610"/>
      <c r="AA103" s="610"/>
    </row>
    <row r="104" spans="2:27" s="609" customFormat="1" ht="19.899999999999999" customHeight="1" x14ac:dyDescent="0.3">
      <c r="B104" s="820">
        <v>12</v>
      </c>
      <c r="C104" s="821" t="str">
        <f>+G82</f>
        <v>Codo 90</v>
      </c>
      <c r="D104" s="812">
        <v>1</v>
      </c>
      <c r="E104" s="618"/>
      <c r="F104" s="618"/>
      <c r="G104" s="618"/>
      <c r="H104" s="619"/>
      <c r="I104" s="619"/>
      <c r="J104" s="618"/>
      <c r="K104" s="619"/>
      <c r="L104" s="618"/>
      <c r="M104" s="618"/>
      <c r="N104" s="629"/>
      <c r="O104" s="610"/>
      <c r="P104" s="610"/>
      <c r="Q104" s="610"/>
      <c r="R104" s="610"/>
      <c r="S104" s="610"/>
      <c r="T104" s="610"/>
      <c r="U104" s="610"/>
      <c r="V104" s="610"/>
      <c r="W104" s="610"/>
      <c r="X104" s="610"/>
      <c r="Y104" s="610"/>
      <c r="Z104" s="610"/>
      <c r="AA104" s="610"/>
    </row>
    <row r="105" spans="2:27" s="609" customFormat="1" ht="19.899999999999999" customHeight="1" x14ac:dyDescent="0.3">
      <c r="B105" s="820">
        <v>3</v>
      </c>
      <c r="C105" s="821" t="str">
        <f>+G83</f>
        <v>Codo 90</v>
      </c>
      <c r="D105" s="812">
        <v>9</v>
      </c>
      <c r="E105" s="618"/>
      <c r="F105" s="618"/>
      <c r="G105" s="618"/>
      <c r="H105" s="619"/>
      <c r="I105" s="619"/>
      <c r="J105" s="618"/>
      <c r="K105" s="619"/>
      <c r="L105" s="618"/>
      <c r="M105" s="618"/>
      <c r="N105" s="629"/>
      <c r="O105" s="610"/>
      <c r="P105" s="610"/>
      <c r="Q105" s="610"/>
      <c r="R105" s="610"/>
      <c r="S105" s="610"/>
      <c r="T105" s="610"/>
      <c r="U105" s="610"/>
      <c r="V105" s="610"/>
      <c r="W105" s="610"/>
      <c r="X105" s="610"/>
      <c r="Y105" s="610"/>
      <c r="Z105" s="610"/>
      <c r="AA105" s="610"/>
    </row>
    <row r="106" spans="2:27" s="609" customFormat="1" ht="19.899999999999999" customHeight="1" x14ac:dyDescent="0.3">
      <c r="B106" s="818">
        <v>3</v>
      </c>
      <c r="C106" s="818" t="str">
        <f>+G97</f>
        <v>Codo 45</v>
      </c>
      <c r="D106" s="818">
        <v>9</v>
      </c>
      <c r="E106" s="618"/>
      <c r="F106" s="618"/>
      <c r="G106" s="618"/>
      <c r="H106" s="619"/>
      <c r="I106" s="619"/>
      <c r="J106" s="618"/>
      <c r="K106" s="619"/>
      <c r="L106" s="618"/>
      <c r="M106" s="618"/>
      <c r="N106" s="629"/>
      <c r="O106" s="610"/>
      <c r="P106" s="610"/>
      <c r="Q106" s="610"/>
      <c r="R106" s="610"/>
      <c r="S106" s="610"/>
      <c r="T106" s="610"/>
      <c r="U106" s="610"/>
      <c r="V106" s="610"/>
      <c r="W106" s="610"/>
      <c r="X106" s="610"/>
      <c r="Y106" s="610"/>
      <c r="Z106" s="610"/>
      <c r="AA106" s="610"/>
    </row>
    <row r="107" spans="2:27" s="609" customFormat="1" ht="19.899999999999999" customHeight="1" x14ac:dyDescent="0.3">
      <c r="B107" s="627"/>
      <c r="C107" s="628"/>
      <c r="D107" s="628"/>
      <c r="E107" s="628"/>
      <c r="F107" s="628"/>
      <c r="G107" s="628"/>
      <c r="H107" s="628"/>
      <c r="I107" s="628"/>
      <c r="J107" s="628"/>
      <c r="K107" s="628"/>
      <c r="L107" s="628"/>
      <c r="M107" s="628"/>
      <c r="N107" s="629"/>
      <c r="O107" s="610"/>
      <c r="P107" s="610"/>
      <c r="Q107" s="610"/>
      <c r="R107" s="610"/>
      <c r="S107" s="610"/>
      <c r="T107" s="610"/>
      <c r="U107" s="610"/>
      <c r="V107" s="610"/>
      <c r="W107" s="610"/>
      <c r="X107" s="610"/>
      <c r="Y107" s="610"/>
      <c r="Z107" s="610"/>
      <c r="AA107" s="610"/>
    </row>
    <row r="108" spans="2:27" s="609" customFormat="1" ht="19.899999999999999" customHeight="1" x14ac:dyDescent="0.3">
      <c r="B108" s="1571" t="s">
        <v>1875</v>
      </c>
      <c r="C108" s="1572"/>
      <c r="D108" s="1572"/>
      <c r="E108" s="1572"/>
      <c r="F108" s="1572"/>
      <c r="G108" s="1572"/>
      <c r="H108" s="634"/>
      <c r="I108" s="634"/>
      <c r="J108" s="632"/>
      <c r="K108" s="632"/>
      <c r="L108" s="632"/>
      <c r="M108" s="632"/>
      <c r="N108" s="635"/>
    </row>
    <row r="109" spans="2:27" s="609" customFormat="1" ht="19.899999999999999" customHeight="1" x14ac:dyDescent="0.3">
      <c r="B109" s="1573"/>
      <c r="C109" s="1574"/>
      <c r="D109" s="1574"/>
      <c r="E109" s="1574"/>
      <c r="F109" s="1574"/>
      <c r="G109" s="1574"/>
      <c r="H109" s="634"/>
      <c r="I109" s="634"/>
      <c r="J109" s="632"/>
      <c r="K109" s="632"/>
      <c r="L109" s="632"/>
      <c r="M109" s="632"/>
      <c r="N109" s="635"/>
    </row>
    <row r="110" spans="2:27" s="609" customFormat="1" ht="19.899999999999999" customHeight="1" x14ac:dyDescent="0.3">
      <c r="B110" s="1575"/>
      <c r="C110" s="1574"/>
      <c r="D110" s="1574"/>
      <c r="E110" s="1574"/>
      <c r="F110" s="1574"/>
      <c r="G110" s="1574"/>
      <c r="H110" s="634"/>
      <c r="I110" s="634"/>
      <c r="J110" s="632"/>
      <c r="K110" s="632"/>
      <c r="L110" s="632"/>
      <c r="M110" s="632"/>
      <c r="N110" s="635"/>
    </row>
    <row r="111" spans="2:27" s="609" customFormat="1" ht="19.899999999999999" customHeight="1" x14ac:dyDescent="0.3">
      <c r="B111" s="1576"/>
      <c r="C111" s="1574"/>
      <c r="D111" s="1574"/>
      <c r="E111" s="1574"/>
      <c r="F111" s="1574"/>
      <c r="G111" s="1574"/>
      <c r="H111" s="634"/>
      <c r="I111" s="634"/>
      <c r="J111" s="632"/>
      <c r="K111" s="632"/>
      <c r="L111" s="632"/>
      <c r="M111" s="632"/>
      <c r="N111" s="635"/>
    </row>
    <row r="112" spans="2:27" s="609" customFormat="1" ht="19.899999999999999" customHeight="1" x14ac:dyDescent="0.3">
      <c r="B112" s="1576"/>
      <c r="C112" s="1574"/>
      <c r="D112" s="1574"/>
      <c r="E112" s="1574"/>
      <c r="F112" s="1574"/>
      <c r="G112" s="1574"/>
      <c r="H112" s="634"/>
      <c r="I112" s="634"/>
      <c r="J112" s="632"/>
      <c r="K112" s="632"/>
      <c r="L112" s="632"/>
      <c r="M112" s="632"/>
      <c r="N112" s="635"/>
    </row>
    <row r="113" spans="2:14" s="609" customFormat="1" ht="19.899999999999999" customHeight="1" x14ac:dyDescent="0.3">
      <c r="B113" s="1576"/>
      <c r="C113" s="1574"/>
      <c r="D113" s="1574"/>
      <c r="E113" s="1574"/>
      <c r="F113" s="1574"/>
      <c r="G113" s="1574"/>
      <c r="H113" s="634"/>
      <c r="I113" s="634"/>
      <c r="J113" s="632"/>
      <c r="K113" s="632"/>
      <c r="L113" s="632"/>
      <c r="M113" s="632"/>
      <c r="N113" s="635"/>
    </row>
    <row r="114" spans="2:14" s="609" customFormat="1" ht="19.899999999999999" customHeight="1" x14ac:dyDescent="0.3">
      <c r="B114" s="1576"/>
      <c r="C114" s="1574"/>
      <c r="D114" s="1574"/>
      <c r="E114" s="1574"/>
      <c r="F114" s="1574"/>
      <c r="G114" s="1574"/>
      <c r="H114" s="634"/>
      <c r="I114" s="634"/>
      <c r="J114" s="632"/>
      <c r="K114" s="632"/>
      <c r="L114" s="632"/>
      <c r="M114" s="632"/>
      <c r="N114" s="635"/>
    </row>
    <row r="115" spans="2:14" s="609" customFormat="1" ht="19.899999999999999" customHeight="1" x14ac:dyDescent="0.3">
      <c r="B115" s="1576"/>
      <c r="C115" s="1574"/>
      <c r="D115" s="1574"/>
      <c r="E115" s="1574"/>
      <c r="F115" s="1574"/>
      <c r="G115" s="1574"/>
      <c r="H115" s="634"/>
      <c r="I115" s="634"/>
      <c r="J115" s="632"/>
      <c r="K115" s="632"/>
      <c r="L115" s="632"/>
      <c r="M115" s="632"/>
      <c r="N115" s="635"/>
    </row>
    <row r="116" spans="2:14" s="609" customFormat="1" ht="19.899999999999999" customHeight="1" x14ac:dyDescent="0.3">
      <c r="B116" s="1576"/>
      <c r="C116" s="1574"/>
      <c r="D116" s="1574"/>
      <c r="E116" s="1574"/>
      <c r="F116" s="1574"/>
      <c r="G116" s="1574"/>
      <c r="H116" s="634"/>
      <c r="I116" s="634"/>
      <c r="J116" s="632"/>
      <c r="K116" s="632"/>
      <c r="L116" s="632"/>
      <c r="M116" s="632"/>
      <c r="N116" s="635"/>
    </row>
    <row r="117" spans="2:14" s="609" customFormat="1" ht="19.899999999999999" customHeight="1" x14ac:dyDescent="0.3">
      <c r="B117" s="1576"/>
      <c r="C117" s="1574"/>
      <c r="D117" s="1574"/>
      <c r="E117" s="1574"/>
      <c r="F117" s="1574"/>
      <c r="G117" s="1574"/>
      <c r="H117" s="634"/>
      <c r="I117" s="634"/>
      <c r="J117" s="632"/>
      <c r="K117" s="632"/>
      <c r="L117" s="632"/>
      <c r="M117" s="632"/>
      <c r="N117" s="635"/>
    </row>
    <row r="118" spans="2:14" s="609" customFormat="1" ht="19.899999999999999" customHeight="1" x14ac:dyDescent="0.3">
      <c r="B118" s="1576"/>
      <c r="C118" s="1574"/>
      <c r="D118" s="1574"/>
      <c r="E118" s="1574"/>
      <c r="F118" s="1574"/>
      <c r="G118" s="1574"/>
      <c r="H118" s="634"/>
      <c r="I118" s="634"/>
      <c r="J118" s="632"/>
      <c r="K118" s="632"/>
      <c r="L118" s="632"/>
      <c r="M118" s="632"/>
      <c r="N118" s="635"/>
    </row>
    <row r="119" spans="2:14" s="609" customFormat="1" ht="19.899999999999999" customHeight="1" x14ac:dyDescent="0.3">
      <c r="B119" s="1576"/>
      <c r="C119" s="1574"/>
      <c r="D119" s="1574"/>
      <c r="E119" s="1574"/>
      <c r="F119" s="1574"/>
      <c r="G119" s="1574"/>
      <c r="H119" s="634"/>
      <c r="I119" s="634"/>
      <c r="J119" s="632"/>
      <c r="K119" s="632"/>
      <c r="L119" s="632"/>
      <c r="M119" s="632"/>
      <c r="N119" s="635"/>
    </row>
    <row r="120" spans="2:14" s="609" customFormat="1" ht="19.899999999999999" customHeight="1" x14ac:dyDescent="0.3">
      <c r="B120" s="1576"/>
      <c r="C120" s="1574"/>
      <c r="D120" s="1574"/>
      <c r="E120" s="1574"/>
      <c r="F120" s="1574"/>
      <c r="G120" s="1574"/>
      <c r="H120" s="634"/>
      <c r="I120" s="634"/>
      <c r="J120" s="632"/>
      <c r="K120" s="632"/>
      <c r="L120" s="632"/>
      <c r="M120" s="632"/>
      <c r="N120" s="635"/>
    </row>
    <row r="121" spans="2:14" s="609" customFormat="1" ht="19.899999999999999" customHeight="1" x14ac:dyDescent="0.3">
      <c r="B121" s="633"/>
      <c r="C121" s="634"/>
      <c r="D121" s="634"/>
      <c r="E121" s="634"/>
      <c r="F121" s="634"/>
      <c r="G121" s="634"/>
      <c r="H121" s="634"/>
      <c r="I121" s="634"/>
      <c r="J121" s="632"/>
      <c r="K121" s="632"/>
      <c r="L121" s="632"/>
      <c r="M121" s="632"/>
      <c r="N121" s="635"/>
    </row>
    <row r="122" spans="2:14" s="609" customFormat="1" ht="19.899999999999999" customHeight="1" x14ac:dyDescent="0.3">
      <c r="B122" s="630" t="s">
        <v>798</v>
      </c>
      <c r="C122" s="636" t="s">
        <v>748</v>
      </c>
      <c r="D122" s="636" t="s">
        <v>749</v>
      </c>
      <c r="E122" s="611" t="s">
        <v>1880</v>
      </c>
      <c r="F122" s="632"/>
      <c r="G122" s="632"/>
      <c r="H122" s="632"/>
      <c r="I122" s="632"/>
      <c r="J122" s="632"/>
      <c r="K122" s="632"/>
      <c r="L122" s="632"/>
      <c r="M122" s="632"/>
      <c r="N122" s="635"/>
    </row>
    <row r="123" spans="2:14" s="609" customFormat="1" ht="19.899999999999999" customHeight="1" x14ac:dyDescent="0.3">
      <c r="B123" s="814" t="s">
        <v>1876</v>
      </c>
      <c r="C123" s="818">
        <v>1159805.47</v>
      </c>
      <c r="D123" s="818">
        <v>785063.5</v>
      </c>
      <c r="E123" s="816">
        <v>12</v>
      </c>
      <c r="F123" s="632"/>
      <c r="G123" s="632"/>
      <c r="H123" s="632"/>
      <c r="I123" s="632"/>
      <c r="J123" s="632"/>
      <c r="K123" s="632"/>
      <c r="L123" s="632"/>
      <c r="M123" s="632"/>
      <c r="N123" s="635"/>
    </row>
    <row r="124" spans="2:14" s="609" customFormat="1" ht="19.899999999999999" customHeight="1" x14ac:dyDescent="0.3">
      <c r="B124" s="814" t="s">
        <v>1877</v>
      </c>
      <c r="C124" s="812">
        <v>1159821.78</v>
      </c>
      <c r="D124" s="813">
        <v>785055.04</v>
      </c>
      <c r="E124" s="817">
        <v>6</v>
      </c>
      <c r="F124" s="632"/>
      <c r="G124" s="632"/>
      <c r="H124" s="632"/>
      <c r="I124" s="632"/>
      <c r="J124" s="632"/>
      <c r="K124" s="632"/>
      <c r="L124" s="632"/>
      <c r="M124" s="632"/>
      <c r="N124" s="635"/>
    </row>
    <row r="125" spans="2:14" s="609" customFormat="1" ht="19.899999999999999" customHeight="1" x14ac:dyDescent="0.3">
      <c r="B125" s="814" t="s">
        <v>1878</v>
      </c>
      <c r="C125" s="812">
        <v>1159861.57</v>
      </c>
      <c r="D125" s="813">
        <v>785063.69</v>
      </c>
      <c r="E125" s="817">
        <v>6</v>
      </c>
      <c r="F125" s="632"/>
      <c r="G125" s="632"/>
      <c r="H125" s="632"/>
      <c r="I125" s="632"/>
      <c r="J125" s="632"/>
      <c r="K125" s="632"/>
      <c r="L125" s="632"/>
      <c r="M125" s="632"/>
      <c r="N125" s="635"/>
    </row>
    <row r="126" spans="2:14" s="609" customFormat="1" ht="19.899999999999999" customHeight="1" x14ac:dyDescent="0.3">
      <c r="B126" s="814" t="s">
        <v>1879</v>
      </c>
      <c r="C126" s="812">
        <v>1159385.28</v>
      </c>
      <c r="D126" s="813">
        <v>785406.53</v>
      </c>
      <c r="E126" s="817">
        <v>8</v>
      </c>
      <c r="F126" s="632"/>
      <c r="G126" s="632"/>
      <c r="H126" s="632"/>
      <c r="I126" s="632"/>
      <c r="J126" s="632"/>
      <c r="K126" s="632"/>
      <c r="L126" s="632"/>
      <c r="M126" s="632"/>
      <c r="N126" s="635"/>
    </row>
    <row r="127" spans="2:14" s="609" customFormat="1" ht="19.899999999999999" customHeight="1" x14ac:dyDescent="0.3">
      <c r="B127" s="815"/>
      <c r="C127" s="812"/>
      <c r="D127" s="813"/>
      <c r="E127" s="817"/>
      <c r="F127" s="632"/>
      <c r="G127" s="632"/>
      <c r="H127" s="632"/>
      <c r="I127" s="632"/>
      <c r="J127" s="632"/>
      <c r="K127" s="632"/>
      <c r="L127" s="632"/>
      <c r="M127" s="632"/>
      <c r="N127" s="635"/>
    </row>
    <row r="128" spans="2:14" s="609" customFormat="1" ht="19.899999999999999" customHeight="1" x14ac:dyDescent="0.3">
      <c r="B128" s="815"/>
      <c r="C128" s="812"/>
      <c r="D128" s="813"/>
      <c r="E128" s="817"/>
      <c r="F128" s="632"/>
      <c r="G128" s="632"/>
      <c r="H128" s="632"/>
      <c r="I128" s="632"/>
      <c r="J128" s="632"/>
      <c r="K128" s="632"/>
      <c r="L128" s="632"/>
      <c r="M128" s="632"/>
      <c r="N128" s="635"/>
    </row>
    <row r="129" spans="2:27" s="609" customFormat="1" ht="19.899999999999999" customHeight="1" x14ac:dyDescent="0.3">
      <c r="B129" s="632"/>
      <c r="C129" s="632"/>
      <c r="D129" s="632"/>
      <c r="E129" s="632"/>
      <c r="F129" s="632"/>
      <c r="G129" s="632"/>
      <c r="H129" s="632"/>
      <c r="I129" s="632"/>
      <c r="J129" s="632"/>
      <c r="K129" s="632"/>
      <c r="L129" s="632"/>
      <c r="M129" s="632"/>
      <c r="N129" s="635"/>
    </row>
    <row r="130" spans="2:27" s="609" customFormat="1" ht="19.899999999999999" customHeight="1" x14ac:dyDescent="0.3">
      <c r="B130" s="551" t="s">
        <v>792</v>
      </c>
      <c r="C130" s="474" t="s">
        <v>696</v>
      </c>
      <c r="D130" s="632"/>
      <c r="E130" s="632"/>
      <c r="F130" s="632"/>
      <c r="G130" s="632"/>
      <c r="H130" s="632"/>
      <c r="I130" s="632"/>
      <c r="J130" s="632"/>
      <c r="K130" s="632"/>
      <c r="L130" s="632"/>
      <c r="M130" s="632"/>
      <c r="N130" s="635"/>
    </row>
    <row r="131" spans="2:27" s="609" customFormat="1" ht="19.899999999999999" customHeight="1" x14ac:dyDescent="0.3">
      <c r="B131" s="643">
        <v>6</v>
      </c>
      <c r="C131" s="620">
        <f>COUNTIF($E$123:$E$126,B131)</f>
        <v>2</v>
      </c>
      <c r="D131" s="632"/>
      <c r="E131" s="632"/>
      <c r="F131" s="632"/>
      <c r="G131" s="632"/>
      <c r="H131" s="632"/>
      <c r="I131" s="632"/>
      <c r="J131" s="632"/>
      <c r="K131" s="632"/>
      <c r="L131" s="632"/>
      <c r="M131" s="632"/>
      <c r="N131" s="635"/>
    </row>
    <row r="132" spans="2:27" s="609" customFormat="1" ht="19.899999999999999" customHeight="1" x14ac:dyDescent="0.3">
      <c r="B132" s="819">
        <v>8</v>
      </c>
      <c r="C132" s="620">
        <f t="shared" ref="C132:C133" si="1">COUNTIF($E$123:$E$126,B132)</f>
        <v>1</v>
      </c>
      <c r="D132" s="632"/>
      <c r="E132" s="632"/>
      <c r="F132" s="632"/>
      <c r="G132" s="632"/>
      <c r="H132" s="632"/>
      <c r="I132" s="632"/>
      <c r="J132" s="632"/>
      <c r="K132" s="632"/>
      <c r="L132" s="632"/>
      <c r="M132" s="632"/>
      <c r="N132" s="635"/>
    </row>
    <row r="133" spans="2:27" s="609" customFormat="1" ht="19.899999999999999" customHeight="1" x14ac:dyDescent="0.3">
      <c r="B133" s="819">
        <v>12</v>
      </c>
      <c r="C133" s="620">
        <f t="shared" si="1"/>
        <v>1</v>
      </c>
      <c r="D133" s="632"/>
      <c r="E133" s="632"/>
      <c r="F133" s="632"/>
      <c r="G133" s="632"/>
      <c r="H133" s="632"/>
      <c r="I133" s="632"/>
      <c r="J133" s="632"/>
      <c r="K133" s="632"/>
      <c r="L133" s="632"/>
      <c r="M133" s="632"/>
      <c r="N133" s="635"/>
    </row>
    <row r="134" spans="2:27" s="609" customFormat="1" ht="19.899999999999999" customHeight="1" x14ac:dyDescent="0.3">
      <c r="B134" s="815"/>
      <c r="C134" s="812"/>
      <c r="D134" s="632"/>
      <c r="E134" s="632"/>
      <c r="F134" s="632"/>
      <c r="G134" s="632"/>
      <c r="H134" s="632"/>
      <c r="I134" s="632"/>
      <c r="J134" s="632"/>
      <c r="K134" s="632"/>
      <c r="L134" s="632"/>
      <c r="M134" s="632"/>
      <c r="N134" s="635"/>
    </row>
    <row r="135" spans="2:27" s="609" customFormat="1" ht="19.899999999999999" customHeight="1" x14ac:dyDescent="0.3">
      <c r="B135" s="633"/>
      <c r="C135" s="634"/>
      <c r="D135" s="634"/>
      <c r="E135" s="634"/>
      <c r="F135" s="634"/>
      <c r="G135" s="634"/>
      <c r="H135" s="634"/>
      <c r="I135" s="634"/>
      <c r="J135" s="632"/>
      <c r="K135" s="632"/>
      <c r="L135" s="632"/>
      <c r="M135" s="632"/>
      <c r="N135" s="635"/>
    </row>
    <row r="136" spans="2:27" s="609" customFormat="1" ht="19.899999999999999" customHeight="1" x14ac:dyDescent="0.3">
      <c r="B136" s="627"/>
      <c r="C136" s="628"/>
      <c r="D136" s="628"/>
      <c r="E136" s="628"/>
      <c r="F136" s="628"/>
      <c r="G136" s="628"/>
      <c r="H136" s="628"/>
      <c r="I136" s="628"/>
      <c r="J136" s="632"/>
      <c r="K136" s="632"/>
      <c r="L136" s="632"/>
      <c r="M136" s="632"/>
      <c r="N136" s="635"/>
    </row>
    <row r="137" spans="2:27" s="609" customFormat="1" ht="19.899999999999999" customHeight="1" x14ac:dyDescent="0.3">
      <c r="B137" s="1463" t="s">
        <v>788</v>
      </c>
      <c r="C137" s="1542"/>
      <c r="D137" s="1542"/>
      <c r="E137" s="1542"/>
      <c r="F137" s="1542"/>
      <c r="G137" s="1542"/>
      <c r="H137" s="1542"/>
      <c r="I137" s="1542"/>
      <c r="J137" s="1542"/>
      <c r="K137" s="1542"/>
      <c r="L137" s="1542"/>
      <c r="M137" s="1554"/>
      <c r="N137" s="629"/>
      <c r="O137" s="610"/>
      <c r="P137" s="610"/>
      <c r="Q137" s="610"/>
      <c r="R137" s="610"/>
      <c r="S137" s="610"/>
      <c r="T137" s="610"/>
      <c r="U137" s="610"/>
      <c r="V137" s="610"/>
      <c r="W137" s="610"/>
      <c r="X137" s="610"/>
      <c r="Y137" s="610"/>
      <c r="Z137" s="610"/>
      <c r="AA137" s="610"/>
    </row>
    <row r="138" spans="2:27" s="609" customFormat="1" ht="19.899999999999999" customHeight="1" x14ac:dyDescent="0.3">
      <c r="B138" s="1543"/>
      <c r="C138" s="1544"/>
      <c r="D138" s="1544"/>
      <c r="E138" s="1544"/>
      <c r="F138" s="1544"/>
      <c r="G138" s="1544"/>
      <c r="H138" s="1544"/>
      <c r="I138" s="1544"/>
      <c r="J138" s="1544"/>
      <c r="K138" s="1544"/>
      <c r="L138" s="1544"/>
      <c r="M138" s="1555"/>
      <c r="N138" s="629"/>
      <c r="O138" s="610"/>
      <c r="P138" s="610"/>
      <c r="Q138" s="610"/>
      <c r="R138" s="610"/>
      <c r="S138" s="610"/>
      <c r="T138" s="610"/>
      <c r="U138" s="610"/>
      <c r="V138" s="610"/>
      <c r="W138" s="610"/>
      <c r="X138" s="610"/>
      <c r="Y138" s="610"/>
      <c r="Z138" s="610"/>
      <c r="AA138" s="610"/>
    </row>
    <row r="139" spans="2:27" s="609" customFormat="1" ht="19.899999999999999" customHeight="1" x14ac:dyDescent="0.3">
      <c r="B139" s="627"/>
      <c r="C139" s="628"/>
      <c r="D139" s="628"/>
      <c r="E139" s="628"/>
      <c r="F139" s="628"/>
      <c r="G139" s="628"/>
      <c r="H139" s="628"/>
      <c r="I139" s="628"/>
      <c r="J139" s="628"/>
      <c r="K139" s="628"/>
      <c r="L139" s="628"/>
      <c r="M139" s="628"/>
      <c r="N139" s="629"/>
      <c r="O139" s="610"/>
      <c r="P139" s="610"/>
      <c r="Q139" s="610"/>
      <c r="R139" s="610"/>
      <c r="S139" s="610"/>
      <c r="T139" s="610"/>
      <c r="U139" s="610"/>
      <c r="V139" s="610"/>
      <c r="W139" s="610"/>
      <c r="X139" s="610"/>
      <c r="Y139" s="610"/>
      <c r="Z139" s="610"/>
      <c r="AA139" s="610"/>
    </row>
    <row r="140" spans="2:27" s="609" customFormat="1" ht="19.899999999999999" customHeight="1" x14ac:dyDescent="0.3">
      <c r="B140" s="1463" t="s">
        <v>1869</v>
      </c>
      <c r="C140" s="1542"/>
      <c r="D140" s="1542"/>
      <c r="E140" s="1542"/>
      <c r="F140" s="1542"/>
      <c r="G140" s="1542"/>
      <c r="H140" s="1542"/>
      <c r="I140" s="1542"/>
      <c r="J140" s="1542"/>
      <c r="K140" s="1542"/>
      <c r="L140" s="1542"/>
      <c r="M140" s="1542"/>
      <c r="N140" s="629"/>
      <c r="O140" s="610"/>
      <c r="P140" s="610"/>
      <c r="Q140" s="610"/>
      <c r="R140" s="610"/>
      <c r="S140" s="610"/>
      <c r="T140" s="610"/>
      <c r="U140" s="610"/>
      <c r="V140" s="610"/>
      <c r="W140" s="610"/>
      <c r="X140" s="610"/>
      <c r="Y140" s="610"/>
      <c r="Z140" s="610"/>
      <c r="AA140" s="610"/>
    </row>
    <row r="141" spans="2:27" s="609" customFormat="1" ht="19.899999999999999" customHeight="1" x14ac:dyDescent="0.3">
      <c r="B141" s="1543"/>
      <c r="C141" s="1544"/>
      <c r="D141" s="1544"/>
      <c r="E141" s="1544"/>
      <c r="F141" s="1544"/>
      <c r="G141" s="1544"/>
      <c r="H141" s="1544"/>
      <c r="I141" s="1544"/>
      <c r="J141" s="1544"/>
      <c r="K141" s="1544"/>
      <c r="L141" s="1544"/>
      <c r="M141" s="1544"/>
      <c r="N141" s="629"/>
      <c r="O141" s="610"/>
      <c r="P141" s="610"/>
      <c r="Q141" s="610"/>
      <c r="R141" s="610"/>
      <c r="S141" s="610"/>
      <c r="T141" s="610"/>
      <c r="U141" s="610"/>
      <c r="V141" s="610"/>
      <c r="W141" s="610"/>
      <c r="X141" s="610"/>
      <c r="Y141" s="610"/>
      <c r="Z141" s="610"/>
      <c r="AA141" s="610"/>
    </row>
    <row r="142" spans="2:27" s="609" customFormat="1" ht="19.899999999999999" customHeight="1" x14ac:dyDescent="0.3">
      <c r="B142" s="627"/>
      <c r="C142" s="628"/>
      <c r="D142" s="628"/>
      <c r="E142" s="628"/>
      <c r="F142" s="628"/>
      <c r="G142" s="628"/>
      <c r="H142" s="628"/>
      <c r="I142" s="628"/>
      <c r="J142" s="628"/>
      <c r="K142" s="628"/>
      <c r="L142" s="628"/>
      <c r="M142" s="628"/>
      <c r="N142" s="629"/>
      <c r="O142" s="610"/>
      <c r="P142" s="610"/>
      <c r="Q142" s="610"/>
      <c r="R142" s="610"/>
      <c r="S142" s="610"/>
      <c r="T142" s="610"/>
      <c r="U142" s="610"/>
      <c r="V142" s="610"/>
      <c r="W142" s="610"/>
      <c r="X142" s="610"/>
      <c r="Y142" s="610"/>
      <c r="Z142" s="610"/>
      <c r="AA142" s="610"/>
    </row>
    <row r="143" spans="2:27" s="609" customFormat="1" ht="19.899999999999999" customHeight="1" x14ac:dyDescent="0.3">
      <c r="B143" s="641" t="s">
        <v>790</v>
      </c>
      <c r="C143" s="621" t="s">
        <v>748</v>
      </c>
      <c r="D143" s="621" t="s">
        <v>749</v>
      </c>
      <c r="E143" s="1545" t="s">
        <v>795</v>
      </c>
      <c r="F143" s="1546"/>
      <c r="G143" s="1547"/>
      <c r="H143" s="628"/>
      <c r="I143" s="628"/>
      <c r="J143" s="628"/>
      <c r="K143" s="628"/>
      <c r="L143" s="628"/>
      <c r="M143" s="628"/>
      <c r="N143" s="629"/>
      <c r="O143" s="610"/>
      <c r="P143" s="610"/>
      <c r="Q143" s="610"/>
      <c r="R143" s="610"/>
      <c r="S143" s="610"/>
      <c r="T143" s="610"/>
      <c r="U143" s="610"/>
      <c r="V143" s="610"/>
      <c r="W143" s="610"/>
      <c r="X143" s="610"/>
      <c r="Y143" s="610"/>
      <c r="Z143" s="610"/>
      <c r="AA143" s="610"/>
    </row>
    <row r="144" spans="2:27" s="609" customFormat="1" ht="19.899999999999999" customHeight="1" x14ac:dyDescent="0.3">
      <c r="B144" s="642" t="s">
        <v>796</v>
      </c>
      <c r="C144" s="622">
        <v>1158775.71</v>
      </c>
      <c r="D144" s="622">
        <v>785336.49600000004</v>
      </c>
      <c r="E144" s="1548"/>
      <c r="F144" s="1549"/>
      <c r="G144" s="1549"/>
      <c r="H144" s="628"/>
      <c r="I144" s="628"/>
      <c r="J144" s="628"/>
      <c r="K144" s="628"/>
      <c r="L144" s="628"/>
      <c r="M144" s="628"/>
      <c r="N144" s="629"/>
      <c r="O144" s="610"/>
      <c r="P144" s="610"/>
      <c r="Q144" s="610"/>
      <c r="R144" s="610"/>
      <c r="S144" s="610"/>
      <c r="T144" s="610"/>
      <c r="U144" s="610"/>
      <c r="V144" s="610"/>
      <c r="W144" s="610"/>
      <c r="X144" s="610"/>
      <c r="Y144" s="610"/>
      <c r="Z144" s="610"/>
      <c r="AA144" s="610"/>
    </row>
    <row r="145" spans="2:27" s="609" customFormat="1" ht="19.899999999999999" customHeight="1" x14ac:dyDescent="0.3">
      <c r="B145" s="642" t="s">
        <v>730</v>
      </c>
      <c r="C145" s="622">
        <v>1159721.892</v>
      </c>
      <c r="D145" s="622">
        <v>784853.49199999997</v>
      </c>
      <c r="E145" s="1550"/>
      <c r="F145" s="1551"/>
      <c r="G145" s="1551"/>
      <c r="H145" s="628"/>
      <c r="I145" s="628"/>
      <c r="J145" s="628"/>
      <c r="K145" s="628"/>
      <c r="L145" s="628"/>
      <c r="M145" s="628"/>
      <c r="N145" s="629"/>
      <c r="O145" s="610"/>
      <c r="P145" s="610"/>
      <c r="Q145" s="610"/>
      <c r="R145" s="610"/>
      <c r="S145" s="610"/>
      <c r="T145" s="610"/>
      <c r="U145" s="610"/>
      <c r="V145" s="610"/>
      <c r="W145" s="610"/>
      <c r="X145" s="610"/>
      <c r="Y145" s="610"/>
      <c r="Z145" s="610"/>
      <c r="AA145" s="610"/>
    </row>
    <row r="146" spans="2:27" s="609" customFormat="1" ht="19.899999999999999" customHeight="1" x14ac:dyDescent="0.3">
      <c r="B146" s="642" t="s">
        <v>725</v>
      </c>
      <c r="C146" s="622">
        <v>1160053.8</v>
      </c>
      <c r="D146" s="622">
        <v>784961.56</v>
      </c>
      <c r="E146" s="1550"/>
      <c r="F146" s="1551"/>
      <c r="G146" s="1551"/>
      <c r="H146" s="628"/>
      <c r="I146" s="628"/>
      <c r="J146" s="628"/>
      <c r="K146" s="628"/>
      <c r="L146" s="628"/>
      <c r="M146" s="628"/>
      <c r="N146" s="629"/>
      <c r="O146" s="610"/>
      <c r="P146" s="610"/>
      <c r="Q146" s="610"/>
      <c r="R146" s="610"/>
      <c r="S146" s="610"/>
      <c r="T146" s="610"/>
      <c r="U146" s="610"/>
      <c r="V146" s="610"/>
      <c r="W146" s="610"/>
      <c r="X146" s="610"/>
      <c r="Y146" s="610"/>
      <c r="Z146" s="610"/>
      <c r="AA146" s="610"/>
    </row>
    <row r="147" spans="2:27" s="609" customFormat="1" ht="19.899999999999999" customHeight="1" x14ac:dyDescent="0.3">
      <c r="B147" s="642" t="s">
        <v>726</v>
      </c>
      <c r="C147" s="622">
        <v>1160343.1000000001</v>
      </c>
      <c r="D147" s="622">
        <v>784906.64</v>
      </c>
      <c r="E147" s="1550"/>
      <c r="F147" s="1551"/>
      <c r="G147" s="1551"/>
      <c r="H147" s="628"/>
      <c r="I147" s="628"/>
      <c r="J147" s="628"/>
      <c r="K147" s="628"/>
      <c r="L147" s="628"/>
      <c r="M147" s="628"/>
      <c r="N147" s="629"/>
      <c r="O147" s="610"/>
      <c r="P147" s="610"/>
      <c r="Q147" s="610"/>
      <c r="R147" s="610"/>
      <c r="S147" s="610"/>
      <c r="T147" s="610"/>
      <c r="U147" s="610"/>
      <c r="V147" s="610"/>
      <c r="W147" s="610"/>
      <c r="X147" s="610"/>
      <c r="Y147" s="610"/>
      <c r="Z147" s="610"/>
      <c r="AA147" s="610"/>
    </row>
    <row r="148" spans="2:27" s="609" customFormat="1" ht="19.899999999999999" customHeight="1" x14ac:dyDescent="0.3">
      <c r="B148" s="642" t="s">
        <v>728</v>
      </c>
      <c r="C148" s="622">
        <v>1160373.2</v>
      </c>
      <c r="D148" s="622">
        <v>784864.89</v>
      </c>
      <c r="E148" s="1550"/>
      <c r="F148" s="1551"/>
      <c r="G148" s="1551"/>
      <c r="H148" s="628"/>
      <c r="I148" s="628"/>
      <c r="J148" s="628"/>
      <c r="K148" s="628"/>
      <c r="L148" s="628"/>
      <c r="M148" s="628"/>
      <c r="N148" s="629"/>
      <c r="O148" s="610"/>
      <c r="P148" s="610"/>
      <c r="Q148" s="610"/>
      <c r="R148" s="610"/>
      <c r="S148" s="610"/>
      <c r="T148" s="610"/>
      <c r="U148" s="610"/>
      <c r="V148" s="610"/>
      <c r="W148" s="610"/>
      <c r="X148" s="610"/>
      <c r="Y148" s="610"/>
      <c r="Z148" s="610"/>
      <c r="AA148" s="610"/>
    </row>
    <row r="149" spans="2:27" s="609" customFormat="1" ht="19.899999999999999" customHeight="1" x14ac:dyDescent="0.3">
      <c r="B149" s="642" t="s">
        <v>739</v>
      </c>
      <c r="C149" s="622">
        <v>1160320.8999999999</v>
      </c>
      <c r="D149" s="622">
        <v>784858.44</v>
      </c>
      <c r="E149" s="1550"/>
      <c r="F149" s="1551"/>
      <c r="G149" s="1551"/>
      <c r="H149" s="628"/>
      <c r="I149" s="628"/>
      <c r="J149" s="628"/>
      <c r="K149" s="628"/>
      <c r="L149" s="628"/>
      <c r="M149" s="628"/>
      <c r="N149" s="629"/>
      <c r="O149" s="610"/>
      <c r="P149" s="610"/>
      <c r="Q149" s="610"/>
      <c r="R149" s="610"/>
      <c r="S149" s="610"/>
      <c r="T149" s="610"/>
      <c r="U149" s="610"/>
      <c r="V149" s="610"/>
      <c r="W149" s="610"/>
      <c r="X149" s="610"/>
      <c r="Y149" s="610"/>
      <c r="Z149" s="610"/>
      <c r="AA149" s="610"/>
    </row>
    <row r="150" spans="2:27" s="609" customFormat="1" ht="19.899999999999999" customHeight="1" x14ac:dyDescent="0.3">
      <c r="B150" s="642" t="s">
        <v>746</v>
      </c>
      <c r="C150" s="622">
        <v>1160314.2</v>
      </c>
      <c r="D150" s="622">
        <v>784475.47</v>
      </c>
      <c r="E150" s="1550"/>
      <c r="F150" s="1551"/>
      <c r="G150" s="1551"/>
      <c r="H150" s="628"/>
      <c r="I150" s="628"/>
      <c r="J150" s="628"/>
      <c r="K150" s="628"/>
      <c r="L150" s="628"/>
      <c r="M150" s="628"/>
      <c r="N150" s="629"/>
      <c r="O150" s="610"/>
      <c r="P150" s="610"/>
      <c r="Q150" s="610"/>
      <c r="R150" s="610"/>
      <c r="S150" s="610"/>
      <c r="T150" s="610"/>
      <c r="U150" s="610"/>
      <c r="V150" s="610"/>
      <c r="W150" s="610"/>
      <c r="X150" s="610"/>
      <c r="Y150" s="610"/>
      <c r="Z150" s="610"/>
      <c r="AA150" s="610"/>
    </row>
    <row r="151" spans="2:27" s="609" customFormat="1" ht="19.899999999999999" customHeight="1" x14ac:dyDescent="0.3">
      <c r="B151" s="642" t="s">
        <v>745</v>
      </c>
      <c r="C151" s="622">
        <v>1160801.8</v>
      </c>
      <c r="D151" s="622">
        <v>784567.51</v>
      </c>
      <c r="E151" s="1550"/>
      <c r="F151" s="1551"/>
      <c r="G151" s="1551"/>
      <c r="H151" s="628"/>
      <c r="I151" s="628"/>
      <c r="J151" s="628"/>
      <c r="K151" s="628"/>
      <c r="L151" s="628"/>
      <c r="M151" s="628"/>
      <c r="N151" s="629"/>
      <c r="O151" s="610"/>
      <c r="P151" s="610"/>
      <c r="Q151" s="610"/>
      <c r="R151" s="610"/>
      <c r="S151" s="610"/>
      <c r="T151" s="610"/>
      <c r="U151" s="610"/>
      <c r="V151" s="610"/>
      <c r="W151" s="610"/>
      <c r="X151" s="610"/>
      <c r="Y151" s="610"/>
      <c r="Z151" s="610"/>
      <c r="AA151" s="610"/>
    </row>
    <row r="152" spans="2:27" s="609" customFormat="1" ht="19.899999999999999" customHeight="1" x14ac:dyDescent="0.3">
      <c r="B152" s="811"/>
      <c r="C152" s="647"/>
      <c r="D152" s="647"/>
      <c r="E152" s="788"/>
      <c r="F152" s="788"/>
      <c r="G152" s="788"/>
      <c r="H152" s="628"/>
      <c r="I152" s="628"/>
      <c r="J152" s="628"/>
      <c r="K152" s="628"/>
      <c r="L152" s="628"/>
      <c r="M152" s="628"/>
      <c r="N152" s="629"/>
      <c r="O152" s="610"/>
      <c r="P152" s="610"/>
      <c r="Q152" s="610"/>
      <c r="R152" s="610"/>
      <c r="S152" s="610"/>
      <c r="T152" s="610"/>
      <c r="U152" s="610"/>
      <c r="V152" s="610"/>
      <c r="W152" s="610"/>
      <c r="X152" s="610"/>
      <c r="Y152" s="610"/>
      <c r="Z152" s="610"/>
      <c r="AA152" s="610"/>
    </row>
    <row r="153" spans="2:27" s="609" customFormat="1" ht="19.899999999999999" customHeight="1" x14ac:dyDescent="0.3">
      <c r="B153" s="627"/>
      <c r="C153" s="628"/>
      <c r="D153" s="628"/>
      <c r="E153" s="628"/>
      <c r="F153" s="628"/>
      <c r="G153" s="628"/>
      <c r="H153" s="628"/>
      <c r="I153" s="628"/>
      <c r="J153" s="628"/>
      <c r="K153" s="628"/>
      <c r="L153" s="628"/>
      <c r="M153" s="628"/>
      <c r="N153" s="629"/>
      <c r="O153" s="610"/>
      <c r="P153" s="610"/>
      <c r="Q153" s="610"/>
      <c r="R153" s="610"/>
      <c r="S153" s="610"/>
      <c r="T153" s="610"/>
      <c r="U153" s="610"/>
      <c r="V153" s="610"/>
      <c r="W153" s="610"/>
      <c r="X153" s="610"/>
      <c r="Y153" s="610"/>
      <c r="Z153" s="610"/>
      <c r="AA153" s="610"/>
    </row>
    <row r="154" spans="2:27" s="609" customFormat="1" ht="19.899999999999999" customHeight="1" x14ac:dyDescent="0.3">
      <c r="B154" s="551" t="s">
        <v>792</v>
      </c>
      <c r="C154" s="474" t="s">
        <v>696</v>
      </c>
      <c r="D154" s="628"/>
      <c r="E154" s="628"/>
      <c r="F154" s="628"/>
      <c r="G154" s="628"/>
      <c r="H154" s="628"/>
      <c r="I154" s="628"/>
      <c r="J154" s="628"/>
      <c r="K154" s="628"/>
      <c r="L154" s="628"/>
      <c r="M154" s="628"/>
      <c r="N154" s="629"/>
      <c r="O154" s="610"/>
      <c r="P154" s="610"/>
      <c r="Q154" s="610"/>
      <c r="R154" s="610"/>
      <c r="S154" s="610"/>
      <c r="T154" s="610"/>
      <c r="U154" s="610"/>
      <c r="V154" s="610"/>
      <c r="W154" s="610"/>
      <c r="X154" s="610"/>
      <c r="Y154" s="610"/>
      <c r="Z154" s="610"/>
      <c r="AA154" s="610"/>
    </row>
    <row r="155" spans="2:27" s="609" customFormat="1" ht="19.899999999999999" customHeight="1" x14ac:dyDescent="0.3">
      <c r="B155" s="643">
        <v>1</v>
      </c>
      <c r="C155" s="620">
        <v>9</v>
      </c>
      <c r="D155" s="628"/>
      <c r="E155" s="628"/>
      <c r="F155" s="628"/>
      <c r="G155" s="628"/>
      <c r="H155" s="628"/>
      <c r="I155" s="628"/>
      <c r="J155" s="628"/>
      <c r="K155" s="628"/>
      <c r="L155" s="628"/>
      <c r="M155" s="628"/>
      <c r="N155" s="629"/>
      <c r="O155" s="610"/>
      <c r="P155" s="610"/>
      <c r="Q155" s="610"/>
      <c r="R155" s="610"/>
      <c r="S155" s="610"/>
      <c r="T155" s="610"/>
      <c r="U155" s="610"/>
      <c r="V155" s="610"/>
      <c r="W155" s="610"/>
      <c r="X155" s="610"/>
      <c r="Y155" s="610"/>
      <c r="Z155" s="610"/>
      <c r="AA155" s="610"/>
    </row>
    <row r="156" spans="2:27" s="609" customFormat="1" ht="19.899999999999999" customHeight="1" x14ac:dyDescent="0.3">
      <c r="B156" s="631"/>
      <c r="C156" s="623"/>
      <c r="D156" s="628"/>
      <c r="E156" s="628"/>
      <c r="F156" s="628"/>
      <c r="G156" s="628"/>
      <c r="H156" s="628"/>
      <c r="I156" s="628"/>
      <c r="J156" s="628"/>
      <c r="K156" s="628"/>
      <c r="L156" s="628"/>
      <c r="M156" s="628"/>
      <c r="N156" s="629"/>
      <c r="O156" s="610"/>
      <c r="P156" s="610"/>
      <c r="Q156" s="610"/>
      <c r="R156" s="610"/>
      <c r="S156" s="610"/>
      <c r="T156" s="610"/>
      <c r="U156" s="610"/>
      <c r="V156" s="610"/>
      <c r="W156" s="610"/>
      <c r="X156" s="610"/>
      <c r="Y156" s="610"/>
      <c r="Z156" s="610"/>
      <c r="AA156" s="610"/>
    </row>
    <row r="157" spans="2:27" s="609" customFormat="1" ht="19.899999999999999" customHeight="1" x14ac:dyDescent="0.3">
      <c r="B157" s="1463" t="s">
        <v>1870</v>
      </c>
      <c r="C157" s="1542"/>
      <c r="D157" s="1542"/>
      <c r="E157" s="1542"/>
      <c r="F157" s="1542"/>
      <c r="G157" s="1542"/>
      <c r="H157" s="1542"/>
      <c r="I157" s="1542"/>
      <c r="J157" s="1542"/>
      <c r="K157" s="1542"/>
      <c r="L157" s="1542"/>
      <c r="M157" s="1542"/>
      <c r="N157" s="629"/>
      <c r="O157" s="610"/>
      <c r="P157" s="610"/>
      <c r="Q157" s="610"/>
      <c r="R157" s="610"/>
      <c r="S157" s="610"/>
      <c r="T157" s="610"/>
      <c r="U157" s="610"/>
      <c r="V157" s="610"/>
      <c r="W157" s="610"/>
      <c r="X157" s="610"/>
      <c r="Y157" s="610"/>
      <c r="Z157" s="610"/>
      <c r="AA157" s="610"/>
    </row>
    <row r="158" spans="2:27" s="609" customFormat="1" ht="19.899999999999999" customHeight="1" x14ac:dyDescent="0.3">
      <c r="B158" s="1543"/>
      <c r="C158" s="1544"/>
      <c r="D158" s="1544"/>
      <c r="E158" s="1544"/>
      <c r="F158" s="1544"/>
      <c r="G158" s="1544"/>
      <c r="H158" s="1544"/>
      <c r="I158" s="1544"/>
      <c r="J158" s="1544"/>
      <c r="K158" s="1544"/>
      <c r="L158" s="1544"/>
      <c r="M158" s="1544"/>
      <c r="N158" s="629"/>
      <c r="O158" s="610"/>
      <c r="P158" s="610"/>
      <c r="Q158" s="610"/>
      <c r="R158" s="610"/>
      <c r="S158" s="610"/>
      <c r="T158" s="610"/>
      <c r="U158" s="610"/>
      <c r="V158" s="610"/>
      <c r="W158" s="610"/>
      <c r="X158" s="610"/>
      <c r="Y158" s="610"/>
      <c r="Z158" s="610"/>
      <c r="AA158" s="610"/>
    </row>
    <row r="159" spans="2:27" s="609" customFormat="1" ht="19.899999999999999" customHeight="1" x14ac:dyDescent="0.3">
      <c r="B159" s="641" t="s">
        <v>790</v>
      </c>
      <c r="C159" s="621" t="s">
        <v>748</v>
      </c>
      <c r="D159" s="621" t="s">
        <v>749</v>
      </c>
      <c r="E159" s="1545" t="s">
        <v>795</v>
      </c>
      <c r="F159" s="1546"/>
      <c r="G159" s="1547"/>
      <c r="H159" s="628"/>
      <c r="I159" s="628"/>
      <c r="J159" s="628"/>
      <c r="K159" s="628"/>
      <c r="L159" s="628"/>
      <c r="M159" s="628"/>
      <c r="N159" s="629"/>
      <c r="O159" s="610"/>
      <c r="P159" s="610"/>
      <c r="Q159" s="610"/>
      <c r="R159" s="610"/>
      <c r="S159" s="610"/>
      <c r="T159" s="610"/>
      <c r="U159" s="610"/>
      <c r="V159" s="610"/>
      <c r="W159" s="610"/>
      <c r="X159" s="610"/>
      <c r="Y159" s="610"/>
      <c r="Z159" s="610"/>
      <c r="AA159" s="610"/>
    </row>
    <row r="160" spans="2:27" s="609" customFormat="1" ht="19.899999999999999" customHeight="1" x14ac:dyDescent="0.3">
      <c r="B160" s="642" t="s">
        <v>796</v>
      </c>
      <c r="C160" s="622">
        <v>11588206.941</v>
      </c>
      <c r="D160" s="622">
        <v>785164.47199999995</v>
      </c>
      <c r="E160" s="1548"/>
      <c r="F160" s="1549"/>
      <c r="G160" s="1549"/>
      <c r="H160" s="628"/>
      <c r="I160" s="628"/>
      <c r="J160" s="628"/>
      <c r="K160" s="628"/>
      <c r="L160" s="628"/>
      <c r="M160" s="628"/>
      <c r="N160" s="629"/>
      <c r="O160" s="610"/>
      <c r="P160" s="610"/>
      <c r="Q160" s="610"/>
      <c r="R160" s="610"/>
      <c r="S160" s="610"/>
      <c r="T160" s="610"/>
      <c r="U160" s="610"/>
      <c r="V160" s="610"/>
      <c r="W160" s="610"/>
      <c r="X160" s="610"/>
      <c r="Y160" s="610"/>
      <c r="Z160" s="610"/>
      <c r="AA160" s="610"/>
    </row>
    <row r="161" spans="2:27" s="609" customFormat="1" ht="19.899999999999999" customHeight="1" x14ac:dyDescent="0.3">
      <c r="B161" s="642" t="s">
        <v>730</v>
      </c>
      <c r="C161" s="622">
        <v>1160303.1000000001</v>
      </c>
      <c r="D161" s="622">
        <v>784914.44</v>
      </c>
      <c r="E161" s="1550"/>
      <c r="F161" s="1551"/>
      <c r="G161" s="1551"/>
      <c r="H161" s="628"/>
      <c r="I161" s="628"/>
      <c r="J161" s="628"/>
      <c r="K161" s="628"/>
      <c r="L161" s="628"/>
      <c r="M161" s="628"/>
      <c r="N161" s="629"/>
      <c r="O161" s="610"/>
      <c r="P161" s="610"/>
      <c r="Q161" s="610"/>
      <c r="R161" s="610"/>
      <c r="S161" s="610"/>
      <c r="T161" s="610"/>
      <c r="U161" s="610"/>
      <c r="V161" s="610"/>
      <c r="W161" s="610"/>
      <c r="X161" s="610"/>
      <c r="Y161" s="610"/>
      <c r="Z161" s="610"/>
      <c r="AA161" s="610"/>
    </row>
    <row r="162" spans="2:27" s="609" customFormat="1" ht="19.899999999999999" customHeight="1" x14ac:dyDescent="0.3">
      <c r="B162" s="642" t="s">
        <v>725</v>
      </c>
      <c r="C162" s="622">
        <v>1160463.1000000001</v>
      </c>
      <c r="D162" s="622">
        <v>784949.12</v>
      </c>
      <c r="E162" s="1550"/>
      <c r="F162" s="1551"/>
      <c r="G162" s="1551"/>
      <c r="H162" s="628"/>
      <c r="I162" s="628"/>
      <c r="J162" s="628"/>
      <c r="K162" s="628"/>
      <c r="L162" s="628"/>
      <c r="M162" s="628"/>
      <c r="N162" s="629"/>
      <c r="O162" s="610"/>
      <c r="P162" s="610"/>
      <c r="Q162" s="610"/>
      <c r="R162" s="610"/>
      <c r="S162" s="610"/>
      <c r="T162" s="610"/>
      <c r="U162" s="610"/>
      <c r="V162" s="610"/>
      <c r="W162" s="610"/>
      <c r="X162" s="610"/>
      <c r="Y162" s="610"/>
      <c r="Z162" s="610"/>
      <c r="AA162" s="610"/>
    </row>
    <row r="163" spans="2:27" s="609" customFormat="1" ht="19.899999999999999" customHeight="1" x14ac:dyDescent="0.3">
      <c r="B163" s="642" t="s">
        <v>726</v>
      </c>
      <c r="C163" s="622">
        <v>1160270.3</v>
      </c>
      <c r="D163" s="622">
        <v>784643.23</v>
      </c>
      <c r="E163" s="1550"/>
      <c r="F163" s="1551"/>
      <c r="G163" s="1551"/>
      <c r="H163" s="628"/>
      <c r="I163" s="628"/>
      <c r="J163" s="628"/>
      <c r="K163" s="628"/>
      <c r="L163" s="628"/>
      <c r="M163" s="628"/>
      <c r="N163" s="629"/>
      <c r="O163" s="610"/>
      <c r="P163" s="610"/>
      <c r="Q163" s="610"/>
      <c r="R163" s="610"/>
      <c r="S163" s="610"/>
      <c r="T163" s="610"/>
      <c r="U163" s="610"/>
      <c r="V163" s="610"/>
      <c r="W163" s="610"/>
      <c r="X163" s="610"/>
      <c r="Y163" s="610"/>
      <c r="Z163" s="610"/>
      <c r="AA163" s="610"/>
    </row>
    <row r="164" spans="2:27" s="609" customFormat="1" ht="19.899999999999999" customHeight="1" x14ac:dyDescent="0.3">
      <c r="B164" s="642" t="s">
        <v>728</v>
      </c>
      <c r="C164" s="622">
        <v>1160382.3</v>
      </c>
      <c r="D164" s="622">
        <v>784601.21</v>
      </c>
      <c r="E164" s="1550"/>
      <c r="F164" s="1551"/>
      <c r="G164" s="1551"/>
      <c r="H164" s="628"/>
      <c r="I164" s="628"/>
      <c r="J164" s="628"/>
      <c r="K164" s="628"/>
      <c r="L164" s="628"/>
      <c r="M164" s="628"/>
      <c r="N164" s="629"/>
      <c r="O164" s="610"/>
      <c r="P164" s="610"/>
      <c r="Q164" s="610"/>
      <c r="R164" s="610"/>
      <c r="S164" s="610"/>
      <c r="T164" s="610"/>
      <c r="U164" s="610"/>
      <c r="V164" s="610"/>
      <c r="W164" s="610"/>
      <c r="X164" s="610"/>
      <c r="Y164" s="610"/>
      <c r="Z164" s="610"/>
      <c r="AA164" s="610"/>
    </row>
    <row r="165" spans="2:27" s="609" customFormat="1" ht="19.899999999999999" customHeight="1" x14ac:dyDescent="0.3">
      <c r="B165" s="642"/>
      <c r="C165" s="622"/>
      <c r="D165" s="647"/>
      <c r="E165" s="788"/>
      <c r="F165" s="788"/>
      <c r="G165" s="788"/>
      <c r="H165" s="628"/>
      <c r="I165" s="628"/>
      <c r="J165" s="628"/>
      <c r="K165" s="628"/>
      <c r="L165" s="628"/>
      <c r="M165" s="628"/>
      <c r="N165" s="629"/>
      <c r="O165" s="610"/>
      <c r="P165" s="610"/>
      <c r="Q165" s="610"/>
      <c r="R165" s="610"/>
      <c r="S165" s="610"/>
      <c r="T165" s="610"/>
      <c r="U165" s="610"/>
      <c r="V165" s="610"/>
      <c r="W165" s="610"/>
      <c r="X165" s="610"/>
      <c r="Y165" s="610"/>
      <c r="Z165" s="610"/>
      <c r="AA165" s="610"/>
    </row>
    <row r="166" spans="2:27" s="609" customFormat="1" ht="19.899999999999999" customHeight="1" x14ac:dyDescent="0.3">
      <c r="B166" s="551" t="s">
        <v>792</v>
      </c>
      <c r="C166" s="474" t="s">
        <v>696</v>
      </c>
      <c r="D166" s="628"/>
      <c r="E166" s="628"/>
      <c r="F166" s="628"/>
      <c r="G166" s="628"/>
      <c r="H166" s="628"/>
      <c r="I166" s="628"/>
      <c r="J166" s="628"/>
      <c r="K166" s="628"/>
      <c r="L166" s="628"/>
      <c r="M166" s="628"/>
      <c r="N166" s="629"/>
      <c r="O166" s="610"/>
      <c r="P166" s="610"/>
      <c r="Q166" s="610"/>
      <c r="R166" s="610"/>
      <c r="S166" s="610"/>
      <c r="T166" s="610"/>
      <c r="U166" s="610"/>
      <c r="V166" s="610"/>
      <c r="W166" s="610"/>
      <c r="X166" s="610"/>
      <c r="Y166" s="610"/>
      <c r="Z166" s="610"/>
      <c r="AA166" s="610"/>
    </row>
    <row r="167" spans="2:27" s="609" customFormat="1" ht="19.899999999999999" customHeight="1" x14ac:dyDescent="0.3">
      <c r="B167" s="643">
        <v>3</v>
      </c>
      <c r="C167" s="620">
        <v>5</v>
      </c>
      <c r="D167" s="628"/>
      <c r="E167" s="628"/>
      <c r="F167" s="628"/>
      <c r="G167" s="628"/>
      <c r="H167" s="628"/>
      <c r="I167" s="628"/>
      <c r="J167" s="628"/>
      <c r="K167" s="628"/>
      <c r="L167" s="628"/>
      <c r="M167" s="628"/>
      <c r="N167" s="629"/>
      <c r="O167" s="610"/>
      <c r="P167" s="610"/>
      <c r="Q167" s="610"/>
      <c r="R167" s="610"/>
      <c r="S167" s="610"/>
      <c r="T167" s="610"/>
      <c r="U167" s="610"/>
      <c r="V167" s="610"/>
      <c r="W167" s="610"/>
      <c r="X167" s="610"/>
      <c r="Y167" s="610"/>
      <c r="Z167" s="610"/>
      <c r="AA167" s="610"/>
    </row>
    <row r="168" spans="2:27" s="609" customFormat="1" ht="19.899999999999999" customHeight="1" x14ac:dyDescent="0.3">
      <c r="B168" s="643">
        <v>12</v>
      </c>
      <c r="C168" s="620">
        <v>1</v>
      </c>
      <c r="D168" s="628"/>
      <c r="E168" s="628"/>
      <c r="F168" s="628"/>
      <c r="G168" s="628"/>
      <c r="H168" s="628"/>
      <c r="I168" s="628"/>
      <c r="J168" s="628"/>
      <c r="K168" s="628"/>
      <c r="L168" s="628"/>
      <c r="M168" s="628"/>
      <c r="N168" s="629"/>
      <c r="O168" s="610"/>
      <c r="P168" s="610"/>
      <c r="Q168" s="610"/>
      <c r="R168" s="610"/>
      <c r="S168" s="610"/>
      <c r="T168" s="610"/>
      <c r="U168" s="610"/>
      <c r="V168" s="610"/>
      <c r="W168" s="610"/>
      <c r="X168" s="610"/>
      <c r="Y168" s="610"/>
      <c r="Z168" s="610"/>
      <c r="AA168" s="610"/>
    </row>
    <row r="169" spans="2:27" s="609" customFormat="1" ht="19.899999999999999" customHeight="1" x14ac:dyDescent="0.3">
      <c r="B169" s="627"/>
      <c r="C169" s="628"/>
      <c r="D169" s="628"/>
      <c r="E169" s="628"/>
      <c r="F169" s="628"/>
      <c r="G169" s="628"/>
      <c r="H169" s="628"/>
      <c r="I169" s="628"/>
      <c r="J169" s="628"/>
      <c r="K169" s="628"/>
      <c r="L169" s="628"/>
      <c r="M169" s="628"/>
      <c r="N169" s="629"/>
      <c r="O169" s="610"/>
      <c r="P169" s="610"/>
      <c r="Q169" s="610"/>
      <c r="R169" s="610"/>
      <c r="S169" s="610"/>
      <c r="T169" s="610"/>
      <c r="U169" s="610"/>
      <c r="V169" s="610"/>
      <c r="W169" s="610"/>
      <c r="X169" s="610"/>
      <c r="Y169" s="610"/>
      <c r="Z169" s="610"/>
      <c r="AA169" s="610"/>
    </row>
    <row r="170" spans="2:27" s="609" customFormat="1" ht="19.899999999999999" customHeight="1" x14ac:dyDescent="0.3">
      <c r="B170" s="1463" t="s">
        <v>789</v>
      </c>
      <c r="C170" s="1542"/>
      <c r="D170" s="1542"/>
      <c r="E170" s="1542"/>
      <c r="F170" s="1542"/>
      <c r="G170" s="1542"/>
      <c r="H170" s="1542"/>
      <c r="I170" s="1542"/>
      <c r="J170" s="1542"/>
      <c r="K170" s="1542"/>
      <c r="L170" s="1542"/>
      <c r="M170" s="1542"/>
      <c r="N170" s="629"/>
      <c r="O170" s="610"/>
      <c r="P170" s="610"/>
      <c r="Q170" s="610"/>
      <c r="R170" s="610"/>
      <c r="S170" s="610"/>
      <c r="T170" s="610"/>
      <c r="U170" s="610"/>
      <c r="V170" s="610"/>
      <c r="W170" s="610"/>
      <c r="X170" s="610"/>
      <c r="Y170" s="610"/>
      <c r="Z170" s="610"/>
      <c r="AA170" s="610"/>
    </row>
    <row r="171" spans="2:27" s="609" customFormat="1" ht="19.899999999999999" customHeight="1" x14ac:dyDescent="0.3">
      <c r="B171" s="1543"/>
      <c r="C171" s="1544"/>
      <c r="D171" s="1544"/>
      <c r="E171" s="1544"/>
      <c r="F171" s="1544"/>
      <c r="G171" s="1544"/>
      <c r="H171" s="1544"/>
      <c r="I171" s="1544"/>
      <c r="J171" s="1544"/>
      <c r="K171" s="1544"/>
      <c r="L171" s="1544"/>
      <c r="M171" s="1544"/>
      <c r="N171" s="629"/>
      <c r="O171" s="610"/>
      <c r="P171" s="610"/>
      <c r="Q171" s="610"/>
      <c r="R171" s="610"/>
      <c r="S171" s="610"/>
      <c r="T171" s="610"/>
      <c r="U171" s="610"/>
      <c r="V171" s="610"/>
      <c r="W171" s="610"/>
      <c r="X171" s="610"/>
      <c r="Y171" s="610"/>
      <c r="Z171" s="610"/>
      <c r="AA171" s="610"/>
    </row>
    <row r="172" spans="2:27" s="609" customFormat="1" ht="19.899999999999999" customHeight="1" x14ac:dyDescent="0.3">
      <c r="B172" s="627"/>
      <c r="C172" s="628"/>
      <c r="D172" s="628"/>
      <c r="E172" s="628"/>
      <c r="F172" s="628"/>
      <c r="G172" s="628"/>
      <c r="H172" s="628"/>
      <c r="I172" s="628"/>
      <c r="J172" s="628"/>
      <c r="K172" s="628"/>
      <c r="L172" s="628"/>
      <c r="M172" s="628"/>
      <c r="N172" s="629"/>
      <c r="O172" s="610"/>
      <c r="P172" s="610"/>
      <c r="Q172" s="610"/>
      <c r="R172" s="610"/>
      <c r="S172" s="610"/>
      <c r="T172" s="610"/>
      <c r="U172" s="610"/>
      <c r="V172" s="610"/>
      <c r="W172" s="610"/>
      <c r="X172" s="610"/>
      <c r="Y172" s="610"/>
      <c r="Z172" s="610"/>
      <c r="AA172" s="610"/>
    </row>
    <row r="173" spans="2:27" s="609" customFormat="1" ht="19.899999999999999" customHeight="1" x14ac:dyDescent="0.3">
      <c r="B173" s="641" t="s">
        <v>790</v>
      </c>
      <c r="C173" s="621" t="s">
        <v>748</v>
      </c>
      <c r="D173" s="621" t="s">
        <v>749</v>
      </c>
      <c r="E173" s="621" t="s">
        <v>791</v>
      </c>
      <c r="F173" s="621" t="s">
        <v>792</v>
      </c>
      <c r="G173" s="621" t="s">
        <v>793</v>
      </c>
      <c r="H173" s="621" t="s">
        <v>794</v>
      </c>
      <c r="I173" s="1577" t="s">
        <v>795</v>
      </c>
      <c r="J173" s="1542"/>
      <c r="K173" s="1554"/>
      <c r="L173" s="628"/>
      <c r="M173" s="628"/>
      <c r="N173" s="629"/>
      <c r="O173" s="610"/>
      <c r="P173" s="610"/>
      <c r="Q173" s="610"/>
      <c r="R173" s="610"/>
      <c r="S173" s="610"/>
      <c r="T173" s="610"/>
      <c r="U173" s="610"/>
      <c r="V173" s="610"/>
      <c r="W173" s="610"/>
      <c r="X173" s="610"/>
      <c r="Y173" s="610"/>
      <c r="Z173" s="610"/>
      <c r="AA173" s="610"/>
    </row>
    <row r="174" spans="2:27" s="609" customFormat="1" ht="19.899999999999999" customHeight="1" x14ac:dyDescent="0.3">
      <c r="B174" s="642" t="s">
        <v>796</v>
      </c>
      <c r="C174" s="622">
        <v>1160048.8999999999</v>
      </c>
      <c r="D174" s="622">
        <v>784963.6</v>
      </c>
      <c r="E174" s="622"/>
      <c r="F174" s="624">
        <v>3</v>
      </c>
      <c r="G174" s="625"/>
      <c r="H174" s="644"/>
      <c r="I174" s="1552"/>
      <c r="J174" s="1578"/>
      <c r="K174" s="1578"/>
      <c r="L174" s="628"/>
      <c r="M174" s="628"/>
      <c r="N174" s="629"/>
      <c r="O174" s="610"/>
      <c r="P174" s="610"/>
      <c r="Q174" s="610"/>
      <c r="R174" s="610"/>
      <c r="S174" s="610"/>
      <c r="T174" s="610"/>
      <c r="U174" s="610"/>
      <c r="V174" s="610"/>
      <c r="W174" s="610"/>
      <c r="X174" s="610"/>
      <c r="Y174" s="610"/>
      <c r="Z174" s="610"/>
      <c r="AA174" s="610"/>
    </row>
    <row r="175" spans="2:27" s="609" customFormat="1" ht="19.899999999999999" customHeight="1" x14ac:dyDescent="0.3">
      <c r="B175" s="642" t="s">
        <v>730</v>
      </c>
      <c r="C175" s="622">
        <v>1160300.2</v>
      </c>
      <c r="D175" s="622">
        <v>784864.63</v>
      </c>
      <c r="E175" s="622"/>
      <c r="F175" s="624">
        <v>3</v>
      </c>
      <c r="G175" s="622"/>
      <c r="H175" s="645"/>
      <c r="I175" s="1578"/>
      <c r="J175" s="1579"/>
      <c r="K175" s="1578"/>
      <c r="L175" s="628"/>
      <c r="M175" s="628"/>
      <c r="N175" s="629"/>
      <c r="O175" s="610"/>
      <c r="P175" s="610"/>
      <c r="Q175" s="610"/>
      <c r="R175" s="610"/>
      <c r="S175" s="610"/>
      <c r="T175" s="610"/>
      <c r="U175" s="610"/>
      <c r="V175" s="610"/>
      <c r="W175" s="610"/>
      <c r="X175" s="610"/>
      <c r="Y175" s="610"/>
      <c r="Z175" s="610"/>
      <c r="AA175" s="610"/>
    </row>
    <row r="176" spans="2:27" s="609" customFormat="1" ht="19.899999999999999" customHeight="1" x14ac:dyDescent="0.3">
      <c r="B176" s="642" t="s">
        <v>725</v>
      </c>
      <c r="C176" s="622">
        <v>1160342.3</v>
      </c>
      <c r="D176" s="622">
        <v>784904.39</v>
      </c>
      <c r="E176" s="622"/>
      <c r="F176" s="624">
        <v>3</v>
      </c>
      <c r="G176" s="622"/>
      <c r="H176" s="645"/>
      <c r="I176" s="1578"/>
      <c r="J176" s="1579"/>
      <c r="K176" s="1578"/>
      <c r="L176" s="628"/>
      <c r="M176" s="628"/>
      <c r="N176" s="629"/>
      <c r="O176" s="610"/>
      <c r="P176" s="610"/>
      <c r="Q176" s="610"/>
      <c r="R176" s="610"/>
      <c r="S176" s="610"/>
      <c r="T176" s="610"/>
      <c r="U176" s="610"/>
      <c r="V176" s="610"/>
      <c r="W176" s="610"/>
      <c r="X176" s="610"/>
      <c r="Y176" s="610"/>
      <c r="Z176" s="610"/>
      <c r="AA176" s="610"/>
    </row>
    <row r="177" spans="2:27" s="609" customFormat="1" ht="19.899999999999999" customHeight="1" x14ac:dyDescent="0.3">
      <c r="B177" s="642" t="s">
        <v>726</v>
      </c>
      <c r="C177" s="622">
        <v>1160486.3999999999</v>
      </c>
      <c r="D177" s="622">
        <v>784884.82</v>
      </c>
      <c r="E177" s="622"/>
      <c r="F177" s="624">
        <v>3</v>
      </c>
      <c r="G177" s="622"/>
      <c r="H177" s="645"/>
      <c r="I177" s="1578"/>
      <c r="J177" s="1579"/>
      <c r="K177" s="1578"/>
      <c r="L177" s="628"/>
      <c r="M177" s="628"/>
      <c r="N177" s="629"/>
      <c r="O177" s="610"/>
      <c r="P177" s="610"/>
      <c r="Q177" s="610"/>
      <c r="R177" s="610"/>
      <c r="S177" s="610"/>
      <c r="T177" s="610"/>
      <c r="U177" s="610"/>
      <c r="V177" s="610"/>
      <c r="W177" s="610"/>
      <c r="X177" s="610"/>
      <c r="Y177" s="610"/>
      <c r="Z177" s="610"/>
      <c r="AA177" s="610"/>
    </row>
    <row r="178" spans="2:27" s="609" customFormat="1" ht="19.899999999999999" customHeight="1" x14ac:dyDescent="0.3">
      <c r="B178" s="642" t="s">
        <v>728</v>
      </c>
      <c r="C178" s="622">
        <v>1160632.1000000001</v>
      </c>
      <c r="D178" s="622">
        <v>784675.39</v>
      </c>
      <c r="E178" s="622"/>
      <c r="F178" s="624">
        <v>3</v>
      </c>
      <c r="G178" s="622"/>
      <c r="H178" s="645"/>
      <c r="I178" s="1578"/>
      <c r="J178" s="1579"/>
      <c r="K178" s="1578"/>
      <c r="L178" s="628"/>
      <c r="M178" s="628"/>
      <c r="N178" s="629"/>
      <c r="O178" s="610"/>
      <c r="P178" s="610"/>
      <c r="Q178" s="610"/>
      <c r="R178" s="610"/>
      <c r="S178" s="610"/>
      <c r="T178" s="610"/>
      <c r="U178" s="610"/>
      <c r="V178" s="610"/>
      <c r="W178" s="610"/>
      <c r="X178" s="610"/>
      <c r="Y178" s="610"/>
      <c r="Z178" s="610"/>
      <c r="AA178" s="610"/>
    </row>
    <row r="179" spans="2:27" s="609" customFormat="1" ht="19.899999999999999" customHeight="1" x14ac:dyDescent="0.3">
      <c r="B179" s="642" t="s">
        <v>739</v>
      </c>
      <c r="C179" s="622">
        <v>1160282.1000000001</v>
      </c>
      <c r="D179" s="622">
        <v>784487.29</v>
      </c>
      <c r="E179" s="622"/>
      <c r="F179" s="624">
        <v>3</v>
      </c>
      <c r="G179" s="622"/>
      <c r="H179" s="645"/>
      <c r="I179" s="1578"/>
      <c r="J179" s="1579"/>
      <c r="K179" s="1578"/>
      <c r="L179" s="628"/>
      <c r="M179" s="628"/>
      <c r="N179" s="629"/>
      <c r="O179" s="610"/>
      <c r="P179" s="610"/>
      <c r="Q179" s="610"/>
      <c r="R179" s="610"/>
      <c r="S179" s="610"/>
      <c r="T179" s="610"/>
      <c r="U179" s="610"/>
      <c r="V179" s="610"/>
      <c r="W179" s="610"/>
      <c r="X179" s="610"/>
      <c r="Y179" s="610"/>
      <c r="Z179" s="610"/>
      <c r="AA179" s="610"/>
    </row>
    <row r="180" spans="2:27" s="609" customFormat="1" ht="19.899999999999999" customHeight="1" x14ac:dyDescent="0.3">
      <c r="B180" s="642" t="s">
        <v>746</v>
      </c>
      <c r="C180" s="622">
        <v>1160431.3999999999</v>
      </c>
      <c r="D180" s="622">
        <v>784731.53</v>
      </c>
      <c r="E180" s="622"/>
      <c r="F180" s="624">
        <v>3</v>
      </c>
      <c r="G180" s="622"/>
      <c r="H180" s="645"/>
      <c r="I180" s="1578"/>
      <c r="J180" s="1579"/>
      <c r="K180" s="1578"/>
      <c r="L180" s="628"/>
      <c r="M180" s="628"/>
      <c r="N180" s="629"/>
      <c r="O180" s="610"/>
      <c r="P180" s="610"/>
      <c r="Q180" s="610"/>
      <c r="R180" s="610"/>
      <c r="S180" s="610"/>
      <c r="T180" s="610"/>
      <c r="U180" s="610"/>
      <c r="V180" s="610"/>
      <c r="W180" s="610"/>
      <c r="X180" s="610"/>
      <c r="Y180" s="610"/>
      <c r="Z180" s="610"/>
      <c r="AA180" s="610"/>
    </row>
    <row r="181" spans="2:27" s="609" customFormat="1" ht="19.899999999999999" customHeight="1" x14ac:dyDescent="0.3">
      <c r="B181" s="627"/>
      <c r="C181" s="628"/>
      <c r="D181" s="628"/>
      <c r="E181" s="628"/>
      <c r="F181" s="628"/>
      <c r="G181" s="628"/>
      <c r="H181" s="628"/>
      <c r="I181" s="628"/>
      <c r="J181" s="628"/>
      <c r="K181" s="628"/>
      <c r="L181" s="628"/>
      <c r="M181" s="628"/>
      <c r="N181" s="629"/>
      <c r="O181" s="610"/>
      <c r="P181" s="610"/>
      <c r="Q181" s="610"/>
      <c r="R181" s="610"/>
      <c r="S181" s="610"/>
      <c r="T181" s="610"/>
      <c r="U181" s="610"/>
      <c r="V181" s="610"/>
      <c r="W181" s="610"/>
      <c r="X181" s="610"/>
      <c r="Y181" s="610"/>
      <c r="Z181" s="610"/>
      <c r="AA181" s="610"/>
    </row>
    <row r="182" spans="2:27" s="609" customFormat="1" ht="19.899999999999999" customHeight="1" x14ac:dyDescent="0.3">
      <c r="B182" s="551" t="s">
        <v>792</v>
      </c>
      <c r="C182" s="474" t="s">
        <v>696</v>
      </c>
      <c r="D182" s="628"/>
      <c r="E182" s="628"/>
      <c r="F182" s="628"/>
      <c r="G182" s="628"/>
      <c r="H182" s="628"/>
      <c r="I182" s="628"/>
      <c r="J182" s="628"/>
      <c r="K182" s="628"/>
      <c r="L182" s="628"/>
      <c r="M182" s="628"/>
      <c r="N182" s="629"/>
      <c r="O182" s="610"/>
      <c r="P182" s="610"/>
      <c r="Q182" s="610"/>
      <c r="R182" s="610"/>
      <c r="S182" s="610"/>
      <c r="T182" s="610"/>
      <c r="U182" s="610"/>
      <c r="V182" s="610"/>
      <c r="W182" s="610"/>
      <c r="X182" s="610"/>
      <c r="Y182" s="610"/>
      <c r="Z182" s="610"/>
      <c r="AA182" s="610"/>
    </row>
    <row r="183" spans="2:27" s="609" customFormat="1" ht="19.899999999999999" customHeight="1" x14ac:dyDescent="0.3">
      <c r="B183" s="643">
        <v>2</v>
      </c>
      <c r="C183" s="620">
        <f>COUNTIF($F$174:$F$180,B183)</f>
        <v>0</v>
      </c>
      <c r="D183" s="628"/>
      <c r="E183" s="628"/>
      <c r="F183" s="628"/>
      <c r="G183" s="628"/>
      <c r="H183" s="628"/>
      <c r="I183" s="628"/>
      <c r="J183" s="628"/>
      <c r="K183" s="628"/>
      <c r="L183" s="628"/>
      <c r="M183" s="628"/>
      <c r="N183" s="629"/>
      <c r="O183" s="610"/>
      <c r="P183" s="610"/>
      <c r="Q183" s="610"/>
      <c r="R183" s="610"/>
      <c r="S183" s="610"/>
      <c r="T183" s="610"/>
      <c r="U183" s="610"/>
      <c r="V183" s="610"/>
      <c r="W183" s="610"/>
      <c r="X183" s="610"/>
      <c r="Y183" s="610"/>
      <c r="Z183" s="610"/>
      <c r="AA183" s="610"/>
    </row>
    <row r="184" spans="2:27" s="609" customFormat="1" ht="19.899999999999999" customHeight="1" x14ac:dyDescent="0.3">
      <c r="B184" s="643">
        <v>3</v>
      </c>
      <c r="C184" s="620">
        <f>COUNTIF($F$174:$F$180,B184)</f>
        <v>7</v>
      </c>
      <c r="D184" s="628"/>
      <c r="E184" s="628"/>
      <c r="F184" s="628"/>
      <c r="G184" s="628"/>
      <c r="H184" s="628"/>
      <c r="I184" s="628"/>
      <c r="J184" s="628"/>
      <c r="K184" s="628"/>
      <c r="L184" s="628"/>
      <c r="M184" s="628"/>
      <c r="N184" s="629"/>
      <c r="O184" s="610"/>
      <c r="P184" s="610"/>
      <c r="Q184" s="610"/>
      <c r="R184" s="610"/>
      <c r="S184" s="610"/>
      <c r="T184" s="610"/>
      <c r="U184" s="610"/>
      <c r="V184" s="610"/>
      <c r="W184" s="610"/>
      <c r="X184" s="610"/>
      <c r="Y184" s="610"/>
      <c r="Z184" s="610"/>
      <c r="AA184" s="610"/>
    </row>
    <row r="185" spans="2:27" s="609" customFormat="1" ht="19.899999999999999" customHeight="1" x14ac:dyDescent="0.3">
      <c r="B185" s="643">
        <v>4</v>
      </c>
      <c r="C185" s="620">
        <f>COUNTIF($F$174:$F$180,B185)</f>
        <v>0</v>
      </c>
      <c r="D185" s="628"/>
      <c r="E185" s="628"/>
      <c r="F185" s="628"/>
      <c r="G185" s="628"/>
      <c r="H185" s="628"/>
      <c r="I185" s="628"/>
      <c r="J185" s="628"/>
      <c r="K185" s="628"/>
      <c r="L185" s="628"/>
      <c r="M185" s="628"/>
      <c r="N185" s="629"/>
      <c r="O185" s="610"/>
      <c r="P185" s="610"/>
      <c r="Q185" s="610"/>
      <c r="R185" s="610"/>
      <c r="S185" s="610"/>
      <c r="T185" s="610"/>
      <c r="U185" s="610"/>
      <c r="V185" s="610"/>
      <c r="W185" s="610"/>
      <c r="X185" s="610"/>
      <c r="Y185" s="610"/>
      <c r="Z185" s="610"/>
      <c r="AA185" s="610"/>
    </row>
    <row r="186" spans="2:27" s="609" customFormat="1" ht="19.899999999999999" customHeight="1" x14ac:dyDescent="0.3">
      <c r="B186" s="643">
        <v>6</v>
      </c>
      <c r="C186" s="620">
        <f>COUNTIF($F$174:$F$180,B186)</f>
        <v>0</v>
      </c>
      <c r="D186" s="628"/>
      <c r="E186" s="628"/>
      <c r="F186" s="628"/>
      <c r="G186" s="628"/>
      <c r="H186" s="628"/>
      <c r="I186" s="628"/>
      <c r="J186" s="628"/>
      <c r="K186" s="628"/>
      <c r="L186" s="628"/>
      <c r="M186" s="628"/>
      <c r="N186" s="629"/>
      <c r="O186" s="610"/>
      <c r="P186" s="610"/>
      <c r="Q186" s="610"/>
      <c r="R186" s="610"/>
      <c r="S186" s="610"/>
      <c r="T186" s="610"/>
      <c r="U186" s="610"/>
      <c r="V186" s="610"/>
      <c r="W186" s="610"/>
      <c r="X186" s="610"/>
      <c r="Y186" s="610"/>
      <c r="Z186" s="610"/>
      <c r="AA186" s="610"/>
    </row>
    <row r="187" spans="2:27" s="609" customFormat="1" ht="19.899999999999999" customHeight="1" x14ac:dyDescent="0.3">
      <c r="B187" s="627"/>
      <c r="C187" s="628"/>
      <c r="D187" s="628"/>
      <c r="E187" s="628"/>
      <c r="F187" s="628"/>
      <c r="G187" s="628"/>
      <c r="H187" s="628"/>
      <c r="I187" s="628"/>
      <c r="J187" s="628"/>
      <c r="K187" s="628"/>
      <c r="L187" s="628"/>
      <c r="M187" s="628"/>
      <c r="N187" s="629"/>
      <c r="O187" s="610"/>
      <c r="P187" s="610"/>
      <c r="Q187" s="610"/>
      <c r="R187" s="610"/>
      <c r="S187" s="610"/>
      <c r="T187" s="610"/>
      <c r="U187" s="610"/>
      <c r="V187" s="610"/>
      <c r="W187" s="610"/>
      <c r="X187" s="610"/>
      <c r="Y187" s="610"/>
      <c r="Z187" s="610"/>
      <c r="AA187" s="610"/>
    </row>
    <row r="188" spans="2:27" s="609" customFormat="1" ht="19.899999999999999" customHeight="1" x14ac:dyDescent="0.3">
      <c r="B188" s="1463" t="s">
        <v>797</v>
      </c>
      <c r="C188" s="1542"/>
      <c r="D188" s="1542"/>
      <c r="E188" s="1542"/>
      <c r="F188" s="1542"/>
      <c r="G188" s="1542"/>
      <c r="H188" s="1542"/>
      <c r="I188" s="1542"/>
      <c r="J188" s="634"/>
      <c r="K188" s="634"/>
      <c r="L188" s="628"/>
      <c r="M188" s="628"/>
      <c r="N188" s="629"/>
      <c r="O188" s="610"/>
      <c r="P188" s="610"/>
      <c r="Q188" s="610"/>
      <c r="R188" s="610"/>
      <c r="S188" s="610"/>
      <c r="T188" s="610"/>
      <c r="U188" s="610"/>
      <c r="V188" s="610"/>
      <c r="W188" s="610"/>
      <c r="X188" s="610"/>
      <c r="Y188" s="610"/>
      <c r="Z188" s="610"/>
      <c r="AA188" s="610"/>
    </row>
    <row r="189" spans="2:27" s="609" customFormat="1" ht="19.899999999999999" customHeight="1" x14ac:dyDescent="0.3">
      <c r="B189" s="1543"/>
      <c r="C189" s="1544"/>
      <c r="D189" s="1544"/>
      <c r="E189" s="1544"/>
      <c r="F189" s="1544"/>
      <c r="G189" s="1544"/>
      <c r="H189" s="1544"/>
      <c r="I189" s="1544"/>
      <c r="J189" s="634"/>
      <c r="K189" s="634"/>
      <c r="L189" s="628"/>
      <c r="M189" s="628"/>
      <c r="N189" s="629"/>
      <c r="O189" s="610"/>
      <c r="P189" s="610"/>
      <c r="Q189" s="610"/>
      <c r="R189" s="610"/>
      <c r="S189" s="610"/>
      <c r="T189" s="610"/>
      <c r="U189" s="610"/>
      <c r="V189" s="610"/>
      <c r="W189" s="610"/>
      <c r="X189" s="610"/>
      <c r="Y189" s="610"/>
      <c r="Z189" s="610"/>
      <c r="AA189" s="610"/>
    </row>
    <row r="190" spans="2:27" s="609" customFormat="1" ht="19.899999999999999" customHeight="1" x14ac:dyDescent="0.3">
      <c r="B190" s="627"/>
      <c r="C190" s="628"/>
      <c r="D190" s="628"/>
      <c r="E190" s="628"/>
      <c r="F190" s="628"/>
      <c r="G190" s="628"/>
      <c r="H190" s="628"/>
      <c r="I190" s="628"/>
      <c r="J190" s="628"/>
      <c r="K190" s="628"/>
      <c r="L190" s="628"/>
      <c r="M190" s="628"/>
      <c r="N190" s="629"/>
      <c r="O190" s="610"/>
      <c r="P190" s="610"/>
      <c r="Q190" s="610"/>
      <c r="R190" s="610"/>
      <c r="S190" s="610"/>
      <c r="T190" s="610"/>
      <c r="U190" s="610"/>
      <c r="V190" s="610"/>
      <c r="W190" s="610"/>
      <c r="X190" s="610"/>
      <c r="Y190" s="610"/>
      <c r="Z190" s="610"/>
      <c r="AA190" s="610"/>
    </row>
    <row r="191" spans="2:27" s="609" customFormat="1" ht="19.899999999999999" customHeight="1" x14ac:dyDescent="0.3">
      <c r="B191" s="641" t="s">
        <v>798</v>
      </c>
      <c r="C191" s="621" t="s">
        <v>792</v>
      </c>
      <c r="D191" s="621" t="s">
        <v>748</v>
      </c>
      <c r="E191" s="621" t="s">
        <v>749</v>
      </c>
      <c r="F191" s="621" t="s">
        <v>791</v>
      </c>
      <c r="G191" s="1577" t="s">
        <v>795</v>
      </c>
      <c r="H191" s="1542"/>
      <c r="I191" s="1554"/>
      <c r="J191" s="628"/>
      <c r="K191" s="628"/>
      <c r="L191" s="628"/>
      <c r="M191" s="628"/>
      <c r="N191" s="629"/>
      <c r="O191" s="610"/>
      <c r="P191" s="610"/>
      <c r="Q191" s="610"/>
      <c r="R191" s="610"/>
      <c r="S191" s="610"/>
      <c r="T191" s="610"/>
      <c r="U191" s="610"/>
      <c r="V191" s="610"/>
      <c r="W191" s="610"/>
      <c r="X191" s="610"/>
      <c r="Y191" s="610"/>
      <c r="Z191" s="610"/>
      <c r="AA191" s="610"/>
    </row>
    <row r="192" spans="2:27" s="609" customFormat="1" ht="19.899999999999999" customHeight="1" x14ac:dyDescent="0.3">
      <c r="B192" s="642" t="s">
        <v>732</v>
      </c>
      <c r="C192" s="624">
        <v>3</v>
      </c>
      <c r="D192" s="622">
        <v>1160048.8999999999</v>
      </c>
      <c r="E192" s="622">
        <v>784963.6</v>
      </c>
      <c r="F192" s="645"/>
      <c r="G192" s="1552"/>
      <c r="H192" s="1552"/>
      <c r="I192" s="1552"/>
      <c r="J192" s="628"/>
      <c r="K192" s="628"/>
      <c r="L192" s="628"/>
      <c r="M192" s="628"/>
      <c r="N192" s="629"/>
      <c r="O192" s="610"/>
      <c r="P192" s="610"/>
      <c r="Q192" s="610"/>
      <c r="R192" s="610"/>
      <c r="S192" s="610"/>
      <c r="T192" s="610"/>
      <c r="U192" s="610"/>
      <c r="V192" s="610"/>
      <c r="W192" s="610"/>
      <c r="X192" s="610"/>
      <c r="Y192" s="610"/>
      <c r="Z192" s="610"/>
      <c r="AA192" s="610"/>
    </row>
    <row r="193" spans="2:27" s="609" customFormat="1" ht="19.899999999999999" customHeight="1" x14ac:dyDescent="0.3">
      <c r="B193" s="642" t="s">
        <v>727</v>
      </c>
      <c r="C193" s="624">
        <v>3</v>
      </c>
      <c r="D193" s="622">
        <v>1160300.2</v>
      </c>
      <c r="E193" s="622">
        <v>784864.63</v>
      </c>
      <c r="F193" s="645"/>
      <c r="G193" s="1552"/>
      <c r="H193" s="1552"/>
      <c r="I193" s="1552"/>
      <c r="J193" s="628"/>
      <c r="K193" s="628"/>
      <c r="L193" s="628"/>
      <c r="M193" s="628"/>
      <c r="N193" s="629"/>
      <c r="O193" s="610"/>
      <c r="P193" s="610"/>
      <c r="Q193" s="610"/>
      <c r="R193" s="610"/>
      <c r="S193" s="610"/>
      <c r="T193" s="610"/>
      <c r="U193" s="610"/>
      <c r="V193" s="610"/>
      <c r="W193" s="610"/>
      <c r="X193" s="610"/>
      <c r="Y193" s="610"/>
      <c r="Z193" s="610"/>
      <c r="AA193" s="610"/>
    </row>
    <row r="194" spans="2:27" s="609" customFormat="1" ht="19.899999999999999" customHeight="1" x14ac:dyDescent="0.3">
      <c r="B194" s="642" t="s">
        <v>740</v>
      </c>
      <c r="C194" s="624">
        <v>3</v>
      </c>
      <c r="D194" s="622">
        <v>1160342.3</v>
      </c>
      <c r="E194" s="622">
        <v>784904.39</v>
      </c>
      <c r="F194" s="645"/>
      <c r="G194" s="1552"/>
      <c r="H194" s="1552"/>
      <c r="I194" s="1552"/>
      <c r="J194" s="628"/>
      <c r="K194" s="628"/>
      <c r="L194" s="628"/>
      <c r="M194" s="628"/>
      <c r="N194" s="629"/>
      <c r="O194" s="610"/>
      <c r="P194" s="610"/>
      <c r="Q194" s="610"/>
      <c r="R194" s="610"/>
      <c r="S194" s="610"/>
      <c r="T194" s="610"/>
      <c r="U194" s="610"/>
      <c r="V194" s="610"/>
      <c r="W194" s="610"/>
      <c r="X194" s="610"/>
      <c r="Y194" s="610"/>
      <c r="Z194" s="610"/>
      <c r="AA194" s="610"/>
    </row>
    <row r="195" spans="2:27" s="609" customFormat="1" ht="19.899999999999999" customHeight="1" x14ac:dyDescent="0.3">
      <c r="B195" s="642" t="s">
        <v>724</v>
      </c>
      <c r="C195" s="624">
        <v>3</v>
      </c>
      <c r="D195" s="622">
        <v>1160486.3999999999</v>
      </c>
      <c r="E195" s="622">
        <v>784884.82</v>
      </c>
      <c r="F195" s="645"/>
      <c r="G195" s="1552"/>
      <c r="H195" s="1552"/>
      <c r="I195" s="1552"/>
      <c r="J195" s="628"/>
      <c r="K195" s="628"/>
      <c r="L195" s="628"/>
      <c r="M195" s="628"/>
      <c r="N195" s="629"/>
      <c r="O195" s="610"/>
      <c r="P195" s="610"/>
      <c r="Q195" s="610"/>
      <c r="R195" s="610"/>
      <c r="S195" s="610"/>
      <c r="T195" s="610"/>
      <c r="U195" s="610"/>
      <c r="V195" s="610"/>
      <c r="W195" s="610"/>
      <c r="X195" s="610"/>
      <c r="Y195" s="610"/>
      <c r="Z195" s="610"/>
      <c r="AA195" s="610"/>
    </row>
    <row r="196" spans="2:27" s="609" customFormat="1" ht="19.899999999999999" customHeight="1" x14ac:dyDescent="0.3">
      <c r="B196" s="642" t="s">
        <v>733</v>
      </c>
      <c r="C196" s="624">
        <v>3</v>
      </c>
      <c r="D196" s="622">
        <v>1160632.1000000001</v>
      </c>
      <c r="E196" s="622">
        <v>784675.39</v>
      </c>
      <c r="F196" s="645"/>
      <c r="G196" s="1552"/>
      <c r="H196" s="1552"/>
      <c r="I196" s="1552"/>
      <c r="J196" s="628"/>
      <c r="K196" s="628"/>
      <c r="L196" s="628"/>
      <c r="M196" s="628"/>
      <c r="N196" s="629"/>
      <c r="O196" s="610"/>
      <c r="P196" s="610"/>
      <c r="Q196" s="610"/>
      <c r="R196" s="610"/>
      <c r="S196" s="610"/>
      <c r="T196" s="610"/>
      <c r="U196" s="610"/>
      <c r="V196" s="610"/>
      <c r="W196" s="610"/>
      <c r="X196" s="610"/>
      <c r="Y196" s="610"/>
      <c r="Z196" s="610"/>
      <c r="AA196" s="610"/>
    </row>
    <row r="197" spans="2:27" s="609" customFormat="1" ht="19.899999999999999" customHeight="1" x14ac:dyDescent="0.3">
      <c r="B197" s="642" t="s">
        <v>735</v>
      </c>
      <c r="C197" s="624">
        <v>3</v>
      </c>
      <c r="D197" s="622">
        <v>1160282.1000000001</v>
      </c>
      <c r="E197" s="622">
        <v>784487.29</v>
      </c>
      <c r="F197" s="645"/>
      <c r="G197" s="1552"/>
      <c r="H197" s="1552"/>
      <c r="I197" s="1552"/>
      <c r="J197" s="628"/>
      <c r="K197" s="628"/>
      <c r="L197" s="628"/>
      <c r="M197" s="628"/>
      <c r="N197" s="629"/>
      <c r="O197" s="610"/>
      <c r="P197" s="610"/>
      <c r="Q197" s="610"/>
      <c r="R197" s="610"/>
      <c r="S197" s="610"/>
      <c r="T197" s="610"/>
      <c r="U197" s="610"/>
      <c r="V197" s="610"/>
      <c r="W197" s="610"/>
      <c r="X197" s="610"/>
      <c r="Y197" s="610"/>
      <c r="Z197" s="610"/>
      <c r="AA197" s="610"/>
    </row>
    <row r="198" spans="2:27" s="609" customFormat="1" ht="19.899999999999999" customHeight="1" x14ac:dyDescent="0.3">
      <c r="B198" s="642" t="s">
        <v>731</v>
      </c>
      <c r="C198" s="624">
        <v>3</v>
      </c>
      <c r="D198" s="622">
        <v>1160431.3999999999</v>
      </c>
      <c r="E198" s="622">
        <v>784731.53</v>
      </c>
      <c r="F198" s="645"/>
      <c r="G198" s="1552"/>
      <c r="H198" s="1552"/>
      <c r="I198" s="1552"/>
      <c r="J198" s="628"/>
      <c r="K198" s="628"/>
      <c r="L198" s="628"/>
      <c r="M198" s="628"/>
      <c r="N198" s="629"/>
      <c r="O198" s="610"/>
      <c r="P198" s="610"/>
      <c r="Q198" s="610"/>
      <c r="R198" s="610"/>
      <c r="S198" s="610"/>
      <c r="T198" s="610"/>
      <c r="U198" s="610"/>
      <c r="V198" s="610"/>
      <c r="W198" s="610"/>
      <c r="X198" s="610"/>
      <c r="Y198" s="610"/>
      <c r="Z198" s="610"/>
      <c r="AA198" s="610"/>
    </row>
    <row r="199" spans="2:27" s="609" customFormat="1" ht="19.899999999999999" customHeight="1" x14ac:dyDescent="0.3">
      <c r="B199" s="642" t="s">
        <v>736</v>
      </c>
      <c r="C199" s="624">
        <v>3</v>
      </c>
      <c r="D199" s="622">
        <v>1160048.8999999999</v>
      </c>
      <c r="E199" s="622">
        <v>784963.6</v>
      </c>
      <c r="F199" s="645"/>
      <c r="G199" s="1552"/>
      <c r="H199" s="1552"/>
      <c r="I199" s="1552"/>
      <c r="J199" s="628"/>
      <c r="K199" s="628"/>
      <c r="L199" s="628"/>
      <c r="M199" s="628"/>
      <c r="N199" s="629"/>
      <c r="O199" s="610"/>
      <c r="P199" s="610"/>
      <c r="Q199" s="610"/>
      <c r="R199" s="610"/>
      <c r="S199" s="610"/>
      <c r="T199" s="610"/>
      <c r="U199" s="610"/>
      <c r="V199" s="610"/>
      <c r="W199" s="610"/>
      <c r="X199" s="610"/>
      <c r="Y199" s="610"/>
      <c r="Z199" s="610"/>
      <c r="AA199" s="610"/>
    </row>
    <row r="200" spans="2:27" s="609" customFormat="1" ht="19.899999999999999" customHeight="1" x14ac:dyDescent="0.3">
      <c r="B200" s="642" t="s">
        <v>734</v>
      </c>
      <c r="C200" s="624">
        <v>3</v>
      </c>
      <c r="D200" s="622">
        <v>1160300.2</v>
      </c>
      <c r="E200" s="622">
        <v>784864.63</v>
      </c>
      <c r="F200" s="645"/>
      <c r="G200" s="1552"/>
      <c r="H200" s="1552"/>
      <c r="I200" s="1552"/>
      <c r="J200" s="628"/>
      <c r="K200" s="628"/>
      <c r="L200" s="628"/>
      <c r="M200" s="628"/>
      <c r="N200" s="629"/>
      <c r="O200" s="610"/>
      <c r="P200" s="610"/>
      <c r="Q200" s="610"/>
      <c r="R200" s="610"/>
      <c r="S200" s="610"/>
      <c r="T200" s="610"/>
      <c r="U200" s="610"/>
      <c r="V200" s="610"/>
      <c r="W200" s="610"/>
      <c r="X200" s="610"/>
      <c r="Y200" s="610"/>
      <c r="Z200" s="610"/>
      <c r="AA200" s="610"/>
    </row>
    <row r="201" spans="2:27" s="609" customFormat="1" ht="19.899999999999999" customHeight="1" x14ac:dyDescent="0.3">
      <c r="B201" s="642" t="s">
        <v>737</v>
      </c>
      <c r="C201" s="624">
        <v>3</v>
      </c>
      <c r="D201" s="622">
        <v>1160342.3</v>
      </c>
      <c r="E201" s="622">
        <v>784904.39</v>
      </c>
      <c r="F201" s="645"/>
      <c r="G201" s="1552"/>
      <c r="H201" s="1552"/>
      <c r="I201" s="1552"/>
      <c r="J201" s="628"/>
      <c r="K201" s="628"/>
      <c r="L201" s="628"/>
      <c r="M201" s="628"/>
      <c r="N201" s="629"/>
      <c r="O201" s="610"/>
      <c r="P201" s="610"/>
      <c r="Q201" s="610"/>
      <c r="R201" s="610"/>
      <c r="S201" s="610"/>
      <c r="T201" s="610"/>
      <c r="U201" s="610"/>
      <c r="V201" s="610"/>
      <c r="W201" s="610"/>
      <c r="X201" s="610"/>
      <c r="Y201" s="610"/>
      <c r="Z201" s="610"/>
      <c r="AA201" s="610"/>
    </row>
    <row r="202" spans="2:27" s="609" customFormat="1" ht="19.899999999999999" customHeight="1" x14ac:dyDescent="0.3">
      <c r="B202" s="642" t="s">
        <v>729</v>
      </c>
      <c r="C202" s="624">
        <v>3</v>
      </c>
      <c r="D202" s="622">
        <v>1160486.3999999999</v>
      </c>
      <c r="E202" s="622">
        <v>784884.82</v>
      </c>
      <c r="F202" s="645"/>
      <c r="G202" s="1552"/>
      <c r="H202" s="1552"/>
      <c r="I202" s="1552"/>
      <c r="J202" s="628"/>
      <c r="K202" s="628"/>
      <c r="L202" s="628"/>
      <c r="M202" s="628"/>
      <c r="N202" s="629"/>
      <c r="O202" s="610"/>
      <c r="P202" s="610"/>
      <c r="Q202" s="610"/>
      <c r="R202" s="610"/>
      <c r="S202" s="610"/>
      <c r="T202" s="610"/>
      <c r="U202" s="610"/>
      <c r="V202" s="610"/>
      <c r="W202" s="610"/>
      <c r="X202" s="610"/>
      <c r="Y202" s="610"/>
      <c r="Z202" s="610"/>
      <c r="AA202" s="610"/>
    </row>
    <row r="203" spans="2:27" s="609" customFormat="1" ht="19.899999999999999" customHeight="1" x14ac:dyDescent="0.3">
      <c r="B203" s="642" t="s">
        <v>738</v>
      </c>
      <c r="C203" s="624">
        <v>3</v>
      </c>
      <c r="D203" s="622">
        <v>1160632.1000000001</v>
      </c>
      <c r="E203" s="622">
        <v>784675.39</v>
      </c>
      <c r="F203" s="645"/>
      <c r="G203" s="1552"/>
      <c r="H203" s="1552"/>
      <c r="I203" s="1552"/>
      <c r="J203" s="628"/>
      <c r="K203" s="628"/>
      <c r="L203" s="628"/>
      <c r="M203" s="628"/>
      <c r="N203" s="629"/>
      <c r="O203" s="610"/>
      <c r="P203" s="610"/>
      <c r="Q203" s="610"/>
      <c r="R203" s="610"/>
      <c r="S203" s="610"/>
      <c r="T203" s="610"/>
      <c r="U203" s="610"/>
      <c r="V203" s="610"/>
      <c r="W203" s="610"/>
      <c r="X203" s="610"/>
      <c r="Y203" s="610"/>
      <c r="Z203" s="610"/>
      <c r="AA203" s="610"/>
    </row>
    <row r="204" spans="2:27" s="609" customFormat="1" ht="19.899999999999999" customHeight="1" x14ac:dyDescent="0.3">
      <c r="B204" s="642" t="s">
        <v>744</v>
      </c>
      <c r="C204" s="624">
        <v>3</v>
      </c>
      <c r="D204" s="622">
        <v>1160282.1000000001</v>
      </c>
      <c r="E204" s="622">
        <v>784487.29</v>
      </c>
      <c r="F204" s="645"/>
      <c r="G204" s="1552"/>
      <c r="H204" s="1552"/>
      <c r="I204" s="1552"/>
      <c r="J204" s="628"/>
      <c r="K204" s="628"/>
      <c r="L204" s="628"/>
      <c r="M204" s="628"/>
      <c r="N204" s="629"/>
      <c r="O204" s="610"/>
      <c r="P204" s="610"/>
      <c r="Q204" s="610"/>
      <c r="R204" s="610"/>
      <c r="S204" s="610"/>
      <c r="T204" s="610"/>
      <c r="U204" s="610"/>
      <c r="V204" s="610"/>
      <c r="W204" s="610"/>
      <c r="X204" s="610"/>
      <c r="Y204" s="610"/>
      <c r="Z204" s="610"/>
      <c r="AA204" s="610"/>
    </row>
    <row r="205" spans="2:27" s="609" customFormat="1" ht="19.899999999999999" customHeight="1" x14ac:dyDescent="0.3">
      <c r="B205" s="642" t="s">
        <v>743</v>
      </c>
      <c r="C205" s="624">
        <v>3</v>
      </c>
      <c r="D205" s="622">
        <v>1160431.3999999999</v>
      </c>
      <c r="E205" s="622">
        <v>784731.53</v>
      </c>
      <c r="F205" s="645"/>
      <c r="G205" s="1552"/>
      <c r="H205" s="1552"/>
      <c r="I205" s="1552"/>
      <c r="J205" s="628"/>
      <c r="K205" s="628"/>
      <c r="L205" s="628"/>
      <c r="M205" s="628"/>
      <c r="N205" s="629"/>
      <c r="O205" s="610"/>
      <c r="P205" s="610"/>
      <c r="Q205" s="610"/>
      <c r="R205" s="610"/>
      <c r="S205" s="610"/>
      <c r="T205" s="610"/>
      <c r="U205" s="610"/>
      <c r="V205" s="610"/>
      <c r="W205" s="610"/>
      <c r="X205" s="610"/>
      <c r="Y205" s="610"/>
      <c r="Z205" s="610"/>
      <c r="AA205" s="610"/>
    </row>
    <row r="206" spans="2:27" s="609" customFormat="1" ht="19.899999999999999" customHeight="1" x14ac:dyDescent="0.3">
      <c r="B206" s="642" t="s">
        <v>742</v>
      </c>
      <c r="C206" s="624">
        <v>3</v>
      </c>
      <c r="D206" s="622">
        <v>1160048.8999999999</v>
      </c>
      <c r="E206" s="622">
        <v>784963.6</v>
      </c>
      <c r="F206" s="645"/>
      <c r="G206" s="1552"/>
      <c r="H206" s="1552"/>
      <c r="I206" s="1552"/>
      <c r="J206" s="628"/>
      <c r="K206" s="628"/>
      <c r="L206" s="628"/>
      <c r="M206" s="628"/>
      <c r="N206" s="629"/>
      <c r="O206" s="610"/>
      <c r="P206" s="610"/>
      <c r="Q206" s="610"/>
      <c r="R206" s="610"/>
      <c r="S206" s="610"/>
      <c r="T206" s="610"/>
      <c r="U206" s="610"/>
      <c r="V206" s="610"/>
      <c r="W206" s="610"/>
      <c r="X206" s="610"/>
      <c r="Y206" s="610"/>
      <c r="Z206" s="610"/>
      <c r="AA206" s="610"/>
    </row>
    <row r="207" spans="2:27" s="609" customFormat="1" ht="19.899999999999999" customHeight="1" x14ac:dyDescent="0.3">
      <c r="B207" s="642" t="s">
        <v>741</v>
      </c>
      <c r="C207" s="624">
        <v>3</v>
      </c>
      <c r="D207" s="622">
        <v>1160300.2</v>
      </c>
      <c r="E207" s="622">
        <v>784864.63</v>
      </c>
      <c r="F207" s="645"/>
      <c r="G207" s="1552"/>
      <c r="H207" s="1552"/>
      <c r="I207" s="1552"/>
      <c r="J207" s="628"/>
      <c r="K207" s="628"/>
      <c r="L207" s="628"/>
      <c r="M207" s="628"/>
      <c r="N207" s="629"/>
      <c r="O207" s="610"/>
      <c r="P207" s="610"/>
      <c r="Q207" s="610"/>
      <c r="R207" s="610"/>
      <c r="S207" s="610"/>
      <c r="T207" s="610"/>
      <c r="U207" s="610"/>
      <c r="V207" s="610"/>
      <c r="W207" s="610"/>
      <c r="X207" s="610"/>
      <c r="Y207" s="610"/>
      <c r="Z207" s="610"/>
      <c r="AA207" s="610"/>
    </row>
    <row r="208" spans="2:27" s="609" customFormat="1" ht="19.899999999999999" customHeight="1" x14ac:dyDescent="0.3">
      <c r="B208" s="642" t="s">
        <v>1968</v>
      </c>
      <c r="C208" s="624">
        <v>3</v>
      </c>
      <c r="D208" s="622">
        <v>1160342.3</v>
      </c>
      <c r="E208" s="622">
        <v>784904.39</v>
      </c>
      <c r="F208" s="645"/>
      <c r="G208" s="1552"/>
      <c r="H208" s="1552"/>
      <c r="I208" s="1552"/>
      <c r="J208" s="628"/>
      <c r="K208" s="628"/>
      <c r="L208" s="628"/>
      <c r="M208" s="628"/>
      <c r="N208" s="629"/>
      <c r="O208" s="610"/>
      <c r="P208" s="610"/>
      <c r="Q208" s="610"/>
      <c r="R208" s="610"/>
      <c r="S208" s="610"/>
      <c r="T208" s="610"/>
      <c r="U208" s="610"/>
      <c r="V208" s="610"/>
      <c r="W208" s="610"/>
      <c r="X208" s="610"/>
      <c r="Y208" s="610"/>
      <c r="Z208" s="610"/>
      <c r="AA208" s="610"/>
    </row>
    <row r="209" spans="2:27" s="609" customFormat="1" ht="19.899999999999999" customHeight="1" x14ac:dyDescent="0.3">
      <c r="B209" s="642" t="s">
        <v>1969</v>
      </c>
      <c r="C209" s="624">
        <v>3</v>
      </c>
      <c r="D209" s="622">
        <v>1160486.3999999999</v>
      </c>
      <c r="E209" s="622">
        <v>784884.82</v>
      </c>
      <c r="F209" s="645"/>
      <c r="G209" s="1552"/>
      <c r="H209" s="1552"/>
      <c r="I209" s="1552"/>
      <c r="J209" s="628"/>
      <c r="K209" s="628"/>
      <c r="L209" s="628"/>
      <c r="M209" s="628"/>
      <c r="N209" s="629"/>
      <c r="O209" s="610"/>
      <c r="P209" s="610"/>
      <c r="Q209" s="610"/>
      <c r="R209" s="610"/>
      <c r="S209" s="610"/>
      <c r="T209" s="610"/>
      <c r="U209" s="610"/>
      <c r="V209" s="610"/>
      <c r="W209" s="610"/>
      <c r="X209" s="610"/>
      <c r="Y209" s="610"/>
      <c r="Z209" s="610"/>
      <c r="AA209" s="610"/>
    </row>
    <row r="210" spans="2:27" s="609" customFormat="1" ht="19.899999999999999" customHeight="1" x14ac:dyDescent="0.3">
      <c r="B210" s="642" t="s">
        <v>1970</v>
      </c>
      <c r="C210" s="624">
        <v>3</v>
      </c>
      <c r="D210" s="622">
        <v>1160632.1000000001</v>
      </c>
      <c r="E210" s="622">
        <v>784675.39</v>
      </c>
      <c r="F210" s="645"/>
      <c r="G210" s="1552"/>
      <c r="H210" s="1552"/>
      <c r="I210" s="1552"/>
      <c r="J210" s="628"/>
      <c r="K210" s="628"/>
      <c r="L210" s="628"/>
      <c r="M210" s="628"/>
      <c r="N210" s="629"/>
      <c r="O210" s="610"/>
      <c r="P210" s="610"/>
      <c r="Q210" s="610"/>
      <c r="R210" s="610"/>
      <c r="S210" s="610"/>
      <c r="T210" s="610"/>
      <c r="U210" s="610"/>
      <c r="V210" s="610"/>
      <c r="W210" s="610"/>
      <c r="X210" s="610"/>
      <c r="Y210" s="610"/>
      <c r="Z210" s="610"/>
      <c r="AA210" s="610"/>
    </row>
    <row r="211" spans="2:27" s="609" customFormat="1" ht="19.899999999999999" customHeight="1" x14ac:dyDescent="0.3">
      <c r="B211" s="642" t="s">
        <v>1971</v>
      </c>
      <c r="C211" s="624">
        <v>3</v>
      </c>
      <c r="D211" s="622">
        <v>1160282.1000000001</v>
      </c>
      <c r="E211" s="622">
        <v>784487.29</v>
      </c>
      <c r="F211" s="645"/>
      <c r="G211" s="1552"/>
      <c r="H211" s="1552"/>
      <c r="I211" s="1552"/>
      <c r="J211" s="628"/>
      <c r="K211" s="628"/>
      <c r="L211" s="628"/>
      <c r="M211" s="628"/>
      <c r="N211" s="629"/>
      <c r="O211" s="610"/>
      <c r="P211" s="610"/>
      <c r="Q211" s="610"/>
      <c r="R211" s="610"/>
      <c r="S211" s="610"/>
      <c r="T211" s="610"/>
      <c r="U211" s="610"/>
      <c r="V211" s="610"/>
      <c r="W211" s="610"/>
      <c r="X211" s="610"/>
      <c r="Y211" s="610"/>
      <c r="Z211" s="610"/>
      <c r="AA211" s="610"/>
    </row>
    <row r="212" spans="2:27" s="609" customFormat="1" ht="19.899999999999999" customHeight="1" x14ac:dyDescent="0.3">
      <c r="B212" s="642" t="s">
        <v>1972</v>
      </c>
      <c r="C212" s="624">
        <v>3</v>
      </c>
      <c r="D212" s="622">
        <v>1160431.3999999999</v>
      </c>
      <c r="E212" s="622">
        <v>784731.53</v>
      </c>
      <c r="F212" s="645"/>
      <c r="G212" s="1552"/>
      <c r="H212" s="1552"/>
      <c r="I212" s="1552"/>
      <c r="J212" s="628"/>
      <c r="K212" s="628"/>
      <c r="L212" s="628"/>
      <c r="M212" s="628"/>
      <c r="N212" s="629"/>
      <c r="O212" s="610"/>
      <c r="P212" s="610"/>
      <c r="Q212" s="610"/>
      <c r="R212" s="610"/>
      <c r="S212" s="610"/>
      <c r="T212" s="610"/>
      <c r="U212" s="610"/>
      <c r="V212" s="610"/>
      <c r="W212" s="610"/>
      <c r="X212" s="610"/>
      <c r="Y212" s="610"/>
      <c r="Z212" s="610"/>
      <c r="AA212" s="610"/>
    </row>
    <row r="213" spans="2:27" s="609" customFormat="1" ht="19.899999999999999" customHeight="1" x14ac:dyDescent="0.3">
      <c r="B213" s="642" t="s">
        <v>1973</v>
      </c>
      <c r="C213" s="624">
        <v>3</v>
      </c>
      <c r="D213" s="622">
        <v>1160282.1000000001</v>
      </c>
      <c r="E213" s="622">
        <v>784487.29</v>
      </c>
      <c r="F213" s="645"/>
      <c r="G213" s="1552"/>
      <c r="H213" s="1552"/>
      <c r="I213" s="1552"/>
      <c r="J213" s="628"/>
      <c r="K213" s="628"/>
      <c r="L213" s="628"/>
      <c r="M213" s="628"/>
      <c r="N213" s="629"/>
      <c r="O213" s="610"/>
      <c r="P213" s="610"/>
      <c r="Q213" s="610"/>
      <c r="R213" s="610"/>
      <c r="S213" s="610"/>
      <c r="T213" s="610"/>
      <c r="U213" s="610"/>
      <c r="V213" s="610"/>
      <c r="W213" s="610"/>
      <c r="X213" s="610"/>
      <c r="Y213" s="610"/>
      <c r="Z213" s="610"/>
      <c r="AA213" s="610"/>
    </row>
    <row r="214" spans="2:27" s="609" customFormat="1" ht="19.899999999999999" customHeight="1" x14ac:dyDescent="0.3">
      <c r="B214" s="642" t="s">
        <v>1974</v>
      </c>
      <c r="C214" s="624">
        <v>3</v>
      </c>
      <c r="D214" s="622">
        <v>1160431.3999999999</v>
      </c>
      <c r="E214" s="622">
        <v>784731.53</v>
      </c>
      <c r="F214" s="645"/>
      <c r="G214" s="1552"/>
      <c r="H214" s="1552"/>
      <c r="I214" s="1552"/>
      <c r="J214" s="628"/>
      <c r="K214" s="628"/>
      <c r="L214" s="628"/>
      <c r="M214" s="628"/>
      <c r="N214" s="629"/>
      <c r="O214" s="610"/>
      <c r="P214" s="610"/>
      <c r="Q214" s="610"/>
      <c r="R214" s="610"/>
      <c r="S214" s="610"/>
      <c r="T214" s="610"/>
      <c r="U214" s="610"/>
      <c r="V214" s="610"/>
      <c r="W214" s="610"/>
      <c r="X214" s="610"/>
      <c r="Y214" s="610"/>
      <c r="Z214" s="610"/>
      <c r="AA214" s="610"/>
    </row>
    <row r="215" spans="2:27" s="609" customFormat="1" ht="19.899999999999999" customHeight="1" x14ac:dyDescent="0.3">
      <c r="B215" s="642" t="s">
        <v>1975</v>
      </c>
      <c r="C215" s="624">
        <v>3</v>
      </c>
      <c r="D215" s="622">
        <v>1160048.8999999999</v>
      </c>
      <c r="E215" s="622">
        <v>784963.6</v>
      </c>
      <c r="F215" s="645"/>
      <c r="G215" s="1552"/>
      <c r="H215" s="1552"/>
      <c r="I215" s="1552"/>
      <c r="J215" s="628"/>
      <c r="K215" s="628"/>
      <c r="L215" s="628"/>
      <c r="M215" s="628"/>
      <c r="N215" s="629"/>
      <c r="O215" s="610"/>
      <c r="P215" s="610"/>
      <c r="Q215" s="610"/>
      <c r="R215" s="610"/>
      <c r="S215" s="610"/>
      <c r="T215" s="610"/>
      <c r="U215" s="610"/>
      <c r="V215" s="610"/>
      <c r="W215" s="610"/>
      <c r="X215" s="610"/>
      <c r="Y215" s="610"/>
      <c r="Z215" s="610"/>
      <c r="AA215" s="610"/>
    </row>
    <row r="216" spans="2:27" s="609" customFormat="1" ht="19.899999999999999" customHeight="1" x14ac:dyDescent="0.3">
      <c r="B216" s="642" t="s">
        <v>1976</v>
      </c>
      <c r="C216" s="624">
        <v>12</v>
      </c>
      <c r="D216" s="622">
        <v>1159010.899</v>
      </c>
      <c r="E216" s="622">
        <v>785290.51899999997</v>
      </c>
      <c r="F216" s="645"/>
      <c r="G216" s="1552"/>
      <c r="H216" s="1552"/>
      <c r="I216" s="1552"/>
      <c r="J216" s="628"/>
      <c r="K216" s="628"/>
      <c r="L216" s="628"/>
      <c r="M216" s="628"/>
      <c r="N216" s="629"/>
      <c r="O216" s="610"/>
      <c r="P216" s="610"/>
      <c r="Q216" s="610"/>
      <c r="R216" s="610"/>
      <c r="S216" s="610"/>
      <c r="T216" s="610"/>
      <c r="U216" s="610"/>
      <c r="V216" s="610"/>
      <c r="W216" s="610"/>
      <c r="X216" s="610"/>
      <c r="Y216" s="610"/>
      <c r="Z216" s="610"/>
      <c r="AA216" s="610"/>
    </row>
    <row r="217" spans="2:27" s="609" customFormat="1" ht="19.899999999999999" customHeight="1" x14ac:dyDescent="0.3">
      <c r="B217" s="642" t="s">
        <v>1977</v>
      </c>
      <c r="C217" s="624">
        <v>12</v>
      </c>
      <c r="D217" s="622">
        <v>1159154.24</v>
      </c>
      <c r="E217" s="622">
        <v>785209.06</v>
      </c>
      <c r="F217" s="645"/>
      <c r="G217" s="1552"/>
      <c r="H217" s="1552"/>
      <c r="I217" s="1552"/>
      <c r="J217" s="628"/>
      <c r="K217" s="628"/>
      <c r="L217" s="628"/>
      <c r="M217" s="628"/>
      <c r="N217" s="629"/>
      <c r="O217" s="610"/>
      <c r="P217" s="610"/>
      <c r="Q217" s="610"/>
      <c r="R217" s="610"/>
      <c r="S217" s="610"/>
      <c r="T217" s="610"/>
      <c r="U217" s="610"/>
      <c r="V217" s="610"/>
      <c r="W217" s="610"/>
      <c r="X217" s="610"/>
      <c r="Y217" s="610"/>
      <c r="Z217" s="610"/>
      <c r="AA217" s="610"/>
    </row>
    <row r="218" spans="2:27" s="609" customFormat="1" ht="19.899999999999999" customHeight="1" x14ac:dyDescent="0.3">
      <c r="B218" s="642" t="s">
        <v>1978</v>
      </c>
      <c r="C218" s="624">
        <v>12</v>
      </c>
      <c r="D218" s="622">
        <v>1159688.919</v>
      </c>
      <c r="E218" s="622">
        <v>784500.18200000003</v>
      </c>
      <c r="F218" s="645"/>
      <c r="G218" s="1552"/>
      <c r="H218" s="1552"/>
      <c r="I218" s="1552"/>
      <c r="J218" s="628"/>
      <c r="K218" s="628"/>
      <c r="L218" s="628"/>
      <c r="M218" s="628"/>
      <c r="N218" s="629"/>
      <c r="O218" s="610"/>
      <c r="P218" s="610"/>
      <c r="Q218" s="610"/>
      <c r="R218" s="610"/>
      <c r="S218" s="610"/>
      <c r="T218" s="610"/>
      <c r="U218" s="610"/>
      <c r="V218" s="610"/>
      <c r="W218" s="610"/>
      <c r="X218" s="610"/>
      <c r="Y218" s="610"/>
      <c r="Z218" s="610"/>
      <c r="AA218" s="610"/>
    </row>
    <row r="219" spans="2:27" s="609" customFormat="1" ht="19.899999999999999" customHeight="1" x14ac:dyDescent="0.3">
      <c r="B219" s="646"/>
      <c r="C219" s="626"/>
      <c r="D219" s="647"/>
      <c r="E219" s="647"/>
      <c r="F219" s="647"/>
      <c r="G219" s="623"/>
      <c r="H219" s="623"/>
      <c r="I219" s="623"/>
      <c r="J219" s="628"/>
      <c r="K219" s="628"/>
      <c r="L219" s="628"/>
      <c r="M219" s="628"/>
      <c r="N219" s="629"/>
      <c r="O219" s="610"/>
      <c r="P219" s="610"/>
      <c r="Q219" s="610"/>
      <c r="R219" s="610"/>
      <c r="S219" s="610"/>
      <c r="T219" s="610"/>
      <c r="U219" s="610"/>
      <c r="V219" s="610"/>
      <c r="W219" s="610"/>
      <c r="X219" s="610"/>
      <c r="Y219" s="610"/>
      <c r="Z219" s="610"/>
      <c r="AA219" s="610"/>
    </row>
    <row r="220" spans="2:27" s="609" customFormat="1" ht="19.899999999999999" customHeight="1" x14ac:dyDescent="0.3">
      <c r="B220" s="551" t="s">
        <v>792</v>
      </c>
      <c r="C220" s="474" t="s">
        <v>696</v>
      </c>
      <c r="D220" s="628"/>
      <c r="E220" s="628"/>
      <c r="F220" s="628"/>
      <c r="G220" s="628"/>
      <c r="H220" s="628"/>
      <c r="I220" s="628"/>
      <c r="J220" s="628"/>
      <c r="K220" s="628"/>
      <c r="L220" s="628"/>
      <c r="M220" s="628"/>
      <c r="N220" s="629"/>
      <c r="O220" s="610"/>
      <c r="P220" s="610"/>
      <c r="Q220" s="610"/>
      <c r="R220" s="610"/>
      <c r="S220" s="610"/>
      <c r="T220" s="610"/>
      <c r="U220" s="610"/>
      <c r="V220" s="610"/>
      <c r="W220" s="610"/>
      <c r="X220" s="610"/>
      <c r="Y220" s="610"/>
      <c r="Z220" s="610"/>
      <c r="AA220" s="610"/>
    </row>
    <row r="221" spans="2:27" s="609" customFormat="1" ht="19.899999999999999" customHeight="1" x14ac:dyDescent="0.3">
      <c r="B221" s="643">
        <v>2</v>
      </c>
      <c r="C221" s="620">
        <f>COUNTIF($C$192:$C$207,B221)</f>
        <v>0</v>
      </c>
      <c r="D221" s="628"/>
      <c r="E221" s="628"/>
      <c r="F221" s="628"/>
      <c r="G221" s="628"/>
      <c r="H221" s="628"/>
      <c r="I221" s="628"/>
      <c r="J221" s="628"/>
      <c r="K221" s="628"/>
      <c r="L221" s="628"/>
      <c r="M221" s="628"/>
      <c r="N221" s="629"/>
      <c r="O221" s="610"/>
      <c r="P221" s="610"/>
      <c r="Q221" s="610"/>
      <c r="R221" s="610"/>
      <c r="S221" s="610"/>
      <c r="T221" s="610"/>
      <c r="U221" s="610"/>
      <c r="V221" s="610"/>
      <c r="W221" s="610"/>
      <c r="X221" s="610"/>
      <c r="Y221" s="610"/>
      <c r="Z221" s="610"/>
      <c r="AA221" s="610"/>
    </row>
    <row r="222" spans="2:27" s="609" customFormat="1" ht="19.899999999999999" customHeight="1" x14ac:dyDescent="0.3">
      <c r="B222" s="643">
        <v>3</v>
      </c>
      <c r="C222" s="620">
        <f>COUNTIF($C$192:$C$218,B222)</f>
        <v>24</v>
      </c>
      <c r="D222" s="628"/>
      <c r="E222" s="628"/>
      <c r="F222" s="628"/>
      <c r="G222" s="628"/>
      <c r="H222" s="628"/>
      <c r="I222" s="628"/>
      <c r="J222" s="628"/>
      <c r="K222" s="628"/>
      <c r="L222" s="628"/>
      <c r="M222" s="628"/>
      <c r="N222" s="629"/>
      <c r="O222" s="610"/>
      <c r="P222" s="610"/>
      <c r="Q222" s="610"/>
      <c r="R222" s="610"/>
      <c r="S222" s="610"/>
      <c r="T222" s="610"/>
      <c r="U222" s="610"/>
      <c r="V222" s="610"/>
      <c r="W222" s="610"/>
      <c r="X222" s="610"/>
      <c r="Y222" s="610"/>
      <c r="Z222" s="610"/>
      <c r="AA222" s="610"/>
    </row>
    <row r="223" spans="2:27" s="609" customFormat="1" ht="19.899999999999999" customHeight="1" x14ac:dyDescent="0.3">
      <c r="B223" s="643">
        <v>12</v>
      </c>
      <c r="C223" s="620">
        <f>COUNTIF($C$192:$C$218,B223)</f>
        <v>3</v>
      </c>
      <c r="D223" s="628"/>
      <c r="E223" s="628"/>
      <c r="F223" s="628"/>
      <c r="G223" s="628"/>
      <c r="H223" s="628"/>
      <c r="I223" s="628"/>
      <c r="J223" s="628"/>
      <c r="K223" s="628"/>
      <c r="L223" s="628"/>
      <c r="M223" s="628"/>
      <c r="N223" s="629"/>
      <c r="O223" s="610"/>
      <c r="P223" s="610"/>
      <c r="Q223" s="610"/>
      <c r="R223" s="610"/>
      <c r="S223" s="610"/>
      <c r="T223" s="610"/>
      <c r="U223" s="610"/>
      <c r="V223" s="610"/>
      <c r="W223" s="610"/>
      <c r="X223" s="610"/>
      <c r="Y223" s="610"/>
      <c r="Z223" s="610"/>
      <c r="AA223" s="610"/>
    </row>
    <row r="224" spans="2:27" ht="15.75" customHeight="1" x14ac:dyDescent="0.25">
      <c r="B224" s="463"/>
      <c r="C224" s="78"/>
      <c r="D224" s="78"/>
      <c r="E224" s="78"/>
      <c r="F224" s="78"/>
      <c r="G224" s="78"/>
      <c r="H224" s="78"/>
      <c r="I224" s="78"/>
      <c r="J224" s="78"/>
      <c r="K224" s="78"/>
      <c r="L224" s="78"/>
      <c r="M224" s="78"/>
      <c r="N224" s="340"/>
      <c r="O224" s="5"/>
      <c r="P224" s="5"/>
      <c r="Q224" s="5"/>
      <c r="R224" s="5"/>
      <c r="S224" s="5"/>
      <c r="T224" s="5"/>
      <c r="U224" s="5"/>
      <c r="V224" s="5"/>
      <c r="W224" s="5"/>
      <c r="X224" s="5"/>
      <c r="Y224" s="5"/>
      <c r="Z224" s="5"/>
      <c r="AA224" s="5"/>
    </row>
    <row r="225" spans="2:27" ht="15.75" customHeight="1" x14ac:dyDescent="0.25">
      <c r="B225" s="463"/>
      <c r="C225" s="78"/>
      <c r="D225" s="78"/>
      <c r="E225" s="78"/>
      <c r="F225" s="78"/>
      <c r="G225" s="78"/>
      <c r="H225" s="78"/>
      <c r="I225" s="78"/>
      <c r="J225" s="78"/>
      <c r="K225" s="78"/>
      <c r="L225" s="78"/>
      <c r="M225" s="78"/>
      <c r="N225" s="340"/>
      <c r="O225" s="5"/>
      <c r="P225" s="5"/>
      <c r="Q225" s="5"/>
      <c r="R225" s="5"/>
      <c r="S225" s="5"/>
      <c r="T225" s="5"/>
      <c r="U225" s="5"/>
      <c r="V225" s="5"/>
      <c r="W225" s="5"/>
      <c r="X225" s="5"/>
      <c r="Y225" s="5"/>
      <c r="Z225" s="5"/>
      <c r="AA225" s="5"/>
    </row>
    <row r="226" spans="2:27" ht="15.75" customHeight="1" x14ac:dyDescent="0.25">
      <c r="B226" s="463"/>
      <c r="C226" s="78"/>
      <c r="D226" s="78"/>
      <c r="E226" s="78"/>
      <c r="F226" s="78"/>
      <c r="G226" s="78"/>
      <c r="H226" s="78"/>
      <c r="I226" s="78"/>
      <c r="J226" s="78"/>
      <c r="K226" s="78"/>
      <c r="L226" s="78"/>
      <c r="M226" s="78"/>
      <c r="N226" s="340"/>
      <c r="O226" s="5"/>
      <c r="P226" s="5"/>
      <c r="Q226" s="5"/>
      <c r="R226" s="5"/>
      <c r="S226" s="5"/>
      <c r="T226" s="5"/>
      <c r="U226" s="5"/>
      <c r="V226" s="5"/>
      <c r="W226" s="5"/>
      <c r="X226" s="5"/>
      <c r="Y226" s="5"/>
      <c r="Z226" s="5"/>
      <c r="AA226" s="5"/>
    </row>
    <row r="227" spans="2:27" ht="15.75" customHeight="1" x14ac:dyDescent="0.25">
      <c r="B227" s="463"/>
      <c r="C227" s="78"/>
      <c r="D227" s="78"/>
      <c r="E227" s="78"/>
      <c r="F227" s="78"/>
      <c r="G227" s="78"/>
      <c r="H227" s="78"/>
      <c r="I227" s="78"/>
      <c r="J227" s="78"/>
      <c r="K227" s="78"/>
      <c r="L227" s="78"/>
      <c r="M227" s="78"/>
      <c r="N227" s="340"/>
      <c r="O227" s="5"/>
      <c r="P227" s="5"/>
      <c r="Q227" s="5"/>
      <c r="R227" s="5"/>
      <c r="S227" s="5"/>
      <c r="T227" s="5"/>
      <c r="U227" s="5"/>
      <c r="V227" s="5"/>
      <c r="W227" s="5"/>
      <c r="X227" s="5"/>
      <c r="Y227" s="5"/>
      <c r="Z227" s="5"/>
      <c r="AA227" s="5"/>
    </row>
    <row r="228" spans="2:27" ht="15.75" customHeight="1" x14ac:dyDescent="0.25">
      <c r="B228" s="463"/>
      <c r="C228" s="78"/>
      <c r="D228" s="78"/>
      <c r="E228" s="78"/>
      <c r="F228" s="78"/>
      <c r="G228" s="78"/>
      <c r="H228" s="78"/>
      <c r="I228" s="78"/>
      <c r="J228" s="78"/>
      <c r="K228" s="78"/>
      <c r="L228" s="78"/>
      <c r="M228" s="78"/>
      <c r="N228" s="340"/>
      <c r="O228" s="5"/>
      <c r="P228" s="5"/>
      <c r="Q228" s="5"/>
      <c r="R228" s="5"/>
      <c r="S228" s="5"/>
      <c r="T228" s="5"/>
      <c r="U228" s="5"/>
      <c r="V228" s="5"/>
      <c r="W228" s="5"/>
      <c r="X228" s="5"/>
      <c r="Y228" s="5"/>
      <c r="Z228" s="5"/>
      <c r="AA228" s="5"/>
    </row>
    <row r="229" spans="2:27" ht="15.75" customHeight="1" x14ac:dyDescent="0.25">
      <c r="B229" s="463"/>
      <c r="C229" s="78"/>
      <c r="D229" s="78"/>
      <c r="E229" s="78"/>
      <c r="F229" s="78"/>
      <c r="G229" s="78"/>
      <c r="H229" s="78"/>
      <c r="I229" s="78"/>
      <c r="J229" s="78"/>
      <c r="K229" s="78"/>
      <c r="L229" s="78"/>
      <c r="M229" s="78"/>
      <c r="N229" s="340"/>
      <c r="O229" s="5"/>
      <c r="P229" s="5"/>
      <c r="Q229" s="5"/>
      <c r="R229" s="5"/>
      <c r="S229" s="5"/>
      <c r="T229" s="5"/>
      <c r="U229" s="5"/>
      <c r="V229" s="5"/>
      <c r="W229" s="5"/>
      <c r="X229" s="5"/>
      <c r="Y229" s="5"/>
      <c r="Z229" s="5"/>
      <c r="AA229" s="5"/>
    </row>
    <row r="230" spans="2:27" ht="15.75" customHeight="1" x14ac:dyDescent="0.25">
      <c r="B230" s="463"/>
      <c r="C230" s="78"/>
      <c r="D230" s="78"/>
      <c r="E230" s="78"/>
      <c r="F230" s="78"/>
      <c r="G230" s="78"/>
      <c r="H230" s="78"/>
      <c r="I230" s="78"/>
      <c r="J230" s="78"/>
      <c r="K230" s="78"/>
      <c r="L230" s="78"/>
      <c r="M230" s="78"/>
      <c r="N230" s="340"/>
      <c r="O230" s="5"/>
      <c r="P230" s="5"/>
      <c r="Q230" s="5"/>
      <c r="R230" s="5"/>
      <c r="S230" s="5"/>
      <c r="T230" s="5"/>
      <c r="U230" s="5"/>
      <c r="V230" s="5"/>
      <c r="W230" s="5"/>
      <c r="X230" s="5"/>
      <c r="Y230" s="5"/>
      <c r="Z230" s="5"/>
      <c r="AA230" s="5"/>
    </row>
    <row r="231" spans="2:27" ht="15.75" customHeight="1" thickBot="1" x14ac:dyDescent="0.65">
      <c r="B231" s="463"/>
      <c r="C231" s="594"/>
      <c r="D231" s="594"/>
      <c r="E231" s="594"/>
      <c r="F231" s="594"/>
      <c r="G231" s="594"/>
      <c r="H231" s="594"/>
      <c r="I231" s="594"/>
      <c r="J231" s="594"/>
      <c r="K231" s="594"/>
      <c r="L231" s="594"/>
      <c r="M231" s="594"/>
      <c r="N231" s="648"/>
      <c r="O231" s="594"/>
      <c r="P231" s="594"/>
      <c r="Q231" s="594"/>
      <c r="R231" s="594"/>
      <c r="S231" s="5"/>
      <c r="T231" s="5"/>
      <c r="U231" s="5"/>
      <c r="V231" s="5"/>
      <c r="W231" s="5"/>
      <c r="X231" s="5"/>
      <c r="Y231" s="5"/>
      <c r="Z231" s="5"/>
      <c r="AA231" s="5"/>
    </row>
    <row r="232" spans="2:27" ht="27" customHeight="1" x14ac:dyDescent="0.25">
      <c r="B232" s="463"/>
      <c r="C232" s="1478" t="s">
        <v>1961</v>
      </c>
      <c r="D232" s="1478"/>
      <c r="E232" s="1478"/>
      <c r="F232" s="1478"/>
      <c r="G232" s="1478"/>
      <c r="H232" s="607"/>
      <c r="I232" s="1478" t="s">
        <v>1964</v>
      </c>
      <c r="J232" s="1478"/>
      <c r="K232" s="1478"/>
      <c r="L232" s="1478"/>
      <c r="M232" s="1478"/>
      <c r="N232" s="340"/>
      <c r="O232" s="5"/>
      <c r="P232" s="5"/>
      <c r="Q232" s="5"/>
      <c r="R232" s="5"/>
      <c r="S232" s="5"/>
      <c r="T232" s="5"/>
      <c r="U232" s="5"/>
      <c r="V232" s="5"/>
    </row>
    <row r="233" spans="2:27" ht="23.45" customHeight="1" x14ac:dyDescent="0.25">
      <c r="B233" s="463"/>
      <c r="C233" s="1479" t="s">
        <v>1962</v>
      </c>
      <c r="D233" s="1479"/>
      <c r="E233" s="1479"/>
      <c r="F233" s="1479"/>
      <c r="G233" s="1479"/>
      <c r="H233" s="863"/>
      <c r="I233" s="1479" t="s">
        <v>1965</v>
      </c>
      <c r="J233" s="1479"/>
      <c r="K233" s="1479"/>
      <c r="L233" s="1479"/>
      <c r="M233" s="1479"/>
      <c r="N233" s="340"/>
      <c r="O233" s="5"/>
      <c r="P233" s="5"/>
      <c r="Q233" s="5"/>
      <c r="R233" s="5"/>
      <c r="S233" s="5"/>
      <c r="T233" s="5"/>
      <c r="U233" s="5"/>
      <c r="V233" s="5"/>
    </row>
    <row r="234" spans="2:27" ht="27.6" customHeight="1" x14ac:dyDescent="0.25">
      <c r="B234" s="463"/>
      <c r="C234" s="1479" t="s">
        <v>1963</v>
      </c>
      <c r="D234" s="1479"/>
      <c r="E234" s="1479"/>
      <c r="F234" s="1479"/>
      <c r="G234" s="1479"/>
      <c r="H234" s="863"/>
      <c r="I234" s="1479" t="s">
        <v>1966</v>
      </c>
      <c r="J234" s="1479"/>
      <c r="K234" s="1479"/>
      <c r="L234" s="1479"/>
      <c r="M234" s="1479"/>
      <c r="N234" s="340"/>
      <c r="O234" s="5"/>
      <c r="P234" s="5"/>
      <c r="Q234" s="5"/>
      <c r="R234" s="5"/>
      <c r="S234" s="5"/>
      <c r="T234" s="5"/>
      <c r="U234" s="5"/>
      <c r="V234" s="5"/>
    </row>
    <row r="235" spans="2:27" ht="15.75" customHeight="1" thickBot="1" x14ac:dyDescent="0.3">
      <c r="B235" s="466"/>
      <c r="C235" s="467"/>
      <c r="D235" s="467"/>
      <c r="E235" s="467"/>
      <c r="F235" s="467"/>
      <c r="G235" s="467"/>
      <c r="H235" s="467"/>
      <c r="I235" s="467"/>
      <c r="J235" s="467"/>
      <c r="K235" s="467"/>
      <c r="L235" s="467"/>
      <c r="M235" s="467"/>
      <c r="N235" s="468"/>
      <c r="O235" s="5"/>
      <c r="P235" s="5"/>
      <c r="Q235" s="5"/>
      <c r="R235" s="5"/>
      <c r="S235" s="5"/>
      <c r="T235" s="5"/>
      <c r="U235" s="5"/>
      <c r="V235" s="5"/>
      <c r="W235" s="5"/>
      <c r="X235" s="5"/>
      <c r="Y235" s="5"/>
      <c r="Z235" s="5"/>
      <c r="AA235" s="5"/>
    </row>
    <row r="236" spans="2:27" ht="15.75" customHeight="1" x14ac:dyDescent="0.25">
      <c r="B236" s="5"/>
      <c r="C236" s="5"/>
      <c r="D236" s="5"/>
      <c r="E236" s="5"/>
      <c r="F236" s="5"/>
      <c r="G236" s="5"/>
      <c r="H236" s="5"/>
      <c r="I236" s="5"/>
      <c r="J236" s="5"/>
      <c r="K236" s="5"/>
      <c r="L236" s="5"/>
      <c r="M236" s="5"/>
      <c r="N236" s="5"/>
      <c r="O236" s="5"/>
      <c r="P236" s="5"/>
      <c r="Q236" s="5"/>
      <c r="R236" s="5"/>
      <c r="S236" s="5"/>
      <c r="T236" s="5"/>
      <c r="U236" s="5"/>
      <c r="V236" s="5"/>
      <c r="W236" s="5"/>
      <c r="X236" s="5"/>
      <c r="Y236" s="5"/>
      <c r="Z236" s="5"/>
      <c r="AA236" s="5"/>
    </row>
    <row r="237" spans="2:27" ht="15.75" customHeight="1" x14ac:dyDescent="0.25">
      <c r="B237" s="5"/>
      <c r="C237" s="5"/>
      <c r="D237" s="5"/>
      <c r="E237" s="5"/>
      <c r="F237" s="5"/>
      <c r="G237" s="5"/>
      <c r="H237" s="5"/>
      <c r="I237" s="5"/>
      <c r="J237" s="5"/>
      <c r="K237" s="5"/>
      <c r="L237" s="5"/>
      <c r="M237" s="5"/>
      <c r="N237" s="5"/>
      <c r="O237" s="5"/>
      <c r="P237" s="5"/>
      <c r="Q237" s="5"/>
      <c r="R237" s="5"/>
      <c r="S237" s="5"/>
      <c r="T237" s="5"/>
      <c r="U237" s="5"/>
      <c r="V237" s="5"/>
      <c r="W237" s="5"/>
      <c r="X237" s="5"/>
      <c r="Y237" s="5"/>
      <c r="Z237" s="5"/>
      <c r="AA237" s="5"/>
    </row>
    <row r="238" spans="2:27" ht="15.75" customHeight="1" x14ac:dyDescent="0.25">
      <c r="B238" s="5"/>
      <c r="C238" s="5"/>
      <c r="D238" s="5"/>
      <c r="E238" s="5"/>
      <c r="F238" s="5"/>
      <c r="G238" s="5"/>
      <c r="H238" s="5"/>
      <c r="I238" s="5"/>
      <c r="J238" s="5"/>
      <c r="K238" s="5"/>
      <c r="L238" s="5"/>
      <c r="M238" s="5"/>
      <c r="N238" s="5"/>
      <c r="O238" s="5"/>
      <c r="P238" s="5"/>
      <c r="Q238" s="5"/>
      <c r="R238" s="5"/>
      <c r="S238" s="5"/>
      <c r="T238" s="5"/>
      <c r="U238" s="5"/>
      <c r="V238" s="5"/>
      <c r="W238" s="5"/>
      <c r="X238" s="5"/>
      <c r="Y238" s="5"/>
      <c r="Z238" s="5"/>
      <c r="AA238" s="5"/>
    </row>
    <row r="239" spans="2:27" ht="15.75" customHeight="1" x14ac:dyDescent="0.25">
      <c r="B239" s="5"/>
      <c r="C239" s="5"/>
      <c r="D239" s="5"/>
      <c r="E239" s="5"/>
      <c r="F239" s="5"/>
      <c r="G239" s="5"/>
      <c r="H239" s="5"/>
      <c r="I239" s="5"/>
      <c r="J239" s="5"/>
      <c r="K239" s="5"/>
      <c r="L239" s="5"/>
      <c r="M239" s="5"/>
      <c r="N239" s="5"/>
      <c r="O239" s="5"/>
      <c r="P239" s="5"/>
      <c r="Q239" s="5"/>
      <c r="R239" s="5"/>
      <c r="S239" s="5"/>
      <c r="T239" s="5"/>
      <c r="U239" s="5"/>
      <c r="V239" s="5"/>
      <c r="W239" s="5"/>
      <c r="X239" s="5"/>
      <c r="Y239" s="5"/>
      <c r="Z239" s="5"/>
      <c r="AA239" s="5"/>
    </row>
    <row r="240" spans="2:27" ht="15.75" customHeight="1" x14ac:dyDescent="0.25">
      <c r="B240" s="5"/>
      <c r="C240" s="5"/>
      <c r="D240" s="5"/>
      <c r="E240" s="5"/>
      <c r="F240" s="5"/>
      <c r="G240" s="5"/>
      <c r="H240" s="5"/>
      <c r="I240" s="5"/>
      <c r="J240" s="5"/>
      <c r="K240" s="5"/>
      <c r="L240" s="5"/>
      <c r="M240" s="5"/>
      <c r="N240" s="5"/>
      <c r="O240" s="5"/>
      <c r="P240" s="5"/>
      <c r="Q240" s="5"/>
      <c r="R240" s="5"/>
      <c r="S240" s="5"/>
      <c r="T240" s="5"/>
      <c r="U240" s="5"/>
      <c r="V240" s="5"/>
      <c r="W240" s="5"/>
      <c r="X240" s="5"/>
      <c r="Y240" s="5"/>
      <c r="Z240" s="5"/>
      <c r="AA240" s="5"/>
    </row>
    <row r="241" spans="2:27" ht="15.75" customHeight="1" x14ac:dyDescent="0.25">
      <c r="B241" s="5"/>
      <c r="C241" s="5"/>
      <c r="D241" s="5"/>
      <c r="E241" s="5"/>
      <c r="F241" s="5"/>
      <c r="G241" s="5"/>
      <c r="H241" s="5"/>
      <c r="I241" s="5"/>
      <c r="J241" s="5"/>
      <c r="K241" s="5"/>
      <c r="L241" s="5"/>
      <c r="M241" s="5"/>
      <c r="N241" s="5"/>
      <c r="O241" s="5"/>
      <c r="P241" s="5"/>
      <c r="Q241" s="5"/>
      <c r="R241" s="5"/>
      <c r="S241" s="5"/>
      <c r="T241" s="5"/>
      <c r="U241" s="5"/>
      <c r="V241" s="5"/>
      <c r="W241" s="5"/>
      <c r="X241" s="5"/>
      <c r="Y241" s="5"/>
      <c r="Z241" s="5"/>
      <c r="AA241" s="5"/>
    </row>
    <row r="242" spans="2:27" ht="15.75" customHeight="1" x14ac:dyDescent="0.25">
      <c r="B242" s="5"/>
      <c r="C242" s="5"/>
      <c r="D242" s="5"/>
      <c r="E242" s="5"/>
      <c r="F242" s="5"/>
      <c r="G242" s="5"/>
      <c r="H242" s="5"/>
      <c r="I242" s="5"/>
      <c r="J242" s="5"/>
      <c r="K242" s="5"/>
      <c r="L242" s="5"/>
      <c r="M242" s="5"/>
      <c r="N242" s="5"/>
      <c r="O242" s="5"/>
      <c r="P242" s="5"/>
      <c r="Q242" s="5"/>
      <c r="R242" s="5"/>
      <c r="S242" s="5"/>
      <c r="T242" s="5"/>
      <c r="U242" s="5"/>
      <c r="V242" s="5"/>
      <c r="W242" s="5"/>
      <c r="X242" s="5"/>
      <c r="Y242" s="5"/>
      <c r="Z242" s="5"/>
      <c r="AA242" s="5"/>
    </row>
    <row r="243" spans="2:27" ht="15.75" customHeight="1" x14ac:dyDescent="0.25">
      <c r="B243" s="5"/>
      <c r="C243" s="5"/>
      <c r="D243" s="5"/>
      <c r="E243" s="5"/>
      <c r="F243" s="5"/>
      <c r="G243" s="5"/>
      <c r="H243" s="5"/>
      <c r="I243" s="5"/>
      <c r="J243" s="5"/>
      <c r="K243" s="5"/>
      <c r="L243" s="5"/>
      <c r="M243" s="5"/>
      <c r="N243" s="5"/>
      <c r="O243" s="5"/>
      <c r="P243" s="5"/>
      <c r="Q243" s="5"/>
      <c r="R243" s="5"/>
      <c r="S243" s="5"/>
      <c r="T243" s="5"/>
      <c r="U243" s="5"/>
      <c r="V243" s="5"/>
      <c r="W243" s="5"/>
      <c r="X243" s="5"/>
      <c r="Y243" s="5"/>
      <c r="Z243" s="5"/>
      <c r="AA243" s="5"/>
    </row>
    <row r="244" spans="2:27" ht="15.75" customHeight="1" x14ac:dyDescent="0.25">
      <c r="B244" s="5"/>
      <c r="C244" s="5"/>
      <c r="D244" s="5"/>
      <c r="E244" s="5"/>
      <c r="F244" s="5"/>
      <c r="G244" s="5"/>
      <c r="H244" s="5"/>
      <c r="I244" s="5"/>
      <c r="J244" s="5"/>
      <c r="K244" s="5"/>
      <c r="L244" s="5"/>
      <c r="M244" s="5"/>
      <c r="N244" s="5"/>
      <c r="O244" s="5"/>
      <c r="P244" s="5"/>
      <c r="Q244" s="5"/>
      <c r="R244" s="5"/>
      <c r="S244" s="5"/>
      <c r="T244" s="5"/>
      <c r="U244" s="5"/>
      <c r="V244" s="5"/>
      <c r="W244" s="5"/>
      <c r="X244" s="5"/>
      <c r="Y244" s="5"/>
      <c r="Z244" s="5"/>
      <c r="AA244" s="5"/>
    </row>
    <row r="245" spans="2:27" ht="15.75" customHeight="1" x14ac:dyDescent="0.25">
      <c r="B245" s="5"/>
      <c r="C245" s="5"/>
      <c r="D245" s="5"/>
      <c r="E245" s="5"/>
      <c r="F245" s="5"/>
      <c r="G245" s="5"/>
      <c r="H245" s="5"/>
      <c r="I245" s="5"/>
      <c r="J245" s="5"/>
      <c r="K245" s="5"/>
      <c r="L245" s="5"/>
      <c r="M245" s="5"/>
      <c r="N245" s="5"/>
      <c r="O245" s="5"/>
      <c r="P245" s="5"/>
      <c r="Q245" s="5"/>
      <c r="R245" s="5"/>
      <c r="S245" s="5"/>
      <c r="T245" s="5"/>
      <c r="U245" s="5"/>
      <c r="V245" s="5"/>
      <c r="W245" s="5"/>
      <c r="X245" s="5"/>
      <c r="Y245" s="5"/>
      <c r="Z245" s="5"/>
      <c r="AA245" s="5"/>
    </row>
    <row r="246" spans="2:27" ht="15.75" customHeight="1" x14ac:dyDescent="0.25">
      <c r="B246" s="5"/>
      <c r="C246" s="5"/>
      <c r="D246" s="5"/>
      <c r="E246" s="5"/>
      <c r="F246" s="5"/>
      <c r="G246" s="5"/>
      <c r="H246" s="5"/>
      <c r="I246" s="5"/>
      <c r="J246" s="5"/>
      <c r="K246" s="5"/>
      <c r="L246" s="5"/>
      <c r="M246" s="5"/>
      <c r="N246" s="5"/>
      <c r="O246" s="5"/>
      <c r="P246" s="5"/>
      <c r="Q246" s="5"/>
      <c r="R246" s="5"/>
      <c r="S246" s="5"/>
      <c r="T246" s="5"/>
      <c r="U246" s="5"/>
      <c r="V246" s="5"/>
      <c r="W246" s="5"/>
      <c r="X246" s="5"/>
      <c r="Y246" s="5"/>
      <c r="Z246" s="5"/>
      <c r="AA246" s="5"/>
    </row>
    <row r="247" spans="2:27" ht="15.75" customHeight="1" x14ac:dyDescent="0.25">
      <c r="B247" s="5"/>
      <c r="C247" s="5"/>
      <c r="D247" s="5"/>
      <c r="E247" s="5"/>
      <c r="F247" s="5"/>
      <c r="G247" s="5"/>
      <c r="H247" s="5"/>
      <c r="I247" s="5"/>
      <c r="J247" s="5"/>
      <c r="K247" s="5"/>
      <c r="L247" s="5"/>
      <c r="M247" s="5"/>
      <c r="N247" s="5"/>
      <c r="O247" s="5"/>
      <c r="P247" s="5"/>
      <c r="Q247" s="5"/>
      <c r="R247" s="5"/>
      <c r="S247" s="5"/>
      <c r="T247" s="5"/>
      <c r="U247" s="5"/>
      <c r="V247" s="5"/>
      <c r="W247" s="5"/>
      <c r="X247" s="5"/>
      <c r="Y247" s="5"/>
      <c r="Z247" s="5"/>
      <c r="AA247" s="5"/>
    </row>
    <row r="248" spans="2:27" ht="15.75" customHeight="1" x14ac:dyDescent="0.25">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row>
    <row r="249" spans="2:27" ht="15.75" customHeight="1" x14ac:dyDescent="0.25">
      <c r="B249" s="5"/>
      <c r="C249" s="5"/>
      <c r="D249" s="5"/>
      <c r="E249" s="5"/>
      <c r="F249" s="5"/>
      <c r="G249" s="5"/>
      <c r="H249" s="5"/>
      <c r="I249" s="5"/>
      <c r="J249" s="5"/>
      <c r="K249" s="5"/>
      <c r="L249" s="5"/>
      <c r="M249" s="5"/>
      <c r="N249" s="5"/>
      <c r="O249" s="5"/>
      <c r="P249" s="5"/>
      <c r="Q249" s="5"/>
      <c r="R249" s="5"/>
      <c r="S249" s="5"/>
      <c r="T249" s="5"/>
      <c r="U249" s="5"/>
      <c r="V249" s="5"/>
      <c r="W249" s="5"/>
      <c r="X249" s="5"/>
      <c r="Y249" s="5"/>
      <c r="Z249" s="5"/>
      <c r="AA249" s="5"/>
    </row>
    <row r="250" spans="2:27" ht="15.75" customHeight="1" x14ac:dyDescent="0.25">
      <c r="B250" s="5"/>
      <c r="C250" s="5"/>
      <c r="D250" s="5"/>
      <c r="E250" s="5"/>
      <c r="F250" s="5"/>
      <c r="G250" s="5"/>
      <c r="H250" s="5"/>
      <c r="I250" s="5"/>
      <c r="J250" s="5"/>
      <c r="K250" s="5"/>
      <c r="L250" s="5"/>
      <c r="M250" s="5"/>
      <c r="N250" s="5"/>
      <c r="O250" s="5"/>
      <c r="P250" s="5"/>
      <c r="Q250" s="5"/>
      <c r="R250" s="5"/>
      <c r="S250" s="5"/>
      <c r="T250" s="5"/>
      <c r="U250" s="5"/>
      <c r="V250" s="5"/>
      <c r="W250" s="5"/>
      <c r="X250" s="5"/>
      <c r="Y250" s="5"/>
      <c r="Z250" s="5"/>
      <c r="AA250" s="5"/>
    </row>
    <row r="251" spans="2:27" ht="15.75" customHeight="1" x14ac:dyDescent="0.25">
      <c r="B251" s="5"/>
      <c r="C251" s="5"/>
      <c r="D251" s="5"/>
      <c r="E251" s="5"/>
      <c r="F251" s="5"/>
      <c r="G251" s="5"/>
      <c r="H251" s="5"/>
      <c r="I251" s="5"/>
      <c r="J251" s="5"/>
      <c r="K251" s="5"/>
      <c r="L251" s="5"/>
      <c r="M251" s="5"/>
      <c r="N251" s="5"/>
      <c r="O251" s="5"/>
      <c r="P251" s="5"/>
      <c r="Q251" s="5"/>
      <c r="R251" s="5"/>
      <c r="S251" s="5"/>
      <c r="T251" s="5"/>
      <c r="U251" s="5"/>
      <c r="V251" s="5"/>
      <c r="W251" s="5"/>
      <c r="X251" s="5"/>
      <c r="Y251" s="5"/>
      <c r="Z251" s="5"/>
      <c r="AA251" s="5"/>
    </row>
    <row r="252" spans="2:27" ht="15.75" customHeight="1" x14ac:dyDescent="0.25">
      <c r="B252" s="5"/>
      <c r="C252" s="5"/>
      <c r="D252" s="5"/>
      <c r="E252" s="5"/>
      <c r="F252" s="5"/>
      <c r="G252" s="5"/>
      <c r="H252" s="5"/>
      <c r="I252" s="5"/>
      <c r="J252" s="5"/>
      <c r="K252" s="5"/>
      <c r="L252" s="5"/>
      <c r="M252" s="5"/>
      <c r="N252" s="5"/>
      <c r="O252" s="5"/>
      <c r="P252" s="5"/>
      <c r="Q252" s="5"/>
      <c r="R252" s="5"/>
      <c r="S252" s="5"/>
      <c r="T252" s="5"/>
      <c r="U252" s="5"/>
      <c r="V252" s="5"/>
      <c r="W252" s="5"/>
      <c r="X252" s="5"/>
      <c r="Y252" s="5"/>
      <c r="Z252" s="5"/>
      <c r="AA252" s="5"/>
    </row>
    <row r="253" spans="2:27" ht="15.75" customHeight="1" x14ac:dyDescent="0.25">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row>
    <row r="254" spans="2:27" ht="15.75" customHeight="1" x14ac:dyDescent="0.25">
      <c r="B254" s="5"/>
      <c r="C254" s="5"/>
      <c r="D254" s="5"/>
      <c r="E254" s="5"/>
      <c r="F254" s="5"/>
      <c r="G254" s="5"/>
      <c r="H254" s="5"/>
      <c r="I254" s="5"/>
      <c r="J254" s="5"/>
      <c r="K254" s="5"/>
      <c r="L254" s="5"/>
      <c r="M254" s="5"/>
      <c r="N254" s="5"/>
      <c r="O254" s="5"/>
      <c r="P254" s="5"/>
      <c r="Q254" s="5"/>
      <c r="R254" s="5"/>
      <c r="S254" s="5"/>
      <c r="T254" s="5"/>
      <c r="U254" s="5"/>
      <c r="V254" s="5"/>
      <c r="W254" s="5"/>
      <c r="X254" s="5"/>
      <c r="Y254" s="5"/>
      <c r="Z254" s="5"/>
      <c r="AA254" s="5"/>
    </row>
    <row r="255" spans="2:27" ht="15.75" customHeight="1" x14ac:dyDescent="0.25">
      <c r="B255" s="5"/>
      <c r="C255" s="5"/>
      <c r="D255" s="5"/>
      <c r="E255" s="5"/>
      <c r="F255" s="5"/>
      <c r="G255" s="5"/>
      <c r="H255" s="5"/>
      <c r="I255" s="5"/>
      <c r="J255" s="5"/>
      <c r="K255" s="5"/>
      <c r="L255" s="5"/>
      <c r="M255" s="5"/>
      <c r="N255" s="5"/>
      <c r="O255" s="5"/>
      <c r="P255" s="5"/>
      <c r="Q255" s="5"/>
      <c r="R255" s="5"/>
      <c r="S255" s="5"/>
      <c r="T255" s="5"/>
      <c r="U255" s="5"/>
      <c r="V255" s="5"/>
      <c r="W255" s="5"/>
      <c r="X255" s="5"/>
      <c r="Y255" s="5"/>
      <c r="Z255" s="5"/>
      <c r="AA255" s="5"/>
    </row>
    <row r="256" spans="2:27" ht="15.75" customHeight="1" x14ac:dyDescent="0.25">
      <c r="B256" s="5"/>
      <c r="C256" s="5"/>
      <c r="D256" s="5"/>
      <c r="E256" s="5"/>
      <c r="F256" s="5"/>
      <c r="G256" s="5"/>
      <c r="H256" s="5"/>
      <c r="I256" s="5"/>
      <c r="J256" s="5"/>
      <c r="K256" s="5"/>
      <c r="L256" s="5"/>
      <c r="M256" s="5"/>
      <c r="N256" s="5"/>
      <c r="O256" s="5"/>
      <c r="P256" s="5"/>
      <c r="Q256" s="5"/>
      <c r="R256" s="5"/>
      <c r="S256" s="5"/>
      <c r="T256" s="5"/>
      <c r="U256" s="5"/>
      <c r="V256" s="5"/>
      <c r="W256" s="5"/>
      <c r="X256" s="5"/>
      <c r="Y256" s="5"/>
      <c r="Z256" s="5"/>
      <c r="AA256" s="5"/>
    </row>
    <row r="257" spans="2:27" ht="15.75" customHeight="1" x14ac:dyDescent="0.25">
      <c r="B257" s="5"/>
      <c r="C257" s="5"/>
      <c r="D257" s="5"/>
      <c r="E257" s="5"/>
      <c r="F257" s="5"/>
      <c r="G257" s="5"/>
      <c r="H257" s="5"/>
      <c r="I257" s="5"/>
      <c r="J257" s="5"/>
      <c r="K257" s="5"/>
      <c r="L257" s="5"/>
      <c r="M257" s="5"/>
      <c r="N257" s="5"/>
      <c r="O257" s="5"/>
      <c r="P257" s="5"/>
      <c r="Q257" s="5"/>
      <c r="R257" s="5"/>
      <c r="S257" s="5"/>
      <c r="T257" s="5"/>
      <c r="U257" s="5"/>
      <c r="V257" s="5"/>
      <c r="W257" s="5"/>
      <c r="X257" s="5"/>
      <c r="Y257" s="5"/>
      <c r="Z257" s="5"/>
      <c r="AA257" s="5"/>
    </row>
    <row r="258" spans="2:27" ht="15.75" customHeight="1" x14ac:dyDescent="0.25">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row>
    <row r="259" spans="2:27" ht="15.75" customHeight="1" x14ac:dyDescent="0.25">
      <c r="B259" s="5"/>
      <c r="C259" s="5"/>
      <c r="D259" s="5"/>
      <c r="E259" s="5"/>
      <c r="F259" s="5"/>
      <c r="G259" s="5"/>
      <c r="H259" s="5"/>
      <c r="I259" s="5"/>
      <c r="J259" s="5"/>
      <c r="K259" s="5"/>
      <c r="L259" s="5"/>
      <c r="M259" s="5"/>
      <c r="N259" s="5"/>
      <c r="O259" s="5"/>
      <c r="P259" s="5"/>
      <c r="Q259" s="5"/>
      <c r="R259" s="5"/>
      <c r="S259" s="5"/>
      <c r="T259" s="5"/>
      <c r="U259" s="5"/>
      <c r="V259" s="5"/>
      <c r="W259" s="5"/>
      <c r="X259" s="5"/>
      <c r="Y259" s="5"/>
      <c r="Z259" s="5"/>
      <c r="AA259" s="5"/>
    </row>
    <row r="260" spans="2:27" ht="15.75" customHeight="1" x14ac:dyDescent="0.25">
      <c r="B260" s="5"/>
      <c r="C260" s="5"/>
      <c r="D260" s="5"/>
      <c r="E260" s="5"/>
      <c r="F260" s="5"/>
      <c r="G260" s="5"/>
      <c r="H260" s="5"/>
      <c r="I260" s="5"/>
      <c r="J260" s="5"/>
      <c r="K260" s="5"/>
      <c r="L260" s="5"/>
      <c r="M260" s="5"/>
      <c r="N260" s="5"/>
      <c r="O260" s="5"/>
      <c r="P260" s="5"/>
      <c r="Q260" s="5"/>
      <c r="R260" s="5"/>
      <c r="S260" s="5"/>
      <c r="T260" s="5"/>
      <c r="U260" s="5"/>
      <c r="V260" s="5"/>
      <c r="W260" s="5"/>
      <c r="X260" s="5"/>
      <c r="Y260" s="5"/>
      <c r="Z260" s="5"/>
      <c r="AA260" s="5"/>
    </row>
    <row r="261" spans="2:27" ht="15.75" customHeight="1" x14ac:dyDescent="0.25">
      <c r="B261" s="5"/>
      <c r="C261" s="5"/>
      <c r="D261" s="5"/>
      <c r="E261" s="5"/>
      <c r="F261" s="5"/>
      <c r="G261" s="5"/>
      <c r="H261" s="5"/>
      <c r="I261" s="5"/>
      <c r="J261" s="5"/>
      <c r="K261" s="5"/>
      <c r="L261" s="5"/>
      <c r="M261" s="5"/>
      <c r="N261" s="5"/>
      <c r="O261" s="5"/>
      <c r="P261" s="5"/>
      <c r="Q261" s="5"/>
      <c r="R261" s="5"/>
      <c r="S261" s="5"/>
      <c r="T261" s="5"/>
      <c r="U261" s="5"/>
      <c r="V261" s="5"/>
      <c r="W261" s="5"/>
      <c r="X261" s="5"/>
      <c r="Y261" s="5"/>
      <c r="Z261" s="5"/>
      <c r="AA261" s="5"/>
    </row>
    <row r="262" spans="2:27" ht="15.75" customHeight="1" x14ac:dyDescent="0.25">
      <c r="B262" s="5"/>
      <c r="C262" s="5"/>
      <c r="D262" s="5"/>
      <c r="E262" s="5"/>
      <c r="F262" s="5"/>
      <c r="G262" s="5"/>
      <c r="H262" s="5"/>
      <c r="I262" s="5"/>
      <c r="J262" s="5"/>
      <c r="K262" s="5"/>
      <c r="L262" s="5"/>
      <c r="M262" s="5"/>
      <c r="N262" s="5"/>
      <c r="O262" s="5"/>
      <c r="P262" s="5"/>
      <c r="Q262" s="5"/>
      <c r="R262" s="5"/>
      <c r="S262" s="5"/>
      <c r="T262" s="5"/>
      <c r="U262" s="5"/>
      <c r="V262" s="5"/>
      <c r="W262" s="5"/>
      <c r="X262" s="5"/>
      <c r="Y262" s="5"/>
      <c r="Z262" s="5"/>
      <c r="AA262" s="5"/>
    </row>
    <row r="263" spans="2:27" ht="15.75" customHeight="1" x14ac:dyDescent="0.25">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row>
    <row r="264" spans="2:27" ht="15.75" customHeight="1" x14ac:dyDescent="0.25">
      <c r="B264" s="5"/>
      <c r="C264" s="5"/>
      <c r="D264" s="5"/>
      <c r="E264" s="5"/>
      <c r="F264" s="5"/>
      <c r="G264" s="5"/>
      <c r="H264" s="5"/>
      <c r="I264" s="5"/>
      <c r="J264" s="5"/>
      <c r="K264" s="5"/>
      <c r="L264" s="5"/>
      <c r="M264" s="5"/>
      <c r="N264" s="5"/>
      <c r="O264" s="5"/>
      <c r="P264" s="5"/>
      <c r="Q264" s="5"/>
      <c r="R264" s="5"/>
      <c r="S264" s="5"/>
      <c r="T264" s="5"/>
      <c r="U264" s="5"/>
      <c r="V264" s="5"/>
      <c r="W264" s="5"/>
      <c r="X264" s="5"/>
      <c r="Y264" s="5"/>
      <c r="Z264" s="5"/>
      <c r="AA264" s="5"/>
    </row>
    <row r="265" spans="2:27" ht="15.75" customHeight="1" x14ac:dyDescent="0.25">
      <c r="B265" s="5"/>
      <c r="C265" s="5"/>
      <c r="D265" s="5"/>
      <c r="E265" s="5"/>
      <c r="F265" s="5"/>
      <c r="G265" s="5"/>
      <c r="H265" s="5"/>
      <c r="I265" s="5"/>
      <c r="J265" s="5"/>
      <c r="K265" s="5"/>
      <c r="L265" s="5"/>
      <c r="M265" s="5"/>
      <c r="N265" s="5"/>
      <c r="O265" s="5"/>
      <c r="P265" s="5"/>
      <c r="Q265" s="5"/>
      <c r="R265" s="5"/>
      <c r="S265" s="5"/>
      <c r="T265" s="5"/>
      <c r="U265" s="5"/>
      <c r="V265" s="5"/>
      <c r="W265" s="5"/>
      <c r="X265" s="5"/>
      <c r="Y265" s="5"/>
      <c r="Z265" s="5"/>
      <c r="AA265" s="5"/>
    </row>
    <row r="266" spans="2:27" ht="15.75" customHeight="1" x14ac:dyDescent="0.25">
      <c r="B266" s="5"/>
      <c r="C266" s="5"/>
      <c r="D266" s="5"/>
      <c r="E266" s="5"/>
      <c r="F266" s="5"/>
      <c r="G266" s="5"/>
      <c r="H266" s="5"/>
      <c r="I266" s="5"/>
      <c r="J266" s="5"/>
      <c r="K266" s="5"/>
      <c r="L266" s="5"/>
      <c r="M266" s="5"/>
      <c r="N266" s="5"/>
      <c r="O266" s="5"/>
      <c r="P266" s="5"/>
      <c r="Q266" s="5"/>
      <c r="R266" s="5"/>
      <c r="S266" s="5"/>
      <c r="T266" s="5"/>
      <c r="U266" s="5"/>
      <c r="V266" s="5"/>
      <c r="W266" s="5"/>
      <c r="X266" s="5"/>
      <c r="Y266" s="5"/>
      <c r="Z266" s="5"/>
      <c r="AA266" s="5"/>
    </row>
    <row r="267" spans="2:27" ht="15.75" customHeight="1" x14ac:dyDescent="0.25">
      <c r="B267" s="5"/>
      <c r="C267" s="5"/>
      <c r="D267" s="5"/>
      <c r="E267" s="5"/>
      <c r="F267" s="5"/>
      <c r="G267" s="5"/>
      <c r="H267" s="5"/>
      <c r="I267" s="5"/>
      <c r="J267" s="5"/>
      <c r="K267" s="5"/>
      <c r="L267" s="5"/>
      <c r="M267" s="5"/>
      <c r="N267" s="5"/>
      <c r="O267" s="5"/>
      <c r="P267" s="5"/>
      <c r="Q267" s="5"/>
      <c r="R267" s="5"/>
      <c r="S267" s="5"/>
      <c r="T267" s="5"/>
      <c r="U267" s="5"/>
      <c r="V267" s="5"/>
      <c r="W267" s="5"/>
      <c r="X267" s="5"/>
      <c r="Y267" s="5"/>
      <c r="Z267" s="5"/>
      <c r="AA267" s="5"/>
    </row>
    <row r="268" spans="2:27" ht="15.75" customHeight="1" x14ac:dyDescent="0.25">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row>
    <row r="269" spans="2:27" ht="15.75" customHeight="1" x14ac:dyDescent="0.25">
      <c r="B269" s="5"/>
      <c r="C269" s="5"/>
      <c r="D269" s="5"/>
      <c r="E269" s="5"/>
      <c r="F269" s="5"/>
      <c r="G269" s="5"/>
      <c r="H269" s="5"/>
      <c r="I269" s="5"/>
      <c r="J269" s="5"/>
      <c r="K269" s="5"/>
      <c r="L269" s="5"/>
      <c r="M269" s="5"/>
      <c r="N269" s="5"/>
      <c r="O269" s="5"/>
      <c r="P269" s="5"/>
      <c r="Q269" s="5"/>
      <c r="R269" s="5"/>
      <c r="S269" s="5"/>
      <c r="T269" s="5"/>
      <c r="U269" s="5"/>
      <c r="V269" s="5"/>
      <c r="W269" s="5"/>
      <c r="X269" s="5"/>
      <c r="Y269" s="5"/>
      <c r="Z269" s="5"/>
      <c r="AA269" s="5"/>
    </row>
    <row r="270" spans="2:27" ht="15.75" customHeight="1" x14ac:dyDescent="0.25">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row>
    <row r="271" spans="2:27" ht="15.75" customHeight="1" x14ac:dyDescent="0.25">
      <c r="B271" s="5"/>
      <c r="C271" s="5"/>
      <c r="D271" s="5"/>
      <c r="E271" s="5"/>
      <c r="F271" s="5"/>
      <c r="G271" s="5"/>
      <c r="H271" s="5"/>
      <c r="I271" s="5"/>
      <c r="J271" s="5"/>
      <c r="K271" s="5"/>
      <c r="L271" s="5"/>
      <c r="M271" s="5"/>
      <c r="N271" s="5"/>
      <c r="O271" s="5"/>
      <c r="P271" s="5"/>
      <c r="Q271" s="5"/>
      <c r="R271" s="5"/>
      <c r="S271" s="5"/>
      <c r="T271" s="5"/>
      <c r="U271" s="5"/>
      <c r="V271" s="5"/>
      <c r="W271" s="5"/>
      <c r="X271" s="5"/>
      <c r="Y271" s="5"/>
      <c r="Z271" s="5"/>
      <c r="AA271" s="5"/>
    </row>
    <row r="272" spans="2:27" ht="15.75" customHeight="1" x14ac:dyDescent="0.25">
      <c r="B272" s="5"/>
      <c r="C272" s="5"/>
      <c r="D272" s="5"/>
      <c r="E272" s="5"/>
      <c r="F272" s="5"/>
      <c r="G272" s="5"/>
      <c r="H272" s="5"/>
      <c r="I272" s="5"/>
      <c r="J272" s="5"/>
      <c r="K272" s="5"/>
      <c r="L272" s="5"/>
      <c r="M272" s="5"/>
      <c r="N272" s="5"/>
      <c r="O272" s="5"/>
      <c r="P272" s="5"/>
      <c r="Q272" s="5"/>
      <c r="R272" s="5"/>
      <c r="S272" s="5"/>
      <c r="T272" s="5"/>
      <c r="U272" s="5"/>
      <c r="V272" s="5"/>
      <c r="W272" s="5"/>
      <c r="X272" s="5"/>
      <c r="Y272" s="5"/>
      <c r="Z272" s="5"/>
      <c r="AA272" s="5"/>
    </row>
    <row r="273" spans="2:27" ht="15.75" customHeight="1" x14ac:dyDescent="0.25">
      <c r="B273" s="5"/>
      <c r="C273" s="5"/>
      <c r="D273" s="5"/>
      <c r="E273" s="5"/>
      <c r="F273" s="5"/>
      <c r="G273" s="5"/>
      <c r="H273" s="5"/>
      <c r="I273" s="5"/>
      <c r="J273" s="5"/>
      <c r="K273" s="5"/>
      <c r="L273" s="5"/>
      <c r="M273" s="5"/>
      <c r="N273" s="5"/>
      <c r="O273" s="5"/>
      <c r="P273" s="5"/>
      <c r="Q273" s="5"/>
      <c r="R273" s="5"/>
      <c r="S273" s="5"/>
      <c r="T273" s="5"/>
      <c r="U273" s="5"/>
      <c r="V273" s="5"/>
      <c r="W273" s="5"/>
      <c r="X273" s="5"/>
      <c r="Y273" s="5"/>
      <c r="Z273" s="5"/>
      <c r="AA273" s="5"/>
    </row>
    <row r="274" spans="2:27" ht="15.75" customHeight="1" x14ac:dyDescent="0.25">
      <c r="B274" s="5"/>
      <c r="C274" s="5"/>
      <c r="D274" s="5"/>
      <c r="E274" s="5"/>
      <c r="F274" s="5"/>
      <c r="G274" s="5"/>
      <c r="H274" s="5"/>
      <c r="I274" s="5"/>
      <c r="J274" s="5"/>
      <c r="K274" s="5"/>
      <c r="L274" s="5"/>
      <c r="M274" s="5"/>
      <c r="N274" s="5"/>
      <c r="O274" s="5"/>
      <c r="P274" s="5"/>
      <c r="Q274" s="5"/>
      <c r="R274" s="5"/>
      <c r="S274" s="5"/>
      <c r="T274" s="5"/>
      <c r="U274" s="5"/>
      <c r="V274" s="5"/>
      <c r="W274" s="5"/>
      <c r="X274" s="5"/>
      <c r="Y274" s="5"/>
      <c r="Z274" s="5"/>
      <c r="AA274" s="5"/>
    </row>
    <row r="275" spans="2:27" ht="15.75" customHeight="1" x14ac:dyDescent="0.25">
      <c r="B275" s="5"/>
      <c r="C275" s="5"/>
      <c r="D275" s="5"/>
      <c r="E275" s="5"/>
      <c r="F275" s="5"/>
      <c r="G275" s="5"/>
      <c r="H275" s="5"/>
      <c r="I275" s="5"/>
      <c r="J275" s="5"/>
      <c r="K275" s="5"/>
      <c r="L275" s="5"/>
      <c r="M275" s="5"/>
      <c r="N275" s="5"/>
      <c r="O275" s="5"/>
      <c r="P275" s="5"/>
      <c r="Q275" s="5"/>
      <c r="R275" s="5"/>
      <c r="S275" s="5"/>
      <c r="T275" s="5"/>
      <c r="U275" s="5"/>
      <c r="V275" s="5"/>
      <c r="W275" s="5"/>
      <c r="X275" s="5"/>
      <c r="Y275" s="5"/>
      <c r="Z275" s="5"/>
      <c r="AA275" s="5"/>
    </row>
    <row r="276" spans="2:27" ht="15.75" customHeight="1" x14ac:dyDescent="0.25">
      <c r="B276" s="5"/>
      <c r="C276" s="5"/>
      <c r="D276" s="5"/>
      <c r="E276" s="5"/>
      <c r="F276" s="5"/>
      <c r="G276" s="5"/>
      <c r="H276" s="5"/>
      <c r="I276" s="5"/>
      <c r="J276" s="5"/>
      <c r="K276" s="5"/>
      <c r="L276" s="5"/>
      <c r="M276" s="5"/>
      <c r="N276" s="5"/>
      <c r="O276" s="5"/>
      <c r="P276" s="5"/>
      <c r="Q276" s="5"/>
      <c r="R276" s="5"/>
      <c r="S276" s="5"/>
      <c r="T276" s="5"/>
      <c r="U276" s="5"/>
      <c r="V276" s="5"/>
      <c r="W276" s="5"/>
      <c r="X276" s="5"/>
      <c r="Y276" s="5"/>
      <c r="Z276" s="5"/>
      <c r="AA276" s="5"/>
    </row>
    <row r="277" spans="2:27" ht="15.75" customHeight="1" x14ac:dyDescent="0.25">
      <c r="B277" s="5"/>
      <c r="C277" s="5"/>
      <c r="D277" s="5"/>
      <c r="E277" s="5"/>
      <c r="F277" s="5"/>
      <c r="G277" s="5"/>
      <c r="H277" s="5"/>
      <c r="I277" s="5"/>
      <c r="J277" s="5"/>
      <c r="K277" s="5"/>
      <c r="L277" s="5"/>
      <c r="M277" s="5"/>
      <c r="N277" s="5"/>
      <c r="O277" s="5"/>
      <c r="P277" s="5"/>
      <c r="Q277" s="5"/>
      <c r="R277" s="5"/>
      <c r="S277" s="5"/>
      <c r="T277" s="5"/>
      <c r="U277" s="5"/>
      <c r="V277" s="5"/>
      <c r="W277" s="5"/>
      <c r="X277" s="5"/>
      <c r="Y277" s="5"/>
      <c r="Z277" s="5"/>
      <c r="AA277" s="5"/>
    </row>
    <row r="278" spans="2:27" ht="15.75" customHeight="1" x14ac:dyDescent="0.25">
      <c r="B278" s="5"/>
      <c r="C278" s="5"/>
      <c r="D278" s="5"/>
      <c r="E278" s="5"/>
      <c r="F278" s="5"/>
      <c r="G278" s="5"/>
      <c r="H278" s="5"/>
      <c r="I278" s="5"/>
      <c r="J278" s="5"/>
      <c r="K278" s="5"/>
      <c r="L278" s="5"/>
      <c r="M278" s="5"/>
      <c r="N278" s="5"/>
      <c r="O278" s="5"/>
      <c r="P278" s="5"/>
      <c r="Q278" s="5"/>
      <c r="R278" s="5"/>
      <c r="S278" s="5"/>
      <c r="T278" s="5"/>
      <c r="U278" s="5"/>
      <c r="V278" s="5"/>
      <c r="W278" s="5"/>
      <c r="X278" s="5"/>
      <c r="Y278" s="5"/>
      <c r="Z278" s="5"/>
      <c r="AA278" s="5"/>
    </row>
    <row r="279" spans="2:27" ht="15.75" customHeight="1" x14ac:dyDescent="0.25">
      <c r="B279" s="5"/>
      <c r="C279" s="5"/>
      <c r="D279" s="5"/>
      <c r="E279" s="5"/>
      <c r="F279" s="5"/>
      <c r="G279" s="5"/>
      <c r="H279" s="5"/>
      <c r="I279" s="5"/>
      <c r="J279" s="5"/>
      <c r="K279" s="5"/>
      <c r="L279" s="5"/>
      <c r="M279" s="5"/>
      <c r="N279" s="5"/>
      <c r="O279" s="5"/>
      <c r="P279" s="5"/>
      <c r="Q279" s="5"/>
      <c r="R279" s="5"/>
      <c r="S279" s="5"/>
      <c r="T279" s="5"/>
      <c r="U279" s="5"/>
      <c r="V279" s="5"/>
      <c r="W279" s="5"/>
      <c r="X279" s="5"/>
      <c r="Y279" s="5"/>
      <c r="Z279" s="5"/>
      <c r="AA279" s="5"/>
    </row>
    <row r="280" spans="2:27" ht="15.75" customHeight="1" x14ac:dyDescent="0.25">
      <c r="B280" s="5"/>
      <c r="C280" s="5"/>
      <c r="D280" s="5"/>
      <c r="E280" s="5"/>
      <c r="F280" s="5"/>
      <c r="G280" s="5"/>
      <c r="H280" s="5"/>
      <c r="I280" s="5"/>
      <c r="J280" s="5"/>
      <c r="K280" s="5"/>
      <c r="L280" s="5"/>
      <c r="M280" s="5"/>
      <c r="N280" s="5"/>
      <c r="O280" s="5"/>
      <c r="P280" s="5"/>
      <c r="Q280" s="5"/>
      <c r="R280" s="5"/>
      <c r="S280" s="5"/>
      <c r="T280" s="5"/>
      <c r="U280" s="5"/>
      <c r="V280" s="5"/>
      <c r="W280" s="5"/>
      <c r="X280" s="5"/>
      <c r="Y280" s="5"/>
      <c r="Z280" s="5"/>
      <c r="AA280" s="5"/>
    </row>
    <row r="281" spans="2:27" ht="15.75" customHeight="1" x14ac:dyDescent="0.25">
      <c r="B281" s="5"/>
      <c r="C281" s="5"/>
      <c r="D281" s="5"/>
      <c r="E281" s="5"/>
      <c r="F281" s="5"/>
      <c r="G281" s="5"/>
      <c r="H281" s="5"/>
      <c r="I281" s="5"/>
      <c r="J281" s="5"/>
      <c r="K281" s="5"/>
      <c r="L281" s="5"/>
      <c r="M281" s="5"/>
      <c r="N281" s="5"/>
      <c r="O281" s="5"/>
      <c r="P281" s="5"/>
      <c r="Q281" s="5"/>
      <c r="R281" s="5"/>
      <c r="S281" s="5"/>
      <c r="T281" s="5"/>
      <c r="U281" s="5"/>
      <c r="V281" s="5"/>
      <c r="W281" s="5"/>
      <c r="X281" s="5"/>
      <c r="Y281" s="5"/>
      <c r="Z281" s="5"/>
      <c r="AA281" s="5"/>
    </row>
    <row r="282" spans="2:27" ht="15.75" customHeight="1" x14ac:dyDescent="0.25">
      <c r="B282" s="5"/>
      <c r="C282" s="5"/>
      <c r="D282" s="5"/>
      <c r="E282" s="5"/>
      <c r="F282" s="5"/>
      <c r="G282" s="5"/>
      <c r="H282" s="5"/>
      <c r="I282" s="5"/>
      <c r="J282" s="5"/>
      <c r="K282" s="5"/>
      <c r="L282" s="5"/>
      <c r="M282" s="5"/>
      <c r="N282" s="5"/>
      <c r="O282" s="5"/>
      <c r="P282" s="5"/>
      <c r="Q282" s="5"/>
      <c r="R282" s="5"/>
      <c r="S282" s="5"/>
      <c r="T282" s="5"/>
      <c r="U282" s="5"/>
      <c r="V282" s="5"/>
      <c r="W282" s="5"/>
      <c r="X282" s="5"/>
      <c r="Y282" s="5"/>
      <c r="Z282" s="5"/>
      <c r="AA282" s="5"/>
    </row>
    <row r="283" spans="2:27" ht="15.75" customHeight="1" x14ac:dyDescent="0.25">
      <c r="B283" s="5"/>
      <c r="C283" s="5"/>
      <c r="D283" s="5"/>
      <c r="E283" s="5"/>
      <c r="F283" s="5"/>
      <c r="G283" s="5"/>
      <c r="H283" s="5"/>
      <c r="I283" s="5"/>
      <c r="J283" s="5"/>
      <c r="K283" s="5"/>
      <c r="L283" s="5"/>
      <c r="M283" s="5"/>
      <c r="N283" s="5"/>
      <c r="O283" s="5"/>
      <c r="P283" s="5"/>
      <c r="Q283" s="5"/>
      <c r="R283" s="5"/>
      <c r="S283" s="5"/>
      <c r="T283" s="5"/>
      <c r="U283" s="5"/>
      <c r="V283" s="5"/>
      <c r="W283" s="5"/>
      <c r="X283" s="5"/>
      <c r="Y283" s="5"/>
      <c r="Z283" s="5"/>
      <c r="AA283" s="5"/>
    </row>
    <row r="284" spans="2:27" ht="15.75" customHeight="1" x14ac:dyDescent="0.25">
      <c r="B284" s="5"/>
      <c r="C284" s="5"/>
      <c r="D284" s="5"/>
      <c r="E284" s="5"/>
      <c r="F284" s="5"/>
      <c r="G284" s="5"/>
      <c r="H284" s="5"/>
      <c r="I284" s="5"/>
      <c r="J284" s="5"/>
      <c r="K284" s="5"/>
      <c r="L284" s="5"/>
      <c r="M284" s="5"/>
      <c r="N284" s="5"/>
      <c r="O284" s="5"/>
      <c r="P284" s="5"/>
      <c r="Q284" s="5"/>
      <c r="R284" s="5"/>
      <c r="S284" s="5"/>
      <c r="T284" s="5"/>
      <c r="U284" s="5"/>
      <c r="V284" s="5"/>
      <c r="W284" s="5"/>
      <c r="X284" s="5"/>
      <c r="Y284" s="5"/>
      <c r="Z284" s="5"/>
      <c r="AA284" s="5"/>
    </row>
    <row r="285" spans="2:27" ht="15.75" customHeight="1" x14ac:dyDescent="0.25">
      <c r="B285" s="5"/>
      <c r="C285" s="5"/>
      <c r="D285" s="5"/>
      <c r="E285" s="5"/>
      <c r="F285" s="5"/>
      <c r="G285" s="5"/>
      <c r="H285" s="5"/>
      <c r="I285" s="5"/>
      <c r="J285" s="5"/>
      <c r="K285" s="5"/>
      <c r="L285" s="5"/>
      <c r="M285" s="5"/>
      <c r="N285" s="5"/>
      <c r="O285" s="5"/>
      <c r="P285" s="5"/>
      <c r="Q285" s="5"/>
      <c r="R285" s="5"/>
      <c r="S285" s="5"/>
      <c r="T285" s="5"/>
      <c r="U285" s="5"/>
      <c r="V285" s="5"/>
      <c r="W285" s="5"/>
      <c r="X285" s="5"/>
      <c r="Y285" s="5"/>
      <c r="Z285" s="5"/>
      <c r="AA285" s="5"/>
    </row>
    <row r="286" spans="2:27" ht="15.75" customHeight="1" x14ac:dyDescent="0.25">
      <c r="B286" s="5"/>
      <c r="C286" s="5"/>
      <c r="D286" s="5"/>
      <c r="E286" s="5"/>
      <c r="F286" s="5"/>
      <c r="G286" s="5"/>
      <c r="H286" s="5"/>
      <c r="I286" s="5"/>
      <c r="J286" s="5"/>
      <c r="K286" s="5"/>
      <c r="L286" s="5"/>
      <c r="M286" s="5"/>
      <c r="N286" s="5"/>
      <c r="O286" s="5"/>
      <c r="P286" s="5"/>
      <c r="Q286" s="5"/>
      <c r="R286" s="5"/>
      <c r="S286" s="5"/>
      <c r="T286" s="5"/>
      <c r="U286" s="5"/>
      <c r="V286" s="5"/>
      <c r="W286" s="5"/>
      <c r="X286" s="5"/>
      <c r="Y286" s="5"/>
      <c r="Z286" s="5"/>
      <c r="AA286" s="5"/>
    </row>
    <row r="287" spans="2:27" ht="15.75" customHeight="1" x14ac:dyDescent="0.25">
      <c r="B287" s="5"/>
      <c r="C287" s="5"/>
      <c r="D287" s="5"/>
      <c r="E287" s="5"/>
      <c r="F287" s="5"/>
      <c r="G287" s="5"/>
      <c r="H287" s="5"/>
      <c r="I287" s="5"/>
      <c r="J287" s="5"/>
      <c r="K287" s="5"/>
      <c r="L287" s="5"/>
      <c r="M287" s="5"/>
      <c r="N287" s="5"/>
      <c r="O287" s="5"/>
      <c r="P287" s="5"/>
      <c r="Q287" s="5"/>
      <c r="R287" s="5"/>
      <c r="S287" s="5"/>
      <c r="T287" s="5"/>
      <c r="U287" s="5"/>
      <c r="V287" s="5"/>
      <c r="W287" s="5"/>
      <c r="X287" s="5"/>
      <c r="Y287" s="5"/>
      <c r="Z287" s="5"/>
      <c r="AA287" s="5"/>
    </row>
    <row r="288" spans="2:27" ht="15.75" customHeight="1" x14ac:dyDescent="0.25">
      <c r="B288" s="5"/>
      <c r="C288" s="5"/>
      <c r="D288" s="5"/>
      <c r="E288" s="5"/>
      <c r="F288" s="5"/>
      <c r="G288" s="5"/>
      <c r="H288" s="5"/>
      <c r="I288" s="5"/>
      <c r="J288" s="5"/>
      <c r="K288" s="5"/>
      <c r="L288" s="5"/>
      <c r="M288" s="5"/>
      <c r="N288" s="5"/>
      <c r="O288" s="5"/>
      <c r="P288" s="5"/>
      <c r="Q288" s="5"/>
      <c r="R288" s="5"/>
      <c r="S288" s="5"/>
      <c r="T288" s="5"/>
      <c r="U288" s="5"/>
      <c r="V288" s="5"/>
      <c r="W288" s="5"/>
      <c r="X288" s="5"/>
      <c r="Y288" s="5"/>
      <c r="Z288" s="5"/>
      <c r="AA288" s="5"/>
    </row>
    <row r="289" spans="2:27" ht="15.75" customHeight="1" x14ac:dyDescent="0.25">
      <c r="B289" s="5"/>
      <c r="C289" s="5"/>
      <c r="D289" s="5"/>
      <c r="E289" s="5"/>
      <c r="F289" s="5"/>
      <c r="G289" s="5"/>
      <c r="H289" s="5"/>
      <c r="I289" s="5"/>
      <c r="J289" s="5"/>
      <c r="K289" s="5"/>
      <c r="L289" s="5"/>
      <c r="M289" s="5"/>
      <c r="N289" s="5"/>
      <c r="O289" s="5"/>
      <c r="P289" s="5"/>
      <c r="Q289" s="5"/>
      <c r="R289" s="5"/>
      <c r="S289" s="5"/>
      <c r="T289" s="5"/>
      <c r="U289" s="5"/>
      <c r="V289" s="5"/>
      <c r="W289" s="5"/>
      <c r="X289" s="5"/>
      <c r="Y289" s="5"/>
      <c r="Z289" s="5"/>
      <c r="AA289" s="5"/>
    </row>
    <row r="290" spans="2:27" ht="15.75" customHeight="1" x14ac:dyDescent="0.25">
      <c r="B290" s="5"/>
      <c r="C290" s="5"/>
      <c r="D290" s="5"/>
      <c r="E290" s="5"/>
      <c r="F290" s="5"/>
      <c r="G290" s="5"/>
      <c r="H290" s="5"/>
      <c r="I290" s="5"/>
      <c r="J290" s="5"/>
      <c r="K290" s="5"/>
      <c r="L290" s="5"/>
      <c r="M290" s="5"/>
      <c r="N290" s="5"/>
      <c r="O290" s="5"/>
      <c r="P290" s="5"/>
      <c r="Q290" s="5"/>
      <c r="R290" s="5"/>
      <c r="S290" s="5"/>
      <c r="T290" s="5"/>
      <c r="U290" s="5"/>
      <c r="V290" s="5"/>
      <c r="W290" s="5"/>
      <c r="X290" s="5"/>
      <c r="Y290" s="5"/>
      <c r="Z290" s="5"/>
      <c r="AA290" s="5"/>
    </row>
    <row r="291" spans="2:27" ht="15.75" customHeight="1" x14ac:dyDescent="0.25">
      <c r="B291" s="5"/>
      <c r="C291" s="5"/>
      <c r="D291" s="5"/>
      <c r="E291" s="5"/>
      <c r="F291" s="5"/>
      <c r="G291" s="5"/>
      <c r="H291" s="5"/>
      <c r="I291" s="5"/>
      <c r="J291" s="5"/>
      <c r="K291" s="5"/>
      <c r="L291" s="5"/>
      <c r="M291" s="5"/>
      <c r="N291" s="5"/>
      <c r="O291" s="5"/>
      <c r="P291" s="5"/>
      <c r="Q291" s="5"/>
      <c r="R291" s="5"/>
      <c r="S291" s="5"/>
      <c r="T291" s="5"/>
      <c r="U291" s="5"/>
      <c r="V291" s="5"/>
      <c r="W291" s="5"/>
      <c r="X291" s="5"/>
      <c r="Y291" s="5"/>
      <c r="Z291" s="5"/>
      <c r="AA291" s="5"/>
    </row>
    <row r="292" spans="2:27" ht="15.75" customHeight="1" x14ac:dyDescent="0.25">
      <c r="B292" s="5"/>
      <c r="C292" s="5"/>
      <c r="D292" s="5"/>
      <c r="E292" s="5"/>
      <c r="F292" s="5"/>
      <c r="G292" s="5"/>
      <c r="H292" s="5"/>
      <c r="I292" s="5"/>
      <c r="J292" s="5"/>
      <c r="K292" s="5"/>
      <c r="L292" s="5"/>
      <c r="M292" s="5"/>
      <c r="N292" s="5"/>
      <c r="O292" s="5"/>
      <c r="P292" s="5"/>
      <c r="Q292" s="5"/>
      <c r="R292" s="5"/>
      <c r="S292" s="5"/>
      <c r="T292" s="5"/>
      <c r="U292" s="5"/>
      <c r="V292" s="5"/>
      <c r="W292" s="5"/>
      <c r="X292" s="5"/>
      <c r="Y292" s="5"/>
      <c r="Z292" s="5"/>
      <c r="AA292" s="5"/>
    </row>
    <row r="293" spans="2:27" ht="15.75" customHeight="1" x14ac:dyDescent="0.25">
      <c r="B293" s="5"/>
      <c r="C293" s="5"/>
      <c r="D293" s="5"/>
      <c r="E293" s="5"/>
      <c r="F293" s="5"/>
      <c r="G293" s="5"/>
      <c r="H293" s="5"/>
      <c r="I293" s="5"/>
      <c r="J293" s="5"/>
      <c r="K293" s="5"/>
      <c r="L293" s="5"/>
      <c r="M293" s="5"/>
      <c r="N293" s="5"/>
      <c r="O293" s="5"/>
      <c r="P293" s="5"/>
      <c r="Q293" s="5"/>
      <c r="R293" s="5"/>
      <c r="S293" s="5"/>
      <c r="T293" s="5"/>
      <c r="U293" s="5"/>
      <c r="V293" s="5"/>
      <c r="W293" s="5"/>
      <c r="X293" s="5"/>
      <c r="Y293" s="5"/>
      <c r="Z293" s="5"/>
      <c r="AA293" s="5"/>
    </row>
    <row r="294" spans="2:27" ht="15.75" customHeight="1" x14ac:dyDescent="0.25">
      <c r="B294" s="5"/>
      <c r="C294" s="5"/>
      <c r="D294" s="5"/>
      <c r="E294" s="5"/>
      <c r="F294" s="5"/>
      <c r="G294" s="5"/>
      <c r="H294" s="5"/>
      <c r="I294" s="5"/>
      <c r="J294" s="5"/>
      <c r="K294" s="5"/>
      <c r="L294" s="5"/>
      <c r="M294" s="5"/>
      <c r="N294" s="5"/>
      <c r="O294" s="5"/>
      <c r="P294" s="5"/>
      <c r="Q294" s="5"/>
      <c r="R294" s="5"/>
      <c r="S294" s="5"/>
      <c r="T294" s="5"/>
      <c r="U294" s="5"/>
      <c r="V294" s="5"/>
      <c r="W294" s="5"/>
      <c r="X294" s="5"/>
      <c r="Y294" s="5"/>
      <c r="Z294" s="5"/>
      <c r="AA294" s="5"/>
    </row>
    <row r="295" spans="2:27" ht="15.75" customHeight="1" x14ac:dyDescent="0.25">
      <c r="B295" s="5"/>
      <c r="C295" s="5"/>
      <c r="D295" s="5"/>
      <c r="E295" s="5"/>
      <c r="F295" s="5"/>
      <c r="G295" s="5"/>
      <c r="H295" s="5"/>
      <c r="I295" s="5"/>
      <c r="J295" s="5"/>
      <c r="K295" s="5"/>
      <c r="L295" s="5"/>
      <c r="M295" s="5"/>
      <c r="N295" s="5"/>
      <c r="O295" s="5"/>
      <c r="P295" s="5"/>
      <c r="Q295" s="5"/>
      <c r="R295" s="5"/>
      <c r="S295" s="5"/>
      <c r="T295" s="5"/>
      <c r="U295" s="5"/>
      <c r="V295" s="5"/>
      <c r="W295" s="5"/>
      <c r="X295" s="5"/>
      <c r="Y295" s="5"/>
      <c r="Z295" s="5"/>
      <c r="AA295" s="5"/>
    </row>
    <row r="296" spans="2:27" ht="15.75" customHeight="1" x14ac:dyDescent="0.25">
      <c r="B296" s="5"/>
      <c r="C296" s="5"/>
      <c r="D296" s="5"/>
      <c r="E296" s="5"/>
      <c r="F296" s="5"/>
      <c r="G296" s="5"/>
      <c r="H296" s="5"/>
      <c r="I296" s="5"/>
      <c r="J296" s="5"/>
      <c r="K296" s="5"/>
      <c r="L296" s="5"/>
      <c r="M296" s="5"/>
      <c r="N296" s="5"/>
      <c r="O296" s="5"/>
      <c r="P296" s="5"/>
      <c r="Q296" s="5"/>
      <c r="R296" s="5"/>
      <c r="S296" s="5"/>
      <c r="T296" s="5"/>
      <c r="U296" s="5"/>
      <c r="V296" s="5"/>
      <c r="W296" s="5"/>
      <c r="X296" s="5"/>
      <c r="Y296" s="5"/>
      <c r="Z296" s="5"/>
      <c r="AA296" s="5"/>
    </row>
    <row r="297" spans="2:27" ht="15.75" customHeight="1" x14ac:dyDescent="0.25">
      <c r="B297" s="5"/>
      <c r="C297" s="5"/>
      <c r="D297" s="5"/>
      <c r="E297" s="5"/>
      <c r="F297" s="5"/>
      <c r="G297" s="5"/>
      <c r="H297" s="5"/>
      <c r="I297" s="5"/>
      <c r="J297" s="5"/>
      <c r="K297" s="5"/>
      <c r="L297" s="5"/>
      <c r="M297" s="5"/>
      <c r="N297" s="5"/>
      <c r="O297" s="5"/>
      <c r="P297" s="5"/>
      <c r="Q297" s="5"/>
      <c r="R297" s="5"/>
      <c r="S297" s="5"/>
      <c r="T297" s="5"/>
      <c r="U297" s="5"/>
      <c r="V297" s="5"/>
      <c r="W297" s="5"/>
      <c r="X297" s="5"/>
      <c r="Y297" s="5"/>
      <c r="Z297" s="5"/>
      <c r="AA297" s="5"/>
    </row>
    <row r="298" spans="2:27" ht="15.75" customHeight="1" x14ac:dyDescent="0.25">
      <c r="B298" s="5"/>
      <c r="C298" s="5"/>
      <c r="D298" s="5"/>
      <c r="E298" s="5"/>
      <c r="F298" s="5"/>
      <c r="G298" s="5"/>
      <c r="H298" s="5"/>
      <c r="I298" s="5"/>
      <c r="J298" s="5"/>
      <c r="K298" s="5"/>
      <c r="L298" s="5"/>
      <c r="M298" s="5"/>
      <c r="N298" s="5"/>
      <c r="O298" s="5"/>
      <c r="P298" s="5"/>
      <c r="Q298" s="5"/>
      <c r="R298" s="5"/>
      <c r="S298" s="5"/>
      <c r="T298" s="5"/>
      <c r="U298" s="5"/>
      <c r="V298" s="5"/>
      <c r="W298" s="5"/>
      <c r="X298" s="5"/>
      <c r="Y298" s="5"/>
      <c r="Z298" s="5"/>
      <c r="AA298" s="5"/>
    </row>
    <row r="299" spans="2:27" ht="15.75" customHeight="1" x14ac:dyDescent="0.25">
      <c r="B299" s="5"/>
      <c r="C299" s="5"/>
      <c r="D299" s="5"/>
      <c r="E299" s="5"/>
      <c r="F299" s="5"/>
      <c r="G299" s="5"/>
      <c r="H299" s="5"/>
      <c r="I299" s="5"/>
      <c r="J299" s="5"/>
      <c r="K299" s="5"/>
      <c r="L299" s="5"/>
      <c r="M299" s="5"/>
      <c r="N299" s="5"/>
      <c r="O299" s="5"/>
      <c r="P299" s="5"/>
      <c r="Q299" s="5"/>
      <c r="R299" s="5"/>
      <c r="S299" s="5"/>
      <c r="T299" s="5"/>
      <c r="U299" s="5"/>
      <c r="V299" s="5"/>
      <c r="W299" s="5"/>
      <c r="X299" s="5"/>
      <c r="Y299" s="5"/>
      <c r="Z299" s="5"/>
      <c r="AA299" s="5"/>
    </row>
    <row r="300" spans="2:27" ht="15.75" customHeight="1" x14ac:dyDescent="0.25">
      <c r="B300" s="5"/>
      <c r="C300" s="5"/>
      <c r="D300" s="5"/>
      <c r="E300" s="5"/>
      <c r="F300" s="5"/>
      <c r="G300" s="5"/>
      <c r="H300" s="5"/>
      <c r="I300" s="5"/>
      <c r="J300" s="5"/>
      <c r="K300" s="5"/>
      <c r="L300" s="5"/>
      <c r="M300" s="5"/>
      <c r="N300" s="5"/>
      <c r="O300" s="5"/>
      <c r="P300" s="5"/>
      <c r="Q300" s="5"/>
      <c r="R300" s="5"/>
      <c r="S300" s="5"/>
      <c r="T300" s="5"/>
      <c r="U300" s="5"/>
      <c r="V300" s="5"/>
      <c r="W300" s="5"/>
      <c r="X300" s="5"/>
      <c r="Y300" s="5"/>
      <c r="Z300" s="5"/>
      <c r="AA300" s="5"/>
    </row>
    <row r="301" spans="2:27" ht="15.75" customHeight="1" x14ac:dyDescent="0.25">
      <c r="B301" s="5"/>
      <c r="C301" s="5"/>
      <c r="D301" s="5"/>
      <c r="E301" s="5"/>
      <c r="F301" s="5"/>
      <c r="G301" s="5"/>
      <c r="H301" s="5"/>
      <c r="I301" s="5"/>
      <c r="J301" s="5"/>
      <c r="K301" s="5"/>
      <c r="L301" s="5"/>
      <c r="M301" s="5"/>
      <c r="N301" s="5"/>
      <c r="O301" s="5"/>
      <c r="P301" s="5"/>
      <c r="Q301" s="5"/>
      <c r="R301" s="5"/>
      <c r="S301" s="5"/>
      <c r="T301" s="5"/>
      <c r="U301" s="5"/>
      <c r="V301" s="5"/>
      <c r="W301" s="5"/>
      <c r="X301" s="5"/>
      <c r="Y301" s="5"/>
      <c r="Z301" s="5"/>
      <c r="AA301" s="5"/>
    </row>
    <row r="302" spans="2:27" ht="15.75" customHeight="1" x14ac:dyDescent="0.25">
      <c r="B302" s="5"/>
      <c r="C302" s="5"/>
      <c r="D302" s="5"/>
      <c r="E302" s="5"/>
      <c r="F302" s="5"/>
      <c r="G302" s="5"/>
      <c r="H302" s="5"/>
      <c r="I302" s="5"/>
      <c r="J302" s="5"/>
      <c r="K302" s="5"/>
      <c r="L302" s="5"/>
      <c r="M302" s="5"/>
      <c r="N302" s="5"/>
      <c r="O302" s="5"/>
      <c r="P302" s="5"/>
      <c r="Q302" s="5"/>
      <c r="R302" s="5"/>
      <c r="S302" s="5"/>
      <c r="T302" s="5"/>
      <c r="U302" s="5"/>
      <c r="V302" s="5"/>
      <c r="W302" s="5"/>
      <c r="X302" s="5"/>
      <c r="Y302" s="5"/>
      <c r="Z302" s="5"/>
      <c r="AA302" s="5"/>
    </row>
    <row r="303" spans="2:27" ht="15.75" customHeight="1" x14ac:dyDescent="0.25">
      <c r="B303" s="5"/>
      <c r="C303" s="5"/>
      <c r="D303" s="5"/>
      <c r="E303" s="5"/>
      <c r="F303" s="5"/>
      <c r="G303" s="5"/>
      <c r="H303" s="5"/>
      <c r="I303" s="5"/>
      <c r="J303" s="5"/>
      <c r="K303" s="5"/>
      <c r="L303" s="5"/>
      <c r="M303" s="5"/>
      <c r="N303" s="5"/>
      <c r="O303" s="5"/>
      <c r="P303" s="5"/>
      <c r="Q303" s="5"/>
      <c r="R303" s="5"/>
      <c r="S303" s="5"/>
      <c r="T303" s="5"/>
      <c r="U303" s="5"/>
      <c r="V303" s="5"/>
      <c r="W303" s="5"/>
      <c r="X303" s="5"/>
      <c r="Y303" s="5"/>
      <c r="Z303" s="5"/>
      <c r="AA303" s="5"/>
    </row>
    <row r="304" spans="2:27" ht="15.75" customHeight="1" x14ac:dyDescent="0.25">
      <c r="B304" s="5"/>
      <c r="C304" s="5"/>
      <c r="D304" s="5"/>
      <c r="E304" s="5"/>
      <c r="F304" s="5"/>
      <c r="G304" s="5"/>
      <c r="H304" s="5"/>
      <c r="I304" s="5"/>
      <c r="J304" s="5"/>
      <c r="K304" s="5"/>
      <c r="L304" s="5"/>
      <c r="M304" s="5"/>
      <c r="N304" s="5"/>
      <c r="O304" s="5"/>
      <c r="P304" s="5"/>
      <c r="Q304" s="5"/>
      <c r="R304" s="5"/>
      <c r="S304" s="5"/>
      <c r="T304" s="5"/>
      <c r="U304" s="5"/>
      <c r="V304" s="5"/>
      <c r="W304" s="5"/>
      <c r="X304" s="5"/>
      <c r="Y304" s="5"/>
      <c r="Z304" s="5"/>
      <c r="AA304" s="5"/>
    </row>
    <row r="305" spans="2:27" ht="15.75" customHeight="1" x14ac:dyDescent="0.25">
      <c r="B305" s="5"/>
      <c r="C305" s="5"/>
      <c r="D305" s="5"/>
      <c r="E305" s="5"/>
      <c r="F305" s="5"/>
      <c r="G305" s="5"/>
      <c r="H305" s="5"/>
      <c r="I305" s="5"/>
      <c r="J305" s="5"/>
      <c r="K305" s="5"/>
      <c r="L305" s="5"/>
      <c r="M305" s="5"/>
      <c r="N305" s="5"/>
      <c r="O305" s="5"/>
      <c r="P305" s="5"/>
      <c r="Q305" s="5"/>
      <c r="R305" s="5"/>
      <c r="S305" s="5"/>
      <c r="T305" s="5"/>
      <c r="U305" s="5"/>
      <c r="V305" s="5"/>
      <c r="W305" s="5"/>
      <c r="X305" s="5"/>
      <c r="Y305" s="5"/>
      <c r="Z305" s="5"/>
      <c r="AA305" s="5"/>
    </row>
    <row r="306" spans="2:27" ht="15.75" customHeight="1" x14ac:dyDescent="0.25">
      <c r="B306" s="5"/>
      <c r="C306" s="5"/>
      <c r="D306" s="5"/>
      <c r="E306" s="5"/>
      <c r="F306" s="5"/>
      <c r="G306" s="5"/>
      <c r="H306" s="5"/>
      <c r="I306" s="5"/>
      <c r="J306" s="5"/>
      <c r="K306" s="5"/>
      <c r="L306" s="5"/>
      <c r="M306" s="5"/>
      <c r="N306" s="5"/>
      <c r="O306" s="5"/>
      <c r="P306" s="5"/>
      <c r="Q306" s="5"/>
      <c r="R306" s="5"/>
      <c r="S306" s="5"/>
      <c r="T306" s="5"/>
      <c r="U306" s="5"/>
      <c r="V306" s="5"/>
      <c r="W306" s="5"/>
      <c r="X306" s="5"/>
      <c r="Y306" s="5"/>
      <c r="Z306" s="5"/>
      <c r="AA306" s="5"/>
    </row>
    <row r="307" spans="2:27" ht="15.75" customHeight="1" x14ac:dyDescent="0.25">
      <c r="B307" s="5"/>
      <c r="C307" s="5"/>
      <c r="D307" s="5"/>
      <c r="E307" s="5"/>
      <c r="F307" s="5"/>
      <c r="G307" s="5"/>
      <c r="H307" s="5"/>
      <c r="I307" s="5"/>
      <c r="J307" s="5"/>
      <c r="K307" s="5"/>
      <c r="L307" s="5"/>
      <c r="M307" s="5"/>
      <c r="N307" s="5"/>
      <c r="O307" s="5"/>
      <c r="P307" s="5"/>
      <c r="Q307" s="5"/>
      <c r="R307" s="5"/>
      <c r="S307" s="5"/>
      <c r="T307" s="5"/>
      <c r="U307" s="5"/>
      <c r="V307" s="5"/>
      <c r="W307" s="5"/>
      <c r="X307" s="5"/>
      <c r="Y307" s="5"/>
      <c r="Z307" s="5"/>
      <c r="AA307" s="5"/>
    </row>
    <row r="308" spans="2:27" ht="15.75" customHeight="1" x14ac:dyDescent="0.25">
      <c r="B308" s="5"/>
      <c r="C308" s="5"/>
      <c r="D308" s="5"/>
      <c r="E308" s="5"/>
      <c r="F308" s="5"/>
      <c r="G308" s="5"/>
      <c r="H308" s="5"/>
      <c r="I308" s="5"/>
      <c r="J308" s="5"/>
      <c r="K308" s="5"/>
      <c r="L308" s="5"/>
      <c r="M308" s="5"/>
      <c r="N308" s="5"/>
      <c r="O308" s="5"/>
      <c r="P308" s="5"/>
      <c r="Q308" s="5"/>
      <c r="R308" s="5"/>
      <c r="S308" s="5"/>
      <c r="T308" s="5"/>
      <c r="U308" s="5"/>
      <c r="V308" s="5"/>
      <c r="W308" s="5"/>
      <c r="X308" s="5"/>
      <c r="Y308" s="5"/>
      <c r="Z308" s="5"/>
      <c r="AA308" s="5"/>
    </row>
    <row r="309" spans="2:27" ht="15.75" customHeight="1" x14ac:dyDescent="0.25">
      <c r="B309" s="5"/>
      <c r="C309" s="5"/>
      <c r="D309" s="5"/>
      <c r="E309" s="5"/>
      <c r="F309" s="5"/>
      <c r="G309" s="5"/>
      <c r="H309" s="5"/>
      <c r="I309" s="5"/>
      <c r="J309" s="5"/>
      <c r="K309" s="5"/>
      <c r="L309" s="5"/>
      <c r="M309" s="5"/>
      <c r="N309" s="5"/>
      <c r="O309" s="5"/>
      <c r="P309" s="5"/>
      <c r="Q309" s="5"/>
      <c r="R309" s="5"/>
      <c r="S309" s="5"/>
      <c r="T309" s="5"/>
      <c r="U309" s="5"/>
      <c r="V309" s="5"/>
      <c r="W309" s="5"/>
      <c r="X309" s="5"/>
      <c r="Y309" s="5"/>
      <c r="Z309" s="5"/>
      <c r="AA309" s="5"/>
    </row>
    <row r="310" spans="2:27" ht="15.75" customHeight="1" x14ac:dyDescent="0.25">
      <c r="B310" s="5"/>
      <c r="C310" s="5"/>
      <c r="D310" s="5"/>
      <c r="E310" s="5"/>
      <c r="F310" s="5"/>
      <c r="G310" s="5"/>
      <c r="H310" s="5"/>
      <c r="I310" s="5"/>
      <c r="J310" s="5"/>
      <c r="K310" s="5"/>
      <c r="L310" s="5"/>
      <c r="M310" s="5"/>
      <c r="N310" s="5"/>
      <c r="O310" s="5"/>
      <c r="P310" s="5"/>
      <c r="Q310" s="5"/>
      <c r="R310" s="5"/>
      <c r="S310" s="5"/>
      <c r="T310" s="5"/>
      <c r="U310" s="5"/>
      <c r="V310" s="5"/>
      <c r="W310" s="5"/>
      <c r="X310" s="5"/>
      <c r="Y310" s="5"/>
      <c r="Z310" s="5"/>
      <c r="AA310" s="5"/>
    </row>
    <row r="311" spans="2:27" ht="15.75" customHeight="1" x14ac:dyDescent="0.25">
      <c r="B311" s="5"/>
      <c r="C311" s="5"/>
      <c r="D311" s="5"/>
      <c r="E311" s="5"/>
      <c r="F311" s="5"/>
      <c r="G311" s="5"/>
      <c r="H311" s="5"/>
      <c r="I311" s="5"/>
      <c r="J311" s="5"/>
      <c r="K311" s="5"/>
      <c r="L311" s="5"/>
      <c r="M311" s="5"/>
      <c r="N311" s="5"/>
      <c r="O311" s="5"/>
      <c r="P311" s="5"/>
      <c r="Q311" s="5"/>
      <c r="R311" s="5"/>
      <c r="S311" s="5"/>
      <c r="T311" s="5"/>
      <c r="U311" s="5"/>
      <c r="V311" s="5"/>
      <c r="W311" s="5"/>
      <c r="X311" s="5"/>
      <c r="Y311" s="5"/>
      <c r="Z311" s="5"/>
      <c r="AA311" s="5"/>
    </row>
    <row r="312" spans="2:27" ht="15.75" customHeight="1" x14ac:dyDescent="0.25">
      <c r="B312" s="5"/>
      <c r="C312" s="5"/>
      <c r="D312" s="5"/>
      <c r="E312" s="5"/>
      <c r="F312" s="5"/>
      <c r="G312" s="5"/>
      <c r="H312" s="5"/>
      <c r="I312" s="5"/>
      <c r="J312" s="5"/>
      <c r="K312" s="5"/>
      <c r="L312" s="5"/>
      <c r="M312" s="5"/>
      <c r="N312" s="5"/>
      <c r="O312" s="5"/>
      <c r="P312" s="5"/>
      <c r="Q312" s="5"/>
      <c r="R312" s="5"/>
      <c r="S312" s="5"/>
      <c r="T312" s="5"/>
      <c r="U312" s="5"/>
      <c r="V312" s="5"/>
      <c r="W312" s="5"/>
      <c r="X312" s="5"/>
      <c r="Y312" s="5"/>
      <c r="Z312" s="5"/>
      <c r="AA312" s="5"/>
    </row>
    <row r="313" spans="2:27" ht="15.75" customHeight="1" x14ac:dyDescent="0.25">
      <c r="B313" s="5"/>
      <c r="C313" s="5"/>
      <c r="D313" s="5"/>
      <c r="E313" s="5"/>
      <c r="F313" s="5"/>
      <c r="G313" s="5"/>
      <c r="H313" s="5"/>
      <c r="I313" s="5"/>
      <c r="J313" s="5"/>
      <c r="K313" s="5"/>
      <c r="L313" s="5"/>
      <c r="M313" s="5"/>
      <c r="N313" s="5"/>
      <c r="O313" s="5"/>
      <c r="P313" s="5"/>
      <c r="Q313" s="5"/>
      <c r="R313" s="5"/>
      <c r="S313" s="5"/>
      <c r="T313" s="5"/>
      <c r="U313" s="5"/>
      <c r="V313" s="5"/>
      <c r="W313" s="5"/>
      <c r="X313" s="5"/>
      <c r="Y313" s="5"/>
      <c r="Z313" s="5"/>
      <c r="AA313" s="5"/>
    </row>
    <row r="314" spans="2:27" ht="15.75" customHeight="1" x14ac:dyDescent="0.25">
      <c r="B314" s="5"/>
      <c r="C314" s="5"/>
      <c r="D314" s="5"/>
      <c r="E314" s="5"/>
      <c r="F314" s="5"/>
      <c r="G314" s="5"/>
      <c r="H314" s="5"/>
      <c r="I314" s="5"/>
      <c r="J314" s="5"/>
      <c r="K314" s="5"/>
      <c r="L314" s="5"/>
      <c r="M314" s="5"/>
      <c r="N314" s="5"/>
      <c r="O314" s="5"/>
      <c r="P314" s="5"/>
      <c r="Q314" s="5"/>
      <c r="R314" s="5"/>
      <c r="S314" s="5"/>
      <c r="T314" s="5"/>
      <c r="U314" s="5"/>
      <c r="V314" s="5"/>
      <c r="W314" s="5"/>
      <c r="X314" s="5"/>
      <c r="Y314" s="5"/>
      <c r="Z314" s="5"/>
      <c r="AA314" s="5"/>
    </row>
    <row r="315" spans="2:27" ht="15.75" customHeight="1" x14ac:dyDescent="0.25">
      <c r="B315" s="5"/>
      <c r="C315" s="5"/>
      <c r="D315" s="5"/>
      <c r="E315" s="5"/>
      <c r="F315" s="5"/>
      <c r="G315" s="5"/>
      <c r="H315" s="5"/>
      <c r="I315" s="5"/>
      <c r="J315" s="5"/>
      <c r="K315" s="5"/>
      <c r="L315" s="5"/>
      <c r="M315" s="5"/>
      <c r="N315" s="5"/>
      <c r="O315" s="5"/>
      <c r="P315" s="5"/>
      <c r="Q315" s="5"/>
      <c r="R315" s="5"/>
      <c r="S315" s="5"/>
      <c r="T315" s="5"/>
      <c r="U315" s="5"/>
      <c r="V315" s="5"/>
      <c r="W315" s="5"/>
      <c r="X315" s="5"/>
      <c r="Y315" s="5"/>
      <c r="Z315" s="5"/>
      <c r="AA315" s="5"/>
    </row>
    <row r="316" spans="2:27" ht="15.75" customHeight="1" x14ac:dyDescent="0.25">
      <c r="B316" s="5"/>
      <c r="C316" s="5"/>
      <c r="D316" s="5"/>
      <c r="E316" s="5"/>
      <c r="F316" s="5"/>
      <c r="G316" s="5"/>
      <c r="H316" s="5"/>
      <c r="I316" s="5"/>
      <c r="J316" s="5"/>
      <c r="K316" s="5"/>
      <c r="L316" s="5"/>
      <c r="M316" s="5"/>
      <c r="N316" s="5"/>
      <c r="O316" s="5"/>
      <c r="P316" s="5"/>
      <c r="Q316" s="5"/>
      <c r="R316" s="5"/>
      <c r="S316" s="5"/>
      <c r="T316" s="5"/>
      <c r="U316" s="5"/>
      <c r="V316" s="5"/>
      <c r="W316" s="5"/>
      <c r="X316" s="5"/>
      <c r="Y316" s="5"/>
      <c r="Z316" s="5"/>
      <c r="AA316" s="5"/>
    </row>
    <row r="317" spans="2:27" ht="15.75" customHeight="1" x14ac:dyDescent="0.25">
      <c r="B317" s="5"/>
      <c r="C317" s="5"/>
      <c r="D317" s="5"/>
      <c r="E317" s="5"/>
      <c r="F317" s="5"/>
      <c r="G317" s="5"/>
      <c r="H317" s="5"/>
      <c r="I317" s="5"/>
      <c r="J317" s="5"/>
      <c r="K317" s="5"/>
      <c r="L317" s="5"/>
      <c r="M317" s="5"/>
      <c r="N317" s="5"/>
      <c r="O317" s="5"/>
      <c r="P317" s="5"/>
      <c r="Q317" s="5"/>
      <c r="R317" s="5"/>
      <c r="S317" s="5"/>
      <c r="T317" s="5"/>
      <c r="U317" s="5"/>
      <c r="V317" s="5"/>
      <c r="W317" s="5"/>
      <c r="X317" s="5"/>
      <c r="Y317" s="5"/>
      <c r="Z317" s="5"/>
      <c r="AA317" s="5"/>
    </row>
    <row r="318" spans="2:27" ht="15.75" customHeight="1" x14ac:dyDescent="0.25">
      <c r="B318" s="5"/>
      <c r="C318" s="5"/>
      <c r="D318" s="5"/>
      <c r="E318" s="5"/>
      <c r="F318" s="5"/>
      <c r="G318" s="5"/>
      <c r="H318" s="5"/>
      <c r="I318" s="5"/>
      <c r="J318" s="5"/>
      <c r="K318" s="5"/>
      <c r="L318" s="5"/>
      <c r="M318" s="5"/>
      <c r="N318" s="5"/>
      <c r="O318" s="5"/>
      <c r="P318" s="5"/>
      <c r="Q318" s="5"/>
      <c r="R318" s="5"/>
      <c r="S318" s="5"/>
      <c r="T318" s="5"/>
      <c r="U318" s="5"/>
      <c r="V318" s="5"/>
      <c r="W318" s="5"/>
      <c r="X318" s="5"/>
      <c r="Y318" s="5"/>
      <c r="Z318" s="5"/>
      <c r="AA318" s="5"/>
    </row>
    <row r="319" spans="2:27" ht="15.75" customHeight="1" x14ac:dyDescent="0.25">
      <c r="B319" s="5"/>
      <c r="C319" s="5"/>
      <c r="D319" s="5"/>
      <c r="E319" s="5"/>
      <c r="F319" s="5"/>
      <c r="G319" s="5"/>
      <c r="H319" s="5"/>
      <c r="I319" s="5"/>
      <c r="J319" s="5"/>
      <c r="K319" s="5"/>
      <c r="L319" s="5"/>
      <c r="M319" s="5"/>
      <c r="N319" s="5"/>
      <c r="O319" s="5"/>
      <c r="P319" s="5"/>
      <c r="Q319" s="5"/>
      <c r="R319" s="5"/>
      <c r="S319" s="5"/>
      <c r="T319" s="5"/>
      <c r="U319" s="5"/>
      <c r="V319" s="5"/>
      <c r="W319" s="5"/>
      <c r="X319" s="5"/>
      <c r="Y319" s="5"/>
      <c r="Z319" s="5"/>
      <c r="AA319" s="5"/>
    </row>
    <row r="320" spans="2:27" ht="15.75" customHeight="1" x14ac:dyDescent="0.25">
      <c r="B320" s="5"/>
      <c r="C320" s="5"/>
      <c r="D320" s="5"/>
      <c r="E320" s="5"/>
      <c r="F320" s="5"/>
      <c r="G320" s="5"/>
      <c r="H320" s="5"/>
      <c r="I320" s="5"/>
      <c r="J320" s="5"/>
      <c r="K320" s="5"/>
      <c r="L320" s="5"/>
      <c r="M320" s="5"/>
      <c r="N320" s="5"/>
      <c r="O320" s="5"/>
      <c r="P320" s="5"/>
      <c r="Q320" s="5"/>
      <c r="R320" s="5"/>
      <c r="S320" s="5"/>
      <c r="T320" s="5"/>
      <c r="U320" s="5"/>
      <c r="V320" s="5"/>
      <c r="W320" s="5"/>
      <c r="X320" s="5"/>
      <c r="Y320" s="5"/>
      <c r="Z320" s="5"/>
      <c r="AA320" s="5"/>
    </row>
    <row r="321" spans="2:27" ht="15.75" customHeight="1" x14ac:dyDescent="0.25">
      <c r="B321" s="5"/>
      <c r="C321" s="5"/>
      <c r="D321" s="5"/>
      <c r="E321" s="5"/>
      <c r="F321" s="5"/>
      <c r="G321" s="5"/>
      <c r="H321" s="5"/>
      <c r="I321" s="5"/>
      <c r="J321" s="5"/>
      <c r="K321" s="5"/>
      <c r="L321" s="5"/>
      <c r="M321" s="5"/>
      <c r="N321" s="5"/>
      <c r="O321" s="5"/>
      <c r="P321" s="5"/>
      <c r="Q321" s="5"/>
      <c r="R321" s="5"/>
      <c r="S321" s="5"/>
      <c r="T321" s="5"/>
      <c r="U321" s="5"/>
      <c r="V321" s="5"/>
      <c r="W321" s="5"/>
      <c r="X321" s="5"/>
      <c r="Y321" s="5"/>
      <c r="Z321" s="5"/>
      <c r="AA321" s="5"/>
    </row>
    <row r="322" spans="2:27" ht="15.75" customHeight="1" x14ac:dyDescent="0.25">
      <c r="B322" s="5"/>
      <c r="C322" s="5"/>
      <c r="D322" s="5"/>
      <c r="E322" s="5"/>
      <c r="F322" s="5"/>
      <c r="G322" s="5"/>
      <c r="H322" s="5"/>
      <c r="I322" s="5"/>
      <c r="J322" s="5"/>
      <c r="K322" s="5"/>
      <c r="L322" s="5"/>
      <c r="M322" s="5"/>
      <c r="N322" s="5"/>
      <c r="O322" s="5"/>
      <c r="P322" s="5"/>
      <c r="Q322" s="5"/>
      <c r="R322" s="5"/>
      <c r="S322" s="5"/>
      <c r="T322" s="5"/>
      <c r="U322" s="5"/>
      <c r="V322" s="5"/>
      <c r="W322" s="5"/>
      <c r="X322" s="5"/>
      <c r="Y322" s="5"/>
      <c r="Z322" s="5"/>
      <c r="AA322" s="5"/>
    </row>
    <row r="323" spans="2:27" ht="15.75" customHeight="1" x14ac:dyDescent="0.25">
      <c r="B323" s="5"/>
      <c r="C323" s="5"/>
      <c r="D323" s="5"/>
      <c r="E323" s="5"/>
      <c r="F323" s="5"/>
      <c r="G323" s="5"/>
      <c r="H323" s="5"/>
      <c r="I323" s="5"/>
      <c r="J323" s="5"/>
      <c r="K323" s="5"/>
      <c r="L323" s="5"/>
      <c r="M323" s="5"/>
      <c r="N323" s="5"/>
      <c r="O323" s="5"/>
      <c r="P323" s="5"/>
      <c r="Q323" s="5"/>
      <c r="R323" s="5"/>
      <c r="S323" s="5"/>
      <c r="T323" s="5"/>
      <c r="U323" s="5"/>
      <c r="V323" s="5"/>
      <c r="W323" s="5"/>
      <c r="X323" s="5"/>
      <c r="Y323" s="5"/>
      <c r="Z323" s="5"/>
      <c r="AA323" s="5"/>
    </row>
    <row r="324" spans="2:27" ht="15.75" customHeight="1" x14ac:dyDescent="0.25">
      <c r="B324" s="5"/>
      <c r="C324" s="5"/>
      <c r="D324" s="5"/>
      <c r="E324" s="5"/>
      <c r="F324" s="5"/>
      <c r="G324" s="5"/>
      <c r="H324" s="5"/>
      <c r="I324" s="5"/>
      <c r="J324" s="5"/>
      <c r="K324" s="5"/>
      <c r="L324" s="5"/>
      <c r="M324" s="5"/>
      <c r="N324" s="5"/>
      <c r="O324" s="5"/>
      <c r="P324" s="5"/>
      <c r="Q324" s="5"/>
      <c r="R324" s="5"/>
      <c r="S324" s="5"/>
      <c r="T324" s="5"/>
      <c r="U324" s="5"/>
      <c r="V324" s="5"/>
      <c r="W324" s="5"/>
      <c r="X324" s="5"/>
      <c r="Y324" s="5"/>
      <c r="Z324" s="5"/>
      <c r="AA324" s="5"/>
    </row>
    <row r="325" spans="2:27" ht="15.75" customHeight="1" x14ac:dyDescent="0.25">
      <c r="B325" s="5"/>
      <c r="C325" s="5"/>
      <c r="D325" s="5"/>
      <c r="E325" s="5"/>
      <c r="F325" s="5"/>
      <c r="G325" s="5"/>
      <c r="H325" s="5"/>
      <c r="I325" s="5"/>
      <c r="J325" s="5"/>
      <c r="K325" s="5"/>
      <c r="L325" s="5"/>
      <c r="M325" s="5"/>
      <c r="N325" s="5"/>
      <c r="O325" s="5"/>
      <c r="P325" s="5"/>
      <c r="Q325" s="5"/>
      <c r="R325" s="5"/>
      <c r="S325" s="5"/>
      <c r="T325" s="5"/>
      <c r="U325" s="5"/>
      <c r="V325" s="5"/>
      <c r="W325" s="5"/>
      <c r="X325" s="5"/>
      <c r="Y325" s="5"/>
      <c r="Z325" s="5"/>
      <c r="AA325" s="5"/>
    </row>
    <row r="326" spans="2:27" ht="15.75" customHeight="1" x14ac:dyDescent="0.25">
      <c r="B326" s="5"/>
      <c r="C326" s="5"/>
      <c r="D326" s="5"/>
      <c r="E326" s="5"/>
      <c r="F326" s="5"/>
      <c r="G326" s="5"/>
      <c r="H326" s="5"/>
      <c r="I326" s="5"/>
      <c r="J326" s="5"/>
      <c r="K326" s="5"/>
      <c r="L326" s="5"/>
      <c r="M326" s="5"/>
      <c r="N326" s="5"/>
      <c r="O326" s="5"/>
      <c r="P326" s="5"/>
      <c r="Q326" s="5"/>
      <c r="R326" s="5"/>
      <c r="S326" s="5"/>
      <c r="T326" s="5"/>
      <c r="U326" s="5"/>
      <c r="V326" s="5"/>
      <c r="W326" s="5"/>
      <c r="X326" s="5"/>
      <c r="Y326" s="5"/>
      <c r="Z326" s="5"/>
      <c r="AA326" s="5"/>
    </row>
    <row r="327" spans="2:27" ht="15.75" customHeight="1" x14ac:dyDescent="0.25">
      <c r="B327" s="5"/>
      <c r="C327" s="5"/>
      <c r="D327" s="5"/>
      <c r="E327" s="5"/>
      <c r="F327" s="5"/>
      <c r="G327" s="5"/>
      <c r="H327" s="5"/>
      <c r="I327" s="5"/>
      <c r="J327" s="5"/>
      <c r="K327" s="5"/>
      <c r="L327" s="5"/>
      <c r="M327" s="5"/>
      <c r="N327" s="5"/>
      <c r="O327" s="5"/>
      <c r="P327" s="5"/>
      <c r="Q327" s="5"/>
      <c r="R327" s="5"/>
      <c r="S327" s="5"/>
      <c r="T327" s="5"/>
      <c r="U327" s="5"/>
      <c r="V327" s="5"/>
      <c r="W327" s="5"/>
      <c r="X327" s="5"/>
      <c r="Y327" s="5"/>
      <c r="Z327" s="5"/>
      <c r="AA327" s="5"/>
    </row>
    <row r="328" spans="2:27" ht="15.75" customHeight="1" x14ac:dyDescent="0.25">
      <c r="B328" s="5"/>
      <c r="C328" s="5"/>
      <c r="D328" s="5"/>
      <c r="E328" s="5"/>
      <c r="F328" s="5"/>
      <c r="G328" s="5"/>
      <c r="H328" s="5"/>
      <c r="I328" s="5"/>
      <c r="J328" s="5"/>
      <c r="K328" s="5"/>
      <c r="L328" s="5"/>
      <c r="M328" s="5"/>
      <c r="N328" s="5"/>
      <c r="O328" s="5"/>
      <c r="P328" s="5"/>
      <c r="Q328" s="5"/>
      <c r="R328" s="5"/>
      <c r="S328" s="5"/>
      <c r="T328" s="5"/>
      <c r="U328" s="5"/>
      <c r="V328" s="5"/>
      <c r="W328" s="5"/>
      <c r="X328" s="5"/>
      <c r="Y328" s="5"/>
      <c r="Z328" s="5"/>
      <c r="AA328" s="5"/>
    </row>
    <row r="329" spans="2:27" ht="15.75" customHeight="1" x14ac:dyDescent="0.25">
      <c r="B329" s="5"/>
      <c r="C329" s="5"/>
      <c r="D329" s="5"/>
      <c r="E329" s="5"/>
      <c r="F329" s="5"/>
      <c r="G329" s="5"/>
      <c r="H329" s="5"/>
      <c r="I329" s="5"/>
      <c r="J329" s="5"/>
      <c r="K329" s="5"/>
      <c r="L329" s="5"/>
      <c r="M329" s="5"/>
      <c r="N329" s="5"/>
      <c r="O329" s="5"/>
      <c r="P329" s="5"/>
      <c r="Q329" s="5"/>
      <c r="R329" s="5"/>
      <c r="S329" s="5"/>
      <c r="T329" s="5"/>
      <c r="U329" s="5"/>
      <c r="V329" s="5"/>
      <c r="W329" s="5"/>
      <c r="X329" s="5"/>
      <c r="Y329" s="5"/>
      <c r="Z329" s="5"/>
      <c r="AA329" s="5"/>
    </row>
    <row r="330" spans="2:27" ht="15.75" customHeight="1" x14ac:dyDescent="0.25">
      <c r="B330" s="5"/>
      <c r="C330" s="5"/>
      <c r="D330" s="5"/>
      <c r="E330" s="5"/>
      <c r="F330" s="5"/>
      <c r="G330" s="5"/>
      <c r="H330" s="5"/>
      <c r="I330" s="5"/>
      <c r="J330" s="5"/>
      <c r="K330" s="5"/>
      <c r="L330" s="5"/>
      <c r="M330" s="5"/>
      <c r="N330" s="5"/>
      <c r="O330" s="5"/>
      <c r="P330" s="5"/>
      <c r="Q330" s="5"/>
      <c r="R330" s="5"/>
      <c r="S330" s="5"/>
      <c r="T330" s="5"/>
      <c r="U330" s="5"/>
      <c r="V330" s="5"/>
      <c r="W330" s="5"/>
      <c r="X330" s="5"/>
      <c r="Y330" s="5"/>
      <c r="Z330" s="5"/>
      <c r="AA330" s="5"/>
    </row>
    <row r="331" spans="2:27" ht="15.75" customHeight="1" x14ac:dyDescent="0.25">
      <c r="B331" s="5"/>
      <c r="C331" s="5"/>
      <c r="D331" s="5"/>
      <c r="E331" s="5"/>
      <c r="F331" s="5"/>
      <c r="G331" s="5"/>
      <c r="H331" s="5"/>
      <c r="I331" s="5"/>
      <c r="J331" s="5"/>
      <c r="K331" s="5"/>
      <c r="L331" s="5"/>
      <c r="M331" s="5"/>
      <c r="N331" s="5"/>
      <c r="O331" s="5"/>
      <c r="P331" s="5"/>
      <c r="Q331" s="5"/>
      <c r="R331" s="5"/>
      <c r="S331" s="5"/>
      <c r="T331" s="5"/>
      <c r="U331" s="5"/>
      <c r="V331" s="5"/>
      <c r="W331" s="5"/>
      <c r="X331" s="5"/>
      <c r="Y331" s="5"/>
      <c r="Z331" s="5"/>
      <c r="AA331" s="5"/>
    </row>
    <row r="332" spans="2:27" ht="15.75" customHeight="1" x14ac:dyDescent="0.25">
      <c r="B332" s="5"/>
      <c r="C332" s="5"/>
      <c r="D332" s="5"/>
      <c r="E332" s="5"/>
      <c r="F332" s="5"/>
      <c r="G332" s="5"/>
      <c r="H332" s="5"/>
      <c r="I332" s="5"/>
      <c r="J332" s="5"/>
      <c r="K332" s="5"/>
      <c r="L332" s="5"/>
      <c r="M332" s="5"/>
      <c r="N332" s="5"/>
      <c r="O332" s="5"/>
      <c r="P332" s="5"/>
      <c r="Q332" s="5"/>
      <c r="R332" s="5"/>
      <c r="S332" s="5"/>
      <c r="T332" s="5"/>
      <c r="U332" s="5"/>
      <c r="V332" s="5"/>
      <c r="W332" s="5"/>
      <c r="X332" s="5"/>
      <c r="Y332" s="5"/>
      <c r="Z332" s="5"/>
      <c r="AA332" s="5"/>
    </row>
    <row r="333" spans="2:27" ht="15.75" customHeight="1" x14ac:dyDescent="0.25">
      <c r="B333" s="5"/>
      <c r="C333" s="5"/>
      <c r="D333" s="5"/>
      <c r="E333" s="5"/>
      <c r="F333" s="5"/>
      <c r="G333" s="5"/>
      <c r="H333" s="5"/>
      <c r="I333" s="5"/>
      <c r="J333" s="5"/>
      <c r="K333" s="5"/>
      <c r="L333" s="5"/>
      <c r="M333" s="5"/>
      <c r="N333" s="5"/>
      <c r="O333" s="5"/>
      <c r="P333" s="5"/>
      <c r="Q333" s="5"/>
      <c r="R333" s="5"/>
      <c r="S333" s="5"/>
      <c r="T333" s="5"/>
      <c r="U333" s="5"/>
      <c r="V333" s="5"/>
      <c r="W333" s="5"/>
      <c r="X333" s="5"/>
      <c r="Y333" s="5"/>
      <c r="Z333" s="5"/>
      <c r="AA333" s="5"/>
    </row>
    <row r="334" spans="2:27" ht="15.75" customHeight="1" x14ac:dyDescent="0.25">
      <c r="B334" s="5"/>
      <c r="C334" s="5"/>
      <c r="D334" s="5"/>
      <c r="E334" s="5"/>
      <c r="F334" s="5"/>
      <c r="G334" s="5"/>
      <c r="H334" s="5"/>
      <c r="I334" s="5"/>
      <c r="J334" s="5"/>
      <c r="K334" s="5"/>
      <c r="L334" s="5"/>
      <c r="M334" s="5"/>
      <c r="N334" s="5"/>
      <c r="O334" s="5"/>
      <c r="P334" s="5"/>
      <c r="Q334" s="5"/>
      <c r="R334" s="5"/>
      <c r="S334" s="5"/>
      <c r="T334" s="5"/>
      <c r="U334" s="5"/>
      <c r="V334" s="5"/>
      <c r="W334" s="5"/>
      <c r="X334" s="5"/>
      <c r="Y334" s="5"/>
      <c r="Z334" s="5"/>
      <c r="AA334" s="5"/>
    </row>
    <row r="335" spans="2:27" ht="15.75" customHeight="1" x14ac:dyDescent="0.25">
      <c r="B335" s="5"/>
      <c r="C335" s="5"/>
      <c r="D335" s="5"/>
      <c r="E335" s="5"/>
      <c r="F335" s="5"/>
      <c r="G335" s="5"/>
      <c r="H335" s="5"/>
      <c r="I335" s="5"/>
      <c r="J335" s="5"/>
      <c r="K335" s="5"/>
      <c r="L335" s="5"/>
      <c r="M335" s="5"/>
      <c r="N335" s="5"/>
      <c r="O335" s="5"/>
      <c r="P335" s="5"/>
      <c r="Q335" s="5"/>
      <c r="R335" s="5"/>
      <c r="S335" s="5"/>
      <c r="T335" s="5"/>
      <c r="U335" s="5"/>
      <c r="V335" s="5"/>
      <c r="W335" s="5"/>
      <c r="X335" s="5"/>
      <c r="Y335" s="5"/>
      <c r="Z335" s="5"/>
      <c r="AA335" s="5"/>
    </row>
    <row r="336" spans="2:27" ht="15.75" customHeight="1" x14ac:dyDescent="0.25">
      <c r="B336" s="5"/>
      <c r="C336" s="5"/>
      <c r="D336" s="5"/>
      <c r="E336" s="5"/>
      <c r="F336" s="5"/>
      <c r="G336" s="5"/>
      <c r="H336" s="5"/>
      <c r="I336" s="5"/>
      <c r="J336" s="5"/>
      <c r="K336" s="5"/>
      <c r="L336" s="5"/>
      <c r="M336" s="5"/>
      <c r="N336" s="5"/>
      <c r="O336" s="5"/>
      <c r="P336" s="5"/>
      <c r="Q336" s="5"/>
      <c r="R336" s="5"/>
      <c r="S336" s="5"/>
      <c r="T336" s="5"/>
      <c r="U336" s="5"/>
      <c r="V336" s="5"/>
      <c r="W336" s="5"/>
      <c r="X336" s="5"/>
      <c r="Y336" s="5"/>
      <c r="Z336" s="5"/>
      <c r="AA336" s="5"/>
    </row>
    <row r="337" spans="2:27" ht="15.75" customHeight="1" x14ac:dyDescent="0.25">
      <c r="B337" s="5"/>
      <c r="C337" s="5"/>
      <c r="D337" s="5"/>
      <c r="E337" s="5"/>
      <c r="F337" s="5"/>
      <c r="G337" s="5"/>
      <c r="H337" s="5"/>
      <c r="I337" s="5"/>
      <c r="J337" s="5"/>
      <c r="K337" s="5"/>
      <c r="L337" s="5"/>
      <c r="M337" s="5"/>
      <c r="N337" s="5"/>
      <c r="O337" s="5"/>
      <c r="P337" s="5"/>
      <c r="Q337" s="5"/>
      <c r="R337" s="5"/>
      <c r="S337" s="5"/>
      <c r="T337" s="5"/>
      <c r="U337" s="5"/>
      <c r="V337" s="5"/>
      <c r="W337" s="5"/>
      <c r="X337" s="5"/>
      <c r="Y337" s="5"/>
      <c r="Z337" s="5"/>
      <c r="AA337" s="5"/>
    </row>
    <row r="338" spans="2:27" ht="15.75" customHeight="1" x14ac:dyDescent="0.25">
      <c r="B338" s="5"/>
      <c r="C338" s="5"/>
      <c r="D338" s="5"/>
      <c r="E338" s="5"/>
      <c r="F338" s="5"/>
      <c r="G338" s="5"/>
      <c r="H338" s="5"/>
      <c r="I338" s="5"/>
      <c r="J338" s="5"/>
      <c r="K338" s="5"/>
      <c r="L338" s="5"/>
      <c r="M338" s="5"/>
      <c r="N338" s="5"/>
      <c r="O338" s="5"/>
      <c r="P338" s="5"/>
      <c r="Q338" s="5"/>
      <c r="R338" s="5"/>
      <c r="S338" s="5"/>
      <c r="T338" s="5"/>
      <c r="U338" s="5"/>
      <c r="V338" s="5"/>
      <c r="W338" s="5"/>
      <c r="X338" s="5"/>
      <c r="Y338" s="5"/>
      <c r="Z338" s="5"/>
      <c r="AA338" s="5"/>
    </row>
    <row r="339" spans="2:27" ht="15.75" customHeight="1" x14ac:dyDescent="0.25">
      <c r="B339" s="5"/>
      <c r="C339" s="5"/>
      <c r="D339" s="5"/>
      <c r="E339" s="5"/>
      <c r="F339" s="5"/>
      <c r="G339" s="5"/>
      <c r="H339" s="5"/>
      <c r="I339" s="5"/>
      <c r="J339" s="5"/>
      <c r="K339" s="5"/>
      <c r="L339" s="5"/>
      <c r="M339" s="5"/>
      <c r="N339" s="5"/>
      <c r="O339" s="5"/>
      <c r="P339" s="5"/>
      <c r="Q339" s="5"/>
      <c r="R339" s="5"/>
      <c r="S339" s="5"/>
      <c r="T339" s="5"/>
      <c r="U339" s="5"/>
      <c r="V339" s="5"/>
      <c r="W339" s="5"/>
      <c r="X339" s="5"/>
      <c r="Y339" s="5"/>
      <c r="Z339" s="5"/>
      <c r="AA339" s="5"/>
    </row>
    <row r="340" spans="2:27" ht="15.75" customHeight="1" x14ac:dyDescent="0.25">
      <c r="B340" s="5"/>
      <c r="C340" s="5"/>
      <c r="D340" s="5"/>
      <c r="E340" s="5"/>
      <c r="F340" s="5"/>
      <c r="G340" s="5"/>
      <c r="H340" s="5"/>
      <c r="I340" s="5"/>
      <c r="J340" s="5"/>
      <c r="K340" s="5"/>
      <c r="L340" s="5"/>
      <c r="M340" s="5"/>
      <c r="N340" s="5"/>
      <c r="O340" s="5"/>
      <c r="P340" s="5"/>
      <c r="Q340" s="5"/>
      <c r="R340" s="5"/>
      <c r="S340" s="5"/>
      <c r="T340" s="5"/>
      <c r="U340" s="5"/>
      <c r="V340" s="5"/>
      <c r="W340" s="5"/>
      <c r="X340" s="5"/>
      <c r="Y340" s="5"/>
      <c r="Z340" s="5"/>
      <c r="AA340" s="5"/>
    </row>
    <row r="341" spans="2:27" ht="15.75" customHeight="1" x14ac:dyDescent="0.25">
      <c r="B341" s="5"/>
      <c r="C341" s="5"/>
      <c r="D341" s="5"/>
      <c r="E341" s="5"/>
      <c r="F341" s="5"/>
      <c r="G341" s="5"/>
      <c r="H341" s="5"/>
      <c r="I341" s="5"/>
      <c r="J341" s="5"/>
      <c r="K341" s="5"/>
      <c r="L341" s="5"/>
      <c r="M341" s="5"/>
      <c r="N341" s="5"/>
      <c r="O341" s="5"/>
      <c r="P341" s="5"/>
      <c r="Q341" s="5"/>
      <c r="R341" s="5"/>
      <c r="S341" s="5"/>
      <c r="T341" s="5"/>
      <c r="U341" s="5"/>
      <c r="V341" s="5"/>
      <c r="W341" s="5"/>
      <c r="X341" s="5"/>
      <c r="Y341" s="5"/>
      <c r="Z341" s="5"/>
      <c r="AA341" s="5"/>
    </row>
    <row r="342" spans="2:27" ht="15.75" customHeight="1" x14ac:dyDescent="0.25">
      <c r="B342" s="5"/>
      <c r="C342" s="5"/>
      <c r="D342" s="5"/>
      <c r="E342" s="5"/>
      <c r="F342" s="5"/>
      <c r="G342" s="5"/>
      <c r="H342" s="5"/>
      <c r="I342" s="5"/>
      <c r="J342" s="5"/>
      <c r="K342" s="5"/>
      <c r="L342" s="5"/>
      <c r="M342" s="5"/>
      <c r="N342" s="5"/>
      <c r="O342" s="5"/>
      <c r="P342" s="5"/>
      <c r="Q342" s="5"/>
      <c r="R342" s="5"/>
      <c r="S342" s="5"/>
      <c r="T342" s="5"/>
      <c r="U342" s="5"/>
      <c r="V342" s="5"/>
      <c r="W342" s="5"/>
      <c r="X342" s="5"/>
      <c r="Y342" s="5"/>
      <c r="Z342" s="5"/>
      <c r="AA342" s="5"/>
    </row>
    <row r="343" spans="2:27" ht="15.75" customHeight="1" x14ac:dyDescent="0.25">
      <c r="B343" s="5"/>
      <c r="C343" s="5"/>
      <c r="D343" s="5"/>
      <c r="E343" s="5"/>
      <c r="F343" s="5"/>
      <c r="G343" s="5"/>
      <c r="H343" s="5"/>
      <c r="I343" s="5"/>
      <c r="J343" s="5"/>
      <c r="K343" s="5"/>
      <c r="L343" s="5"/>
      <c r="M343" s="5"/>
      <c r="N343" s="5"/>
      <c r="O343" s="5"/>
      <c r="P343" s="5"/>
      <c r="Q343" s="5"/>
      <c r="R343" s="5"/>
      <c r="S343" s="5"/>
      <c r="T343" s="5"/>
      <c r="U343" s="5"/>
      <c r="V343" s="5"/>
      <c r="W343" s="5"/>
      <c r="X343" s="5"/>
      <c r="Y343" s="5"/>
      <c r="Z343" s="5"/>
      <c r="AA343" s="5"/>
    </row>
    <row r="344" spans="2:27" ht="15.75" customHeight="1" x14ac:dyDescent="0.25">
      <c r="B344" s="5"/>
      <c r="C344" s="5"/>
      <c r="D344" s="5"/>
      <c r="E344" s="5"/>
      <c r="F344" s="5"/>
      <c r="G344" s="5"/>
      <c r="H344" s="5"/>
      <c r="I344" s="5"/>
      <c r="J344" s="5"/>
      <c r="K344" s="5"/>
      <c r="L344" s="5"/>
      <c r="M344" s="5"/>
      <c r="N344" s="5"/>
      <c r="O344" s="5"/>
      <c r="P344" s="5"/>
      <c r="Q344" s="5"/>
      <c r="R344" s="5"/>
      <c r="S344" s="5"/>
      <c r="T344" s="5"/>
      <c r="U344" s="5"/>
      <c r="V344" s="5"/>
      <c r="W344" s="5"/>
      <c r="X344" s="5"/>
      <c r="Y344" s="5"/>
      <c r="Z344" s="5"/>
      <c r="AA344" s="5"/>
    </row>
    <row r="345" spans="2:27" ht="15.75" customHeight="1" x14ac:dyDescent="0.25">
      <c r="B345" s="5"/>
      <c r="C345" s="5"/>
      <c r="D345" s="5"/>
      <c r="E345" s="5"/>
      <c r="F345" s="5"/>
      <c r="G345" s="5"/>
      <c r="H345" s="5"/>
      <c r="I345" s="5"/>
      <c r="J345" s="5"/>
      <c r="K345" s="5"/>
      <c r="L345" s="5"/>
      <c r="M345" s="5"/>
      <c r="N345" s="5"/>
      <c r="O345" s="5"/>
      <c r="P345" s="5"/>
      <c r="Q345" s="5"/>
      <c r="R345" s="5"/>
      <c r="S345" s="5"/>
      <c r="T345" s="5"/>
      <c r="U345" s="5"/>
      <c r="V345" s="5"/>
      <c r="W345" s="5"/>
      <c r="X345" s="5"/>
      <c r="Y345" s="5"/>
      <c r="Z345" s="5"/>
      <c r="AA345" s="5"/>
    </row>
    <row r="346" spans="2:27" ht="15.75" customHeight="1" x14ac:dyDescent="0.25">
      <c r="B346" s="5"/>
      <c r="C346" s="5"/>
      <c r="D346" s="5"/>
      <c r="E346" s="5"/>
      <c r="F346" s="5"/>
      <c r="G346" s="5"/>
      <c r="H346" s="5"/>
      <c r="I346" s="5"/>
      <c r="J346" s="5"/>
      <c r="K346" s="5"/>
      <c r="L346" s="5"/>
      <c r="M346" s="5"/>
      <c r="N346" s="5"/>
      <c r="O346" s="5"/>
      <c r="P346" s="5"/>
      <c r="Q346" s="5"/>
      <c r="R346" s="5"/>
      <c r="S346" s="5"/>
      <c r="T346" s="5"/>
      <c r="U346" s="5"/>
      <c r="V346" s="5"/>
      <c r="W346" s="5"/>
      <c r="X346" s="5"/>
      <c r="Y346" s="5"/>
      <c r="Z346" s="5"/>
      <c r="AA346" s="5"/>
    </row>
    <row r="347" spans="2:27" ht="15.75" customHeight="1" x14ac:dyDescent="0.25">
      <c r="B347" s="5"/>
      <c r="C347" s="5"/>
      <c r="D347" s="5"/>
      <c r="E347" s="5"/>
      <c r="F347" s="5"/>
      <c r="G347" s="5"/>
      <c r="H347" s="5"/>
      <c r="I347" s="5"/>
      <c r="J347" s="5"/>
      <c r="K347" s="5"/>
      <c r="L347" s="5"/>
      <c r="M347" s="5"/>
      <c r="N347" s="5"/>
      <c r="O347" s="5"/>
      <c r="P347" s="5"/>
      <c r="Q347" s="5"/>
      <c r="R347" s="5"/>
      <c r="S347" s="5"/>
      <c r="T347" s="5"/>
      <c r="U347" s="5"/>
      <c r="V347" s="5"/>
      <c r="W347" s="5"/>
      <c r="X347" s="5"/>
      <c r="Y347" s="5"/>
      <c r="Z347" s="5"/>
      <c r="AA347" s="5"/>
    </row>
    <row r="348" spans="2:27" ht="15.75" customHeight="1" x14ac:dyDescent="0.25">
      <c r="B348" s="5"/>
      <c r="C348" s="5"/>
      <c r="D348" s="5"/>
      <c r="E348" s="5"/>
      <c r="F348" s="5"/>
      <c r="G348" s="5"/>
      <c r="H348" s="5"/>
      <c r="I348" s="5"/>
      <c r="J348" s="5"/>
      <c r="K348" s="5"/>
      <c r="L348" s="5"/>
      <c r="M348" s="5"/>
      <c r="N348" s="5"/>
      <c r="O348" s="5"/>
      <c r="P348" s="5"/>
      <c r="Q348" s="5"/>
      <c r="R348" s="5"/>
      <c r="S348" s="5"/>
      <c r="T348" s="5"/>
      <c r="U348" s="5"/>
      <c r="V348" s="5"/>
      <c r="W348" s="5"/>
      <c r="X348" s="5"/>
      <c r="Y348" s="5"/>
      <c r="Z348" s="5"/>
      <c r="AA348" s="5"/>
    </row>
    <row r="349" spans="2:27" ht="15.75" customHeight="1" x14ac:dyDescent="0.25">
      <c r="B349" s="5"/>
      <c r="C349" s="5"/>
      <c r="D349" s="5"/>
      <c r="E349" s="5"/>
      <c r="F349" s="5"/>
      <c r="G349" s="5"/>
      <c r="H349" s="5"/>
      <c r="I349" s="5"/>
      <c r="J349" s="5"/>
      <c r="K349" s="5"/>
      <c r="L349" s="5"/>
      <c r="M349" s="5"/>
      <c r="N349" s="5"/>
      <c r="O349" s="5"/>
      <c r="P349" s="5"/>
      <c r="Q349" s="5"/>
      <c r="R349" s="5"/>
      <c r="S349" s="5"/>
      <c r="T349" s="5"/>
      <c r="U349" s="5"/>
      <c r="V349" s="5"/>
      <c r="W349" s="5"/>
      <c r="X349" s="5"/>
      <c r="Y349" s="5"/>
      <c r="Z349" s="5"/>
      <c r="AA349" s="5"/>
    </row>
    <row r="350" spans="2:27" ht="15.75" customHeight="1" x14ac:dyDescent="0.25">
      <c r="B350" s="5"/>
      <c r="C350" s="5"/>
      <c r="D350" s="5"/>
      <c r="E350" s="5"/>
      <c r="F350" s="5"/>
      <c r="G350" s="5"/>
      <c r="H350" s="5"/>
      <c r="I350" s="5"/>
      <c r="J350" s="5"/>
      <c r="K350" s="5"/>
      <c r="L350" s="5"/>
      <c r="M350" s="5"/>
      <c r="N350" s="5"/>
      <c r="O350" s="5"/>
      <c r="P350" s="5"/>
      <c r="Q350" s="5"/>
      <c r="R350" s="5"/>
      <c r="S350" s="5"/>
      <c r="T350" s="5"/>
      <c r="U350" s="5"/>
      <c r="V350" s="5"/>
      <c r="W350" s="5"/>
      <c r="X350" s="5"/>
      <c r="Y350" s="5"/>
      <c r="Z350" s="5"/>
      <c r="AA350" s="5"/>
    </row>
    <row r="351" spans="2:27" ht="15.75" customHeight="1" x14ac:dyDescent="0.25">
      <c r="B351" s="5"/>
      <c r="C351" s="5"/>
      <c r="D351" s="5"/>
      <c r="E351" s="5"/>
      <c r="F351" s="5"/>
      <c r="G351" s="5"/>
      <c r="H351" s="5"/>
      <c r="I351" s="5"/>
      <c r="J351" s="5"/>
      <c r="K351" s="5"/>
      <c r="L351" s="5"/>
      <c r="M351" s="5"/>
      <c r="N351" s="5"/>
      <c r="O351" s="5"/>
      <c r="P351" s="5"/>
      <c r="Q351" s="5"/>
      <c r="R351" s="5"/>
      <c r="S351" s="5"/>
      <c r="T351" s="5"/>
      <c r="U351" s="5"/>
      <c r="V351" s="5"/>
      <c r="W351" s="5"/>
      <c r="X351" s="5"/>
      <c r="Y351" s="5"/>
      <c r="Z351" s="5"/>
      <c r="AA351" s="5"/>
    </row>
    <row r="352" spans="2:27" ht="15.75" customHeight="1" x14ac:dyDescent="0.25">
      <c r="B352" s="5"/>
      <c r="C352" s="5"/>
      <c r="D352" s="5"/>
      <c r="E352" s="5"/>
      <c r="F352" s="5"/>
      <c r="G352" s="5"/>
      <c r="H352" s="5"/>
      <c r="I352" s="5"/>
      <c r="J352" s="5"/>
      <c r="K352" s="5"/>
      <c r="L352" s="5"/>
      <c r="M352" s="5"/>
      <c r="N352" s="5"/>
      <c r="O352" s="5"/>
      <c r="P352" s="5"/>
      <c r="Q352" s="5"/>
      <c r="R352" s="5"/>
      <c r="S352" s="5"/>
      <c r="T352" s="5"/>
      <c r="U352" s="5"/>
      <c r="V352" s="5"/>
      <c r="W352" s="5"/>
      <c r="X352" s="5"/>
      <c r="Y352" s="5"/>
      <c r="Z352" s="5"/>
      <c r="AA352" s="5"/>
    </row>
    <row r="353" spans="2:27" ht="15.75" customHeight="1" x14ac:dyDescent="0.25">
      <c r="B353" s="5"/>
      <c r="C353" s="5"/>
      <c r="D353" s="5"/>
      <c r="E353" s="5"/>
      <c r="F353" s="5"/>
      <c r="G353" s="5"/>
      <c r="H353" s="5"/>
      <c r="I353" s="5"/>
      <c r="J353" s="5"/>
      <c r="K353" s="5"/>
      <c r="L353" s="5"/>
      <c r="M353" s="5"/>
      <c r="N353" s="5"/>
      <c r="O353" s="5"/>
      <c r="P353" s="5"/>
      <c r="Q353" s="5"/>
      <c r="R353" s="5"/>
      <c r="S353" s="5"/>
      <c r="T353" s="5"/>
      <c r="U353" s="5"/>
      <c r="V353" s="5"/>
      <c r="W353" s="5"/>
      <c r="X353" s="5"/>
      <c r="Y353" s="5"/>
      <c r="Z353" s="5"/>
      <c r="AA353" s="5"/>
    </row>
    <row r="354" spans="2:27" ht="15.75" customHeight="1" x14ac:dyDescent="0.25">
      <c r="B354" s="5"/>
      <c r="C354" s="5"/>
      <c r="D354" s="5"/>
      <c r="E354" s="5"/>
      <c r="F354" s="5"/>
      <c r="G354" s="5"/>
      <c r="H354" s="5"/>
      <c r="I354" s="5"/>
      <c r="J354" s="5"/>
      <c r="K354" s="5"/>
      <c r="L354" s="5"/>
      <c r="M354" s="5"/>
      <c r="N354" s="5"/>
      <c r="O354" s="5"/>
      <c r="P354" s="5"/>
      <c r="Q354" s="5"/>
      <c r="R354" s="5"/>
      <c r="S354" s="5"/>
      <c r="T354" s="5"/>
      <c r="U354" s="5"/>
      <c r="V354" s="5"/>
      <c r="W354" s="5"/>
      <c r="X354" s="5"/>
      <c r="Y354" s="5"/>
      <c r="Z354" s="5"/>
      <c r="AA354" s="5"/>
    </row>
    <row r="355" spans="2:27" ht="15.75" customHeight="1" x14ac:dyDescent="0.25">
      <c r="B355" s="5"/>
      <c r="C355" s="5"/>
      <c r="D355" s="5"/>
      <c r="E355" s="5"/>
      <c r="F355" s="5"/>
      <c r="G355" s="5"/>
      <c r="H355" s="5"/>
      <c r="I355" s="5"/>
      <c r="J355" s="5"/>
      <c r="K355" s="5"/>
      <c r="L355" s="5"/>
      <c r="M355" s="5"/>
      <c r="N355" s="5"/>
      <c r="O355" s="5"/>
      <c r="P355" s="5"/>
      <c r="Q355" s="5"/>
      <c r="R355" s="5"/>
      <c r="S355" s="5"/>
      <c r="T355" s="5"/>
      <c r="U355" s="5"/>
      <c r="V355" s="5"/>
      <c r="W355" s="5"/>
      <c r="X355" s="5"/>
      <c r="Y355" s="5"/>
      <c r="Z355" s="5"/>
      <c r="AA355" s="5"/>
    </row>
    <row r="356" spans="2:27" ht="15.75" customHeight="1" x14ac:dyDescent="0.25">
      <c r="B356" s="5"/>
      <c r="C356" s="5"/>
      <c r="D356" s="5"/>
      <c r="E356" s="5"/>
      <c r="F356" s="5"/>
      <c r="G356" s="5"/>
      <c r="H356" s="5"/>
      <c r="I356" s="5"/>
      <c r="J356" s="5"/>
      <c r="K356" s="5"/>
      <c r="L356" s="5"/>
      <c r="M356" s="5"/>
      <c r="N356" s="5"/>
      <c r="O356" s="5"/>
      <c r="P356" s="5"/>
      <c r="Q356" s="5"/>
      <c r="R356" s="5"/>
      <c r="S356" s="5"/>
      <c r="T356" s="5"/>
      <c r="U356" s="5"/>
      <c r="V356" s="5"/>
      <c r="W356" s="5"/>
      <c r="X356" s="5"/>
      <c r="Y356" s="5"/>
      <c r="Z356" s="5"/>
      <c r="AA356" s="5"/>
    </row>
    <row r="357" spans="2:27" ht="15.75" customHeight="1" x14ac:dyDescent="0.25">
      <c r="B357" s="5"/>
      <c r="C357" s="5"/>
      <c r="D357" s="5"/>
      <c r="E357" s="5"/>
      <c r="F357" s="5"/>
      <c r="G357" s="5"/>
      <c r="H357" s="5"/>
      <c r="I357" s="5"/>
      <c r="J357" s="5"/>
      <c r="K357" s="5"/>
      <c r="L357" s="5"/>
      <c r="M357" s="5"/>
      <c r="N357" s="5"/>
      <c r="O357" s="5"/>
      <c r="P357" s="5"/>
      <c r="Q357" s="5"/>
      <c r="R357" s="5"/>
      <c r="S357" s="5"/>
      <c r="T357" s="5"/>
      <c r="U357" s="5"/>
      <c r="V357" s="5"/>
      <c r="W357" s="5"/>
      <c r="X357" s="5"/>
      <c r="Y357" s="5"/>
      <c r="Z357" s="5"/>
      <c r="AA357" s="5"/>
    </row>
    <row r="358" spans="2:27" ht="15.75" customHeight="1" x14ac:dyDescent="0.25">
      <c r="B358" s="5"/>
      <c r="C358" s="5"/>
      <c r="D358" s="5"/>
      <c r="E358" s="5"/>
      <c r="F358" s="5"/>
      <c r="G358" s="5"/>
      <c r="H358" s="5"/>
      <c r="I358" s="5"/>
      <c r="J358" s="5"/>
      <c r="K358" s="5"/>
      <c r="L358" s="5"/>
      <c r="M358" s="5"/>
      <c r="N358" s="5"/>
      <c r="O358" s="5"/>
      <c r="P358" s="5"/>
      <c r="Q358" s="5"/>
      <c r="R358" s="5"/>
      <c r="S358" s="5"/>
      <c r="T358" s="5"/>
      <c r="U358" s="5"/>
      <c r="V358" s="5"/>
      <c r="W358" s="5"/>
      <c r="X358" s="5"/>
      <c r="Y358" s="5"/>
      <c r="Z358" s="5"/>
      <c r="AA358" s="5"/>
    </row>
    <row r="359" spans="2:27" ht="15.75" customHeight="1" x14ac:dyDescent="0.25">
      <c r="B359" s="5"/>
      <c r="C359" s="5"/>
      <c r="D359" s="5"/>
      <c r="E359" s="5"/>
      <c r="F359" s="5"/>
      <c r="G359" s="5"/>
      <c r="H359" s="5"/>
      <c r="I359" s="5"/>
      <c r="J359" s="5"/>
      <c r="K359" s="5"/>
      <c r="L359" s="5"/>
      <c r="M359" s="5"/>
      <c r="N359" s="5"/>
      <c r="O359" s="5"/>
      <c r="P359" s="5"/>
      <c r="Q359" s="5"/>
      <c r="R359" s="5"/>
      <c r="S359" s="5"/>
      <c r="T359" s="5"/>
      <c r="U359" s="5"/>
      <c r="V359" s="5"/>
      <c r="W359" s="5"/>
      <c r="X359" s="5"/>
      <c r="Y359" s="5"/>
      <c r="Z359" s="5"/>
      <c r="AA359" s="5"/>
    </row>
    <row r="360" spans="2:27" ht="15.75" customHeight="1" x14ac:dyDescent="0.25">
      <c r="B360" s="5"/>
      <c r="C360" s="5"/>
      <c r="D360" s="5"/>
      <c r="E360" s="5"/>
      <c r="F360" s="5"/>
      <c r="G360" s="5"/>
      <c r="H360" s="5"/>
      <c r="I360" s="5"/>
      <c r="J360" s="5"/>
      <c r="K360" s="5"/>
      <c r="L360" s="5"/>
      <c r="M360" s="5"/>
      <c r="N360" s="5"/>
      <c r="O360" s="5"/>
      <c r="P360" s="5"/>
      <c r="Q360" s="5"/>
      <c r="R360" s="5"/>
      <c r="S360" s="5"/>
      <c r="T360" s="5"/>
      <c r="U360" s="5"/>
      <c r="V360" s="5"/>
      <c r="W360" s="5"/>
      <c r="X360" s="5"/>
      <c r="Y360" s="5"/>
      <c r="Z360" s="5"/>
      <c r="AA360" s="5"/>
    </row>
    <row r="361" spans="2:27" ht="15.75" customHeight="1" x14ac:dyDescent="0.25">
      <c r="B361" s="5"/>
      <c r="C361" s="5"/>
      <c r="D361" s="5"/>
      <c r="E361" s="5"/>
      <c r="F361" s="5"/>
      <c r="G361" s="5"/>
      <c r="H361" s="5"/>
      <c r="I361" s="5"/>
      <c r="J361" s="5"/>
      <c r="K361" s="5"/>
      <c r="L361" s="5"/>
      <c r="M361" s="5"/>
      <c r="N361" s="5"/>
      <c r="O361" s="5"/>
      <c r="P361" s="5"/>
      <c r="Q361" s="5"/>
      <c r="R361" s="5"/>
      <c r="S361" s="5"/>
      <c r="T361" s="5"/>
      <c r="U361" s="5"/>
      <c r="V361" s="5"/>
      <c r="W361" s="5"/>
      <c r="X361" s="5"/>
      <c r="Y361" s="5"/>
      <c r="Z361" s="5"/>
      <c r="AA361" s="5"/>
    </row>
    <row r="362" spans="2:27" ht="15.75" customHeight="1" x14ac:dyDescent="0.25">
      <c r="B362" s="5"/>
      <c r="C362" s="5"/>
      <c r="D362" s="5"/>
      <c r="E362" s="5"/>
      <c r="F362" s="5"/>
      <c r="G362" s="5"/>
      <c r="H362" s="5"/>
      <c r="I362" s="5"/>
      <c r="J362" s="5"/>
      <c r="K362" s="5"/>
      <c r="L362" s="5"/>
      <c r="M362" s="5"/>
      <c r="N362" s="5"/>
      <c r="O362" s="5"/>
      <c r="P362" s="5"/>
      <c r="Q362" s="5"/>
      <c r="R362" s="5"/>
      <c r="S362" s="5"/>
      <c r="T362" s="5"/>
      <c r="U362" s="5"/>
      <c r="V362" s="5"/>
      <c r="W362" s="5"/>
      <c r="X362" s="5"/>
      <c r="Y362" s="5"/>
      <c r="Z362" s="5"/>
      <c r="AA362" s="5"/>
    </row>
    <row r="363" spans="2:27" ht="15.75" customHeight="1" x14ac:dyDescent="0.25">
      <c r="B363" s="5"/>
      <c r="C363" s="5"/>
      <c r="D363" s="5"/>
      <c r="E363" s="5"/>
      <c r="F363" s="5"/>
      <c r="G363" s="5"/>
      <c r="H363" s="5"/>
      <c r="I363" s="5"/>
      <c r="J363" s="5"/>
      <c r="K363" s="5"/>
      <c r="L363" s="5"/>
      <c r="M363" s="5"/>
      <c r="N363" s="5"/>
      <c r="O363" s="5"/>
      <c r="P363" s="5"/>
      <c r="Q363" s="5"/>
      <c r="R363" s="5"/>
      <c r="S363" s="5"/>
      <c r="T363" s="5"/>
      <c r="U363" s="5"/>
      <c r="V363" s="5"/>
      <c r="W363" s="5"/>
      <c r="X363" s="5"/>
      <c r="Y363" s="5"/>
      <c r="Z363" s="5"/>
      <c r="AA363" s="5"/>
    </row>
    <row r="364" spans="2:27" ht="15.75" customHeight="1" x14ac:dyDescent="0.25">
      <c r="B364" s="5"/>
      <c r="C364" s="5"/>
      <c r="D364" s="5"/>
      <c r="E364" s="5"/>
      <c r="F364" s="5"/>
      <c r="G364" s="5"/>
      <c r="H364" s="5"/>
      <c r="I364" s="5"/>
      <c r="J364" s="5"/>
      <c r="K364" s="5"/>
      <c r="L364" s="5"/>
      <c r="M364" s="5"/>
      <c r="N364" s="5"/>
      <c r="O364" s="5"/>
      <c r="P364" s="5"/>
      <c r="Q364" s="5"/>
      <c r="R364" s="5"/>
      <c r="S364" s="5"/>
      <c r="T364" s="5"/>
      <c r="U364" s="5"/>
      <c r="V364" s="5"/>
      <c r="W364" s="5"/>
      <c r="X364" s="5"/>
      <c r="Y364" s="5"/>
      <c r="Z364" s="5"/>
      <c r="AA364" s="5"/>
    </row>
    <row r="365" spans="2:27" ht="15.75" customHeight="1" x14ac:dyDescent="0.25">
      <c r="B365" s="5"/>
      <c r="C365" s="5"/>
      <c r="D365" s="5"/>
      <c r="E365" s="5"/>
      <c r="F365" s="5"/>
      <c r="G365" s="5"/>
      <c r="H365" s="5"/>
      <c r="I365" s="5"/>
      <c r="J365" s="5"/>
      <c r="K365" s="5"/>
      <c r="L365" s="5"/>
      <c r="M365" s="5"/>
      <c r="N365" s="5"/>
      <c r="O365" s="5"/>
      <c r="P365" s="5"/>
      <c r="Q365" s="5"/>
      <c r="R365" s="5"/>
      <c r="S365" s="5"/>
      <c r="T365" s="5"/>
      <c r="U365" s="5"/>
      <c r="V365" s="5"/>
      <c r="W365" s="5"/>
      <c r="X365" s="5"/>
      <c r="Y365" s="5"/>
      <c r="Z365" s="5"/>
      <c r="AA365" s="5"/>
    </row>
    <row r="366" spans="2:27" ht="15.75" customHeight="1" x14ac:dyDescent="0.25">
      <c r="B366" s="5"/>
      <c r="C366" s="5"/>
      <c r="D366" s="5"/>
      <c r="E366" s="5"/>
      <c r="F366" s="5"/>
      <c r="G366" s="5"/>
      <c r="H366" s="5"/>
      <c r="I366" s="5"/>
      <c r="J366" s="5"/>
      <c r="K366" s="5"/>
      <c r="L366" s="5"/>
      <c r="M366" s="5"/>
      <c r="N366" s="5"/>
      <c r="O366" s="5"/>
      <c r="P366" s="5"/>
      <c r="Q366" s="5"/>
      <c r="R366" s="5"/>
      <c r="S366" s="5"/>
      <c r="T366" s="5"/>
      <c r="U366" s="5"/>
      <c r="V366" s="5"/>
      <c r="W366" s="5"/>
      <c r="X366" s="5"/>
      <c r="Y366" s="5"/>
      <c r="Z366" s="5"/>
      <c r="AA366" s="5"/>
    </row>
    <row r="367" spans="2:27" ht="15.75" customHeight="1" x14ac:dyDescent="0.25">
      <c r="B367" s="5"/>
      <c r="C367" s="5"/>
      <c r="D367" s="5"/>
      <c r="E367" s="5"/>
      <c r="F367" s="5"/>
      <c r="G367" s="5"/>
      <c r="H367" s="5"/>
      <c r="I367" s="5"/>
      <c r="J367" s="5"/>
      <c r="K367" s="5"/>
      <c r="L367" s="5"/>
      <c r="M367" s="5"/>
      <c r="N367" s="5"/>
      <c r="O367" s="5"/>
      <c r="P367" s="5"/>
      <c r="Q367" s="5"/>
      <c r="R367" s="5"/>
      <c r="S367" s="5"/>
      <c r="T367" s="5"/>
      <c r="U367" s="5"/>
      <c r="V367" s="5"/>
      <c r="W367" s="5"/>
      <c r="X367" s="5"/>
      <c r="Y367" s="5"/>
      <c r="Z367" s="5"/>
      <c r="AA367" s="5"/>
    </row>
    <row r="368" spans="2:27" ht="15.75" customHeight="1" x14ac:dyDescent="0.25">
      <c r="B368" s="5"/>
      <c r="C368" s="5"/>
      <c r="D368" s="5"/>
      <c r="E368" s="5"/>
      <c r="F368" s="5"/>
      <c r="G368" s="5"/>
      <c r="H368" s="5"/>
      <c r="I368" s="5"/>
      <c r="J368" s="5"/>
      <c r="K368" s="5"/>
      <c r="L368" s="5"/>
      <c r="M368" s="5"/>
      <c r="N368" s="5"/>
      <c r="O368" s="5"/>
      <c r="P368" s="5"/>
      <c r="Q368" s="5"/>
      <c r="R368" s="5"/>
      <c r="S368" s="5"/>
      <c r="T368" s="5"/>
      <c r="U368" s="5"/>
      <c r="V368" s="5"/>
      <c r="W368" s="5"/>
      <c r="X368" s="5"/>
      <c r="Y368" s="5"/>
      <c r="Z368" s="5"/>
      <c r="AA368" s="5"/>
    </row>
    <row r="369" spans="2:27" ht="15.75" customHeight="1" x14ac:dyDescent="0.25">
      <c r="B369" s="5"/>
      <c r="C369" s="5"/>
      <c r="D369" s="5"/>
      <c r="E369" s="5"/>
      <c r="F369" s="5"/>
      <c r="G369" s="5"/>
      <c r="H369" s="5"/>
      <c r="I369" s="5"/>
      <c r="J369" s="5"/>
      <c r="K369" s="5"/>
      <c r="L369" s="5"/>
      <c r="M369" s="5"/>
      <c r="N369" s="5"/>
      <c r="O369" s="5"/>
      <c r="P369" s="5"/>
      <c r="Q369" s="5"/>
      <c r="R369" s="5"/>
      <c r="S369" s="5"/>
      <c r="T369" s="5"/>
      <c r="U369" s="5"/>
      <c r="V369" s="5"/>
      <c r="W369" s="5"/>
      <c r="X369" s="5"/>
      <c r="Y369" s="5"/>
      <c r="Z369" s="5"/>
      <c r="AA369" s="5"/>
    </row>
    <row r="370" spans="2:27" ht="15.75" customHeight="1" x14ac:dyDescent="0.25">
      <c r="B370" s="5"/>
      <c r="C370" s="5"/>
      <c r="D370" s="5"/>
      <c r="E370" s="5"/>
      <c r="F370" s="5"/>
      <c r="G370" s="5"/>
      <c r="H370" s="5"/>
      <c r="I370" s="5"/>
      <c r="J370" s="5"/>
      <c r="K370" s="5"/>
      <c r="L370" s="5"/>
      <c r="M370" s="5"/>
      <c r="N370" s="5"/>
      <c r="O370" s="5"/>
      <c r="P370" s="5"/>
      <c r="Q370" s="5"/>
      <c r="R370" s="5"/>
      <c r="S370" s="5"/>
      <c r="T370" s="5"/>
      <c r="U370" s="5"/>
      <c r="V370" s="5"/>
      <c r="W370" s="5"/>
      <c r="X370" s="5"/>
      <c r="Y370" s="5"/>
      <c r="Z370" s="5"/>
      <c r="AA370" s="5"/>
    </row>
    <row r="371" spans="2:27" ht="15.75" customHeight="1" x14ac:dyDescent="0.25">
      <c r="B371" s="5"/>
      <c r="C371" s="5"/>
      <c r="D371" s="5"/>
      <c r="E371" s="5"/>
      <c r="F371" s="5"/>
      <c r="G371" s="5"/>
      <c r="H371" s="5"/>
      <c r="I371" s="5"/>
      <c r="J371" s="5"/>
      <c r="K371" s="5"/>
      <c r="L371" s="5"/>
      <c r="M371" s="5"/>
      <c r="N371" s="5"/>
      <c r="O371" s="5"/>
      <c r="P371" s="5"/>
      <c r="Q371" s="5"/>
      <c r="R371" s="5"/>
      <c r="S371" s="5"/>
      <c r="T371" s="5"/>
      <c r="U371" s="5"/>
      <c r="V371" s="5"/>
      <c r="W371" s="5"/>
      <c r="X371" s="5"/>
      <c r="Y371" s="5"/>
      <c r="Z371" s="5"/>
      <c r="AA371" s="5"/>
    </row>
    <row r="372" spans="2:27" ht="15.75" customHeight="1" x14ac:dyDescent="0.25">
      <c r="B372" s="5"/>
      <c r="C372" s="5"/>
      <c r="D372" s="5"/>
      <c r="E372" s="5"/>
      <c r="F372" s="5"/>
      <c r="G372" s="5"/>
      <c r="H372" s="5"/>
      <c r="I372" s="5"/>
      <c r="J372" s="5"/>
      <c r="K372" s="5"/>
      <c r="L372" s="5"/>
      <c r="M372" s="5"/>
      <c r="N372" s="5"/>
      <c r="O372" s="5"/>
      <c r="P372" s="5"/>
      <c r="Q372" s="5"/>
      <c r="R372" s="5"/>
      <c r="S372" s="5"/>
      <c r="T372" s="5"/>
      <c r="U372" s="5"/>
      <c r="V372" s="5"/>
      <c r="W372" s="5"/>
      <c r="X372" s="5"/>
      <c r="Y372" s="5"/>
      <c r="Z372" s="5"/>
      <c r="AA372" s="5"/>
    </row>
    <row r="373" spans="2:27" ht="15.75" customHeight="1" x14ac:dyDescent="0.25">
      <c r="B373" s="5"/>
      <c r="C373" s="5"/>
      <c r="D373" s="5"/>
      <c r="E373" s="5"/>
      <c r="F373" s="5"/>
      <c r="G373" s="5"/>
      <c r="H373" s="5"/>
      <c r="I373" s="5"/>
      <c r="J373" s="5"/>
      <c r="K373" s="5"/>
      <c r="L373" s="5"/>
      <c r="M373" s="5"/>
      <c r="N373" s="5"/>
      <c r="O373" s="5"/>
      <c r="P373" s="5"/>
      <c r="Q373" s="5"/>
      <c r="R373" s="5"/>
      <c r="S373" s="5"/>
      <c r="T373" s="5"/>
      <c r="U373" s="5"/>
      <c r="V373" s="5"/>
      <c r="W373" s="5"/>
      <c r="X373" s="5"/>
      <c r="Y373" s="5"/>
      <c r="Z373" s="5"/>
      <c r="AA373" s="5"/>
    </row>
    <row r="374" spans="2:27" ht="15.75" customHeight="1" x14ac:dyDescent="0.25">
      <c r="B374" s="5"/>
      <c r="C374" s="5"/>
      <c r="D374" s="5"/>
      <c r="E374" s="5"/>
      <c r="F374" s="5"/>
      <c r="G374" s="5"/>
      <c r="H374" s="5"/>
      <c r="I374" s="5"/>
      <c r="J374" s="5"/>
      <c r="K374" s="5"/>
      <c r="L374" s="5"/>
      <c r="M374" s="5"/>
      <c r="N374" s="5"/>
      <c r="O374" s="5"/>
      <c r="P374" s="5"/>
      <c r="Q374" s="5"/>
      <c r="R374" s="5"/>
      <c r="S374" s="5"/>
      <c r="T374" s="5"/>
      <c r="U374" s="5"/>
      <c r="V374" s="5"/>
      <c r="W374" s="5"/>
      <c r="X374" s="5"/>
      <c r="Y374" s="5"/>
      <c r="Z374" s="5"/>
      <c r="AA374" s="5"/>
    </row>
    <row r="375" spans="2:27" ht="15.75" customHeight="1" x14ac:dyDescent="0.25">
      <c r="B375" s="5"/>
      <c r="C375" s="5"/>
      <c r="D375" s="5"/>
      <c r="E375" s="5"/>
      <c r="F375" s="5"/>
      <c r="G375" s="5"/>
      <c r="H375" s="5"/>
      <c r="I375" s="5"/>
      <c r="J375" s="5"/>
      <c r="K375" s="5"/>
      <c r="L375" s="5"/>
      <c r="M375" s="5"/>
      <c r="N375" s="5"/>
      <c r="O375" s="5"/>
      <c r="P375" s="5"/>
      <c r="Q375" s="5"/>
      <c r="R375" s="5"/>
      <c r="S375" s="5"/>
      <c r="T375" s="5"/>
      <c r="U375" s="5"/>
      <c r="V375" s="5"/>
      <c r="W375" s="5"/>
      <c r="X375" s="5"/>
      <c r="Y375" s="5"/>
      <c r="Z375" s="5"/>
      <c r="AA375" s="5"/>
    </row>
    <row r="376" spans="2:27" ht="15.75" customHeight="1" x14ac:dyDescent="0.25">
      <c r="B376" s="5"/>
      <c r="C376" s="5"/>
      <c r="D376" s="5"/>
      <c r="E376" s="5"/>
      <c r="F376" s="5"/>
      <c r="G376" s="5"/>
      <c r="H376" s="5"/>
      <c r="I376" s="5"/>
      <c r="J376" s="5"/>
      <c r="K376" s="5"/>
      <c r="L376" s="5"/>
      <c r="M376" s="5"/>
      <c r="N376" s="5"/>
      <c r="O376" s="5"/>
      <c r="P376" s="5"/>
      <c r="Q376" s="5"/>
      <c r="R376" s="5"/>
      <c r="S376" s="5"/>
      <c r="T376" s="5"/>
      <c r="U376" s="5"/>
      <c r="V376" s="5"/>
      <c r="W376" s="5"/>
      <c r="X376" s="5"/>
      <c r="Y376" s="5"/>
      <c r="Z376" s="5"/>
      <c r="AA376" s="5"/>
    </row>
    <row r="377" spans="2:27" ht="15.75" customHeight="1" x14ac:dyDescent="0.25">
      <c r="B377" s="5"/>
      <c r="C377" s="5"/>
      <c r="D377" s="5"/>
      <c r="E377" s="5"/>
      <c r="F377" s="5"/>
      <c r="G377" s="5"/>
      <c r="H377" s="5"/>
      <c r="I377" s="5"/>
      <c r="J377" s="5"/>
      <c r="K377" s="5"/>
      <c r="L377" s="5"/>
      <c r="M377" s="5"/>
      <c r="N377" s="5"/>
      <c r="O377" s="5"/>
      <c r="P377" s="5"/>
      <c r="Q377" s="5"/>
      <c r="R377" s="5"/>
      <c r="S377" s="5"/>
      <c r="T377" s="5"/>
      <c r="U377" s="5"/>
      <c r="V377" s="5"/>
      <c r="W377" s="5"/>
      <c r="X377" s="5"/>
      <c r="Y377" s="5"/>
      <c r="Z377" s="5"/>
      <c r="AA377" s="5"/>
    </row>
    <row r="378" spans="2:27" ht="15.75" customHeight="1" x14ac:dyDescent="0.25">
      <c r="B378" s="5"/>
      <c r="C378" s="5"/>
      <c r="D378" s="5"/>
      <c r="E378" s="5"/>
      <c r="F378" s="5"/>
      <c r="G378" s="5"/>
      <c r="H378" s="5"/>
      <c r="I378" s="5"/>
      <c r="J378" s="5"/>
      <c r="K378" s="5"/>
      <c r="L378" s="5"/>
      <c r="M378" s="5"/>
      <c r="N378" s="5"/>
      <c r="O378" s="5"/>
      <c r="P378" s="5"/>
      <c r="Q378" s="5"/>
      <c r="R378" s="5"/>
      <c r="S378" s="5"/>
      <c r="T378" s="5"/>
      <c r="U378" s="5"/>
      <c r="V378" s="5"/>
      <c r="W378" s="5"/>
      <c r="X378" s="5"/>
      <c r="Y378" s="5"/>
      <c r="Z378" s="5"/>
      <c r="AA378" s="5"/>
    </row>
    <row r="379" spans="2:27" ht="15.75" customHeight="1" x14ac:dyDescent="0.25">
      <c r="B379" s="5"/>
      <c r="C379" s="5"/>
      <c r="D379" s="5"/>
      <c r="E379" s="5"/>
      <c r="F379" s="5"/>
      <c r="G379" s="5"/>
      <c r="H379" s="5"/>
      <c r="I379" s="5"/>
      <c r="J379" s="5"/>
      <c r="K379" s="5"/>
      <c r="L379" s="5"/>
      <c r="M379" s="5"/>
      <c r="N379" s="5"/>
      <c r="O379" s="5"/>
      <c r="P379" s="5"/>
      <c r="Q379" s="5"/>
      <c r="R379" s="5"/>
      <c r="S379" s="5"/>
      <c r="T379" s="5"/>
      <c r="U379" s="5"/>
      <c r="V379" s="5"/>
      <c r="W379" s="5"/>
      <c r="X379" s="5"/>
      <c r="Y379" s="5"/>
      <c r="Z379" s="5"/>
      <c r="AA379" s="5"/>
    </row>
    <row r="380" spans="2:27" ht="15.75" customHeight="1" x14ac:dyDescent="0.25">
      <c r="B380" s="5"/>
      <c r="C380" s="5"/>
      <c r="D380" s="5"/>
      <c r="E380" s="5"/>
      <c r="F380" s="5"/>
      <c r="G380" s="5"/>
      <c r="H380" s="5"/>
      <c r="I380" s="5"/>
      <c r="J380" s="5"/>
      <c r="K380" s="5"/>
      <c r="L380" s="5"/>
      <c r="M380" s="5"/>
      <c r="N380" s="5"/>
      <c r="O380" s="5"/>
      <c r="P380" s="5"/>
      <c r="Q380" s="5"/>
      <c r="R380" s="5"/>
      <c r="S380" s="5"/>
      <c r="T380" s="5"/>
      <c r="U380" s="5"/>
      <c r="V380" s="5"/>
      <c r="W380" s="5"/>
      <c r="X380" s="5"/>
      <c r="Y380" s="5"/>
      <c r="Z380" s="5"/>
      <c r="AA380" s="5"/>
    </row>
    <row r="381" spans="2:27" ht="15.75" customHeight="1" x14ac:dyDescent="0.25">
      <c r="B381" s="5"/>
      <c r="C381" s="5"/>
      <c r="D381" s="5"/>
      <c r="E381" s="5"/>
      <c r="F381" s="5"/>
      <c r="G381" s="5"/>
      <c r="H381" s="5"/>
      <c r="I381" s="5"/>
      <c r="J381" s="5"/>
      <c r="K381" s="5"/>
      <c r="L381" s="5"/>
      <c r="M381" s="5"/>
      <c r="N381" s="5"/>
      <c r="O381" s="5"/>
      <c r="P381" s="5"/>
      <c r="Q381" s="5"/>
      <c r="R381" s="5"/>
      <c r="S381" s="5"/>
      <c r="T381" s="5"/>
      <c r="U381" s="5"/>
      <c r="V381" s="5"/>
      <c r="W381" s="5"/>
      <c r="X381" s="5"/>
      <c r="Y381" s="5"/>
      <c r="Z381" s="5"/>
      <c r="AA381" s="5"/>
    </row>
    <row r="382" spans="2:27" ht="15.75" customHeight="1" x14ac:dyDescent="0.25">
      <c r="B382" s="5"/>
      <c r="C382" s="5"/>
      <c r="D382" s="5"/>
      <c r="E382" s="5"/>
      <c r="F382" s="5"/>
      <c r="G382" s="5"/>
      <c r="H382" s="5"/>
      <c r="I382" s="5"/>
      <c r="J382" s="5"/>
      <c r="K382" s="5"/>
      <c r="L382" s="5"/>
      <c r="M382" s="5"/>
      <c r="N382" s="5"/>
      <c r="O382" s="5"/>
      <c r="P382" s="5"/>
      <c r="Q382" s="5"/>
      <c r="R382" s="5"/>
      <c r="S382" s="5"/>
      <c r="T382" s="5"/>
      <c r="U382" s="5"/>
      <c r="V382" s="5"/>
      <c r="W382" s="5"/>
      <c r="X382" s="5"/>
      <c r="Y382" s="5"/>
      <c r="Z382" s="5"/>
      <c r="AA382" s="5"/>
    </row>
    <row r="383" spans="2:27" ht="15.75" customHeight="1" x14ac:dyDescent="0.25">
      <c r="B383" s="5"/>
      <c r="C383" s="5"/>
      <c r="D383" s="5"/>
      <c r="E383" s="5"/>
      <c r="F383" s="5"/>
      <c r="G383" s="5"/>
      <c r="H383" s="5"/>
      <c r="I383" s="5"/>
      <c r="J383" s="5"/>
      <c r="K383" s="5"/>
      <c r="L383" s="5"/>
      <c r="M383" s="5"/>
      <c r="N383" s="5"/>
      <c r="O383" s="5"/>
      <c r="P383" s="5"/>
      <c r="Q383" s="5"/>
      <c r="R383" s="5"/>
      <c r="S383" s="5"/>
      <c r="T383" s="5"/>
      <c r="U383" s="5"/>
      <c r="V383" s="5"/>
      <c r="W383" s="5"/>
      <c r="X383" s="5"/>
      <c r="Y383" s="5"/>
      <c r="Z383" s="5"/>
      <c r="AA383" s="5"/>
    </row>
    <row r="384" spans="2:27" ht="15.75" customHeight="1" x14ac:dyDescent="0.25">
      <c r="B384" s="5"/>
      <c r="C384" s="5"/>
      <c r="D384" s="5"/>
      <c r="E384" s="5"/>
      <c r="F384" s="5"/>
      <c r="G384" s="5"/>
      <c r="H384" s="5"/>
      <c r="I384" s="5"/>
      <c r="J384" s="5"/>
      <c r="K384" s="5"/>
      <c r="L384" s="5"/>
      <c r="M384" s="5"/>
      <c r="N384" s="5"/>
      <c r="O384" s="5"/>
      <c r="P384" s="5"/>
      <c r="Q384" s="5"/>
      <c r="R384" s="5"/>
      <c r="S384" s="5"/>
      <c r="T384" s="5"/>
      <c r="U384" s="5"/>
      <c r="V384" s="5"/>
      <c r="W384" s="5"/>
      <c r="X384" s="5"/>
      <c r="Y384" s="5"/>
      <c r="Z384" s="5"/>
      <c r="AA384" s="5"/>
    </row>
    <row r="385" spans="2:27" ht="15.75" customHeight="1" x14ac:dyDescent="0.25">
      <c r="B385" s="5"/>
      <c r="C385" s="5"/>
      <c r="D385" s="5"/>
      <c r="E385" s="5"/>
      <c r="F385" s="5"/>
      <c r="G385" s="5"/>
      <c r="H385" s="5"/>
      <c r="I385" s="5"/>
      <c r="J385" s="5"/>
      <c r="K385" s="5"/>
      <c r="L385" s="5"/>
      <c r="M385" s="5"/>
      <c r="N385" s="5"/>
      <c r="O385" s="5"/>
      <c r="P385" s="5"/>
      <c r="Q385" s="5"/>
      <c r="R385" s="5"/>
      <c r="S385" s="5"/>
      <c r="T385" s="5"/>
      <c r="U385" s="5"/>
      <c r="V385" s="5"/>
      <c r="W385" s="5"/>
      <c r="X385" s="5"/>
      <c r="Y385" s="5"/>
      <c r="Z385" s="5"/>
      <c r="AA385" s="5"/>
    </row>
    <row r="386" spans="2:27" ht="15.75" customHeight="1" x14ac:dyDescent="0.25">
      <c r="B386" s="5"/>
      <c r="C386" s="5"/>
      <c r="D386" s="5"/>
      <c r="E386" s="5"/>
      <c r="F386" s="5"/>
      <c r="G386" s="5"/>
      <c r="H386" s="5"/>
      <c r="I386" s="5"/>
      <c r="J386" s="5"/>
      <c r="K386" s="5"/>
      <c r="L386" s="5"/>
      <c r="M386" s="5"/>
      <c r="N386" s="5"/>
      <c r="O386" s="5"/>
      <c r="P386" s="5"/>
      <c r="Q386" s="5"/>
      <c r="R386" s="5"/>
      <c r="S386" s="5"/>
      <c r="T386" s="5"/>
      <c r="U386" s="5"/>
      <c r="V386" s="5"/>
      <c r="W386" s="5"/>
      <c r="X386" s="5"/>
      <c r="Y386" s="5"/>
      <c r="Z386" s="5"/>
      <c r="AA386" s="5"/>
    </row>
    <row r="387" spans="2:27" ht="15.75" customHeight="1" x14ac:dyDescent="0.25">
      <c r="B387" s="5"/>
      <c r="C387" s="5"/>
      <c r="D387" s="5"/>
      <c r="E387" s="5"/>
      <c r="F387" s="5"/>
      <c r="G387" s="5"/>
      <c r="H387" s="5"/>
      <c r="I387" s="5"/>
      <c r="J387" s="5"/>
      <c r="K387" s="5"/>
      <c r="L387" s="5"/>
      <c r="M387" s="5"/>
      <c r="N387" s="5"/>
      <c r="O387" s="5"/>
      <c r="P387" s="5"/>
      <c r="Q387" s="5"/>
      <c r="R387" s="5"/>
      <c r="S387" s="5"/>
      <c r="T387" s="5"/>
      <c r="U387" s="5"/>
      <c r="V387" s="5"/>
      <c r="W387" s="5"/>
      <c r="X387" s="5"/>
      <c r="Y387" s="5"/>
      <c r="Z387" s="5"/>
      <c r="AA387" s="5"/>
    </row>
    <row r="388" spans="2:27" ht="15.75" customHeight="1" x14ac:dyDescent="0.25">
      <c r="B388" s="5"/>
      <c r="C388" s="5"/>
      <c r="D388" s="5"/>
      <c r="E388" s="5"/>
      <c r="F388" s="5"/>
      <c r="G388" s="5"/>
      <c r="H388" s="5"/>
      <c r="I388" s="5"/>
      <c r="J388" s="5"/>
      <c r="K388" s="5"/>
      <c r="L388" s="5"/>
      <c r="M388" s="5"/>
      <c r="N388" s="5"/>
      <c r="O388" s="5"/>
      <c r="P388" s="5"/>
      <c r="Q388" s="5"/>
      <c r="R388" s="5"/>
      <c r="S388" s="5"/>
      <c r="T388" s="5"/>
      <c r="U388" s="5"/>
      <c r="V388" s="5"/>
      <c r="W388" s="5"/>
      <c r="X388" s="5"/>
      <c r="Y388" s="5"/>
      <c r="Z388" s="5"/>
      <c r="AA388" s="5"/>
    </row>
    <row r="389" spans="2:27" ht="15.75" customHeight="1" x14ac:dyDescent="0.25">
      <c r="B389" s="5"/>
      <c r="C389" s="5"/>
      <c r="D389" s="5"/>
      <c r="E389" s="5"/>
      <c r="F389" s="5"/>
      <c r="G389" s="5"/>
      <c r="H389" s="5"/>
      <c r="I389" s="5"/>
      <c r="J389" s="5"/>
      <c r="K389" s="5"/>
      <c r="L389" s="5"/>
      <c r="M389" s="5"/>
      <c r="N389" s="5"/>
      <c r="O389" s="5"/>
      <c r="P389" s="5"/>
      <c r="Q389" s="5"/>
      <c r="R389" s="5"/>
      <c r="S389" s="5"/>
      <c r="T389" s="5"/>
      <c r="U389" s="5"/>
      <c r="V389" s="5"/>
      <c r="W389" s="5"/>
      <c r="X389" s="5"/>
      <c r="Y389" s="5"/>
      <c r="Z389" s="5"/>
      <c r="AA389" s="5"/>
    </row>
    <row r="390" spans="2:27" ht="15.75" customHeight="1" x14ac:dyDescent="0.25">
      <c r="B390" s="5"/>
      <c r="C390" s="5"/>
      <c r="D390" s="5"/>
      <c r="E390" s="5"/>
      <c r="F390" s="5"/>
      <c r="G390" s="5"/>
      <c r="H390" s="5"/>
      <c r="I390" s="5"/>
      <c r="J390" s="5"/>
      <c r="K390" s="5"/>
      <c r="L390" s="5"/>
      <c r="M390" s="5"/>
      <c r="N390" s="5"/>
      <c r="O390" s="5"/>
      <c r="P390" s="5"/>
      <c r="Q390" s="5"/>
      <c r="R390" s="5"/>
      <c r="S390" s="5"/>
      <c r="T390" s="5"/>
      <c r="U390" s="5"/>
      <c r="V390" s="5"/>
      <c r="W390" s="5"/>
      <c r="X390" s="5"/>
      <c r="Y390" s="5"/>
      <c r="Z390" s="5"/>
      <c r="AA390" s="5"/>
    </row>
    <row r="391" spans="2:27" ht="15.75" customHeight="1" x14ac:dyDescent="0.25">
      <c r="B391" s="5"/>
      <c r="C391" s="5"/>
      <c r="D391" s="5"/>
      <c r="E391" s="5"/>
      <c r="F391" s="5"/>
      <c r="G391" s="5"/>
      <c r="H391" s="5"/>
      <c r="I391" s="5"/>
      <c r="J391" s="5"/>
      <c r="K391" s="5"/>
      <c r="L391" s="5"/>
      <c r="M391" s="5"/>
      <c r="N391" s="5"/>
      <c r="O391" s="5"/>
      <c r="P391" s="5"/>
      <c r="Q391" s="5"/>
      <c r="R391" s="5"/>
      <c r="S391" s="5"/>
      <c r="T391" s="5"/>
      <c r="U391" s="5"/>
      <c r="V391" s="5"/>
      <c r="W391" s="5"/>
      <c r="X391" s="5"/>
      <c r="Y391" s="5"/>
      <c r="Z391" s="5"/>
      <c r="AA391" s="5"/>
    </row>
    <row r="392" spans="2:27" ht="15.75" customHeight="1" x14ac:dyDescent="0.25">
      <c r="B392" s="5"/>
      <c r="C392" s="5"/>
      <c r="D392" s="5"/>
      <c r="E392" s="5"/>
      <c r="F392" s="5"/>
      <c r="G392" s="5"/>
      <c r="H392" s="5"/>
      <c r="I392" s="5"/>
      <c r="J392" s="5"/>
      <c r="K392" s="5"/>
      <c r="L392" s="5"/>
      <c r="M392" s="5"/>
      <c r="N392" s="5"/>
      <c r="O392" s="5"/>
      <c r="P392" s="5"/>
      <c r="Q392" s="5"/>
      <c r="R392" s="5"/>
      <c r="S392" s="5"/>
      <c r="T392" s="5"/>
      <c r="U392" s="5"/>
      <c r="V392" s="5"/>
      <c r="W392" s="5"/>
      <c r="X392" s="5"/>
      <c r="Y392" s="5"/>
      <c r="Z392" s="5"/>
      <c r="AA392" s="5"/>
    </row>
    <row r="393" spans="2:27" ht="15.75" customHeight="1" x14ac:dyDescent="0.25">
      <c r="B393" s="5"/>
      <c r="C393" s="5"/>
      <c r="D393" s="5"/>
      <c r="E393" s="5"/>
      <c r="F393" s="5"/>
      <c r="G393" s="5"/>
      <c r="H393" s="5"/>
      <c r="I393" s="5"/>
      <c r="J393" s="5"/>
      <c r="K393" s="5"/>
      <c r="L393" s="5"/>
      <c r="M393" s="5"/>
      <c r="N393" s="5"/>
      <c r="O393" s="5"/>
      <c r="P393" s="5"/>
      <c r="Q393" s="5"/>
      <c r="R393" s="5"/>
      <c r="S393" s="5"/>
      <c r="T393" s="5"/>
      <c r="U393" s="5"/>
      <c r="V393" s="5"/>
      <c r="W393" s="5"/>
      <c r="X393" s="5"/>
      <c r="Y393" s="5"/>
      <c r="Z393" s="5"/>
      <c r="AA393" s="5"/>
    </row>
    <row r="394" spans="2:27" ht="15.75" customHeight="1" x14ac:dyDescent="0.25">
      <c r="B394" s="5"/>
      <c r="C394" s="5"/>
      <c r="D394" s="5"/>
      <c r="E394" s="5"/>
      <c r="F394" s="5"/>
      <c r="G394" s="5"/>
      <c r="H394" s="5"/>
      <c r="I394" s="5"/>
      <c r="J394" s="5"/>
      <c r="K394" s="5"/>
      <c r="L394" s="5"/>
      <c r="M394" s="5"/>
      <c r="N394" s="5"/>
      <c r="O394" s="5"/>
      <c r="P394" s="5"/>
      <c r="Q394" s="5"/>
      <c r="R394" s="5"/>
      <c r="S394" s="5"/>
      <c r="T394" s="5"/>
      <c r="U394" s="5"/>
      <c r="V394" s="5"/>
      <c r="W394" s="5"/>
      <c r="X394" s="5"/>
      <c r="Y394" s="5"/>
      <c r="Z394" s="5"/>
      <c r="AA394" s="5"/>
    </row>
    <row r="395" spans="2:27" ht="15.75" customHeight="1" x14ac:dyDescent="0.25">
      <c r="B395" s="5"/>
      <c r="C395" s="5"/>
      <c r="D395" s="5"/>
      <c r="E395" s="5"/>
      <c r="F395" s="5"/>
      <c r="G395" s="5"/>
      <c r="H395" s="5"/>
      <c r="I395" s="5"/>
      <c r="J395" s="5"/>
      <c r="K395" s="5"/>
      <c r="L395" s="5"/>
      <c r="M395" s="5"/>
      <c r="N395" s="5"/>
      <c r="O395" s="5"/>
      <c r="P395" s="5"/>
      <c r="Q395" s="5"/>
      <c r="R395" s="5"/>
      <c r="S395" s="5"/>
      <c r="T395" s="5"/>
      <c r="U395" s="5"/>
      <c r="V395" s="5"/>
      <c r="W395" s="5"/>
      <c r="X395" s="5"/>
      <c r="Y395" s="5"/>
      <c r="Z395" s="5"/>
      <c r="AA395" s="5"/>
    </row>
    <row r="396" spans="2:27" ht="15.75" customHeight="1" x14ac:dyDescent="0.25">
      <c r="B396" s="5"/>
      <c r="C396" s="5"/>
      <c r="D396" s="5"/>
      <c r="E396" s="5"/>
      <c r="F396" s="5"/>
      <c r="G396" s="5"/>
      <c r="H396" s="5"/>
      <c r="I396" s="5"/>
      <c r="J396" s="5"/>
      <c r="K396" s="5"/>
      <c r="L396" s="5"/>
      <c r="M396" s="5"/>
      <c r="N396" s="5"/>
      <c r="O396" s="5"/>
      <c r="P396" s="5"/>
      <c r="Q396" s="5"/>
      <c r="R396" s="5"/>
      <c r="S396" s="5"/>
      <c r="T396" s="5"/>
      <c r="U396" s="5"/>
      <c r="V396" s="5"/>
      <c r="W396" s="5"/>
      <c r="X396" s="5"/>
      <c r="Y396" s="5"/>
      <c r="Z396" s="5"/>
      <c r="AA396" s="5"/>
    </row>
    <row r="397" spans="2:27" ht="15.75" customHeight="1" x14ac:dyDescent="0.25">
      <c r="B397" s="5"/>
      <c r="C397" s="5"/>
      <c r="D397" s="5"/>
      <c r="E397" s="5"/>
      <c r="F397" s="5"/>
      <c r="G397" s="5"/>
      <c r="H397" s="5"/>
      <c r="I397" s="5"/>
      <c r="J397" s="5"/>
      <c r="K397" s="5"/>
      <c r="L397" s="5"/>
      <c r="M397" s="5"/>
      <c r="N397" s="5"/>
      <c r="O397" s="5"/>
      <c r="P397" s="5"/>
      <c r="Q397" s="5"/>
      <c r="R397" s="5"/>
      <c r="S397" s="5"/>
      <c r="T397" s="5"/>
      <c r="U397" s="5"/>
      <c r="V397" s="5"/>
      <c r="W397" s="5"/>
      <c r="X397" s="5"/>
      <c r="Y397" s="5"/>
      <c r="Z397" s="5"/>
      <c r="AA397" s="5"/>
    </row>
    <row r="398" spans="2:27" ht="15.75" customHeight="1" x14ac:dyDescent="0.25">
      <c r="B398" s="5"/>
      <c r="C398" s="5"/>
      <c r="D398" s="5"/>
      <c r="E398" s="5"/>
      <c r="F398" s="5"/>
      <c r="G398" s="5"/>
      <c r="H398" s="5"/>
      <c r="I398" s="5"/>
      <c r="J398" s="5"/>
      <c r="K398" s="5"/>
      <c r="L398" s="5"/>
      <c r="M398" s="5"/>
      <c r="N398" s="5"/>
      <c r="O398" s="5"/>
      <c r="P398" s="5"/>
      <c r="Q398" s="5"/>
      <c r="R398" s="5"/>
      <c r="S398" s="5"/>
      <c r="T398" s="5"/>
      <c r="U398" s="5"/>
      <c r="V398" s="5"/>
      <c r="W398" s="5"/>
      <c r="X398" s="5"/>
      <c r="Y398" s="5"/>
      <c r="Z398" s="5"/>
      <c r="AA398" s="5"/>
    </row>
    <row r="399" spans="2:27" ht="15.75" customHeight="1" x14ac:dyDescent="0.25">
      <c r="B399" s="5"/>
      <c r="C399" s="5"/>
      <c r="D399" s="5"/>
      <c r="E399" s="5"/>
      <c r="F399" s="5"/>
      <c r="G399" s="5"/>
      <c r="H399" s="5"/>
      <c r="I399" s="5"/>
      <c r="J399" s="5"/>
      <c r="K399" s="5"/>
      <c r="L399" s="5"/>
      <c r="M399" s="5"/>
      <c r="N399" s="5"/>
      <c r="O399" s="5"/>
      <c r="P399" s="5"/>
      <c r="Q399" s="5"/>
      <c r="R399" s="5"/>
      <c r="S399" s="5"/>
      <c r="T399" s="5"/>
      <c r="U399" s="5"/>
      <c r="V399" s="5"/>
      <c r="W399" s="5"/>
      <c r="X399" s="5"/>
      <c r="Y399" s="5"/>
      <c r="Z399" s="5"/>
      <c r="AA399" s="5"/>
    </row>
    <row r="400" spans="2:27" ht="15.75" customHeight="1" x14ac:dyDescent="0.25">
      <c r="B400" s="5"/>
      <c r="C400" s="5"/>
      <c r="D400" s="5"/>
      <c r="E400" s="5"/>
      <c r="F400" s="5"/>
      <c r="G400" s="5"/>
      <c r="H400" s="5"/>
      <c r="I400" s="5"/>
      <c r="J400" s="5"/>
      <c r="K400" s="5"/>
      <c r="L400" s="5"/>
      <c r="M400" s="5"/>
      <c r="N400" s="5"/>
      <c r="O400" s="5"/>
      <c r="P400" s="5"/>
      <c r="Q400" s="5"/>
      <c r="R400" s="5"/>
      <c r="S400" s="5"/>
      <c r="T400" s="5"/>
      <c r="U400" s="5"/>
      <c r="V400" s="5"/>
      <c r="W400" s="5"/>
      <c r="X400" s="5"/>
      <c r="Y400" s="5"/>
      <c r="Z400" s="5"/>
      <c r="AA400" s="5"/>
    </row>
    <row r="401" spans="2:27" ht="15.75" customHeight="1" x14ac:dyDescent="0.25">
      <c r="B401" s="5"/>
      <c r="C401" s="5"/>
      <c r="D401" s="5"/>
      <c r="E401" s="5"/>
      <c r="F401" s="5"/>
      <c r="G401" s="5"/>
      <c r="H401" s="5"/>
      <c r="I401" s="5"/>
      <c r="J401" s="5"/>
      <c r="K401" s="5"/>
      <c r="L401" s="5"/>
      <c r="M401" s="5"/>
      <c r="N401" s="5"/>
      <c r="O401" s="5"/>
      <c r="P401" s="5"/>
      <c r="Q401" s="5"/>
      <c r="R401" s="5"/>
      <c r="S401" s="5"/>
      <c r="T401" s="5"/>
      <c r="U401" s="5"/>
      <c r="V401" s="5"/>
      <c r="W401" s="5"/>
      <c r="X401" s="5"/>
      <c r="Y401" s="5"/>
      <c r="Z401" s="5"/>
      <c r="AA401" s="5"/>
    </row>
    <row r="402" spans="2:27" ht="15.75" customHeight="1" x14ac:dyDescent="0.25">
      <c r="B402" s="5"/>
      <c r="C402" s="5"/>
      <c r="D402" s="5"/>
      <c r="E402" s="5"/>
      <c r="F402" s="5"/>
      <c r="G402" s="5"/>
      <c r="H402" s="5"/>
      <c r="I402" s="5"/>
      <c r="J402" s="5"/>
      <c r="K402" s="5"/>
      <c r="L402" s="5"/>
      <c r="M402" s="5"/>
      <c r="N402" s="5"/>
      <c r="O402" s="5"/>
      <c r="P402" s="5"/>
      <c r="Q402" s="5"/>
      <c r="R402" s="5"/>
      <c r="S402" s="5"/>
      <c r="T402" s="5"/>
      <c r="U402" s="5"/>
      <c r="V402" s="5"/>
      <c r="W402" s="5"/>
      <c r="X402" s="5"/>
      <c r="Y402" s="5"/>
      <c r="Z402" s="5"/>
      <c r="AA402" s="5"/>
    </row>
    <row r="403" spans="2:27" ht="15.75" customHeight="1" x14ac:dyDescent="0.25">
      <c r="B403" s="5"/>
      <c r="C403" s="5"/>
      <c r="D403" s="5"/>
      <c r="E403" s="5"/>
      <c r="F403" s="5"/>
      <c r="G403" s="5"/>
      <c r="H403" s="5"/>
      <c r="I403" s="5"/>
      <c r="J403" s="5"/>
      <c r="K403" s="5"/>
      <c r="L403" s="5"/>
      <c r="M403" s="5"/>
      <c r="N403" s="5"/>
      <c r="O403" s="5"/>
      <c r="P403" s="5"/>
      <c r="Q403" s="5"/>
      <c r="R403" s="5"/>
      <c r="S403" s="5"/>
      <c r="T403" s="5"/>
      <c r="U403" s="5"/>
      <c r="V403" s="5"/>
      <c r="W403" s="5"/>
      <c r="X403" s="5"/>
      <c r="Y403" s="5"/>
      <c r="Z403" s="5"/>
      <c r="AA403" s="5"/>
    </row>
    <row r="404" spans="2:27" ht="15.75" customHeight="1" x14ac:dyDescent="0.25">
      <c r="B404" s="5"/>
      <c r="C404" s="5"/>
      <c r="D404" s="5"/>
      <c r="E404" s="5"/>
      <c r="F404" s="5"/>
      <c r="G404" s="5"/>
      <c r="H404" s="5"/>
      <c r="I404" s="5"/>
      <c r="J404" s="5"/>
      <c r="K404" s="5"/>
      <c r="L404" s="5"/>
      <c r="M404" s="5"/>
      <c r="N404" s="5"/>
      <c r="O404" s="5"/>
      <c r="P404" s="5"/>
      <c r="Q404" s="5"/>
      <c r="R404" s="5"/>
      <c r="S404" s="5"/>
      <c r="T404" s="5"/>
      <c r="U404" s="5"/>
      <c r="V404" s="5"/>
      <c r="W404" s="5"/>
      <c r="X404" s="5"/>
      <c r="Y404" s="5"/>
      <c r="Z404" s="5"/>
      <c r="AA404" s="5"/>
    </row>
    <row r="405" spans="2:27" ht="15.75" customHeight="1" x14ac:dyDescent="0.25">
      <c r="B405" s="5"/>
      <c r="C405" s="5"/>
      <c r="D405" s="5"/>
      <c r="E405" s="5"/>
      <c r="F405" s="5"/>
      <c r="G405" s="5"/>
      <c r="H405" s="5"/>
      <c r="I405" s="5"/>
      <c r="J405" s="5"/>
      <c r="K405" s="5"/>
      <c r="L405" s="5"/>
      <c r="M405" s="5"/>
      <c r="N405" s="5"/>
      <c r="O405" s="5"/>
      <c r="P405" s="5"/>
      <c r="Q405" s="5"/>
      <c r="R405" s="5"/>
      <c r="S405" s="5"/>
      <c r="T405" s="5"/>
      <c r="U405" s="5"/>
      <c r="V405" s="5"/>
      <c r="W405" s="5"/>
      <c r="X405" s="5"/>
      <c r="Y405" s="5"/>
      <c r="Z405" s="5"/>
      <c r="AA405" s="5"/>
    </row>
    <row r="406" spans="2:27" ht="15.75" customHeight="1" x14ac:dyDescent="0.25">
      <c r="B406" s="5"/>
      <c r="C406" s="5"/>
      <c r="D406" s="5"/>
      <c r="E406" s="5"/>
      <c r="F406" s="5"/>
      <c r="G406" s="5"/>
      <c r="H406" s="5"/>
      <c r="I406" s="5"/>
      <c r="J406" s="5"/>
      <c r="K406" s="5"/>
      <c r="L406" s="5"/>
      <c r="M406" s="5"/>
      <c r="N406" s="5"/>
      <c r="O406" s="5"/>
      <c r="P406" s="5"/>
      <c r="Q406" s="5"/>
      <c r="R406" s="5"/>
      <c r="S406" s="5"/>
      <c r="T406" s="5"/>
      <c r="U406" s="5"/>
      <c r="V406" s="5"/>
      <c r="W406" s="5"/>
      <c r="X406" s="5"/>
      <c r="Y406" s="5"/>
      <c r="Z406" s="5"/>
      <c r="AA406" s="5"/>
    </row>
    <row r="407" spans="2:27" ht="15.75" customHeight="1" x14ac:dyDescent="0.25">
      <c r="B407" s="5"/>
      <c r="C407" s="5"/>
      <c r="D407" s="5"/>
      <c r="E407" s="5"/>
      <c r="F407" s="5"/>
      <c r="G407" s="5"/>
      <c r="H407" s="5"/>
      <c r="I407" s="5"/>
      <c r="J407" s="5"/>
      <c r="K407" s="5"/>
      <c r="L407" s="5"/>
      <c r="M407" s="5"/>
      <c r="N407" s="5"/>
      <c r="O407" s="5"/>
      <c r="P407" s="5"/>
      <c r="Q407" s="5"/>
      <c r="R407" s="5"/>
      <c r="S407" s="5"/>
      <c r="T407" s="5"/>
      <c r="U407" s="5"/>
      <c r="V407" s="5"/>
      <c r="W407" s="5"/>
      <c r="X407" s="5"/>
      <c r="Y407" s="5"/>
      <c r="Z407" s="5"/>
      <c r="AA407" s="5"/>
    </row>
    <row r="408" spans="2:27" ht="15.75" customHeight="1" x14ac:dyDescent="0.25">
      <c r="B408" s="5"/>
      <c r="C408" s="5"/>
      <c r="D408" s="5"/>
      <c r="E408" s="5"/>
      <c r="F408" s="5"/>
      <c r="G408" s="5"/>
      <c r="H408" s="5"/>
      <c r="I408" s="5"/>
      <c r="J408" s="5"/>
      <c r="K408" s="5"/>
      <c r="L408" s="5"/>
      <c r="M408" s="5"/>
      <c r="N408" s="5"/>
      <c r="O408" s="5"/>
      <c r="P408" s="5"/>
      <c r="Q408" s="5"/>
      <c r="R408" s="5"/>
      <c r="S408" s="5"/>
      <c r="T408" s="5"/>
      <c r="U408" s="5"/>
      <c r="V408" s="5"/>
      <c r="W408" s="5"/>
      <c r="X408" s="5"/>
      <c r="Y408" s="5"/>
      <c r="Z408" s="5"/>
      <c r="AA408" s="5"/>
    </row>
    <row r="409" spans="2:27" ht="15.75" customHeight="1" x14ac:dyDescent="0.25">
      <c r="B409" s="5"/>
      <c r="C409" s="5"/>
      <c r="D409" s="5"/>
      <c r="E409" s="5"/>
      <c r="F409" s="5"/>
      <c r="G409" s="5"/>
      <c r="H409" s="5"/>
      <c r="I409" s="5"/>
      <c r="J409" s="5"/>
      <c r="K409" s="5"/>
      <c r="L409" s="5"/>
      <c r="M409" s="5"/>
      <c r="N409" s="5"/>
      <c r="O409" s="5"/>
      <c r="P409" s="5"/>
      <c r="Q409" s="5"/>
      <c r="R409" s="5"/>
      <c r="S409" s="5"/>
      <c r="T409" s="5"/>
      <c r="U409" s="5"/>
      <c r="V409" s="5"/>
      <c r="W409" s="5"/>
      <c r="X409" s="5"/>
      <c r="Y409" s="5"/>
      <c r="Z409" s="5"/>
      <c r="AA409" s="5"/>
    </row>
    <row r="410" spans="2:27" ht="15.75" customHeight="1" x14ac:dyDescent="0.25">
      <c r="B410" s="5"/>
      <c r="C410" s="5"/>
      <c r="D410" s="5"/>
      <c r="E410" s="5"/>
      <c r="F410" s="5"/>
      <c r="G410" s="5"/>
      <c r="H410" s="5"/>
      <c r="I410" s="5"/>
      <c r="J410" s="5"/>
      <c r="K410" s="5"/>
      <c r="L410" s="5"/>
      <c r="M410" s="5"/>
      <c r="N410" s="5"/>
      <c r="O410" s="5"/>
      <c r="P410" s="5"/>
      <c r="Q410" s="5"/>
      <c r="R410" s="5"/>
      <c r="S410" s="5"/>
      <c r="T410" s="5"/>
      <c r="U410" s="5"/>
      <c r="V410" s="5"/>
      <c r="W410" s="5"/>
      <c r="X410" s="5"/>
      <c r="Y410" s="5"/>
      <c r="Z410" s="5"/>
      <c r="AA410" s="5"/>
    </row>
    <row r="411" spans="2:27" ht="15.75" customHeight="1" x14ac:dyDescent="0.25">
      <c r="B411" s="5"/>
      <c r="C411" s="5"/>
      <c r="D411" s="5"/>
      <c r="E411" s="5"/>
      <c r="F411" s="5"/>
      <c r="G411" s="5"/>
      <c r="H411" s="5"/>
      <c r="I411" s="5"/>
      <c r="J411" s="5"/>
      <c r="K411" s="5"/>
      <c r="L411" s="5"/>
      <c r="M411" s="5"/>
      <c r="N411" s="5"/>
      <c r="O411" s="5"/>
      <c r="P411" s="5"/>
      <c r="Q411" s="5"/>
      <c r="R411" s="5"/>
      <c r="S411" s="5"/>
      <c r="T411" s="5"/>
      <c r="U411" s="5"/>
      <c r="V411" s="5"/>
      <c r="W411" s="5"/>
      <c r="X411" s="5"/>
      <c r="Y411" s="5"/>
      <c r="Z411" s="5"/>
      <c r="AA411" s="5"/>
    </row>
    <row r="412" spans="2:27" ht="15.75" customHeight="1" x14ac:dyDescent="0.25">
      <c r="B412" s="5"/>
      <c r="C412" s="5"/>
      <c r="D412" s="5"/>
      <c r="E412" s="5"/>
      <c r="F412" s="5"/>
      <c r="G412" s="5"/>
      <c r="H412" s="5"/>
      <c r="I412" s="5"/>
      <c r="J412" s="5"/>
      <c r="K412" s="5"/>
      <c r="L412" s="5"/>
      <c r="M412" s="5"/>
      <c r="N412" s="5"/>
      <c r="O412" s="5"/>
      <c r="P412" s="5"/>
      <c r="Q412" s="5"/>
      <c r="R412" s="5"/>
      <c r="S412" s="5"/>
      <c r="T412" s="5"/>
      <c r="U412" s="5"/>
      <c r="V412" s="5"/>
      <c r="W412" s="5"/>
      <c r="X412" s="5"/>
      <c r="Y412" s="5"/>
      <c r="Z412" s="5"/>
      <c r="AA412" s="5"/>
    </row>
    <row r="413" spans="2:27" ht="15.75" customHeight="1" x14ac:dyDescent="0.25">
      <c r="B413" s="5"/>
      <c r="C413" s="5"/>
      <c r="D413" s="5"/>
      <c r="E413" s="5"/>
      <c r="F413" s="5"/>
      <c r="G413" s="5"/>
      <c r="H413" s="5"/>
      <c r="I413" s="5"/>
      <c r="J413" s="5"/>
      <c r="K413" s="5"/>
      <c r="L413" s="5"/>
      <c r="M413" s="5"/>
      <c r="N413" s="5"/>
      <c r="O413" s="5"/>
      <c r="P413" s="5"/>
      <c r="Q413" s="5"/>
      <c r="R413" s="5"/>
      <c r="S413" s="5"/>
      <c r="T413" s="5"/>
      <c r="U413" s="5"/>
      <c r="V413" s="5"/>
      <c r="W413" s="5"/>
      <c r="X413" s="5"/>
      <c r="Y413" s="5"/>
      <c r="Z413" s="5"/>
      <c r="AA413" s="5"/>
    </row>
    <row r="414" spans="2:27" ht="15.75" customHeight="1" x14ac:dyDescent="0.25">
      <c r="B414" s="5"/>
      <c r="C414" s="5"/>
      <c r="D414" s="5"/>
      <c r="E414" s="5"/>
      <c r="F414" s="5"/>
      <c r="G414" s="5"/>
      <c r="H414" s="5"/>
      <c r="I414" s="5"/>
      <c r="J414" s="5"/>
      <c r="K414" s="5"/>
      <c r="L414" s="5"/>
      <c r="M414" s="5"/>
      <c r="N414" s="5"/>
      <c r="O414" s="5"/>
      <c r="P414" s="5"/>
      <c r="Q414" s="5"/>
      <c r="R414" s="5"/>
      <c r="S414" s="5"/>
      <c r="T414" s="5"/>
      <c r="U414" s="5"/>
      <c r="V414" s="5"/>
      <c r="W414" s="5"/>
      <c r="X414" s="5"/>
      <c r="Y414" s="5"/>
      <c r="Z414" s="5"/>
      <c r="AA414" s="5"/>
    </row>
    <row r="415" spans="2:27" ht="15.75" customHeight="1" x14ac:dyDescent="0.25">
      <c r="B415" s="5"/>
      <c r="C415" s="5"/>
      <c r="D415" s="5"/>
      <c r="E415" s="5"/>
      <c r="F415" s="5"/>
      <c r="G415" s="5"/>
      <c r="H415" s="5"/>
      <c r="I415" s="5"/>
      <c r="J415" s="5"/>
      <c r="K415" s="5"/>
      <c r="L415" s="5"/>
      <c r="M415" s="5"/>
      <c r="N415" s="5"/>
      <c r="O415" s="5"/>
      <c r="P415" s="5"/>
      <c r="Q415" s="5"/>
      <c r="R415" s="5"/>
      <c r="S415" s="5"/>
      <c r="T415" s="5"/>
      <c r="U415" s="5"/>
      <c r="V415" s="5"/>
      <c r="W415" s="5"/>
      <c r="X415" s="5"/>
      <c r="Y415" s="5"/>
      <c r="Z415" s="5"/>
      <c r="AA415" s="5"/>
    </row>
    <row r="416" spans="2:27" ht="15.75" customHeight="1" x14ac:dyDescent="0.25">
      <c r="B416" s="5"/>
      <c r="C416" s="5"/>
      <c r="D416" s="5"/>
      <c r="E416" s="5"/>
      <c r="F416" s="5"/>
      <c r="G416" s="5"/>
      <c r="H416" s="5"/>
      <c r="I416" s="5"/>
      <c r="J416" s="5"/>
      <c r="K416" s="5"/>
      <c r="L416" s="5"/>
      <c r="M416" s="5"/>
      <c r="N416" s="5"/>
      <c r="O416" s="5"/>
      <c r="P416" s="5"/>
      <c r="Q416" s="5"/>
      <c r="R416" s="5"/>
      <c r="S416" s="5"/>
      <c r="T416" s="5"/>
      <c r="U416" s="5"/>
      <c r="V416" s="5"/>
      <c r="W416" s="5"/>
      <c r="X416" s="5"/>
      <c r="Y416" s="5"/>
      <c r="Z416" s="5"/>
      <c r="AA416" s="5"/>
    </row>
    <row r="417" spans="2:27" ht="15.75" customHeight="1" x14ac:dyDescent="0.25">
      <c r="B417" s="5"/>
      <c r="C417" s="5"/>
      <c r="D417" s="5"/>
      <c r="E417" s="5"/>
      <c r="F417" s="5"/>
      <c r="G417" s="5"/>
      <c r="H417" s="5"/>
      <c r="I417" s="5"/>
      <c r="J417" s="5"/>
      <c r="K417" s="5"/>
      <c r="L417" s="5"/>
      <c r="M417" s="5"/>
      <c r="N417" s="5"/>
      <c r="O417" s="5"/>
      <c r="P417" s="5"/>
      <c r="Q417" s="5"/>
      <c r="R417" s="5"/>
      <c r="S417" s="5"/>
      <c r="T417" s="5"/>
      <c r="U417" s="5"/>
      <c r="V417" s="5"/>
      <c r="W417" s="5"/>
      <c r="X417" s="5"/>
      <c r="Y417" s="5"/>
      <c r="Z417" s="5"/>
      <c r="AA417" s="5"/>
    </row>
    <row r="418" spans="2:27" ht="15.75" customHeight="1" x14ac:dyDescent="0.25">
      <c r="B418" s="5"/>
      <c r="C418" s="5"/>
      <c r="D418" s="5"/>
      <c r="E418" s="5"/>
      <c r="F418" s="5"/>
      <c r="G418" s="5"/>
      <c r="H418" s="5"/>
      <c r="I418" s="5"/>
      <c r="J418" s="5"/>
      <c r="K418" s="5"/>
      <c r="L418" s="5"/>
      <c r="M418" s="5"/>
      <c r="N418" s="5"/>
      <c r="O418" s="5"/>
      <c r="P418" s="5"/>
      <c r="Q418" s="5"/>
      <c r="R418" s="5"/>
      <c r="S418" s="5"/>
      <c r="T418" s="5"/>
      <c r="U418" s="5"/>
      <c r="V418" s="5"/>
      <c r="W418" s="5"/>
      <c r="X418" s="5"/>
      <c r="Y418" s="5"/>
      <c r="Z418" s="5"/>
      <c r="AA418" s="5"/>
    </row>
    <row r="419" spans="2:27" ht="15.75" customHeight="1" x14ac:dyDescent="0.25">
      <c r="B419" s="5"/>
      <c r="C419" s="5"/>
      <c r="D419" s="5"/>
      <c r="E419" s="5"/>
      <c r="F419" s="5"/>
      <c r="G419" s="5"/>
      <c r="H419" s="5"/>
      <c r="I419" s="5"/>
      <c r="J419" s="5"/>
      <c r="K419" s="5"/>
      <c r="L419" s="5"/>
      <c r="M419" s="5"/>
      <c r="N419" s="5"/>
      <c r="O419" s="5"/>
      <c r="P419" s="5"/>
      <c r="Q419" s="5"/>
      <c r="R419" s="5"/>
      <c r="S419" s="5"/>
      <c r="T419" s="5"/>
      <c r="U419" s="5"/>
      <c r="V419" s="5"/>
      <c r="W419" s="5"/>
      <c r="X419" s="5"/>
      <c r="Y419" s="5"/>
      <c r="Z419" s="5"/>
      <c r="AA419" s="5"/>
    </row>
    <row r="420" spans="2:27" ht="15.75" customHeight="1" x14ac:dyDescent="0.25">
      <c r="B420" s="5"/>
      <c r="C420" s="5"/>
      <c r="D420" s="5"/>
      <c r="E420" s="5"/>
      <c r="F420" s="5"/>
      <c r="G420" s="5"/>
      <c r="H420" s="5"/>
      <c r="I420" s="5"/>
      <c r="J420" s="5"/>
      <c r="K420" s="5"/>
      <c r="L420" s="5"/>
      <c r="M420" s="5"/>
      <c r="N420" s="5"/>
      <c r="O420" s="5"/>
      <c r="P420" s="5"/>
      <c r="Q420" s="5"/>
      <c r="R420" s="5"/>
      <c r="S420" s="5"/>
      <c r="T420" s="5"/>
      <c r="U420" s="5"/>
      <c r="V420" s="5"/>
      <c r="W420" s="5"/>
      <c r="X420" s="5"/>
      <c r="Y420" s="5"/>
      <c r="Z420" s="5"/>
      <c r="AA420" s="5"/>
    </row>
    <row r="421" spans="2:27" ht="15.75" customHeight="1" x14ac:dyDescent="0.25">
      <c r="B421" s="5"/>
      <c r="C421" s="5"/>
      <c r="D421" s="5"/>
      <c r="E421" s="5"/>
      <c r="F421" s="5"/>
      <c r="G421" s="5"/>
      <c r="H421" s="5"/>
      <c r="I421" s="5"/>
      <c r="J421" s="5"/>
      <c r="K421" s="5"/>
      <c r="L421" s="5"/>
      <c r="M421" s="5"/>
      <c r="N421" s="5"/>
      <c r="O421" s="5"/>
      <c r="P421" s="5"/>
      <c r="Q421" s="5"/>
      <c r="R421" s="5"/>
      <c r="S421" s="5"/>
      <c r="T421" s="5"/>
      <c r="U421" s="5"/>
      <c r="V421" s="5"/>
      <c r="W421" s="5"/>
      <c r="X421" s="5"/>
      <c r="Y421" s="5"/>
      <c r="Z421" s="5"/>
      <c r="AA421" s="5"/>
    </row>
    <row r="422" spans="2:27" ht="15.75" customHeight="1" x14ac:dyDescent="0.25">
      <c r="B422" s="5"/>
      <c r="C422" s="5"/>
      <c r="D422" s="5"/>
      <c r="E422" s="5"/>
      <c r="F422" s="5"/>
      <c r="G422" s="5"/>
      <c r="H422" s="5"/>
      <c r="I422" s="5"/>
      <c r="J422" s="5"/>
      <c r="K422" s="5"/>
      <c r="L422" s="5"/>
      <c r="M422" s="5"/>
      <c r="N422" s="5"/>
      <c r="O422" s="5"/>
      <c r="P422" s="5"/>
      <c r="Q422" s="5"/>
      <c r="R422" s="5"/>
      <c r="S422" s="5"/>
      <c r="T422" s="5"/>
      <c r="U422" s="5"/>
      <c r="V422" s="5"/>
      <c r="W422" s="5"/>
      <c r="X422" s="5"/>
      <c r="Y422" s="5"/>
      <c r="Z422" s="5"/>
      <c r="AA422" s="5"/>
    </row>
    <row r="423" spans="2:27" ht="15.75" customHeight="1" x14ac:dyDescent="0.25">
      <c r="B423" s="5"/>
      <c r="C423" s="5"/>
      <c r="D423" s="5"/>
      <c r="E423" s="5"/>
      <c r="F423" s="5"/>
      <c r="G423" s="5"/>
      <c r="H423" s="5"/>
      <c r="I423" s="5"/>
      <c r="J423" s="5"/>
      <c r="K423" s="5"/>
      <c r="L423" s="5"/>
      <c r="M423" s="5"/>
      <c r="N423" s="5"/>
      <c r="O423" s="5"/>
      <c r="P423" s="5"/>
      <c r="Q423" s="5"/>
      <c r="R423" s="5"/>
      <c r="S423" s="5"/>
      <c r="T423" s="5"/>
      <c r="U423" s="5"/>
      <c r="V423" s="5"/>
      <c r="W423" s="5"/>
      <c r="X423" s="5"/>
      <c r="Y423" s="5"/>
      <c r="Z423" s="5"/>
      <c r="AA423" s="5"/>
    </row>
    <row r="424" spans="2:27" ht="15.75" customHeight="1" x14ac:dyDescent="0.25">
      <c r="B424" s="5"/>
      <c r="C424" s="5"/>
      <c r="D424" s="5"/>
      <c r="E424" s="5"/>
      <c r="F424" s="5"/>
      <c r="G424" s="5"/>
      <c r="H424" s="5"/>
      <c r="I424" s="5"/>
      <c r="J424" s="5"/>
      <c r="K424" s="5"/>
      <c r="L424" s="5"/>
      <c r="M424" s="5"/>
      <c r="N424" s="5"/>
      <c r="O424" s="5"/>
      <c r="P424" s="5"/>
      <c r="Q424" s="5"/>
      <c r="R424" s="5"/>
      <c r="S424" s="5"/>
      <c r="T424" s="5"/>
      <c r="U424" s="5"/>
      <c r="V424" s="5"/>
      <c r="W424" s="5"/>
      <c r="X424" s="5"/>
      <c r="Y424" s="5"/>
      <c r="Z424" s="5"/>
      <c r="AA424" s="5"/>
    </row>
    <row r="425" spans="2:27" ht="15.75" customHeight="1" x14ac:dyDescent="0.25">
      <c r="B425" s="5"/>
      <c r="C425" s="5"/>
      <c r="D425" s="5"/>
      <c r="E425" s="5"/>
      <c r="F425" s="5"/>
      <c r="G425" s="5"/>
      <c r="H425" s="5"/>
      <c r="I425" s="5"/>
      <c r="J425" s="5"/>
      <c r="K425" s="5"/>
      <c r="L425" s="5"/>
      <c r="M425" s="5"/>
      <c r="N425" s="5"/>
      <c r="O425" s="5"/>
      <c r="P425" s="5"/>
      <c r="Q425" s="5"/>
      <c r="R425" s="5"/>
      <c r="S425" s="5"/>
      <c r="T425" s="5"/>
      <c r="U425" s="5"/>
      <c r="V425" s="5"/>
      <c r="W425" s="5"/>
      <c r="X425" s="5"/>
      <c r="Y425" s="5"/>
      <c r="Z425" s="5"/>
      <c r="AA425" s="5"/>
    </row>
    <row r="426" spans="2:27" ht="15.75" customHeight="1" x14ac:dyDescent="0.25">
      <c r="B426" s="5"/>
      <c r="C426" s="5"/>
      <c r="D426" s="5"/>
      <c r="E426" s="5"/>
      <c r="F426" s="5"/>
      <c r="G426" s="5"/>
      <c r="H426" s="5"/>
      <c r="I426" s="5"/>
      <c r="J426" s="5"/>
      <c r="K426" s="5"/>
      <c r="L426" s="5"/>
      <c r="M426" s="5"/>
      <c r="N426" s="5"/>
      <c r="O426" s="5"/>
      <c r="P426" s="5"/>
      <c r="Q426" s="5"/>
      <c r="R426" s="5"/>
      <c r="S426" s="5"/>
      <c r="T426" s="5"/>
      <c r="U426" s="5"/>
      <c r="V426" s="5"/>
      <c r="W426" s="5"/>
      <c r="X426" s="5"/>
      <c r="Y426" s="5"/>
      <c r="Z426" s="5"/>
      <c r="AA426" s="5"/>
    </row>
    <row r="427" spans="2:27" ht="15.75" customHeight="1" x14ac:dyDescent="0.25">
      <c r="B427" s="5"/>
      <c r="C427" s="5"/>
      <c r="D427" s="5"/>
      <c r="E427" s="5"/>
      <c r="F427" s="5"/>
      <c r="G427" s="5"/>
      <c r="H427" s="5"/>
      <c r="I427" s="5"/>
      <c r="J427" s="5"/>
      <c r="K427" s="5"/>
      <c r="L427" s="5"/>
      <c r="M427" s="5"/>
      <c r="N427" s="5"/>
      <c r="O427" s="5"/>
      <c r="P427" s="5"/>
      <c r="Q427" s="5"/>
      <c r="R427" s="5"/>
      <c r="S427" s="5"/>
      <c r="T427" s="5"/>
      <c r="U427" s="5"/>
      <c r="V427" s="5"/>
      <c r="W427" s="5"/>
      <c r="X427" s="5"/>
      <c r="Y427" s="5"/>
      <c r="Z427" s="5"/>
      <c r="AA427" s="5"/>
    </row>
    <row r="428" spans="2:27" ht="15.75" customHeight="1" x14ac:dyDescent="0.25">
      <c r="B428" s="5"/>
      <c r="C428" s="5"/>
      <c r="D428" s="5"/>
      <c r="E428" s="5"/>
      <c r="F428" s="5"/>
      <c r="G428" s="5"/>
      <c r="H428" s="5"/>
      <c r="I428" s="5"/>
      <c r="J428" s="5"/>
      <c r="K428" s="5"/>
      <c r="L428" s="5"/>
      <c r="M428" s="5"/>
      <c r="N428" s="5"/>
      <c r="O428" s="5"/>
      <c r="P428" s="5"/>
      <c r="Q428" s="5"/>
      <c r="R428" s="5"/>
      <c r="S428" s="5"/>
      <c r="T428" s="5"/>
      <c r="U428" s="5"/>
      <c r="V428" s="5"/>
      <c r="W428" s="5"/>
      <c r="X428" s="5"/>
      <c r="Y428" s="5"/>
      <c r="Z428" s="5"/>
      <c r="AA428" s="5"/>
    </row>
    <row r="429" spans="2:27" ht="15.75" customHeight="1" x14ac:dyDescent="0.25">
      <c r="B429" s="5"/>
      <c r="C429" s="5"/>
      <c r="D429" s="5"/>
      <c r="E429" s="5"/>
      <c r="F429" s="5"/>
      <c r="G429" s="5"/>
      <c r="H429" s="5"/>
      <c r="I429" s="5"/>
      <c r="J429" s="5"/>
      <c r="K429" s="5"/>
      <c r="L429" s="5"/>
      <c r="M429" s="5"/>
      <c r="N429" s="5"/>
      <c r="O429" s="5"/>
      <c r="P429" s="5"/>
      <c r="Q429" s="5"/>
      <c r="R429" s="5"/>
      <c r="S429" s="5"/>
      <c r="T429" s="5"/>
      <c r="U429" s="5"/>
      <c r="V429" s="5"/>
      <c r="W429" s="5"/>
      <c r="X429" s="5"/>
      <c r="Y429" s="5"/>
      <c r="Z429" s="5"/>
      <c r="AA429" s="5"/>
    </row>
    <row r="430" spans="2:27" ht="15.75" customHeight="1" x14ac:dyDescent="0.25">
      <c r="B430" s="5"/>
      <c r="C430" s="5"/>
      <c r="D430" s="5"/>
      <c r="E430" s="5"/>
      <c r="F430" s="5"/>
      <c r="G430" s="5"/>
      <c r="H430" s="5"/>
      <c r="I430" s="5"/>
      <c r="J430" s="5"/>
      <c r="K430" s="5"/>
      <c r="L430" s="5"/>
      <c r="M430" s="5"/>
      <c r="N430" s="5"/>
      <c r="O430" s="5"/>
      <c r="P430" s="5"/>
      <c r="Q430" s="5"/>
      <c r="R430" s="5"/>
      <c r="S430" s="5"/>
      <c r="T430" s="5"/>
      <c r="U430" s="5"/>
      <c r="V430" s="5"/>
      <c r="W430" s="5"/>
      <c r="X430" s="5"/>
      <c r="Y430" s="5"/>
      <c r="Z430" s="5"/>
      <c r="AA430" s="5"/>
    </row>
    <row r="431" spans="2:27" ht="15.75" customHeight="1" x14ac:dyDescent="0.25">
      <c r="B431" s="5"/>
      <c r="C431" s="5"/>
      <c r="D431" s="5"/>
      <c r="E431" s="5"/>
      <c r="F431" s="5"/>
      <c r="G431" s="5"/>
      <c r="H431" s="5"/>
      <c r="I431" s="5"/>
      <c r="J431" s="5"/>
      <c r="K431" s="5"/>
      <c r="L431" s="5"/>
      <c r="M431" s="5"/>
      <c r="N431" s="5"/>
      <c r="O431" s="5"/>
      <c r="P431" s="5"/>
      <c r="Q431" s="5"/>
      <c r="R431" s="5"/>
      <c r="S431" s="5"/>
      <c r="T431" s="5"/>
      <c r="U431" s="5"/>
      <c r="V431" s="5"/>
      <c r="W431" s="5"/>
      <c r="X431" s="5"/>
      <c r="Y431" s="5"/>
      <c r="Z431" s="5"/>
      <c r="AA431" s="5"/>
    </row>
    <row r="432" spans="2:27" ht="15.75" customHeight="1" x14ac:dyDescent="0.25">
      <c r="B432" s="5"/>
      <c r="C432" s="5"/>
      <c r="D432" s="5"/>
      <c r="E432" s="5"/>
      <c r="F432" s="5"/>
      <c r="G432" s="5"/>
      <c r="H432" s="5"/>
      <c r="I432" s="5"/>
      <c r="J432" s="5"/>
      <c r="K432" s="5"/>
      <c r="L432" s="5"/>
      <c r="M432" s="5"/>
      <c r="N432" s="5"/>
      <c r="O432" s="5"/>
      <c r="P432" s="5"/>
      <c r="Q432" s="5"/>
      <c r="R432" s="5"/>
      <c r="S432" s="5"/>
      <c r="T432" s="5"/>
      <c r="U432" s="5"/>
      <c r="V432" s="5"/>
      <c r="W432" s="5"/>
      <c r="X432" s="5"/>
      <c r="Y432" s="5"/>
      <c r="Z432" s="5"/>
      <c r="AA432" s="5"/>
    </row>
    <row r="433" spans="2:27" ht="15.75" customHeight="1" x14ac:dyDescent="0.25">
      <c r="B433" s="5"/>
      <c r="C433" s="5"/>
      <c r="D433" s="5"/>
      <c r="E433" s="5"/>
      <c r="F433" s="5"/>
      <c r="G433" s="5"/>
      <c r="H433" s="5"/>
      <c r="I433" s="5"/>
      <c r="J433" s="5"/>
      <c r="K433" s="5"/>
      <c r="L433" s="5"/>
      <c r="M433" s="5"/>
      <c r="N433" s="5"/>
      <c r="O433" s="5"/>
      <c r="P433" s="5"/>
      <c r="Q433" s="5"/>
      <c r="R433" s="5"/>
      <c r="S433" s="5"/>
      <c r="T433" s="5"/>
      <c r="U433" s="5"/>
      <c r="V433" s="5"/>
      <c r="W433" s="5"/>
      <c r="X433" s="5"/>
      <c r="Y433" s="5"/>
      <c r="Z433" s="5"/>
      <c r="AA433" s="5"/>
    </row>
    <row r="434" spans="2:27" ht="15.75" customHeight="1" x14ac:dyDescent="0.25">
      <c r="B434" s="5"/>
      <c r="C434" s="5"/>
      <c r="D434" s="5"/>
      <c r="E434" s="5"/>
      <c r="F434" s="5"/>
      <c r="G434" s="5"/>
      <c r="H434" s="5"/>
      <c r="I434" s="5"/>
      <c r="J434" s="5"/>
      <c r="K434" s="5"/>
      <c r="L434" s="5"/>
      <c r="M434" s="5"/>
      <c r="N434" s="5"/>
      <c r="O434" s="5"/>
      <c r="P434" s="5"/>
      <c r="Q434" s="5"/>
      <c r="R434" s="5"/>
      <c r="S434" s="5"/>
      <c r="T434" s="5"/>
      <c r="U434" s="5"/>
      <c r="V434" s="5"/>
      <c r="W434" s="5"/>
      <c r="X434" s="5"/>
      <c r="Y434" s="5"/>
      <c r="Z434" s="5"/>
      <c r="AA434" s="5"/>
    </row>
    <row r="435" spans="2:27" ht="15.75" customHeight="1" x14ac:dyDescent="0.25">
      <c r="B435" s="5"/>
      <c r="C435" s="5"/>
      <c r="D435" s="5"/>
      <c r="E435" s="5"/>
      <c r="F435" s="5"/>
      <c r="G435" s="5"/>
      <c r="H435" s="5"/>
      <c r="I435" s="5"/>
      <c r="J435" s="5"/>
      <c r="K435" s="5"/>
      <c r="L435" s="5"/>
      <c r="M435" s="5"/>
      <c r="N435" s="5"/>
      <c r="O435" s="5"/>
      <c r="P435" s="5"/>
      <c r="Q435" s="5"/>
      <c r="R435" s="5"/>
      <c r="S435" s="5"/>
      <c r="T435" s="5"/>
      <c r="U435" s="5"/>
      <c r="V435" s="5"/>
      <c r="W435" s="5"/>
      <c r="X435" s="5"/>
      <c r="Y435" s="5"/>
      <c r="Z435" s="5"/>
      <c r="AA435" s="5"/>
    </row>
    <row r="436" spans="2:27" ht="15.75" customHeight="1" x14ac:dyDescent="0.25">
      <c r="B436" s="5"/>
      <c r="C436" s="5"/>
      <c r="D436" s="5"/>
      <c r="E436" s="5"/>
      <c r="F436" s="5"/>
      <c r="G436" s="5"/>
      <c r="H436" s="5"/>
      <c r="I436" s="5"/>
      <c r="J436" s="5"/>
      <c r="K436" s="5"/>
      <c r="L436" s="5"/>
      <c r="M436" s="5"/>
      <c r="N436" s="5"/>
      <c r="O436" s="5"/>
      <c r="P436" s="5"/>
      <c r="Q436" s="5"/>
      <c r="R436" s="5"/>
      <c r="S436" s="5"/>
      <c r="T436" s="5"/>
      <c r="U436" s="5"/>
      <c r="V436" s="5"/>
      <c r="W436" s="5"/>
      <c r="X436" s="5"/>
      <c r="Y436" s="5"/>
      <c r="Z436" s="5"/>
      <c r="AA436" s="5"/>
    </row>
    <row r="437" spans="2:27" ht="15.75" customHeight="1" x14ac:dyDescent="0.25">
      <c r="B437" s="5"/>
      <c r="C437" s="5"/>
      <c r="D437" s="5"/>
      <c r="E437" s="5"/>
      <c r="F437" s="5"/>
      <c r="G437" s="5"/>
      <c r="H437" s="5"/>
      <c r="I437" s="5"/>
      <c r="J437" s="5"/>
      <c r="K437" s="5"/>
      <c r="L437" s="5"/>
      <c r="M437" s="5"/>
      <c r="N437" s="5"/>
      <c r="O437" s="5"/>
      <c r="P437" s="5"/>
      <c r="Q437" s="5"/>
      <c r="R437" s="5"/>
      <c r="S437" s="5"/>
      <c r="T437" s="5"/>
      <c r="U437" s="5"/>
      <c r="V437" s="5"/>
      <c r="W437" s="5"/>
      <c r="X437" s="5"/>
      <c r="Y437" s="5"/>
      <c r="Z437" s="5"/>
      <c r="AA437" s="5"/>
    </row>
    <row r="438" spans="2:27" ht="15.75" customHeight="1" x14ac:dyDescent="0.25">
      <c r="B438" s="5"/>
      <c r="C438" s="5"/>
      <c r="D438" s="5"/>
      <c r="E438" s="5"/>
      <c r="F438" s="5"/>
      <c r="G438" s="5"/>
      <c r="H438" s="5"/>
      <c r="I438" s="5"/>
      <c r="J438" s="5"/>
      <c r="K438" s="5"/>
      <c r="L438" s="5"/>
      <c r="M438" s="5"/>
      <c r="N438" s="5"/>
      <c r="O438" s="5"/>
      <c r="P438" s="5"/>
      <c r="Q438" s="5"/>
      <c r="R438" s="5"/>
      <c r="S438" s="5"/>
      <c r="T438" s="5"/>
      <c r="U438" s="5"/>
      <c r="V438" s="5"/>
      <c r="W438" s="5"/>
      <c r="X438" s="5"/>
      <c r="Y438" s="5"/>
      <c r="Z438" s="5"/>
      <c r="AA438" s="5"/>
    </row>
    <row r="439" spans="2:27" ht="15.75" customHeight="1" x14ac:dyDescent="0.25">
      <c r="B439" s="5"/>
      <c r="C439" s="5"/>
      <c r="D439" s="5"/>
      <c r="E439" s="5"/>
      <c r="F439" s="5"/>
      <c r="G439" s="5"/>
      <c r="H439" s="5"/>
      <c r="I439" s="5"/>
      <c r="J439" s="5"/>
      <c r="K439" s="5"/>
      <c r="L439" s="5"/>
      <c r="M439" s="5"/>
      <c r="N439" s="5"/>
      <c r="O439" s="5"/>
      <c r="P439" s="5"/>
      <c r="Q439" s="5"/>
      <c r="R439" s="5"/>
      <c r="S439" s="5"/>
      <c r="T439" s="5"/>
      <c r="U439" s="5"/>
      <c r="V439" s="5"/>
      <c r="W439" s="5"/>
      <c r="X439" s="5"/>
      <c r="Y439" s="5"/>
      <c r="Z439" s="5"/>
      <c r="AA439" s="5"/>
    </row>
    <row r="440" spans="2:27" ht="15.75" customHeight="1" x14ac:dyDescent="0.25">
      <c r="B440" s="5"/>
      <c r="C440" s="5"/>
      <c r="D440" s="5"/>
      <c r="E440" s="5"/>
      <c r="F440" s="5"/>
      <c r="G440" s="5"/>
      <c r="H440" s="5"/>
      <c r="I440" s="5"/>
      <c r="J440" s="5"/>
      <c r="K440" s="5"/>
      <c r="L440" s="5"/>
      <c r="M440" s="5"/>
      <c r="N440" s="5"/>
      <c r="O440" s="5"/>
      <c r="P440" s="5"/>
      <c r="Q440" s="5"/>
      <c r="R440" s="5"/>
      <c r="S440" s="5"/>
      <c r="T440" s="5"/>
      <c r="U440" s="5"/>
      <c r="V440" s="5"/>
      <c r="W440" s="5"/>
      <c r="X440" s="5"/>
      <c r="Y440" s="5"/>
      <c r="Z440" s="5"/>
      <c r="AA440" s="5"/>
    </row>
    <row r="441" spans="2:27" ht="15.75" customHeight="1" x14ac:dyDescent="0.25">
      <c r="B441" s="5"/>
      <c r="C441" s="5"/>
      <c r="D441" s="5"/>
      <c r="E441" s="5"/>
      <c r="F441" s="5"/>
      <c r="G441" s="5"/>
      <c r="H441" s="5"/>
      <c r="I441" s="5"/>
      <c r="J441" s="5"/>
      <c r="K441" s="5"/>
      <c r="L441" s="5"/>
      <c r="M441" s="5"/>
      <c r="N441" s="5"/>
      <c r="O441" s="5"/>
      <c r="P441" s="5"/>
      <c r="Q441" s="5"/>
      <c r="R441" s="5"/>
      <c r="S441" s="5"/>
      <c r="T441" s="5"/>
      <c r="U441" s="5"/>
      <c r="V441" s="5"/>
      <c r="W441" s="5"/>
      <c r="X441" s="5"/>
      <c r="Y441" s="5"/>
      <c r="Z441" s="5"/>
      <c r="AA441" s="5"/>
    </row>
    <row r="442" spans="2:27" ht="15.75" customHeight="1" x14ac:dyDescent="0.25">
      <c r="B442" s="5"/>
      <c r="C442" s="5"/>
      <c r="D442" s="5"/>
      <c r="E442" s="5"/>
      <c r="F442" s="5"/>
      <c r="G442" s="5"/>
      <c r="H442" s="5"/>
      <c r="I442" s="5"/>
      <c r="J442" s="5"/>
      <c r="K442" s="5"/>
      <c r="L442" s="5"/>
      <c r="M442" s="5"/>
      <c r="N442" s="5"/>
      <c r="O442" s="5"/>
      <c r="P442" s="5"/>
      <c r="Q442" s="5"/>
      <c r="R442" s="5"/>
      <c r="S442" s="5"/>
      <c r="T442" s="5"/>
      <c r="U442" s="5"/>
      <c r="V442" s="5"/>
      <c r="W442" s="5"/>
      <c r="X442" s="5"/>
      <c r="Y442" s="5"/>
      <c r="Z442" s="5"/>
      <c r="AA442" s="5"/>
    </row>
    <row r="443" spans="2:27" ht="15.75" customHeight="1" x14ac:dyDescent="0.25">
      <c r="B443" s="5"/>
      <c r="C443" s="5"/>
      <c r="D443" s="5"/>
      <c r="E443" s="5"/>
      <c r="F443" s="5"/>
      <c r="G443" s="5"/>
      <c r="H443" s="5"/>
      <c r="I443" s="5"/>
      <c r="J443" s="5"/>
      <c r="K443" s="5"/>
      <c r="L443" s="5"/>
      <c r="M443" s="5"/>
      <c r="N443" s="5"/>
      <c r="O443" s="5"/>
      <c r="P443" s="5"/>
      <c r="Q443" s="5"/>
      <c r="R443" s="5"/>
      <c r="S443" s="5"/>
      <c r="T443" s="5"/>
      <c r="U443" s="5"/>
      <c r="V443" s="5"/>
      <c r="W443" s="5"/>
      <c r="X443" s="5"/>
      <c r="Y443" s="5"/>
      <c r="Z443" s="5"/>
      <c r="AA443" s="5"/>
    </row>
    <row r="444" spans="2:27" ht="15.75" customHeight="1" x14ac:dyDescent="0.25">
      <c r="B444" s="5"/>
      <c r="C444" s="5"/>
      <c r="D444" s="5"/>
      <c r="E444" s="5"/>
      <c r="F444" s="5"/>
      <c r="G444" s="5"/>
      <c r="H444" s="5"/>
      <c r="I444" s="5"/>
      <c r="J444" s="5"/>
      <c r="K444" s="5"/>
      <c r="L444" s="5"/>
      <c r="M444" s="5"/>
      <c r="N444" s="5"/>
      <c r="O444" s="5"/>
      <c r="P444" s="5"/>
      <c r="Q444" s="5"/>
      <c r="R444" s="5"/>
      <c r="S444" s="5"/>
      <c r="T444" s="5"/>
      <c r="U444" s="5"/>
      <c r="V444" s="5"/>
      <c r="W444" s="5"/>
      <c r="X444" s="5"/>
      <c r="Y444" s="5"/>
      <c r="Z444" s="5"/>
      <c r="AA444" s="5"/>
    </row>
    <row r="445" spans="2:27" ht="15.75" customHeight="1" x14ac:dyDescent="0.25">
      <c r="B445" s="5"/>
      <c r="C445" s="5"/>
      <c r="D445" s="5"/>
      <c r="E445" s="5"/>
      <c r="F445" s="5"/>
      <c r="G445" s="5"/>
      <c r="H445" s="5"/>
      <c r="I445" s="5"/>
      <c r="J445" s="5"/>
      <c r="K445" s="5"/>
      <c r="L445" s="5"/>
      <c r="M445" s="5"/>
      <c r="N445" s="5"/>
      <c r="O445" s="5"/>
      <c r="P445" s="5"/>
      <c r="Q445" s="5"/>
      <c r="R445" s="5"/>
      <c r="S445" s="5"/>
      <c r="T445" s="5"/>
      <c r="U445" s="5"/>
      <c r="V445" s="5"/>
      <c r="W445" s="5"/>
      <c r="X445" s="5"/>
      <c r="Y445" s="5"/>
      <c r="Z445" s="5"/>
      <c r="AA445" s="5"/>
    </row>
    <row r="446" spans="2:27" ht="15.75" customHeight="1" x14ac:dyDescent="0.25">
      <c r="B446" s="5"/>
      <c r="C446" s="5"/>
      <c r="D446" s="5"/>
      <c r="E446" s="5"/>
      <c r="F446" s="5"/>
      <c r="G446" s="5"/>
      <c r="H446" s="5"/>
      <c r="I446" s="5"/>
      <c r="J446" s="5"/>
      <c r="K446" s="5"/>
      <c r="L446" s="5"/>
      <c r="M446" s="5"/>
      <c r="N446" s="5"/>
      <c r="O446" s="5"/>
      <c r="P446" s="5"/>
      <c r="Q446" s="5"/>
      <c r="R446" s="5"/>
      <c r="S446" s="5"/>
      <c r="T446" s="5"/>
      <c r="U446" s="5"/>
      <c r="V446" s="5"/>
      <c r="W446" s="5"/>
      <c r="X446" s="5"/>
      <c r="Y446" s="5"/>
      <c r="Z446" s="5"/>
      <c r="AA446" s="5"/>
    </row>
    <row r="447" spans="2:27" ht="15.75" customHeight="1" x14ac:dyDescent="0.25">
      <c r="B447" s="5"/>
      <c r="C447" s="5"/>
      <c r="D447" s="5"/>
      <c r="E447" s="5"/>
      <c r="F447" s="5"/>
      <c r="G447" s="5"/>
      <c r="H447" s="5"/>
      <c r="I447" s="5"/>
      <c r="J447" s="5"/>
      <c r="K447" s="5"/>
      <c r="L447" s="5"/>
      <c r="M447" s="5"/>
      <c r="N447" s="5"/>
      <c r="O447" s="5"/>
      <c r="P447" s="5"/>
      <c r="Q447" s="5"/>
      <c r="R447" s="5"/>
      <c r="S447" s="5"/>
      <c r="T447" s="5"/>
      <c r="U447" s="5"/>
      <c r="V447" s="5"/>
      <c r="W447" s="5"/>
      <c r="X447" s="5"/>
      <c r="Y447" s="5"/>
      <c r="Z447" s="5"/>
      <c r="AA447" s="5"/>
    </row>
    <row r="448" spans="2:27" ht="15.75" customHeight="1" x14ac:dyDescent="0.25">
      <c r="B448" s="5"/>
      <c r="C448" s="5"/>
      <c r="D448" s="5"/>
      <c r="E448" s="5"/>
      <c r="F448" s="5"/>
      <c r="G448" s="5"/>
      <c r="H448" s="5"/>
      <c r="I448" s="5"/>
      <c r="J448" s="5"/>
      <c r="K448" s="5"/>
      <c r="L448" s="5"/>
      <c r="M448" s="5"/>
      <c r="N448" s="5"/>
      <c r="O448" s="5"/>
      <c r="P448" s="5"/>
      <c r="Q448" s="5"/>
      <c r="R448" s="5"/>
      <c r="S448" s="5"/>
      <c r="T448" s="5"/>
      <c r="U448" s="5"/>
      <c r="V448" s="5"/>
      <c r="W448" s="5"/>
      <c r="X448" s="5"/>
      <c r="Y448" s="5"/>
      <c r="Z448" s="5"/>
      <c r="AA448" s="5"/>
    </row>
    <row r="449" spans="2:27" ht="15.75" customHeight="1" x14ac:dyDescent="0.25">
      <c r="B449" s="5"/>
      <c r="C449" s="5"/>
      <c r="D449" s="5"/>
      <c r="E449" s="5"/>
      <c r="F449" s="5"/>
      <c r="G449" s="5"/>
      <c r="H449" s="5"/>
      <c r="I449" s="5"/>
      <c r="J449" s="5"/>
      <c r="K449" s="5"/>
      <c r="L449" s="5"/>
      <c r="M449" s="5"/>
      <c r="N449" s="5"/>
      <c r="O449" s="5"/>
      <c r="P449" s="5"/>
      <c r="Q449" s="5"/>
      <c r="R449" s="5"/>
      <c r="S449" s="5"/>
      <c r="T449" s="5"/>
      <c r="U449" s="5"/>
      <c r="V449" s="5"/>
      <c r="W449" s="5"/>
      <c r="X449" s="5"/>
      <c r="Y449" s="5"/>
      <c r="Z449" s="5"/>
      <c r="AA449" s="5"/>
    </row>
    <row r="450" spans="2:27" ht="15.75" customHeight="1" x14ac:dyDescent="0.25">
      <c r="B450" s="5"/>
      <c r="C450" s="5"/>
      <c r="D450" s="5"/>
      <c r="E450" s="5"/>
      <c r="F450" s="5"/>
      <c r="G450" s="5"/>
      <c r="H450" s="5"/>
      <c r="I450" s="5"/>
      <c r="J450" s="5"/>
      <c r="K450" s="5"/>
      <c r="L450" s="5"/>
      <c r="M450" s="5"/>
      <c r="N450" s="5"/>
      <c r="O450" s="5"/>
      <c r="P450" s="5"/>
      <c r="Q450" s="5"/>
      <c r="R450" s="5"/>
      <c r="S450" s="5"/>
      <c r="T450" s="5"/>
      <c r="U450" s="5"/>
      <c r="V450" s="5"/>
      <c r="W450" s="5"/>
      <c r="X450" s="5"/>
      <c r="Y450" s="5"/>
      <c r="Z450" s="5"/>
      <c r="AA450" s="5"/>
    </row>
    <row r="451" spans="2:27" ht="15.75" customHeight="1" x14ac:dyDescent="0.25">
      <c r="B451" s="5"/>
      <c r="C451" s="5"/>
      <c r="D451" s="5"/>
      <c r="E451" s="5"/>
      <c r="F451" s="5"/>
      <c r="G451" s="5"/>
      <c r="H451" s="5"/>
      <c r="I451" s="5"/>
      <c r="J451" s="5"/>
      <c r="K451" s="5"/>
      <c r="L451" s="5"/>
      <c r="M451" s="5"/>
      <c r="N451" s="5"/>
      <c r="O451" s="5"/>
      <c r="P451" s="5"/>
      <c r="Q451" s="5"/>
      <c r="R451" s="5"/>
      <c r="S451" s="5"/>
      <c r="T451" s="5"/>
      <c r="U451" s="5"/>
      <c r="V451" s="5"/>
      <c r="W451" s="5"/>
      <c r="X451" s="5"/>
      <c r="Y451" s="5"/>
      <c r="Z451" s="5"/>
      <c r="AA451" s="5"/>
    </row>
    <row r="452" spans="2:27" ht="15.75" customHeight="1" x14ac:dyDescent="0.25">
      <c r="B452" s="5"/>
      <c r="C452" s="5"/>
      <c r="D452" s="5"/>
      <c r="E452" s="5"/>
      <c r="F452" s="5"/>
      <c r="G452" s="5"/>
      <c r="H452" s="5"/>
      <c r="I452" s="5"/>
      <c r="J452" s="5"/>
      <c r="K452" s="5"/>
      <c r="L452" s="5"/>
      <c r="M452" s="5"/>
      <c r="N452" s="5"/>
      <c r="O452" s="5"/>
      <c r="P452" s="5"/>
      <c r="Q452" s="5"/>
      <c r="R452" s="5"/>
      <c r="S452" s="5"/>
      <c r="T452" s="5"/>
      <c r="U452" s="5"/>
      <c r="V452" s="5"/>
      <c r="W452" s="5"/>
      <c r="X452" s="5"/>
      <c r="Y452" s="5"/>
      <c r="Z452" s="5"/>
      <c r="AA452" s="5"/>
    </row>
    <row r="453" spans="2:27" ht="15.75" customHeight="1" x14ac:dyDescent="0.25">
      <c r="B453" s="5"/>
      <c r="C453" s="5"/>
      <c r="D453" s="5"/>
      <c r="E453" s="5"/>
      <c r="F453" s="5"/>
      <c r="G453" s="5"/>
      <c r="H453" s="5"/>
      <c r="I453" s="5"/>
      <c r="J453" s="5"/>
      <c r="K453" s="5"/>
      <c r="L453" s="5"/>
      <c r="M453" s="5"/>
      <c r="N453" s="5"/>
      <c r="O453" s="5"/>
      <c r="P453" s="5"/>
      <c r="Q453" s="5"/>
      <c r="R453" s="5"/>
      <c r="S453" s="5"/>
      <c r="T453" s="5"/>
      <c r="U453" s="5"/>
      <c r="V453" s="5"/>
      <c r="W453" s="5"/>
      <c r="X453" s="5"/>
      <c r="Y453" s="5"/>
      <c r="Z453" s="5"/>
      <c r="AA453" s="5"/>
    </row>
    <row r="454" spans="2:27" ht="15.75" customHeight="1" x14ac:dyDescent="0.25">
      <c r="B454" s="5"/>
      <c r="C454" s="5"/>
      <c r="D454" s="5"/>
      <c r="E454" s="5"/>
      <c r="F454" s="5"/>
      <c r="G454" s="5"/>
      <c r="H454" s="5"/>
      <c r="I454" s="5"/>
      <c r="J454" s="5"/>
      <c r="K454" s="5"/>
      <c r="L454" s="5"/>
      <c r="M454" s="5"/>
      <c r="N454" s="5"/>
      <c r="O454" s="5"/>
      <c r="P454" s="5"/>
      <c r="Q454" s="5"/>
      <c r="R454" s="5"/>
      <c r="S454" s="5"/>
      <c r="T454" s="5"/>
      <c r="U454" s="5"/>
      <c r="V454" s="5"/>
      <c r="W454" s="5"/>
      <c r="X454" s="5"/>
      <c r="Y454" s="5"/>
      <c r="Z454" s="5"/>
      <c r="AA454" s="5"/>
    </row>
    <row r="455" spans="2:27" ht="15.75" customHeight="1" x14ac:dyDescent="0.25">
      <c r="B455" s="5"/>
      <c r="C455" s="5"/>
      <c r="D455" s="5"/>
      <c r="E455" s="5"/>
      <c r="F455" s="5"/>
      <c r="G455" s="5"/>
      <c r="H455" s="5"/>
      <c r="I455" s="5"/>
      <c r="J455" s="5"/>
      <c r="K455" s="5"/>
      <c r="L455" s="5"/>
      <c r="M455" s="5"/>
      <c r="N455" s="5"/>
      <c r="O455" s="5"/>
      <c r="P455" s="5"/>
      <c r="Q455" s="5"/>
      <c r="R455" s="5"/>
      <c r="S455" s="5"/>
      <c r="T455" s="5"/>
      <c r="U455" s="5"/>
      <c r="V455" s="5"/>
      <c r="W455" s="5"/>
      <c r="X455" s="5"/>
      <c r="Y455" s="5"/>
      <c r="Z455" s="5"/>
      <c r="AA455" s="5"/>
    </row>
    <row r="456" spans="2:27" ht="15.75" customHeight="1" x14ac:dyDescent="0.25">
      <c r="B456" s="5"/>
      <c r="C456" s="5"/>
      <c r="D456" s="5"/>
      <c r="E456" s="5"/>
      <c r="F456" s="5"/>
      <c r="G456" s="5"/>
      <c r="H456" s="5"/>
      <c r="I456" s="5"/>
      <c r="J456" s="5"/>
      <c r="K456" s="5"/>
      <c r="L456" s="5"/>
      <c r="M456" s="5"/>
      <c r="N456" s="5"/>
      <c r="O456" s="5"/>
      <c r="P456" s="5"/>
      <c r="Q456" s="5"/>
      <c r="R456" s="5"/>
      <c r="S456" s="5"/>
      <c r="T456" s="5"/>
      <c r="U456" s="5"/>
      <c r="V456" s="5"/>
      <c r="W456" s="5"/>
      <c r="X456" s="5"/>
      <c r="Y456" s="5"/>
      <c r="Z456" s="5"/>
      <c r="AA456" s="5"/>
    </row>
    <row r="457" spans="2:27" ht="15.75" customHeight="1" x14ac:dyDescent="0.25">
      <c r="B457" s="5"/>
      <c r="C457" s="5"/>
      <c r="D457" s="5"/>
      <c r="E457" s="5"/>
      <c r="F457" s="5"/>
      <c r="G457" s="5"/>
      <c r="H457" s="5"/>
      <c r="I457" s="5"/>
      <c r="J457" s="5"/>
      <c r="K457" s="5"/>
      <c r="L457" s="5"/>
      <c r="M457" s="5"/>
      <c r="N457" s="5"/>
      <c r="O457" s="5"/>
      <c r="P457" s="5"/>
      <c r="Q457" s="5"/>
      <c r="R457" s="5"/>
      <c r="S457" s="5"/>
      <c r="T457" s="5"/>
      <c r="U457" s="5"/>
      <c r="V457" s="5"/>
      <c r="W457" s="5"/>
      <c r="X457" s="5"/>
      <c r="Y457" s="5"/>
      <c r="Z457" s="5"/>
      <c r="AA457" s="5"/>
    </row>
    <row r="458" spans="2:27" ht="15.75" customHeight="1" x14ac:dyDescent="0.25">
      <c r="B458" s="5"/>
      <c r="C458" s="5"/>
      <c r="D458" s="5"/>
      <c r="E458" s="5"/>
      <c r="F458" s="5"/>
      <c r="G458" s="5"/>
      <c r="H458" s="5"/>
      <c r="I458" s="5"/>
      <c r="J458" s="5"/>
      <c r="K458" s="5"/>
      <c r="L458" s="5"/>
      <c r="M458" s="5"/>
      <c r="N458" s="5"/>
      <c r="O458" s="5"/>
      <c r="P458" s="5"/>
      <c r="Q458" s="5"/>
      <c r="R458" s="5"/>
      <c r="S458" s="5"/>
      <c r="T458" s="5"/>
      <c r="U458" s="5"/>
      <c r="V458" s="5"/>
      <c r="W458" s="5"/>
      <c r="X458" s="5"/>
      <c r="Y458" s="5"/>
      <c r="Z458" s="5"/>
      <c r="AA458" s="5"/>
    </row>
    <row r="459" spans="2:27" ht="15.75" customHeight="1" x14ac:dyDescent="0.25">
      <c r="B459" s="5"/>
      <c r="C459" s="5"/>
      <c r="D459" s="5"/>
      <c r="E459" s="5"/>
      <c r="F459" s="5"/>
      <c r="G459" s="5"/>
      <c r="H459" s="5"/>
      <c r="I459" s="5"/>
      <c r="J459" s="5"/>
      <c r="K459" s="5"/>
      <c r="L459" s="5"/>
      <c r="M459" s="5"/>
      <c r="N459" s="5"/>
      <c r="O459" s="5"/>
      <c r="P459" s="5"/>
      <c r="Q459" s="5"/>
      <c r="R459" s="5"/>
      <c r="S459" s="5"/>
      <c r="T459" s="5"/>
      <c r="U459" s="5"/>
      <c r="V459" s="5"/>
      <c r="W459" s="5"/>
      <c r="X459" s="5"/>
      <c r="Y459" s="5"/>
      <c r="Z459" s="5"/>
      <c r="AA459" s="5"/>
    </row>
    <row r="460" spans="2:27" ht="15.75" customHeight="1" x14ac:dyDescent="0.25">
      <c r="B460" s="5"/>
      <c r="C460" s="5"/>
      <c r="D460" s="5"/>
      <c r="E460" s="5"/>
      <c r="F460" s="5"/>
      <c r="G460" s="5"/>
      <c r="H460" s="5"/>
      <c r="I460" s="5"/>
      <c r="J460" s="5"/>
      <c r="K460" s="5"/>
      <c r="L460" s="5"/>
      <c r="M460" s="5"/>
      <c r="N460" s="5"/>
      <c r="O460" s="5"/>
      <c r="P460" s="5"/>
      <c r="Q460" s="5"/>
      <c r="R460" s="5"/>
      <c r="S460" s="5"/>
      <c r="T460" s="5"/>
      <c r="U460" s="5"/>
      <c r="V460" s="5"/>
      <c r="W460" s="5"/>
      <c r="X460" s="5"/>
      <c r="Y460" s="5"/>
      <c r="Z460" s="5"/>
      <c r="AA460" s="5"/>
    </row>
    <row r="461" spans="2:27" ht="15.75" customHeight="1" x14ac:dyDescent="0.25">
      <c r="B461" s="5"/>
      <c r="C461" s="5"/>
      <c r="D461" s="5"/>
      <c r="E461" s="5"/>
      <c r="F461" s="5"/>
      <c r="G461" s="5"/>
      <c r="H461" s="5"/>
      <c r="I461" s="5"/>
      <c r="J461" s="5"/>
      <c r="K461" s="5"/>
      <c r="L461" s="5"/>
      <c r="M461" s="5"/>
      <c r="N461" s="5"/>
      <c r="O461" s="5"/>
      <c r="P461" s="5"/>
      <c r="Q461" s="5"/>
      <c r="R461" s="5"/>
      <c r="S461" s="5"/>
      <c r="T461" s="5"/>
      <c r="U461" s="5"/>
      <c r="V461" s="5"/>
      <c r="W461" s="5"/>
      <c r="X461" s="5"/>
      <c r="Y461" s="5"/>
      <c r="Z461" s="5"/>
      <c r="AA461" s="5"/>
    </row>
    <row r="462" spans="2:27" ht="15.75" customHeight="1" x14ac:dyDescent="0.25">
      <c r="B462" s="5"/>
      <c r="C462" s="5"/>
      <c r="D462" s="5"/>
      <c r="E462" s="5"/>
      <c r="F462" s="5"/>
      <c r="G462" s="5"/>
      <c r="H462" s="5"/>
      <c r="I462" s="5"/>
      <c r="J462" s="5"/>
      <c r="K462" s="5"/>
      <c r="L462" s="5"/>
      <c r="M462" s="5"/>
      <c r="N462" s="5"/>
      <c r="O462" s="5"/>
      <c r="P462" s="5"/>
      <c r="Q462" s="5"/>
      <c r="R462" s="5"/>
      <c r="S462" s="5"/>
      <c r="T462" s="5"/>
      <c r="U462" s="5"/>
      <c r="V462" s="5"/>
      <c r="W462" s="5"/>
      <c r="X462" s="5"/>
      <c r="Y462" s="5"/>
      <c r="Z462" s="5"/>
      <c r="AA462" s="5"/>
    </row>
    <row r="463" spans="2:27" ht="15.75" customHeight="1" x14ac:dyDescent="0.25">
      <c r="B463" s="5"/>
      <c r="C463" s="5"/>
      <c r="D463" s="5"/>
      <c r="E463" s="5"/>
      <c r="F463" s="5"/>
      <c r="G463" s="5"/>
      <c r="H463" s="5"/>
      <c r="I463" s="5"/>
      <c r="J463" s="5"/>
      <c r="K463" s="5"/>
      <c r="L463" s="5"/>
      <c r="M463" s="5"/>
      <c r="N463" s="5"/>
      <c r="O463" s="5"/>
      <c r="P463" s="5"/>
      <c r="Q463" s="5"/>
      <c r="R463" s="5"/>
      <c r="S463" s="5"/>
      <c r="T463" s="5"/>
      <c r="U463" s="5"/>
      <c r="V463" s="5"/>
      <c r="W463" s="5"/>
      <c r="X463" s="5"/>
      <c r="Y463" s="5"/>
      <c r="Z463" s="5"/>
      <c r="AA463" s="5"/>
    </row>
    <row r="464" spans="2:27" ht="15.75" customHeight="1" x14ac:dyDescent="0.25">
      <c r="B464" s="5"/>
      <c r="C464" s="5"/>
      <c r="D464" s="5"/>
      <c r="E464" s="5"/>
      <c r="F464" s="5"/>
      <c r="G464" s="5"/>
      <c r="H464" s="5"/>
      <c r="I464" s="5"/>
      <c r="J464" s="5"/>
      <c r="K464" s="5"/>
      <c r="L464" s="5"/>
      <c r="M464" s="5"/>
      <c r="N464" s="5"/>
      <c r="O464" s="5"/>
      <c r="P464" s="5"/>
      <c r="Q464" s="5"/>
      <c r="R464" s="5"/>
      <c r="S464" s="5"/>
      <c r="T464" s="5"/>
      <c r="U464" s="5"/>
      <c r="V464" s="5"/>
      <c r="W464" s="5"/>
      <c r="X464" s="5"/>
      <c r="Y464" s="5"/>
      <c r="Z464" s="5"/>
      <c r="AA464" s="5"/>
    </row>
    <row r="465" spans="2:27" ht="15.75" customHeight="1" x14ac:dyDescent="0.25">
      <c r="B465" s="5"/>
      <c r="C465" s="5"/>
      <c r="D465" s="5"/>
      <c r="E465" s="5"/>
      <c r="F465" s="5"/>
      <c r="G465" s="5"/>
      <c r="H465" s="5"/>
      <c r="I465" s="5"/>
      <c r="J465" s="5"/>
      <c r="K465" s="5"/>
      <c r="L465" s="5"/>
      <c r="M465" s="5"/>
      <c r="N465" s="5"/>
      <c r="O465" s="5"/>
      <c r="P465" s="5"/>
      <c r="Q465" s="5"/>
      <c r="R465" s="5"/>
      <c r="S465" s="5"/>
      <c r="T465" s="5"/>
      <c r="U465" s="5"/>
      <c r="V465" s="5"/>
      <c r="W465" s="5"/>
      <c r="X465" s="5"/>
      <c r="Y465" s="5"/>
      <c r="Z465" s="5"/>
      <c r="AA465" s="5"/>
    </row>
    <row r="466" spans="2:27" ht="15.75" customHeight="1" x14ac:dyDescent="0.25">
      <c r="B466" s="5"/>
      <c r="C466" s="5"/>
      <c r="D466" s="5"/>
      <c r="E466" s="5"/>
      <c r="F466" s="5"/>
      <c r="G466" s="5"/>
      <c r="H466" s="5"/>
      <c r="I466" s="5"/>
      <c r="J466" s="5"/>
      <c r="K466" s="5"/>
      <c r="L466" s="5"/>
      <c r="M466" s="5"/>
      <c r="N466" s="5"/>
      <c r="O466" s="5"/>
      <c r="P466" s="5"/>
      <c r="Q466" s="5"/>
      <c r="R466" s="5"/>
      <c r="S466" s="5"/>
      <c r="T466" s="5"/>
      <c r="U466" s="5"/>
      <c r="V466" s="5"/>
      <c r="W466" s="5"/>
      <c r="X466" s="5"/>
      <c r="Y466" s="5"/>
      <c r="Z466" s="5"/>
      <c r="AA466" s="5"/>
    </row>
    <row r="467" spans="2:27" ht="15.75" customHeight="1" x14ac:dyDescent="0.25">
      <c r="B467" s="5"/>
      <c r="C467" s="5"/>
      <c r="D467" s="5"/>
      <c r="E467" s="5"/>
      <c r="F467" s="5"/>
      <c r="G467" s="5"/>
      <c r="H467" s="5"/>
      <c r="I467" s="5"/>
      <c r="J467" s="5"/>
      <c r="K467" s="5"/>
      <c r="L467" s="5"/>
      <c r="M467" s="5"/>
      <c r="N467" s="5"/>
      <c r="O467" s="5"/>
      <c r="P467" s="5"/>
      <c r="Q467" s="5"/>
      <c r="R467" s="5"/>
      <c r="S467" s="5"/>
      <c r="T467" s="5"/>
      <c r="U467" s="5"/>
      <c r="V467" s="5"/>
      <c r="W467" s="5"/>
      <c r="X467" s="5"/>
      <c r="Y467" s="5"/>
      <c r="Z467" s="5"/>
      <c r="AA467" s="5"/>
    </row>
    <row r="468" spans="2:27" ht="15.75" customHeight="1" x14ac:dyDescent="0.25">
      <c r="B468" s="5"/>
      <c r="C468" s="5"/>
      <c r="D468" s="5"/>
      <c r="E468" s="5"/>
      <c r="F468" s="5"/>
      <c r="G468" s="5"/>
      <c r="H468" s="5"/>
      <c r="I468" s="5"/>
      <c r="J468" s="5"/>
      <c r="K468" s="5"/>
      <c r="L468" s="5"/>
      <c r="M468" s="5"/>
      <c r="N468" s="5"/>
      <c r="O468" s="5"/>
      <c r="P468" s="5"/>
      <c r="Q468" s="5"/>
      <c r="R468" s="5"/>
      <c r="S468" s="5"/>
      <c r="T468" s="5"/>
      <c r="U468" s="5"/>
      <c r="V468" s="5"/>
      <c r="W468" s="5"/>
      <c r="X468" s="5"/>
      <c r="Y468" s="5"/>
      <c r="Z468" s="5"/>
      <c r="AA468" s="5"/>
    </row>
    <row r="469" spans="2:27" ht="15.75" customHeight="1" x14ac:dyDescent="0.25">
      <c r="B469" s="5"/>
      <c r="C469" s="5"/>
      <c r="D469" s="5"/>
      <c r="E469" s="5"/>
      <c r="F469" s="5"/>
      <c r="G469" s="5"/>
      <c r="H469" s="5"/>
      <c r="I469" s="5"/>
      <c r="J469" s="5"/>
      <c r="K469" s="5"/>
      <c r="L469" s="5"/>
      <c r="M469" s="5"/>
      <c r="N469" s="5"/>
      <c r="O469" s="5"/>
      <c r="P469" s="5"/>
      <c r="Q469" s="5"/>
      <c r="R469" s="5"/>
      <c r="S469" s="5"/>
      <c r="T469" s="5"/>
      <c r="U469" s="5"/>
      <c r="V469" s="5"/>
      <c r="W469" s="5"/>
      <c r="X469" s="5"/>
      <c r="Y469" s="5"/>
      <c r="Z469" s="5"/>
      <c r="AA469" s="5"/>
    </row>
    <row r="470" spans="2:27" ht="15.75" customHeight="1" x14ac:dyDescent="0.25">
      <c r="B470" s="5"/>
      <c r="C470" s="5"/>
      <c r="D470" s="5"/>
      <c r="E470" s="5"/>
      <c r="F470" s="5"/>
      <c r="G470" s="5"/>
      <c r="H470" s="5"/>
      <c r="I470" s="5"/>
      <c r="J470" s="5"/>
      <c r="K470" s="5"/>
      <c r="L470" s="5"/>
      <c r="M470" s="5"/>
      <c r="N470" s="5"/>
      <c r="O470" s="5"/>
      <c r="P470" s="5"/>
      <c r="Q470" s="5"/>
      <c r="R470" s="5"/>
      <c r="S470" s="5"/>
      <c r="T470" s="5"/>
      <c r="U470" s="5"/>
      <c r="V470" s="5"/>
      <c r="W470" s="5"/>
      <c r="X470" s="5"/>
      <c r="Y470" s="5"/>
      <c r="Z470" s="5"/>
      <c r="AA470" s="5"/>
    </row>
    <row r="471" spans="2:27" ht="15.75" customHeight="1" x14ac:dyDescent="0.25">
      <c r="B471" s="5"/>
      <c r="C471" s="5"/>
      <c r="D471" s="5"/>
      <c r="E471" s="5"/>
      <c r="F471" s="5"/>
      <c r="G471" s="5"/>
      <c r="H471" s="5"/>
      <c r="I471" s="5"/>
      <c r="J471" s="5"/>
      <c r="K471" s="5"/>
      <c r="L471" s="5"/>
      <c r="M471" s="5"/>
      <c r="N471" s="5"/>
      <c r="O471" s="5"/>
      <c r="P471" s="5"/>
      <c r="Q471" s="5"/>
      <c r="R471" s="5"/>
      <c r="S471" s="5"/>
      <c r="T471" s="5"/>
      <c r="U471" s="5"/>
      <c r="V471" s="5"/>
      <c r="W471" s="5"/>
      <c r="X471" s="5"/>
      <c r="Y471" s="5"/>
      <c r="Z471" s="5"/>
      <c r="AA471" s="5"/>
    </row>
    <row r="472" spans="2:27" ht="15.75" customHeight="1" x14ac:dyDescent="0.25">
      <c r="B472" s="5"/>
      <c r="C472" s="5"/>
      <c r="D472" s="5"/>
      <c r="E472" s="5"/>
      <c r="F472" s="5"/>
      <c r="G472" s="5"/>
      <c r="H472" s="5"/>
      <c r="I472" s="5"/>
      <c r="J472" s="5"/>
      <c r="K472" s="5"/>
      <c r="L472" s="5"/>
      <c r="M472" s="5"/>
      <c r="N472" s="5"/>
      <c r="O472" s="5"/>
      <c r="P472" s="5"/>
      <c r="Q472" s="5"/>
      <c r="R472" s="5"/>
      <c r="S472" s="5"/>
      <c r="T472" s="5"/>
      <c r="U472" s="5"/>
      <c r="V472" s="5"/>
      <c r="W472" s="5"/>
      <c r="X472" s="5"/>
      <c r="Y472" s="5"/>
      <c r="Z472" s="5"/>
      <c r="AA472" s="5"/>
    </row>
    <row r="473" spans="2:27" ht="15.75" customHeight="1" x14ac:dyDescent="0.25">
      <c r="B473" s="5"/>
      <c r="C473" s="5"/>
      <c r="D473" s="5"/>
      <c r="E473" s="5"/>
      <c r="F473" s="5"/>
      <c r="G473" s="5"/>
      <c r="H473" s="5"/>
      <c r="I473" s="5"/>
      <c r="J473" s="5"/>
      <c r="K473" s="5"/>
      <c r="L473" s="5"/>
      <c r="M473" s="5"/>
      <c r="N473" s="5"/>
      <c r="O473" s="5"/>
      <c r="P473" s="5"/>
      <c r="Q473" s="5"/>
      <c r="R473" s="5"/>
      <c r="S473" s="5"/>
      <c r="T473" s="5"/>
      <c r="U473" s="5"/>
      <c r="V473" s="5"/>
      <c r="W473" s="5"/>
      <c r="X473" s="5"/>
      <c r="Y473" s="5"/>
      <c r="Z473" s="5"/>
      <c r="AA473" s="5"/>
    </row>
    <row r="474" spans="2:27" ht="15.75" customHeight="1" x14ac:dyDescent="0.25">
      <c r="B474" s="5"/>
      <c r="C474" s="5"/>
      <c r="D474" s="5"/>
      <c r="E474" s="5"/>
      <c r="F474" s="5"/>
      <c r="G474" s="5"/>
      <c r="H474" s="5"/>
      <c r="I474" s="5"/>
      <c r="J474" s="5"/>
      <c r="K474" s="5"/>
      <c r="L474" s="5"/>
      <c r="M474" s="5"/>
      <c r="N474" s="5"/>
      <c r="O474" s="5"/>
      <c r="P474" s="5"/>
      <c r="Q474" s="5"/>
      <c r="R474" s="5"/>
      <c r="S474" s="5"/>
      <c r="T474" s="5"/>
      <c r="U474" s="5"/>
      <c r="V474" s="5"/>
      <c r="W474" s="5"/>
      <c r="X474" s="5"/>
      <c r="Y474" s="5"/>
      <c r="Z474" s="5"/>
      <c r="AA474" s="5"/>
    </row>
    <row r="475" spans="2:27" ht="15.75" customHeight="1" x14ac:dyDescent="0.25">
      <c r="B475" s="5"/>
      <c r="C475" s="5"/>
      <c r="D475" s="5"/>
      <c r="E475" s="5"/>
      <c r="F475" s="5"/>
      <c r="G475" s="5"/>
      <c r="H475" s="5"/>
      <c r="I475" s="5"/>
      <c r="J475" s="5"/>
      <c r="K475" s="5"/>
      <c r="L475" s="5"/>
      <c r="M475" s="5"/>
      <c r="N475" s="5"/>
      <c r="O475" s="5"/>
      <c r="P475" s="5"/>
      <c r="Q475" s="5"/>
      <c r="R475" s="5"/>
      <c r="S475" s="5"/>
      <c r="T475" s="5"/>
      <c r="U475" s="5"/>
      <c r="V475" s="5"/>
      <c r="W475" s="5"/>
      <c r="X475" s="5"/>
      <c r="Y475" s="5"/>
      <c r="Z475" s="5"/>
      <c r="AA475" s="5"/>
    </row>
    <row r="476" spans="2:27" ht="15.75" customHeight="1" x14ac:dyDescent="0.25">
      <c r="B476" s="5"/>
      <c r="C476" s="5"/>
      <c r="D476" s="5"/>
      <c r="E476" s="5"/>
      <c r="F476" s="5"/>
      <c r="G476" s="5"/>
      <c r="H476" s="5"/>
      <c r="I476" s="5"/>
      <c r="J476" s="5"/>
      <c r="K476" s="5"/>
      <c r="L476" s="5"/>
      <c r="M476" s="5"/>
      <c r="N476" s="5"/>
      <c r="O476" s="5"/>
      <c r="P476" s="5"/>
      <c r="Q476" s="5"/>
      <c r="R476" s="5"/>
      <c r="S476" s="5"/>
      <c r="T476" s="5"/>
      <c r="U476" s="5"/>
      <c r="V476" s="5"/>
      <c r="W476" s="5"/>
      <c r="X476" s="5"/>
      <c r="Y476" s="5"/>
      <c r="Z476" s="5"/>
      <c r="AA476" s="5"/>
    </row>
  </sheetData>
  <mergeCells count="27">
    <mergeCell ref="C232:G232"/>
    <mergeCell ref="C233:G233"/>
    <mergeCell ref="C234:G234"/>
    <mergeCell ref="I232:M232"/>
    <mergeCell ref="I233:M233"/>
    <mergeCell ref="I234:M234"/>
    <mergeCell ref="G192:I218"/>
    <mergeCell ref="E144:G151"/>
    <mergeCell ref="B6:C7"/>
    <mergeCell ref="D6:D7"/>
    <mergeCell ref="B2:N3"/>
    <mergeCell ref="B8:C8"/>
    <mergeCell ref="H6:J6"/>
    <mergeCell ref="E6:G6"/>
    <mergeCell ref="B108:G109"/>
    <mergeCell ref="B110:G120"/>
    <mergeCell ref="G191:I191"/>
    <mergeCell ref="B137:M138"/>
    <mergeCell ref="B170:M171"/>
    <mergeCell ref="I173:K173"/>
    <mergeCell ref="I174:K180"/>
    <mergeCell ref="B188:I189"/>
    <mergeCell ref="B140:M141"/>
    <mergeCell ref="E143:G143"/>
    <mergeCell ref="B157:M158"/>
    <mergeCell ref="E159:G159"/>
    <mergeCell ref="E160:G164"/>
  </mergeCells>
  <phoneticPr fontId="36" type="noConversion"/>
  <printOptions horizontalCentered="1" verticalCentered="1"/>
  <pageMargins left="0.3" right="0.39370078740157499" top="0.39370078740157499" bottom="0.39370078740157499" header="0" footer="0"/>
  <pageSetup scale="37" fitToHeight="0" orientation="portrait" r:id="rId1"/>
  <rowBreaks count="2" manualBreakCount="2">
    <brk id="134" max="13" man="1"/>
    <brk id="187" max="1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6">
    <pageSetUpPr fitToPage="1"/>
  </sheetPr>
  <dimension ref="A1:AC639"/>
  <sheetViews>
    <sheetView view="pageBreakPreview" topLeftCell="D1" zoomScale="70" zoomScaleNormal="100" zoomScaleSheetLayoutView="70" workbookViewId="0">
      <selection activeCell="R54" sqref="R52:X54"/>
    </sheetView>
  </sheetViews>
  <sheetFormatPr baseColWidth="10" defaultColWidth="12.7109375" defaultRowHeight="15" customHeight="1" x14ac:dyDescent="0.2"/>
  <cols>
    <col min="1" max="48" width="11.42578125" customWidth="1"/>
    <col min="49" max="54" width="12.7109375" customWidth="1"/>
    <col min="59" max="66" width="12.7109375" customWidth="1"/>
    <col min="71" max="77" width="12.7109375" customWidth="1"/>
    <col min="83" max="90" width="12.7109375" customWidth="1"/>
  </cols>
  <sheetData>
    <row r="1" spans="1:29" ht="15" customHeight="1" x14ac:dyDescent="0.2">
      <c r="A1" s="1344" t="s">
        <v>1139</v>
      </c>
      <c r="B1" s="1345"/>
      <c r="C1" s="1345"/>
      <c r="D1" s="1345"/>
      <c r="E1" s="1345"/>
      <c r="F1" s="1345"/>
      <c r="G1" s="1345"/>
      <c r="H1" s="1345"/>
      <c r="I1" s="1345"/>
      <c r="J1" s="1345"/>
      <c r="K1" s="1345"/>
      <c r="L1" s="1345"/>
      <c r="M1" s="1345"/>
      <c r="N1" s="1345"/>
      <c r="O1" s="1345"/>
      <c r="P1" s="1345"/>
      <c r="Q1" s="1345"/>
      <c r="R1" s="1345"/>
      <c r="S1" s="1345"/>
      <c r="T1" s="1345"/>
      <c r="U1" s="1345"/>
      <c r="V1" s="1345"/>
      <c r="W1" s="1345"/>
      <c r="X1" s="1345"/>
      <c r="Y1" s="1345"/>
      <c r="Z1" s="1345"/>
      <c r="AA1" s="1345"/>
      <c r="AB1" s="1345"/>
      <c r="AC1" s="1346"/>
    </row>
    <row r="2" spans="1:29" ht="15" customHeight="1" x14ac:dyDescent="0.2">
      <c r="A2" s="1347"/>
      <c r="B2" s="1348"/>
      <c r="C2" s="1348"/>
      <c r="D2" s="1348"/>
      <c r="E2" s="1348"/>
      <c r="F2" s="1348"/>
      <c r="G2" s="1348"/>
      <c r="H2" s="1348"/>
      <c r="I2" s="1348"/>
      <c r="J2" s="1348"/>
      <c r="K2" s="1348"/>
      <c r="L2" s="1348"/>
      <c r="M2" s="1348"/>
      <c r="N2" s="1348"/>
      <c r="O2" s="1348"/>
      <c r="P2" s="1348"/>
      <c r="Q2" s="1348"/>
      <c r="R2" s="1348"/>
      <c r="S2" s="1348"/>
      <c r="T2" s="1348"/>
      <c r="U2" s="1348"/>
      <c r="V2" s="1348"/>
      <c r="W2" s="1348"/>
      <c r="X2" s="1348"/>
      <c r="Y2" s="1348"/>
      <c r="Z2" s="1348"/>
      <c r="AA2" s="1348"/>
      <c r="AB2" s="1348"/>
      <c r="AC2" s="1349"/>
    </row>
    <row r="3" spans="1:29" ht="15" customHeight="1" x14ac:dyDescent="0.2">
      <c r="A3" s="1595"/>
      <c r="B3" s="1596"/>
      <c r="C3" s="1596"/>
      <c r="D3" s="1596"/>
      <c r="E3" s="1596"/>
      <c r="F3" s="1596"/>
      <c r="G3" s="1596"/>
      <c r="H3" s="1596"/>
      <c r="I3" s="1596"/>
      <c r="J3" s="1596"/>
      <c r="K3" s="1596"/>
      <c r="L3" s="1596"/>
      <c r="M3" s="1596"/>
      <c r="N3" s="1596"/>
      <c r="O3" s="1596"/>
      <c r="P3" s="1596"/>
      <c r="Q3" s="1596"/>
      <c r="R3" s="1596"/>
      <c r="S3" s="1596"/>
      <c r="T3" s="1596"/>
      <c r="U3" s="1596"/>
      <c r="V3" s="1596"/>
      <c r="W3" s="1596"/>
      <c r="X3" s="1596"/>
      <c r="Y3" s="1596"/>
      <c r="Z3" s="1596"/>
      <c r="AA3" s="1596"/>
      <c r="AB3" s="1596"/>
      <c r="AC3" s="1597"/>
    </row>
    <row r="4" spans="1:29" ht="15" customHeight="1" x14ac:dyDescent="0.2">
      <c r="A4" s="337"/>
      <c r="B4" s="76"/>
      <c r="C4" s="76"/>
      <c r="D4" s="76"/>
      <c r="E4" s="76"/>
      <c r="F4" s="76"/>
      <c r="G4" s="76"/>
      <c r="H4" s="76"/>
      <c r="I4" s="76"/>
      <c r="J4" s="76"/>
      <c r="K4" s="76"/>
      <c r="L4" s="76"/>
      <c r="M4" s="76"/>
      <c r="N4" s="76"/>
      <c r="O4" s="76"/>
      <c r="P4" s="76"/>
      <c r="Q4" s="76"/>
      <c r="R4" s="76"/>
      <c r="S4" s="76"/>
      <c r="T4" s="76"/>
      <c r="U4" s="76"/>
      <c r="V4" s="76"/>
      <c r="W4" s="76"/>
      <c r="X4" s="76"/>
      <c r="Y4" s="76"/>
      <c r="Z4" s="76"/>
      <c r="AA4" s="76"/>
      <c r="AB4" s="76"/>
      <c r="AC4" s="338"/>
    </row>
    <row r="5" spans="1:29" ht="15" customHeight="1" x14ac:dyDescent="0.2">
      <c r="A5" s="1593" t="s">
        <v>38</v>
      </c>
      <c r="B5" s="1594"/>
      <c r="C5" s="325" t="s">
        <v>397</v>
      </c>
      <c r="D5" s="1592" t="s">
        <v>673</v>
      </c>
      <c r="E5" s="1055"/>
      <c r="F5" s="1048" t="s">
        <v>880</v>
      </c>
      <c r="G5" s="1336"/>
      <c r="H5" s="1580" t="s">
        <v>1216</v>
      </c>
      <c r="I5" s="1581"/>
      <c r="J5" s="1048" t="s">
        <v>881</v>
      </c>
      <c r="K5" s="1336"/>
      <c r="L5" s="1580" t="s">
        <v>1216</v>
      </c>
      <c r="M5" s="1581"/>
      <c r="N5" s="1048" t="s">
        <v>1871</v>
      </c>
      <c r="O5" s="1336"/>
      <c r="P5" s="1580" t="s">
        <v>1216</v>
      </c>
      <c r="Q5" s="1581"/>
      <c r="R5" s="1048" t="s">
        <v>883</v>
      </c>
      <c r="S5" s="1336"/>
      <c r="T5" s="1580" t="s">
        <v>1216</v>
      </c>
      <c r="U5" s="1581"/>
      <c r="V5" s="1048" t="s">
        <v>882</v>
      </c>
      <c r="W5" s="1336"/>
      <c r="X5" s="1580" t="s">
        <v>1216</v>
      </c>
      <c r="Y5" s="1581"/>
      <c r="Z5" s="1048" t="s">
        <v>790</v>
      </c>
      <c r="AA5" s="1336"/>
      <c r="AB5" s="1580" t="s">
        <v>1216</v>
      </c>
      <c r="AC5" s="1584"/>
    </row>
    <row r="6" spans="1:29" ht="15" customHeight="1" x14ac:dyDescent="0.2">
      <c r="A6" s="1586" t="str">
        <f>+'PTO OC PLIEGO'!B149</f>
        <v>CONSTRUCIÓN DE CAJA PARA PROTECCIÓN DE VÁLVULA DE 1,2*0,60*0,60M LIBRES: ESPESOR DE PAREDES DE 0,10M EN MAMPOSTERIA (PARA MONTAJE DE 3 VALVULAS EN SERIE)</v>
      </c>
      <c r="B6" s="1587"/>
      <c r="C6" s="1587"/>
      <c r="D6" s="1582" t="s">
        <v>201</v>
      </c>
      <c r="E6" s="1050"/>
      <c r="F6" s="80">
        <f>+F7</f>
        <v>0</v>
      </c>
      <c r="G6" s="1331" t="s">
        <v>695</v>
      </c>
      <c r="H6" s="1052"/>
      <c r="I6" s="1053"/>
      <c r="J6" s="80">
        <f>J7*J8*J9</f>
        <v>0</v>
      </c>
      <c r="K6" s="1331" t="s">
        <v>695</v>
      </c>
      <c r="L6" s="1052"/>
      <c r="M6" s="1053"/>
      <c r="N6" s="80">
        <f>+N7</f>
        <v>7</v>
      </c>
      <c r="O6" s="1331"/>
      <c r="P6" s="1052"/>
      <c r="Q6" s="1053"/>
      <c r="R6" s="80">
        <f>+R13*R7</f>
        <v>0</v>
      </c>
      <c r="S6" s="1331" t="s">
        <v>695</v>
      </c>
      <c r="T6" s="1052"/>
      <c r="U6" s="1053"/>
      <c r="V6" s="81">
        <f>+V10*V8*V7</f>
        <v>0</v>
      </c>
      <c r="W6" s="1331" t="s">
        <v>695</v>
      </c>
      <c r="X6" s="1052"/>
      <c r="Y6" s="1053"/>
      <c r="Z6" s="81">
        <f>+Z13*Z7</f>
        <v>0</v>
      </c>
      <c r="AA6" s="1331" t="s">
        <v>695</v>
      </c>
      <c r="AB6" s="1052"/>
      <c r="AC6" s="1053"/>
    </row>
    <row r="7" spans="1:29" ht="15" customHeight="1" x14ac:dyDescent="0.2">
      <c r="A7" s="1588"/>
      <c r="B7" s="1589"/>
      <c r="C7" s="1589"/>
      <c r="D7" s="1582" t="s">
        <v>132</v>
      </c>
      <c r="E7" s="1050"/>
      <c r="F7" s="47">
        <v>0</v>
      </c>
      <c r="G7" s="1029"/>
      <c r="H7" s="939"/>
      <c r="I7" s="1054"/>
      <c r="J7" s="47">
        <v>0</v>
      </c>
      <c r="K7" s="1029"/>
      <c r="L7" s="939"/>
      <c r="M7" s="1054"/>
      <c r="N7" s="47">
        <v>7</v>
      </c>
      <c r="O7" s="1029"/>
      <c r="P7" s="939"/>
      <c r="Q7" s="1054"/>
      <c r="R7" s="47">
        <v>0</v>
      </c>
      <c r="S7" s="1029"/>
      <c r="T7" s="939"/>
      <c r="U7" s="1054"/>
      <c r="V7" s="47"/>
      <c r="W7" s="1029"/>
      <c r="X7" s="939"/>
      <c r="Y7" s="1054"/>
      <c r="Z7" s="47"/>
      <c r="AA7" s="1029"/>
      <c r="AB7" s="939"/>
      <c r="AC7" s="1054"/>
    </row>
    <row r="8" spans="1:29" ht="15" customHeight="1" x14ac:dyDescent="0.2">
      <c r="A8" s="1588"/>
      <c r="B8" s="1589"/>
      <c r="C8" s="1589"/>
      <c r="D8" s="1582" t="s">
        <v>674</v>
      </c>
      <c r="E8" s="1050"/>
      <c r="F8" s="47">
        <v>0</v>
      </c>
      <c r="G8" s="1029"/>
      <c r="H8" s="939"/>
      <c r="I8" s="1054"/>
      <c r="J8" s="47">
        <v>0</v>
      </c>
      <c r="K8" s="1029"/>
      <c r="L8" s="939"/>
      <c r="M8" s="1054"/>
      <c r="N8" s="47"/>
      <c r="O8" s="1029"/>
      <c r="P8" s="939"/>
      <c r="Q8" s="1054"/>
      <c r="R8" s="47"/>
      <c r="S8" s="1029"/>
      <c r="T8" s="939"/>
      <c r="U8" s="1054"/>
      <c r="V8" s="47"/>
      <c r="W8" s="1029"/>
      <c r="X8" s="939"/>
      <c r="Y8" s="1054"/>
      <c r="Z8" s="47"/>
      <c r="AA8" s="1029"/>
      <c r="AB8" s="939"/>
      <c r="AC8" s="1054"/>
    </row>
    <row r="9" spans="1:29" ht="15" customHeight="1" x14ac:dyDescent="0.2">
      <c r="A9" s="1588"/>
      <c r="B9" s="1589"/>
      <c r="C9" s="1589"/>
      <c r="D9" s="1582" t="s">
        <v>675</v>
      </c>
      <c r="E9" s="1050"/>
      <c r="F9" s="47">
        <v>0</v>
      </c>
      <c r="G9" s="1029"/>
      <c r="H9" s="939"/>
      <c r="I9" s="1054"/>
      <c r="J9" s="47">
        <v>0</v>
      </c>
      <c r="K9" s="1029"/>
      <c r="L9" s="939"/>
      <c r="M9" s="1054"/>
      <c r="N9" s="47"/>
      <c r="O9" s="1029"/>
      <c r="P9" s="939"/>
      <c r="Q9" s="1054"/>
      <c r="R9" s="53">
        <v>0</v>
      </c>
      <c r="S9" s="1029"/>
      <c r="T9" s="939"/>
      <c r="U9" s="1054"/>
      <c r="V9" s="47"/>
      <c r="W9" s="1029"/>
      <c r="X9" s="939"/>
      <c r="Y9" s="1054"/>
      <c r="Z9" s="47"/>
      <c r="AA9" s="1029"/>
      <c r="AB9" s="939"/>
      <c r="AC9" s="1054"/>
    </row>
    <row r="10" spans="1:29" ht="15" customHeight="1" x14ac:dyDescent="0.2">
      <c r="A10" s="1588"/>
      <c r="B10" s="1589"/>
      <c r="C10" s="1589"/>
      <c r="D10" s="1582" t="s">
        <v>676</v>
      </c>
      <c r="E10" s="1050"/>
      <c r="F10" s="47"/>
      <c r="G10" s="1029"/>
      <c r="H10" s="939"/>
      <c r="I10" s="1054"/>
      <c r="J10" s="47"/>
      <c r="K10" s="1029"/>
      <c r="L10" s="939"/>
      <c r="M10" s="1054"/>
      <c r="N10" s="47"/>
      <c r="O10" s="1029"/>
      <c r="P10" s="939"/>
      <c r="Q10" s="1054"/>
      <c r="R10" s="47">
        <v>0</v>
      </c>
      <c r="S10" s="1029"/>
      <c r="T10" s="939"/>
      <c r="U10" s="1054"/>
      <c r="V10" s="47"/>
      <c r="W10" s="1029"/>
      <c r="X10" s="939"/>
      <c r="Y10" s="1054"/>
      <c r="Z10" s="47"/>
      <c r="AA10" s="1029"/>
      <c r="AB10" s="939"/>
      <c r="AC10" s="1054"/>
    </row>
    <row r="11" spans="1:29" ht="15" customHeight="1" x14ac:dyDescent="0.2">
      <c r="A11" s="1588"/>
      <c r="B11" s="1589"/>
      <c r="C11" s="1589"/>
      <c r="D11" s="1582" t="s">
        <v>677</v>
      </c>
      <c r="E11" s="1050"/>
      <c r="F11" s="47"/>
      <c r="G11" s="1029"/>
      <c r="H11" s="939"/>
      <c r="I11" s="1054"/>
      <c r="J11" s="47"/>
      <c r="K11" s="1029"/>
      <c r="L11" s="939"/>
      <c r="M11" s="1054"/>
      <c r="N11" s="47"/>
      <c r="O11" s="1029"/>
      <c r="P11" s="939"/>
      <c r="Q11" s="1054"/>
      <c r="R11" s="47">
        <v>0</v>
      </c>
      <c r="S11" s="1029"/>
      <c r="T11" s="939"/>
      <c r="U11" s="1054"/>
      <c r="V11" s="47"/>
      <c r="W11" s="1029"/>
      <c r="X11" s="939"/>
      <c r="Y11" s="1054"/>
      <c r="Z11" s="47"/>
      <c r="AA11" s="1029"/>
      <c r="AB11" s="939"/>
      <c r="AC11" s="1054"/>
    </row>
    <row r="12" spans="1:29" ht="15" customHeight="1" x14ac:dyDescent="0.25">
      <c r="A12" s="1588"/>
      <c r="B12" s="1589"/>
      <c r="C12" s="1589"/>
      <c r="D12" s="1582" t="s">
        <v>678</v>
      </c>
      <c r="E12" s="1050"/>
      <c r="F12" s="47"/>
      <c r="G12" s="1029"/>
      <c r="H12" s="939"/>
      <c r="I12" s="1054"/>
      <c r="J12" s="47"/>
      <c r="K12" s="1029"/>
      <c r="L12" s="939"/>
      <c r="M12" s="1054"/>
      <c r="N12" s="78"/>
      <c r="O12" s="1029"/>
      <c r="P12" s="939"/>
      <c r="Q12" s="1054"/>
      <c r="R12" s="78"/>
      <c r="S12" s="1029"/>
      <c r="T12" s="939"/>
      <c r="U12" s="1054"/>
      <c r="V12" s="47"/>
      <c r="W12" s="1029"/>
      <c r="X12" s="939"/>
      <c r="Y12" s="1054"/>
      <c r="Z12" s="47"/>
      <c r="AA12" s="1029"/>
      <c r="AB12" s="939"/>
      <c r="AC12" s="1054"/>
    </row>
    <row r="13" spans="1:29" ht="15" customHeight="1" x14ac:dyDescent="0.2">
      <c r="A13" s="1588"/>
      <c r="B13" s="1589"/>
      <c r="C13" s="1589"/>
      <c r="D13" s="1582" t="s">
        <v>799</v>
      </c>
      <c r="E13" s="1050"/>
      <c r="F13" s="47"/>
      <c r="G13" s="1029"/>
      <c r="H13" s="939"/>
      <c r="I13" s="1054"/>
      <c r="J13" s="47"/>
      <c r="K13" s="1029"/>
      <c r="L13" s="939"/>
      <c r="M13" s="1054"/>
      <c r="N13" s="47">
        <f>((N8+N9)*N10)/2</f>
        <v>0</v>
      </c>
      <c r="O13" s="1029"/>
      <c r="P13" s="939"/>
      <c r="Q13" s="1054"/>
      <c r="R13" s="53">
        <f>+R9*((R11^2)/4)</f>
        <v>0</v>
      </c>
      <c r="S13" s="1029"/>
      <c r="T13" s="939"/>
      <c r="U13" s="1054"/>
      <c r="V13" s="53"/>
      <c r="W13" s="1029"/>
      <c r="X13" s="939"/>
      <c r="Y13" s="1054"/>
      <c r="Z13" s="47">
        <f>+Z10*Z8</f>
        <v>0</v>
      </c>
      <c r="AA13" s="1029"/>
      <c r="AB13" s="939"/>
      <c r="AC13" s="1054"/>
    </row>
    <row r="14" spans="1:29" ht="15" customHeight="1" x14ac:dyDescent="0.2">
      <c r="A14" s="1590"/>
      <c r="B14" s="1591"/>
      <c r="C14" s="1591"/>
      <c r="D14" s="1582" t="s">
        <v>800</v>
      </c>
      <c r="E14" s="1050"/>
      <c r="F14" s="47"/>
      <c r="G14" s="1031"/>
      <c r="H14" s="1032"/>
      <c r="I14" s="1055"/>
      <c r="J14" s="47"/>
      <c r="K14" s="1031"/>
      <c r="L14" s="1032"/>
      <c r="M14" s="1055"/>
      <c r="N14" s="47"/>
      <c r="O14" s="1031"/>
      <c r="P14" s="1032"/>
      <c r="Q14" s="1055"/>
      <c r="R14" s="47"/>
      <c r="S14" s="1031"/>
      <c r="T14" s="1032"/>
      <c r="U14" s="1055"/>
      <c r="V14" s="47"/>
      <c r="W14" s="1031"/>
      <c r="X14" s="1032"/>
      <c r="Y14" s="1055"/>
      <c r="Z14" s="47"/>
      <c r="AA14" s="1031"/>
      <c r="AB14" s="1032"/>
      <c r="AC14" s="1055"/>
    </row>
    <row r="15" spans="1:29" ht="15" customHeight="1" x14ac:dyDescent="0.2">
      <c r="A15" s="337"/>
      <c r="B15" s="76"/>
      <c r="C15" s="76"/>
      <c r="D15" s="76"/>
      <c r="E15" s="76"/>
      <c r="F15" s="76"/>
      <c r="G15" s="76"/>
      <c r="H15" s="76"/>
      <c r="I15" s="76"/>
      <c r="J15" s="76"/>
      <c r="K15" s="76"/>
      <c r="L15" s="76"/>
      <c r="M15" s="76"/>
      <c r="N15" s="76"/>
      <c r="O15" s="76"/>
      <c r="P15" s="76"/>
      <c r="Q15" s="76"/>
      <c r="R15" s="76"/>
      <c r="S15" s="76"/>
      <c r="T15" s="76"/>
      <c r="U15" s="76"/>
      <c r="V15" s="76"/>
      <c r="W15" s="76"/>
      <c r="X15" s="76"/>
      <c r="Y15" s="76"/>
      <c r="Z15" s="76"/>
      <c r="AA15" s="76"/>
      <c r="AB15" s="76"/>
      <c r="AC15" s="338"/>
    </row>
    <row r="16" spans="1:29" ht="15" customHeight="1" x14ac:dyDescent="0.2">
      <c r="A16" s="1593" t="s">
        <v>38</v>
      </c>
      <c r="B16" s="1594"/>
      <c r="C16" s="325" t="s">
        <v>399</v>
      </c>
      <c r="D16" s="1592" t="s">
        <v>673</v>
      </c>
      <c r="E16" s="1055"/>
      <c r="F16" s="1048" t="str">
        <f>$F$5</f>
        <v>VENTOSA Ø3</v>
      </c>
      <c r="G16" s="1336"/>
      <c r="H16" s="1580" t="s">
        <v>1217</v>
      </c>
      <c r="I16" s="1581"/>
      <c r="J16" s="1048" t="str">
        <f>$J$5</f>
        <v>PURGA Ø4</v>
      </c>
      <c r="K16" s="1336"/>
      <c r="L16" s="1580" t="s">
        <v>1217</v>
      </c>
      <c r="M16" s="1581"/>
      <c r="N16" s="1048" t="str">
        <f>$N$5</f>
        <v xml:space="preserve">CAJA </v>
      </c>
      <c r="O16" s="1336"/>
      <c r="P16" s="1580" t="s">
        <v>1217</v>
      </c>
      <c r="Q16" s="1581"/>
      <c r="R16" s="1048" t="str">
        <f>$R$5</f>
        <v>POZO INSPECCIÓN</v>
      </c>
      <c r="S16" s="1336"/>
      <c r="T16" s="1580" t="s">
        <v>1217</v>
      </c>
      <c r="U16" s="1581"/>
      <c r="V16" s="1048" t="str">
        <f>$V$5</f>
        <v xml:space="preserve">VÁLVULA </v>
      </c>
      <c r="W16" s="1336"/>
      <c r="X16" s="1580" t="s">
        <v>1217</v>
      </c>
      <c r="Y16" s="1581"/>
      <c r="Z16" s="1048" t="str">
        <f>$Z$5</f>
        <v>CQP</v>
      </c>
      <c r="AA16" s="1336"/>
      <c r="AB16" s="1580" t="s">
        <v>1217</v>
      </c>
      <c r="AC16" s="1584"/>
    </row>
    <row r="17" spans="1:29" ht="15" customHeight="1" x14ac:dyDescent="0.2">
      <c r="A17" s="1585" t="str">
        <f>+'PTO OC PLIEGO'!B150</f>
        <v xml:space="preserve">CONSTRUCIÓN DE CAJA PARA VENTOSA Y DE COMPUERTA HASTA DE 6" DE 0,60X0,60M BASE Y TAPA EN CONCRETO 21MPA (3000 PSI) MUROS EN MAMPOSTERÍA </v>
      </c>
      <c r="B17" s="1052"/>
      <c r="C17" s="1053"/>
      <c r="D17" s="1135" t="s">
        <v>201</v>
      </c>
      <c r="E17" s="1050"/>
      <c r="F17" s="80">
        <f>+F18</f>
        <v>36</v>
      </c>
      <c r="G17" s="1583"/>
      <c r="H17" s="1052"/>
      <c r="I17" s="1053"/>
      <c r="J17" s="80">
        <f>J18*J19*J20*J21</f>
        <v>0</v>
      </c>
      <c r="K17" s="1331" t="s">
        <v>695</v>
      </c>
      <c r="L17" s="1052"/>
      <c r="M17" s="1053"/>
      <c r="N17" s="80">
        <f>N25*N22*N18</f>
        <v>0</v>
      </c>
      <c r="O17" s="1331" t="s">
        <v>695</v>
      </c>
      <c r="P17" s="1052"/>
      <c r="Q17" s="1053"/>
      <c r="R17" s="80">
        <f>+R24*R20*R18</f>
        <v>0</v>
      </c>
      <c r="S17" s="1331" t="s">
        <v>695</v>
      </c>
      <c r="T17" s="1052"/>
      <c r="U17" s="1053"/>
      <c r="V17" s="81">
        <f>+V21*V19*V18*V20</f>
        <v>0</v>
      </c>
      <c r="W17" s="1331" t="s">
        <v>695</v>
      </c>
      <c r="X17" s="1052"/>
      <c r="Y17" s="1053"/>
      <c r="Z17" s="81">
        <f>+Z25*Z18</f>
        <v>0</v>
      </c>
      <c r="AA17" s="1331" t="s">
        <v>695</v>
      </c>
      <c r="AB17" s="1052"/>
      <c r="AC17" s="1053"/>
    </row>
    <row r="18" spans="1:29" ht="15" customHeight="1" x14ac:dyDescent="0.2">
      <c r="A18" s="1351"/>
      <c r="B18" s="939"/>
      <c r="C18" s="1054"/>
      <c r="D18" s="1135" t="s">
        <v>132</v>
      </c>
      <c r="E18" s="1050"/>
      <c r="F18" s="47">
        <v>36</v>
      </c>
      <c r="G18" s="1029"/>
      <c r="H18" s="939"/>
      <c r="I18" s="1054"/>
      <c r="J18" s="47"/>
      <c r="K18" s="1029"/>
      <c r="L18" s="939"/>
      <c r="M18" s="1054"/>
      <c r="N18" s="47"/>
      <c r="O18" s="1029"/>
      <c r="P18" s="939"/>
      <c r="Q18" s="1054"/>
      <c r="R18" s="47"/>
      <c r="S18" s="1029"/>
      <c r="T18" s="939"/>
      <c r="U18" s="1054"/>
      <c r="V18" s="47"/>
      <c r="W18" s="1029"/>
      <c r="X18" s="939"/>
      <c r="Y18" s="1054"/>
      <c r="Z18" s="47"/>
      <c r="AA18" s="1029"/>
      <c r="AB18" s="939"/>
      <c r="AC18" s="1054"/>
    </row>
    <row r="19" spans="1:29" ht="15" customHeight="1" x14ac:dyDescent="0.2">
      <c r="A19" s="1351"/>
      <c r="B19" s="939"/>
      <c r="C19" s="1054"/>
      <c r="D19" s="1135" t="s">
        <v>674</v>
      </c>
      <c r="E19" s="1050"/>
      <c r="F19" s="47"/>
      <c r="G19" s="1029"/>
      <c r="H19" s="939"/>
      <c r="I19" s="1054"/>
      <c r="J19" s="47"/>
      <c r="K19" s="1029"/>
      <c r="L19" s="939"/>
      <c r="M19" s="1054"/>
      <c r="N19" s="47"/>
      <c r="O19" s="1029"/>
      <c r="P19" s="939"/>
      <c r="Q19" s="1054"/>
      <c r="R19" s="47"/>
      <c r="S19" s="1029"/>
      <c r="T19" s="939"/>
      <c r="U19" s="1054"/>
      <c r="V19" s="47"/>
      <c r="W19" s="1029"/>
      <c r="X19" s="939"/>
      <c r="Y19" s="1054"/>
      <c r="Z19" s="47"/>
      <c r="AA19" s="1029"/>
      <c r="AB19" s="939"/>
      <c r="AC19" s="1054"/>
    </row>
    <row r="20" spans="1:29" ht="15" customHeight="1" x14ac:dyDescent="0.2">
      <c r="A20" s="1351"/>
      <c r="B20" s="939"/>
      <c r="C20" s="1054"/>
      <c r="D20" s="1135" t="s">
        <v>675</v>
      </c>
      <c r="E20" s="1050"/>
      <c r="F20" s="47"/>
      <c r="G20" s="1029"/>
      <c r="H20" s="939"/>
      <c r="I20" s="1054"/>
      <c r="J20" s="47"/>
      <c r="K20" s="1029"/>
      <c r="L20" s="939"/>
      <c r="M20" s="1054"/>
      <c r="N20" s="47"/>
      <c r="O20" s="1029"/>
      <c r="P20" s="939"/>
      <c r="Q20" s="1054"/>
      <c r="R20" s="47"/>
      <c r="S20" s="1029"/>
      <c r="T20" s="939"/>
      <c r="U20" s="1054"/>
      <c r="V20" s="47"/>
      <c r="W20" s="1029"/>
      <c r="X20" s="939"/>
      <c r="Y20" s="1054"/>
      <c r="Z20" s="47"/>
      <c r="AA20" s="1029"/>
      <c r="AB20" s="939"/>
      <c r="AC20" s="1054"/>
    </row>
    <row r="21" spans="1:29" ht="12.75" customHeight="1" x14ac:dyDescent="0.2">
      <c r="A21" s="1351"/>
      <c r="B21" s="939"/>
      <c r="C21" s="1054"/>
      <c r="D21" s="1135" t="s">
        <v>676</v>
      </c>
      <c r="E21" s="1050"/>
      <c r="F21" s="47"/>
      <c r="G21" s="1029"/>
      <c r="H21" s="939"/>
      <c r="I21" s="1054"/>
      <c r="J21" s="47"/>
      <c r="K21" s="1029"/>
      <c r="L21" s="939"/>
      <c r="M21" s="1054"/>
      <c r="N21" s="47"/>
      <c r="O21" s="1029"/>
      <c r="P21" s="939"/>
      <c r="Q21" s="1054"/>
      <c r="R21" s="47"/>
      <c r="S21" s="1029"/>
      <c r="T21" s="939"/>
      <c r="U21" s="1054"/>
      <c r="V21" s="47"/>
      <c r="W21" s="1029"/>
      <c r="X21" s="939"/>
      <c r="Y21" s="1054"/>
      <c r="Z21" s="47"/>
      <c r="AA21" s="1029"/>
      <c r="AB21" s="939"/>
      <c r="AC21" s="1054"/>
    </row>
    <row r="22" spans="1:29" ht="12.75" customHeight="1" x14ac:dyDescent="0.2">
      <c r="A22" s="1351"/>
      <c r="B22" s="939"/>
      <c r="C22" s="1054"/>
      <c r="D22" s="1135" t="s">
        <v>677</v>
      </c>
      <c r="E22" s="1050"/>
      <c r="F22" s="47"/>
      <c r="G22" s="1029"/>
      <c r="H22" s="939"/>
      <c r="I22" s="1054"/>
      <c r="J22" s="47"/>
      <c r="K22" s="1029"/>
      <c r="L22" s="939"/>
      <c r="M22" s="1054"/>
      <c r="N22" s="47"/>
      <c r="O22" s="1029"/>
      <c r="P22" s="939"/>
      <c r="Q22" s="1054"/>
      <c r="R22" s="47"/>
      <c r="S22" s="1029"/>
      <c r="T22" s="939"/>
      <c r="U22" s="1054"/>
      <c r="V22" s="47"/>
      <c r="W22" s="1029"/>
      <c r="X22" s="939"/>
      <c r="Y22" s="1054"/>
      <c r="Z22" s="47"/>
      <c r="AA22" s="1029"/>
      <c r="AB22" s="939"/>
      <c r="AC22" s="1054"/>
    </row>
    <row r="23" spans="1:29" ht="12.75" customHeight="1" x14ac:dyDescent="0.25">
      <c r="A23" s="1351"/>
      <c r="B23" s="939"/>
      <c r="C23" s="1054"/>
      <c r="D23" s="1135" t="s">
        <v>678</v>
      </c>
      <c r="E23" s="1050"/>
      <c r="F23" s="47"/>
      <c r="G23" s="1029"/>
      <c r="H23" s="939"/>
      <c r="I23" s="1054"/>
      <c r="J23" s="47"/>
      <c r="K23" s="1029"/>
      <c r="L23" s="939"/>
      <c r="M23" s="1054"/>
      <c r="N23" s="47"/>
      <c r="O23" s="1029"/>
      <c r="P23" s="939"/>
      <c r="Q23" s="1054"/>
      <c r="R23" s="78"/>
      <c r="S23" s="1029"/>
      <c r="T23" s="939"/>
      <c r="U23" s="1054"/>
      <c r="V23" s="47"/>
      <c r="W23" s="1029"/>
      <c r="X23" s="939"/>
      <c r="Y23" s="1054"/>
      <c r="Z23" s="47"/>
      <c r="AA23" s="1029"/>
      <c r="AB23" s="939"/>
      <c r="AC23" s="1054"/>
    </row>
    <row r="24" spans="1:29" ht="12.75" customHeight="1" x14ac:dyDescent="0.25">
      <c r="A24" s="1351"/>
      <c r="B24" s="939"/>
      <c r="C24" s="1054"/>
      <c r="D24" s="1135" t="s">
        <v>801</v>
      </c>
      <c r="E24" s="1050"/>
      <c r="F24" s="47"/>
      <c r="G24" s="1029"/>
      <c r="H24" s="939"/>
      <c r="I24" s="1054"/>
      <c r="J24" s="47"/>
      <c r="K24" s="1029"/>
      <c r="L24" s="939"/>
      <c r="M24" s="1054"/>
      <c r="N24" s="78"/>
      <c r="O24" s="1029"/>
      <c r="P24" s="939"/>
      <c r="Q24" s="1054"/>
      <c r="R24" s="53">
        <v>2.0106000000000002</v>
      </c>
      <c r="S24" s="1029"/>
      <c r="T24" s="939"/>
      <c r="U24" s="1054"/>
      <c r="V24" s="53"/>
      <c r="W24" s="1029"/>
      <c r="X24" s="939"/>
      <c r="Y24" s="1054"/>
      <c r="Z24" s="47">
        <f>+Z21*Z19</f>
        <v>0</v>
      </c>
      <c r="AA24" s="1029"/>
      <c r="AB24" s="939"/>
      <c r="AC24" s="1054"/>
    </row>
    <row r="25" spans="1:29" ht="12.75" customHeight="1" x14ac:dyDescent="0.2">
      <c r="A25" s="1352"/>
      <c r="B25" s="1032"/>
      <c r="C25" s="1055"/>
      <c r="D25" s="1135" t="s">
        <v>802</v>
      </c>
      <c r="E25" s="1050"/>
      <c r="F25" s="47"/>
      <c r="G25" s="1031"/>
      <c r="H25" s="1032"/>
      <c r="I25" s="1055"/>
      <c r="J25" s="47"/>
      <c r="K25" s="1031"/>
      <c r="L25" s="1032"/>
      <c r="M25" s="1055"/>
      <c r="N25" s="47">
        <f>((N19+N20)*N21)/2</f>
        <v>0</v>
      </c>
      <c r="O25" s="1031"/>
      <c r="P25" s="1032"/>
      <c r="Q25" s="1055"/>
      <c r="R25" s="47"/>
      <c r="S25" s="1031"/>
      <c r="T25" s="1032"/>
      <c r="U25" s="1055"/>
      <c r="V25" s="47"/>
      <c r="W25" s="1031"/>
      <c r="X25" s="1032"/>
      <c r="Y25" s="1055"/>
      <c r="Z25" s="47">
        <f>+Z24*Z20</f>
        <v>0</v>
      </c>
      <c r="AA25" s="1031"/>
      <c r="AB25" s="1032"/>
      <c r="AC25" s="1055"/>
    </row>
    <row r="26" spans="1:29" ht="12.75" customHeight="1" x14ac:dyDescent="0.25">
      <c r="A26" s="465"/>
      <c r="B26" s="79"/>
      <c r="C26" s="76"/>
      <c r="D26" s="78"/>
      <c r="E26" s="78"/>
      <c r="F26" s="78"/>
      <c r="G26" s="78"/>
      <c r="H26" s="78"/>
      <c r="I26" s="78"/>
      <c r="J26" s="79"/>
      <c r="K26" s="79"/>
      <c r="L26" s="79"/>
      <c r="M26" s="76"/>
      <c r="N26" s="76"/>
      <c r="O26" s="76"/>
      <c r="P26" s="76"/>
      <c r="Q26" s="76"/>
      <c r="R26" s="79"/>
      <c r="S26" s="79"/>
      <c r="T26" s="79"/>
      <c r="U26" s="79"/>
      <c r="V26" s="76"/>
      <c r="W26" s="76"/>
      <c r="X26" s="76"/>
      <c r="Y26" s="76"/>
      <c r="Z26" s="76"/>
      <c r="AA26" s="76"/>
      <c r="AB26" s="76"/>
      <c r="AC26" s="338"/>
    </row>
    <row r="27" spans="1:29" ht="12.75" customHeight="1" x14ac:dyDescent="0.2">
      <c r="A27" s="1593" t="s">
        <v>38</v>
      </c>
      <c r="B27" s="1594"/>
      <c r="C27" s="325" t="s">
        <v>399</v>
      </c>
      <c r="D27" s="1592" t="s">
        <v>673</v>
      </c>
      <c r="E27" s="1055"/>
      <c r="F27" s="1048" t="str">
        <f>$F$5</f>
        <v>VENTOSA Ø3</v>
      </c>
      <c r="G27" s="1336"/>
      <c r="H27" s="1580" t="s">
        <v>1218</v>
      </c>
      <c r="I27" s="1581"/>
      <c r="J27" s="1048" t="str">
        <f>$J$5</f>
        <v>PURGA Ø4</v>
      </c>
      <c r="K27" s="1336"/>
      <c r="L27" s="1580" t="s">
        <v>1218</v>
      </c>
      <c r="M27" s="1581"/>
      <c r="N27" s="1048" t="str">
        <f>$N$5</f>
        <v xml:space="preserve">CAJA </v>
      </c>
      <c r="O27" s="1336"/>
      <c r="P27" s="1580" t="s">
        <v>1218</v>
      </c>
      <c r="Q27" s="1581"/>
      <c r="R27" s="1048" t="str">
        <f>$R$5</f>
        <v>POZO INSPECCIÓN</v>
      </c>
      <c r="S27" s="1336"/>
      <c r="T27" s="1580" t="s">
        <v>1218</v>
      </c>
      <c r="U27" s="1581"/>
      <c r="V27" s="1048" t="str">
        <f>$V$5</f>
        <v xml:space="preserve">VÁLVULA </v>
      </c>
      <c r="W27" s="1336"/>
      <c r="X27" s="1580" t="s">
        <v>1218</v>
      </c>
      <c r="Y27" s="1581"/>
      <c r="Z27" s="1048" t="str">
        <f>$Z$5</f>
        <v>CQP</v>
      </c>
      <c r="AA27" s="1336"/>
      <c r="AB27" s="1580" t="s">
        <v>1218</v>
      </c>
      <c r="AC27" s="1584"/>
    </row>
    <row r="28" spans="1:29" ht="12.75" customHeight="1" x14ac:dyDescent="0.2">
      <c r="A28" s="1585" t="str">
        <f>+'PTO OC PLIEGO'!B151</f>
        <v>CONSTRUCIÓN DE CAJA PARA PURGA DE 1,00M X 1,00M BASE Y TAPA EN CONCRETO 21 MPA (3000PSI) MUROS EN MAMPOSTERIA)</v>
      </c>
      <c r="B28" s="1052"/>
      <c r="C28" s="1053"/>
      <c r="D28" s="1135" t="s">
        <v>201</v>
      </c>
      <c r="E28" s="1050"/>
      <c r="F28" s="80">
        <f>+F29</f>
        <v>0</v>
      </c>
      <c r="G28" s="1331" t="s">
        <v>695</v>
      </c>
      <c r="H28" s="1052"/>
      <c r="I28" s="1053"/>
      <c r="J28" s="80">
        <f>+J29</f>
        <v>6</v>
      </c>
      <c r="K28" s="1331"/>
      <c r="L28" s="1052"/>
      <c r="M28" s="1053"/>
      <c r="N28" s="1">
        <f>N29*N32*N35</f>
        <v>0</v>
      </c>
      <c r="O28" s="1331" t="s">
        <v>695</v>
      </c>
      <c r="P28" s="1052"/>
      <c r="Q28" s="1053"/>
      <c r="R28" s="80">
        <f>+R35*R31*R29</f>
        <v>0</v>
      </c>
      <c r="S28" s="1331" t="s">
        <v>695</v>
      </c>
      <c r="T28" s="1052"/>
      <c r="U28" s="1053"/>
      <c r="V28" s="81">
        <f>+V32*V30*V29*V31</f>
        <v>0</v>
      </c>
      <c r="W28" s="1331" t="s">
        <v>695</v>
      </c>
      <c r="X28" s="1052"/>
      <c r="Y28" s="1053"/>
      <c r="Z28" s="81">
        <f>+Z36*Z29</f>
        <v>0</v>
      </c>
      <c r="AA28" s="1331" t="s">
        <v>695</v>
      </c>
      <c r="AB28" s="1052"/>
      <c r="AC28" s="1053"/>
    </row>
    <row r="29" spans="1:29" ht="12.75" customHeight="1" x14ac:dyDescent="0.2">
      <c r="A29" s="1351"/>
      <c r="B29" s="939"/>
      <c r="C29" s="1054"/>
      <c r="D29" s="1135" t="s">
        <v>132</v>
      </c>
      <c r="E29" s="1050"/>
      <c r="F29" s="47">
        <v>0</v>
      </c>
      <c r="G29" s="1029"/>
      <c r="H29" s="939"/>
      <c r="I29" s="1054"/>
      <c r="J29" s="47">
        <v>6</v>
      </c>
      <c r="K29" s="1029"/>
      <c r="L29" s="939"/>
      <c r="M29" s="1054"/>
      <c r="N29" s="47">
        <v>1</v>
      </c>
      <c r="O29" s="1029"/>
      <c r="P29" s="939"/>
      <c r="Q29" s="1054"/>
      <c r="R29" s="47"/>
      <c r="S29" s="1029"/>
      <c r="T29" s="939"/>
      <c r="U29" s="1054"/>
      <c r="V29" s="47"/>
      <c r="W29" s="1029"/>
      <c r="X29" s="939"/>
      <c r="Y29" s="1054"/>
      <c r="Z29" s="47"/>
      <c r="AA29" s="1029"/>
      <c r="AB29" s="939"/>
      <c r="AC29" s="1054"/>
    </row>
    <row r="30" spans="1:29" ht="12.75" customHeight="1" x14ac:dyDescent="0.2">
      <c r="A30" s="1351"/>
      <c r="B30" s="939"/>
      <c r="C30" s="1054"/>
      <c r="D30" s="1135" t="s">
        <v>674</v>
      </c>
      <c r="E30" s="1050"/>
      <c r="F30" s="47"/>
      <c r="G30" s="1029"/>
      <c r="H30" s="939"/>
      <c r="I30" s="1054"/>
      <c r="J30" s="47"/>
      <c r="K30" s="1029"/>
      <c r="L30" s="939"/>
      <c r="M30" s="1054"/>
      <c r="N30" s="47"/>
      <c r="O30" s="1029"/>
      <c r="P30" s="939"/>
      <c r="Q30" s="1054"/>
      <c r="R30" s="47"/>
      <c r="S30" s="1029"/>
      <c r="T30" s="939"/>
      <c r="U30" s="1054"/>
      <c r="V30" s="47"/>
      <c r="W30" s="1029"/>
      <c r="X30" s="939"/>
      <c r="Y30" s="1054"/>
      <c r="Z30" s="47"/>
      <c r="AA30" s="1029"/>
      <c r="AB30" s="939"/>
      <c r="AC30" s="1054"/>
    </row>
    <row r="31" spans="1:29" ht="12.75" customHeight="1" x14ac:dyDescent="0.2">
      <c r="A31" s="1351"/>
      <c r="B31" s="939"/>
      <c r="C31" s="1054"/>
      <c r="D31" s="1135" t="s">
        <v>675</v>
      </c>
      <c r="E31" s="1050"/>
      <c r="F31" s="47"/>
      <c r="G31" s="1029"/>
      <c r="H31" s="939"/>
      <c r="I31" s="1054"/>
      <c r="J31" s="47"/>
      <c r="K31" s="1029"/>
      <c r="L31" s="939"/>
      <c r="M31" s="1054"/>
      <c r="N31" s="47"/>
      <c r="O31" s="1029"/>
      <c r="P31" s="939"/>
      <c r="Q31" s="1054"/>
      <c r="R31" s="47"/>
      <c r="S31" s="1029"/>
      <c r="T31" s="939"/>
      <c r="U31" s="1054"/>
      <c r="V31" s="47"/>
      <c r="W31" s="1029"/>
      <c r="X31" s="939"/>
      <c r="Y31" s="1054"/>
      <c r="Z31" s="47"/>
      <c r="AA31" s="1029"/>
      <c r="AB31" s="939"/>
      <c r="AC31" s="1054"/>
    </row>
    <row r="32" spans="1:29" ht="12.75" customHeight="1" x14ac:dyDescent="0.2">
      <c r="A32" s="1351"/>
      <c r="B32" s="939"/>
      <c r="C32" s="1054"/>
      <c r="D32" s="1135" t="s">
        <v>676</v>
      </c>
      <c r="E32" s="1050"/>
      <c r="F32" s="47"/>
      <c r="G32" s="1029"/>
      <c r="H32" s="939"/>
      <c r="I32" s="1054"/>
      <c r="J32" s="47"/>
      <c r="K32" s="1029"/>
      <c r="L32" s="939"/>
      <c r="M32" s="1054"/>
      <c r="N32" s="47"/>
      <c r="O32" s="1029"/>
      <c r="P32" s="939"/>
      <c r="Q32" s="1054"/>
      <c r="R32" s="47"/>
      <c r="S32" s="1029"/>
      <c r="T32" s="939"/>
      <c r="U32" s="1054"/>
      <c r="V32" s="47"/>
      <c r="W32" s="1029"/>
      <c r="X32" s="939"/>
      <c r="Y32" s="1054"/>
      <c r="Z32" s="47"/>
      <c r="AA32" s="1029"/>
      <c r="AB32" s="939"/>
      <c r="AC32" s="1054"/>
    </row>
    <row r="33" spans="1:29" ht="12.75" customHeight="1" x14ac:dyDescent="0.2">
      <c r="A33" s="1351"/>
      <c r="B33" s="939"/>
      <c r="C33" s="1054"/>
      <c r="D33" s="1135" t="s">
        <v>677</v>
      </c>
      <c r="E33" s="1050"/>
      <c r="F33" s="47"/>
      <c r="G33" s="1029"/>
      <c r="H33" s="939"/>
      <c r="I33" s="1054"/>
      <c r="J33" s="47"/>
      <c r="K33" s="1029"/>
      <c r="L33" s="939"/>
      <c r="M33" s="1054"/>
      <c r="N33" s="47"/>
      <c r="O33" s="1029"/>
      <c r="P33" s="939"/>
      <c r="Q33" s="1054"/>
      <c r="R33" s="47"/>
      <c r="S33" s="1029"/>
      <c r="T33" s="939"/>
      <c r="U33" s="1054"/>
      <c r="V33" s="47"/>
      <c r="W33" s="1029"/>
      <c r="X33" s="939"/>
      <c r="Y33" s="1054"/>
      <c r="Z33" s="47"/>
      <c r="AA33" s="1029"/>
      <c r="AB33" s="939"/>
      <c r="AC33" s="1054"/>
    </row>
    <row r="34" spans="1:29" ht="12.75" customHeight="1" x14ac:dyDescent="0.25">
      <c r="A34" s="1351"/>
      <c r="B34" s="939"/>
      <c r="C34" s="1054"/>
      <c r="D34" s="1135" t="s">
        <v>678</v>
      </c>
      <c r="E34" s="1050"/>
      <c r="F34" s="47"/>
      <c r="G34" s="1029"/>
      <c r="H34" s="939"/>
      <c r="I34" s="1054"/>
      <c r="J34" s="47"/>
      <c r="K34" s="1029"/>
      <c r="L34" s="939"/>
      <c r="M34" s="1054"/>
      <c r="N34" s="47"/>
      <c r="O34" s="1029"/>
      <c r="P34" s="939"/>
      <c r="Q34" s="1054"/>
      <c r="R34" s="78"/>
      <c r="S34" s="1029"/>
      <c r="T34" s="939"/>
      <c r="U34" s="1054"/>
      <c r="V34" s="47"/>
      <c r="W34" s="1029"/>
      <c r="X34" s="939"/>
      <c r="Y34" s="1054"/>
      <c r="Z34" s="47"/>
      <c r="AA34" s="1029"/>
      <c r="AB34" s="939"/>
      <c r="AC34" s="1054"/>
    </row>
    <row r="35" spans="1:29" ht="12.75" customHeight="1" x14ac:dyDescent="0.2">
      <c r="A35" s="1351"/>
      <c r="B35" s="939"/>
      <c r="C35" s="1054"/>
      <c r="D35" s="1135" t="s">
        <v>803</v>
      </c>
      <c r="E35" s="1050"/>
      <c r="F35" s="47"/>
      <c r="G35" s="1029"/>
      <c r="H35" s="939"/>
      <c r="I35" s="1054"/>
      <c r="J35" s="47"/>
      <c r="K35" s="1029"/>
      <c r="L35" s="939"/>
      <c r="M35" s="1054"/>
      <c r="N35" s="47"/>
      <c r="O35" s="1029"/>
      <c r="P35" s="939"/>
      <c r="Q35" s="1054"/>
      <c r="R35" s="53"/>
      <c r="S35" s="1029"/>
      <c r="T35" s="939"/>
      <c r="U35" s="1054"/>
      <c r="V35" s="53"/>
      <c r="W35" s="1029"/>
      <c r="X35" s="939"/>
      <c r="Y35" s="1054"/>
      <c r="Z35" s="53"/>
      <c r="AA35" s="1029"/>
      <c r="AB35" s="939"/>
      <c r="AC35" s="1054"/>
    </row>
    <row r="36" spans="1:29" ht="12.75" customHeight="1" x14ac:dyDescent="0.2">
      <c r="A36" s="1352"/>
      <c r="B36" s="1032"/>
      <c r="C36" s="1055"/>
      <c r="D36" s="1135" t="s">
        <v>804</v>
      </c>
      <c r="E36" s="1050"/>
      <c r="F36" s="47"/>
      <c r="G36" s="1031"/>
      <c r="H36" s="1032"/>
      <c r="I36" s="1055"/>
      <c r="J36" s="47"/>
      <c r="K36" s="1031"/>
      <c r="L36" s="1032"/>
      <c r="M36" s="1055"/>
      <c r="N36" s="47"/>
      <c r="O36" s="1031"/>
      <c r="P36" s="1032"/>
      <c r="Q36" s="1055"/>
      <c r="R36" s="47"/>
      <c r="S36" s="1031"/>
      <c r="T36" s="1032"/>
      <c r="U36" s="1055"/>
      <c r="V36" s="47"/>
      <c r="W36" s="1031"/>
      <c r="X36" s="1032"/>
      <c r="Y36" s="1055"/>
      <c r="Z36" s="47"/>
      <c r="AA36" s="1031"/>
      <c r="AB36" s="1032"/>
      <c r="AC36" s="1055"/>
    </row>
    <row r="37" spans="1:29" ht="12.75" customHeight="1" x14ac:dyDescent="0.2">
      <c r="A37" s="465"/>
      <c r="B37" s="76"/>
      <c r="C37" s="76"/>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338"/>
    </row>
    <row r="38" spans="1:29" ht="12.75" customHeight="1" x14ac:dyDescent="0.2">
      <c r="A38" s="337"/>
      <c r="B38" s="76"/>
      <c r="C38" s="76"/>
      <c r="D38" s="76"/>
      <c r="E38" s="76"/>
      <c r="F38" s="76"/>
      <c r="G38" s="76"/>
      <c r="H38" s="76"/>
      <c r="I38" s="76"/>
      <c r="J38" s="76"/>
      <c r="K38" s="76"/>
      <c r="L38" s="76"/>
      <c r="M38" s="76"/>
      <c r="N38" s="76"/>
      <c r="O38" s="76"/>
      <c r="P38" s="76"/>
      <c r="Q38" s="76"/>
      <c r="R38" s="76"/>
      <c r="S38" s="76"/>
      <c r="T38" s="76"/>
      <c r="U38" s="76"/>
      <c r="V38" s="76"/>
      <c r="W38" s="76"/>
      <c r="X38" s="76"/>
      <c r="Y38" s="76"/>
      <c r="Z38" s="76"/>
      <c r="AA38" s="76"/>
      <c r="AB38" s="76"/>
      <c r="AC38" s="338"/>
    </row>
    <row r="39" spans="1:29" ht="12.75" customHeight="1" x14ac:dyDescent="0.2">
      <c r="A39" s="337"/>
      <c r="B39" s="76"/>
      <c r="C39" s="76"/>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338"/>
    </row>
    <row r="40" spans="1:29" ht="12.75" customHeight="1" x14ac:dyDescent="0.2">
      <c r="A40" s="337"/>
      <c r="B40" s="76"/>
      <c r="C40" s="76"/>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338"/>
    </row>
    <row r="41" spans="1:29" ht="12.75" customHeight="1" x14ac:dyDescent="0.2">
      <c r="A41" s="337"/>
      <c r="B41" s="76"/>
      <c r="C41" s="76"/>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338"/>
    </row>
    <row r="42" spans="1:29" ht="12.75" customHeight="1" x14ac:dyDescent="0.2">
      <c r="A42" s="337"/>
      <c r="B42" s="76"/>
      <c r="C42" s="76"/>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338"/>
    </row>
    <row r="43" spans="1:29" ht="12.75" customHeight="1" x14ac:dyDescent="0.2">
      <c r="A43" s="337"/>
      <c r="B43" s="76"/>
      <c r="C43" s="76"/>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338"/>
    </row>
    <row r="44" spans="1:29" ht="12.75" customHeight="1" x14ac:dyDescent="0.2">
      <c r="A44" s="337"/>
      <c r="B44" s="76"/>
      <c r="C44" s="76"/>
      <c r="D44" s="1483"/>
      <c r="E44" s="1484"/>
      <c r="F44" s="1484"/>
      <c r="G44" s="1484"/>
      <c r="H44" s="76"/>
      <c r="I44" s="76"/>
      <c r="J44" s="76"/>
      <c r="K44" s="76"/>
      <c r="L44" s="76"/>
      <c r="M44" s="76"/>
      <c r="N44" s="76"/>
      <c r="O44" s="76"/>
      <c r="P44" s="76"/>
      <c r="Q44" s="76"/>
      <c r="R44" s="76"/>
      <c r="S44" s="76"/>
      <c r="T44" s="76"/>
      <c r="U44" s="76"/>
      <c r="V44" s="76"/>
      <c r="W44" s="76"/>
      <c r="X44" s="76"/>
      <c r="Y44" s="76"/>
      <c r="Z44" s="76"/>
      <c r="AA44" s="76"/>
      <c r="AB44" s="76"/>
      <c r="AC44" s="338"/>
    </row>
    <row r="45" spans="1:29" ht="12.75" customHeight="1" x14ac:dyDescent="0.2">
      <c r="A45" s="337"/>
      <c r="B45" s="76"/>
      <c r="C45" s="76"/>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338"/>
    </row>
    <row r="46" spans="1:29" ht="12.75" customHeight="1" x14ac:dyDescent="0.2">
      <c r="A46" s="337"/>
      <c r="B46" s="76"/>
      <c r="C46" s="76"/>
      <c r="D46" s="76"/>
      <c r="E46" s="76"/>
      <c r="F46" s="76"/>
      <c r="G46" s="76"/>
      <c r="H46" s="76"/>
      <c r="I46" s="76"/>
      <c r="J46" s="76"/>
      <c r="K46" s="76"/>
      <c r="L46" s="76"/>
      <c r="M46" s="76"/>
      <c r="N46" s="76"/>
      <c r="O46" s="76"/>
      <c r="P46" s="76"/>
      <c r="Q46" s="76"/>
      <c r="R46" s="76"/>
      <c r="S46" s="76"/>
      <c r="T46" s="76"/>
      <c r="U46" s="76"/>
      <c r="V46" s="76"/>
      <c r="W46" s="76"/>
      <c r="X46" s="76"/>
      <c r="Y46" s="76"/>
      <c r="Z46" s="76"/>
      <c r="AA46" s="76"/>
      <c r="AB46" s="76"/>
      <c r="AC46" s="338"/>
    </row>
    <row r="47" spans="1:29" ht="12.75" customHeight="1" x14ac:dyDescent="0.2">
      <c r="A47" s="337"/>
      <c r="B47" s="76"/>
      <c r="C47" s="76"/>
      <c r="D47" s="76"/>
      <c r="E47" s="76"/>
      <c r="F47" s="76"/>
      <c r="G47" s="76"/>
      <c r="H47" s="76"/>
      <c r="I47" s="76"/>
      <c r="J47" s="76"/>
      <c r="K47" s="76"/>
      <c r="L47" s="76"/>
      <c r="M47" s="76"/>
      <c r="N47" s="76"/>
      <c r="O47" s="76"/>
      <c r="P47" s="76"/>
      <c r="Q47" s="76"/>
      <c r="R47" s="76"/>
      <c r="S47" s="76"/>
      <c r="T47" s="76"/>
      <c r="U47" s="76"/>
      <c r="V47" s="76"/>
      <c r="W47" s="76"/>
      <c r="X47" s="76"/>
      <c r="Y47" s="76"/>
      <c r="Z47" s="76"/>
      <c r="AA47" s="76"/>
      <c r="AB47" s="76"/>
      <c r="AC47" s="338"/>
    </row>
    <row r="48" spans="1:29" ht="12.75" customHeight="1" x14ac:dyDescent="0.2">
      <c r="A48" s="337"/>
      <c r="B48" s="76"/>
      <c r="C48" s="76"/>
      <c r="D48" s="76"/>
      <c r="E48" s="76"/>
      <c r="F48" s="76"/>
      <c r="G48" s="76"/>
      <c r="H48" s="76"/>
      <c r="I48" s="76"/>
      <c r="J48" s="76"/>
      <c r="K48" s="76"/>
      <c r="L48" s="76"/>
      <c r="M48" s="76"/>
      <c r="N48" s="76"/>
      <c r="O48" s="76"/>
      <c r="P48" s="76"/>
      <c r="Q48" s="76"/>
      <c r="R48" s="76"/>
      <c r="S48" s="76"/>
      <c r="T48" s="76"/>
      <c r="U48" s="76"/>
      <c r="V48" s="76"/>
      <c r="W48" s="76"/>
      <c r="X48" s="76"/>
      <c r="Y48" s="76"/>
      <c r="Z48" s="76"/>
      <c r="AA48" s="76"/>
      <c r="AB48" s="76"/>
      <c r="AC48" s="338"/>
    </row>
    <row r="49" spans="1:29" ht="12.75" customHeight="1" x14ac:dyDescent="0.2">
      <c r="A49" s="337"/>
      <c r="B49" s="76"/>
      <c r="C49" s="76"/>
      <c r="D49" s="76"/>
      <c r="E49" s="76"/>
      <c r="F49" s="76"/>
      <c r="G49" s="76"/>
      <c r="H49" s="76"/>
      <c r="I49" s="76"/>
      <c r="J49" s="76"/>
      <c r="K49" s="76"/>
      <c r="L49" s="76"/>
      <c r="M49" s="76"/>
      <c r="N49" s="76"/>
      <c r="O49" s="76"/>
      <c r="P49" s="76"/>
      <c r="Q49" s="76"/>
      <c r="R49" s="76"/>
      <c r="S49" s="76"/>
      <c r="T49" s="76"/>
      <c r="U49" s="76"/>
      <c r="V49" s="76"/>
      <c r="W49" s="76"/>
      <c r="X49" s="76"/>
      <c r="Y49" s="76"/>
      <c r="Z49" s="76"/>
      <c r="AA49" s="76"/>
      <c r="AB49" s="76"/>
      <c r="AC49" s="338"/>
    </row>
    <row r="50" spans="1:29" ht="12.75" customHeight="1" x14ac:dyDescent="0.6">
      <c r="A50" s="337"/>
      <c r="B50" s="76"/>
      <c r="C50" s="76"/>
      <c r="D50" s="76"/>
      <c r="E50" s="76"/>
      <c r="F50" s="594"/>
      <c r="G50" s="594"/>
      <c r="H50" s="594"/>
      <c r="I50" s="594"/>
      <c r="J50" s="594"/>
      <c r="K50" s="594"/>
      <c r="L50" s="594"/>
      <c r="M50" s="594"/>
      <c r="N50" s="594"/>
      <c r="O50" s="594"/>
      <c r="P50" s="76"/>
      <c r="Q50" s="76"/>
      <c r="R50" s="76"/>
      <c r="S50" s="76"/>
      <c r="T50" s="76"/>
      <c r="U50" s="76"/>
      <c r="V50" s="76"/>
      <c r="W50" s="76"/>
      <c r="X50" s="76"/>
      <c r="Y50" s="76"/>
      <c r="Z50" s="76"/>
      <c r="AA50" s="76"/>
      <c r="AB50" s="76"/>
      <c r="AC50" s="338"/>
    </row>
    <row r="51" spans="1:29" ht="12.75" customHeight="1" thickBot="1" x14ac:dyDescent="0.25">
      <c r="A51" s="337"/>
      <c r="B51" s="76"/>
      <c r="C51" s="76"/>
      <c r="D51" s="76"/>
      <c r="E51" s="76"/>
      <c r="F51" s="76"/>
      <c r="G51" s="76"/>
      <c r="H51" s="76"/>
      <c r="I51" s="76"/>
      <c r="J51" s="607"/>
      <c r="K51" s="76"/>
      <c r="L51" s="76"/>
      <c r="M51" s="76"/>
      <c r="N51" s="76"/>
      <c r="O51" s="76"/>
      <c r="P51" s="76"/>
      <c r="Q51" s="76"/>
      <c r="R51" s="76"/>
      <c r="S51" s="76"/>
      <c r="T51" s="76"/>
      <c r="U51" s="76"/>
      <c r="V51" s="76"/>
      <c r="W51" s="76"/>
      <c r="X51" s="76"/>
      <c r="Y51" s="76"/>
      <c r="Z51" s="76"/>
      <c r="AA51" s="76"/>
      <c r="AB51" s="76"/>
      <c r="AC51" s="338"/>
    </row>
    <row r="52" spans="1:29" ht="21.6" customHeight="1" x14ac:dyDescent="0.2">
      <c r="A52" s="337"/>
      <c r="B52" s="76"/>
      <c r="C52" s="76"/>
      <c r="D52" s="76"/>
      <c r="E52" s="76"/>
      <c r="F52" s="1478" t="s">
        <v>1961</v>
      </c>
      <c r="G52" s="1478"/>
      <c r="H52" s="1478"/>
      <c r="I52" s="1478"/>
      <c r="J52" s="1478"/>
      <c r="K52" s="1478"/>
      <c r="L52" s="76"/>
      <c r="M52" s="76"/>
      <c r="N52" s="76"/>
      <c r="O52" s="76"/>
      <c r="P52" s="76"/>
      <c r="Q52" s="76"/>
      <c r="R52" s="1478" t="s">
        <v>1964</v>
      </c>
      <c r="S52" s="1478"/>
      <c r="T52" s="1478"/>
      <c r="U52" s="1478"/>
      <c r="V52" s="1478"/>
      <c r="W52" s="1478"/>
      <c r="X52" s="1478"/>
      <c r="Y52" s="76"/>
      <c r="Z52" s="76"/>
      <c r="AA52" s="76"/>
      <c r="AB52" s="76"/>
      <c r="AC52" s="338"/>
    </row>
    <row r="53" spans="1:29" ht="20.25" x14ac:dyDescent="0.2">
      <c r="A53" s="337"/>
      <c r="B53" s="76"/>
      <c r="C53" s="76"/>
      <c r="D53" s="76"/>
      <c r="E53" s="76"/>
      <c r="F53" s="1479" t="s">
        <v>1962</v>
      </c>
      <c r="G53" s="1479"/>
      <c r="H53" s="1479"/>
      <c r="I53" s="1479"/>
      <c r="J53" s="1479"/>
      <c r="K53" s="1479"/>
      <c r="L53" s="76"/>
      <c r="M53" s="76"/>
      <c r="N53" s="76"/>
      <c r="O53" s="76"/>
      <c r="P53" s="76"/>
      <c r="Q53" s="76"/>
      <c r="R53" s="1479" t="s">
        <v>1965</v>
      </c>
      <c r="S53" s="1479"/>
      <c r="T53" s="1479"/>
      <c r="U53" s="1479"/>
      <c r="V53" s="1479"/>
      <c r="W53" s="1479"/>
      <c r="X53" s="1479"/>
      <c r="Y53" s="76"/>
      <c r="Z53" s="76"/>
      <c r="AA53" s="76"/>
      <c r="AB53" s="76"/>
      <c r="AC53" s="338"/>
    </row>
    <row r="54" spans="1:29" ht="20.25" x14ac:dyDescent="0.2">
      <c r="A54" s="337"/>
      <c r="B54" s="76"/>
      <c r="C54" s="76"/>
      <c r="D54" s="76"/>
      <c r="E54" s="76"/>
      <c r="F54" s="1479" t="s">
        <v>1963</v>
      </c>
      <c r="G54" s="1479"/>
      <c r="H54" s="1479"/>
      <c r="I54" s="1479"/>
      <c r="J54" s="1479"/>
      <c r="K54" s="1479"/>
      <c r="L54" s="76"/>
      <c r="M54" s="76"/>
      <c r="N54" s="76"/>
      <c r="O54" s="76"/>
      <c r="P54" s="76"/>
      <c r="Q54" s="76"/>
      <c r="R54" s="1479" t="s">
        <v>1966</v>
      </c>
      <c r="S54" s="1479"/>
      <c r="T54" s="1479"/>
      <c r="U54" s="1479"/>
      <c r="V54" s="1479"/>
      <c r="W54" s="1479"/>
      <c r="X54" s="1479"/>
      <c r="Y54" s="76"/>
      <c r="Z54" s="76"/>
      <c r="AA54" s="76"/>
      <c r="AB54" s="76"/>
      <c r="AC54" s="338"/>
    </row>
    <row r="55" spans="1:29" ht="12.75" customHeight="1" x14ac:dyDescent="0.2">
      <c r="A55" s="337"/>
      <c r="B55" s="76"/>
      <c r="C55" s="76"/>
      <c r="D55" s="76"/>
      <c r="E55" s="76"/>
      <c r="F55" s="76"/>
      <c r="G55" s="76"/>
      <c r="H55" s="76"/>
      <c r="I55" s="76"/>
      <c r="J55" s="76"/>
      <c r="K55" s="76"/>
      <c r="L55" s="76"/>
      <c r="M55" s="76"/>
      <c r="N55" s="76"/>
      <c r="O55" s="76"/>
      <c r="P55" s="76"/>
      <c r="Q55" s="76"/>
      <c r="R55" s="76"/>
      <c r="S55" s="76"/>
      <c r="T55" s="76"/>
      <c r="U55" s="76"/>
      <c r="V55" s="76"/>
      <c r="W55" s="76"/>
      <c r="X55" s="76"/>
      <c r="Y55" s="76"/>
      <c r="Z55" s="76"/>
      <c r="AA55" s="76"/>
      <c r="AB55" s="76"/>
      <c r="AC55" s="338"/>
    </row>
    <row r="56" spans="1:29" ht="12.75" customHeight="1" thickBot="1" x14ac:dyDescent="0.25">
      <c r="A56" s="341"/>
      <c r="B56" s="342"/>
      <c r="C56" s="342"/>
      <c r="D56" s="342"/>
      <c r="E56" s="342"/>
      <c r="F56" s="342"/>
      <c r="G56" s="342"/>
      <c r="H56" s="342"/>
      <c r="I56" s="342"/>
      <c r="J56" s="342"/>
      <c r="K56" s="342"/>
      <c r="L56" s="342"/>
      <c r="M56" s="342"/>
      <c r="N56" s="342"/>
      <c r="O56" s="342"/>
      <c r="P56" s="342"/>
      <c r="Q56" s="342"/>
      <c r="R56" s="342"/>
      <c r="S56" s="342"/>
      <c r="T56" s="342"/>
      <c r="U56" s="342"/>
      <c r="V56" s="342"/>
      <c r="W56" s="342"/>
      <c r="X56" s="342"/>
      <c r="Y56" s="342"/>
      <c r="Z56" s="342"/>
      <c r="AA56" s="342"/>
      <c r="AB56" s="342"/>
      <c r="AC56" s="343"/>
    </row>
    <row r="57" spans="1:29" ht="12.75" customHeight="1" x14ac:dyDescent="0.2"/>
    <row r="58" spans="1:29" ht="12.75" customHeight="1" x14ac:dyDescent="0.2"/>
    <row r="59" spans="1:29" ht="12.75" customHeight="1" x14ac:dyDescent="0.2"/>
    <row r="60" spans="1:29" ht="12.75" customHeight="1" x14ac:dyDescent="0.2"/>
    <row r="61" spans="1:29" ht="12.75" customHeight="1" x14ac:dyDescent="0.2"/>
    <row r="62" spans="1:29" ht="12.75" customHeight="1" x14ac:dyDescent="0.2"/>
    <row r="63" spans="1:29" ht="12.75" customHeight="1" x14ac:dyDescent="0.2"/>
    <row r="64" spans="1:29"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spans="1:29" ht="12.75" customHeight="1" x14ac:dyDescent="0.25">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row>
    <row r="178" spans="1:29" ht="12.75" customHeight="1" x14ac:dyDescent="0.2"/>
    <row r="179" spans="1:29" ht="12.75" customHeight="1" x14ac:dyDescent="0.2"/>
    <row r="180" spans="1:29" ht="12.75" customHeight="1" x14ac:dyDescent="0.2"/>
    <row r="181" spans="1:29" ht="12.75" customHeight="1" x14ac:dyDescent="0.2"/>
    <row r="182" spans="1:29" ht="12.75" customHeight="1" x14ac:dyDescent="0.2"/>
    <row r="183" spans="1:29" ht="12.75" customHeight="1" x14ac:dyDescent="0.2"/>
    <row r="184" spans="1:29" ht="12.75" customHeight="1" x14ac:dyDescent="0.2"/>
    <row r="185" spans="1:29" ht="12.75" customHeight="1" x14ac:dyDescent="0.2"/>
    <row r="186" spans="1:29" ht="12.75" customHeight="1" x14ac:dyDescent="0.2"/>
    <row r="187" spans="1:29" ht="12.75" customHeight="1" x14ac:dyDescent="0.2"/>
    <row r="188" spans="1:29" ht="12.75" customHeight="1" x14ac:dyDescent="0.2"/>
    <row r="189" spans="1:29" ht="12.75" customHeight="1" x14ac:dyDescent="0.2"/>
    <row r="190" spans="1:29" ht="12.75" customHeight="1" x14ac:dyDescent="0.2"/>
    <row r="191" spans="1:29" ht="12.75" customHeight="1" x14ac:dyDescent="0.2"/>
    <row r="192" spans="1:29"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spans="1:29" ht="12.75" customHeight="1" x14ac:dyDescent="0.2"/>
    <row r="274" spans="1:29" ht="12.75" customHeight="1" x14ac:dyDescent="0.2"/>
    <row r="275" spans="1:29" ht="12.75" customHeight="1" x14ac:dyDescent="0.2"/>
    <row r="276" spans="1:29" ht="12.75" customHeight="1" x14ac:dyDescent="0.2"/>
    <row r="277" spans="1:29" ht="12.75" customHeight="1" x14ac:dyDescent="0.2"/>
    <row r="278" spans="1:29" ht="12.75" customHeight="1" x14ac:dyDescent="0.2"/>
    <row r="279" spans="1:29" ht="12.75" customHeight="1" x14ac:dyDescent="0.25">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c r="AA279" s="5"/>
      <c r="AB279" s="5"/>
      <c r="AC279" s="5"/>
    </row>
    <row r="280" spans="1:29" ht="12.75" customHeight="1" x14ac:dyDescent="0.2"/>
    <row r="281" spans="1:29" ht="12.75" customHeight="1" x14ac:dyDescent="0.2"/>
    <row r="282" spans="1:29" ht="12.75" customHeight="1" x14ac:dyDescent="0.2"/>
    <row r="283" spans="1:29" ht="12.75" customHeight="1" x14ac:dyDescent="0.2"/>
    <row r="284" spans="1:29" ht="12.75" customHeight="1" x14ac:dyDescent="0.2"/>
    <row r="285" spans="1:29" ht="12.75" customHeight="1" x14ac:dyDescent="0.2"/>
    <row r="286" spans="1:29" ht="12.75" customHeight="1" x14ac:dyDescent="0.2"/>
    <row r="287" spans="1:29" ht="12.75" customHeight="1" x14ac:dyDescent="0.2"/>
    <row r="288" spans="1:29"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spans="1:29" ht="12.75" customHeight="1" x14ac:dyDescent="0.2"/>
    <row r="610" spans="1:29" ht="12.75" customHeight="1" x14ac:dyDescent="0.2"/>
    <row r="611" spans="1:29" ht="12.75" customHeight="1" x14ac:dyDescent="0.2"/>
    <row r="612" spans="1:29" ht="12.75" customHeight="1" x14ac:dyDescent="0.2"/>
    <row r="613" spans="1:29" ht="12.75" customHeight="1" x14ac:dyDescent="0.2"/>
    <row r="614" spans="1:29" ht="12.75" customHeight="1" x14ac:dyDescent="0.2"/>
    <row r="615" spans="1:29" ht="12.75" customHeight="1" x14ac:dyDescent="0.2"/>
    <row r="616" spans="1:29" ht="12.75" customHeight="1" x14ac:dyDescent="0.2"/>
    <row r="617" spans="1:29" ht="12.75" customHeight="1" x14ac:dyDescent="0.2"/>
    <row r="618" spans="1:29" ht="12.75" customHeight="1" x14ac:dyDescent="0.2"/>
    <row r="619" spans="1:29" ht="12.75" customHeight="1" x14ac:dyDescent="0.25">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c r="AA619" s="5"/>
      <c r="AB619" s="5"/>
      <c r="AC619" s="5"/>
    </row>
    <row r="620" spans="1:29" ht="15.75" customHeight="1" x14ac:dyDescent="0.25">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c r="AA620" s="5"/>
      <c r="AB620" s="5"/>
      <c r="AC620" s="5"/>
    </row>
    <row r="621" spans="1:29" ht="15.75" customHeight="1" x14ac:dyDescent="0.25">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c r="AA621" s="5"/>
      <c r="AB621" s="5"/>
      <c r="AC621" s="5"/>
    </row>
    <row r="622" spans="1:29" ht="15.75" customHeight="1" x14ac:dyDescent="0.25">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c r="AA622" s="5"/>
      <c r="AB622" s="5"/>
      <c r="AC622" s="5"/>
    </row>
    <row r="623" spans="1:29" ht="15.75" customHeight="1" x14ac:dyDescent="0.25">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c r="AA623" s="5"/>
      <c r="AB623" s="5"/>
      <c r="AC623" s="5"/>
    </row>
    <row r="624" spans="1:29" ht="15.75" customHeight="1" x14ac:dyDescent="0.25">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c r="AA624" s="5"/>
      <c r="AB624" s="5"/>
      <c r="AC624" s="5"/>
    </row>
    <row r="625" spans="1:29" ht="15.75" customHeight="1" x14ac:dyDescent="0.25">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c r="AA625" s="5"/>
      <c r="AB625" s="5"/>
      <c r="AC625" s="5"/>
    </row>
    <row r="626" spans="1:29" ht="15.75" customHeight="1" x14ac:dyDescent="0.25">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c r="AA626" s="5"/>
      <c r="AB626" s="5"/>
      <c r="AC626" s="5"/>
    </row>
    <row r="627" spans="1:29" ht="15.75" customHeight="1" x14ac:dyDescent="0.25">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c r="AA627" s="5"/>
      <c r="AB627" s="5"/>
      <c r="AC627" s="5"/>
    </row>
    <row r="628" spans="1:29" ht="15.75" customHeight="1" x14ac:dyDescent="0.25">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c r="AA628" s="5"/>
      <c r="AB628" s="5"/>
      <c r="AC628" s="5"/>
    </row>
    <row r="629" spans="1:29" ht="15.75" customHeight="1" x14ac:dyDescent="0.25">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c r="AA629" s="5"/>
      <c r="AB629" s="5"/>
      <c r="AC629" s="5"/>
    </row>
    <row r="630" spans="1:29" ht="15.75" customHeight="1" x14ac:dyDescent="0.25">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c r="AA630" s="5"/>
      <c r="AB630" s="5"/>
      <c r="AC630" s="5"/>
    </row>
    <row r="631" spans="1:29" ht="15.75" customHeight="1" x14ac:dyDescent="0.25">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c r="AA631" s="5"/>
      <c r="AB631" s="5"/>
      <c r="AC631" s="5"/>
    </row>
    <row r="632" spans="1:29" ht="15.75" customHeight="1" x14ac:dyDescent="0.25">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c r="AA632" s="5"/>
      <c r="AB632" s="5"/>
      <c r="AC632" s="5"/>
    </row>
    <row r="633" spans="1:29" ht="15.75" customHeight="1" x14ac:dyDescent="0.25">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c r="AA633" s="5"/>
      <c r="AB633" s="5"/>
      <c r="AC633" s="5"/>
    </row>
    <row r="634" spans="1:29" ht="15.75" customHeight="1" x14ac:dyDescent="0.25">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c r="AA634" s="5"/>
      <c r="AB634" s="5"/>
      <c r="AC634" s="5"/>
    </row>
    <row r="635" spans="1:29" ht="15.75" customHeight="1" x14ac:dyDescent="0.25">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c r="AA635" s="5"/>
      <c r="AB635" s="5"/>
      <c r="AC635" s="5"/>
    </row>
    <row r="636" spans="1:29" ht="15.75" customHeight="1" x14ac:dyDescent="0.25">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c r="AA636" s="5"/>
      <c r="AB636" s="5"/>
      <c r="AC636" s="5"/>
    </row>
    <row r="637" spans="1:29" ht="15.75" customHeight="1" x14ac:dyDescent="0.25">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c r="AA637" s="5"/>
      <c r="AB637" s="5"/>
      <c r="AC637" s="5"/>
    </row>
    <row r="638" spans="1:29" ht="15.75" customHeight="1" x14ac:dyDescent="0.25">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c r="AA638" s="5"/>
      <c r="AB638" s="5"/>
      <c r="AC638" s="5"/>
    </row>
    <row r="639" spans="1:29" ht="15.75" customHeight="1" x14ac:dyDescent="0.25">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c r="AA639" s="5"/>
      <c r="AB639" s="5"/>
      <c r="AC639" s="5"/>
    </row>
  </sheetData>
  <mergeCells count="98">
    <mergeCell ref="D44:G44"/>
    <mergeCell ref="R52:X52"/>
    <mergeCell ref="R53:X53"/>
    <mergeCell ref="R54:X54"/>
    <mergeCell ref="F52:K52"/>
    <mergeCell ref="F53:K53"/>
    <mergeCell ref="F54:K54"/>
    <mergeCell ref="O28:Q36"/>
    <mergeCell ref="S6:U14"/>
    <mergeCell ref="W28:Y36"/>
    <mergeCell ref="N27:O27"/>
    <mergeCell ref="P27:Q27"/>
    <mergeCell ref="A1:AC3"/>
    <mergeCell ref="J5:K5"/>
    <mergeCell ref="L5:M5"/>
    <mergeCell ref="O17:Q25"/>
    <mergeCell ref="O6:Q14"/>
    <mergeCell ref="S17:U25"/>
    <mergeCell ref="W6:Y14"/>
    <mergeCell ref="AA6:AC14"/>
    <mergeCell ref="K17:M25"/>
    <mergeCell ref="W17:Y25"/>
    <mergeCell ref="N16:O16"/>
    <mergeCell ref="P16:Q16"/>
    <mergeCell ref="R16:S16"/>
    <mergeCell ref="T16:U16"/>
    <mergeCell ref="V16:W16"/>
    <mergeCell ref="J16:K16"/>
    <mergeCell ref="A5:B5"/>
    <mergeCell ref="A16:B16"/>
    <mergeCell ref="D16:E16"/>
    <mergeCell ref="F16:G16"/>
    <mergeCell ref="H16:I16"/>
    <mergeCell ref="D12:E12"/>
    <mergeCell ref="D5:E5"/>
    <mergeCell ref="D10:E10"/>
    <mergeCell ref="D11:E11"/>
    <mergeCell ref="D8:E8"/>
    <mergeCell ref="D9:E9"/>
    <mergeCell ref="D13:E13"/>
    <mergeCell ref="D14:E14"/>
    <mergeCell ref="F5:G5"/>
    <mergeCell ref="H5:I5"/>
    <mergeCell ref="D6:E6"/>
    <mergeCell ref="J27:K27"/>
    <mergeCell ref="L27:M27"/>
    <mergeCell ref="K6:M14"/>
    <mergeCell ref="A28:C36"/>
    <mergeCell ref="G28:I36"/>
    <mergeCell ref="D28:E28"/>
    <mergeCell ref="A6:C14"/>
    <mergeCell ref="D27:E27"/>
    <mergeCell ref="F27:G27"/>
    <mergeCell ref="H27:I27"/>
    <mergeCell ref="A27:B27"/>
    <mergeCell ref="A17:C25"/>
    <mergeCell ref="K28:M36"/>
    <mergeCell ref="D31:E31"/>
    <mergeCell ref="D32:E32"/>
    <mergeCell ref="D33:E33"/>
    <mergeCell ref="D29:E29"/>
    <mergeCell ref="D30:E30"/>
    <mergeCell ref="D35:E35"/>
    <mergeCell ref="D36:E36"/>
    <mergeCell ref="D34:E34"/>
    <mergeCell ref="AB5:AC5"/>
    <mergeCell ref="S28:U36"/>
    <mergeCell ref="Z16:AA16"/>
    <mergeCell ref="AB16:AC16"/>
    <mergeCell ref="AB27:AC27"/>
    <mergeCell ref="X16:Y16"/>
    <mergeCell ref="AA17:AC25"/>
    <mergeCell ref="R27:S27"/>
    <mergeCell ref="T27:U27"/>
    <mergeCell ref="V27:W27"/>
    <mergeCell ref="X27:Y27"/>
    <mergeCell ref="Z27:AA27"/>
    <mergeCell ref="AA28:AC36"/>
    <mergeCell ref="R5:S5"/>
    <mergeCell ref="T5:U5"/>
    <mergeCell ref="Z5:AA5"/>
    <mergeCell ref="G17:I25"/>
    <mergeCell ref="D25:E25"/>
    <mergeCell ref="L16:M16"/>
    <mergeCell ref="G6:I14"/>
    <mergeCell ref="D23:E23"/>
    <mergeCell ref="D24:E24"/>
    <mergeCell ref="D21:E21"/>
    <mergeCell ref="D22:E22"/>
    <mergeCell ref="D19:E19"/>
    <mergeCell ref="D20:E20"/>
    <mergeCell ref="D17:E17"/>
    <mergeCell ref="D18:E18"/>
    <mergeCell ref="X5:Y5"/>
    <mergeCell ref="N5:O5"/>
    <mergeCell ref="P5:Q5"/>
    <mergeCell ref="V5:W5"/>
    <mergeCell ref="D7:E7"/>
  </mergeCells>
  <conditionalFormatting sqref="N7:N11 N13">
    <cfRule type="cellIs" dxfId="161" priority="482" operator="lessThan">
      <formula>0.1</formula>
    </cfRule>
  </conditionalFormatting>
  <conditionalFormatting sqref="N14">
    <cfRule type="cellIs" dxfId="160" priority="485" operator="lessThan">
      <formula>0.1</formula>
    </cfRule>
  </conditionalFormatting>
  <conditionalFormatting sqref="N18:N21 N23 N25">
    <cfRule type="cellIs" dxfId="159" priority="495" operator="lessThan">
      <formula>0.1</formula>
    </cfRule>
  </conditionalFormatting>
  <conditionalFormatting sqref="N22">
    <cfRule type="cellIs" dxfId="158" priority="501" operator="lessThan">
      <formula>0.1</formula>
    </cfRule>
  </conditionalFormatting>
  <conditionalFormatting sqref="N36">
    <cfRule type="cellIs" dxfId="157" priority="503" operator="lessThan">
      <formula>0.1</formula>
    </cfRule>
  </conditionalFormatting>
  <conditionalFormatting sqref="N29:N35">
    <cfRule type="cellIs" dxfId="156" priority="504" operator="lessThan">
      <formula>0.1</formula>
    </cfRule>
  </conditionalFormatting>
  <conditionalFormatting sqref="J10:J14">
    <cfRule type="cellIs" dxfId="155" priority="508" operator="lessThan">
      <formula>0.1</formula>
    </cfRule>
  </conditionalFormatting>
  <conditionalFormatting sqref="J22:J25">
    <cfRule type="cellIs" dxfId="154" priority="511" operator="lessThan">
      <formula>0.1</formula>
    </cfRule>
  </conditionalFormatting>
  <conditionalFormatting sqref="J7:J9">
    <cfRule type="cellIs" dxfId="153" priority="523" operator="lessThan">
      <formula>0.1</formula>
    </cfRule>
  </conditionalFormatting>
  <conditionalFormatting sqref="J18:J21">
    <cfRule type="cellIs" dxfId="152" priority="527" operator="lessThan">
      <formula>0.1</formula>
    </cfRule>
  </conditionalFormatting>
  <conditionalFormatting sqref="J35:J36">
    <cfRule type="cellIs" dxfId="151" priority="551" operator="lessThan">
      <formula>0.1</formula>
    </cfRule>
  </conditionalFormatting>
  <conditionalFormatting sqref="J33:J34">
    <cfRule type="cellIs" dxfId="150" priority="552" operator="lessThan">
      <formula>0.1</formula>
    </cfRule>
  </conditionalFormatting>
  <conditionalFormatting sqref="J29:J32">
    <cfRule type="cellIs" dxfId="149" priority="553" operator="lessThan">
      <formula>0.1</formula>
    </cfRule>
  </conditionalFormatting>
  <conditionalFormatting sqref="F18:F21">
    <cfRule type="cellIs" dxfId="148" priority="563" operator="lessThan">
      <formula>0.1</formula>
    </cfRule>
  </conditionalFormatting>
  <conditionalFormatting sqref="F7:F9">
    <cfRule type="cellIs" dxfId="147" priority="564" operator="lessThan">
      <formula>0.1</formula>
    </cfRule>
  </conditionalFormatting>
  <conditionalFormatting sqref="E21:E25">
    <cfRule type="cellIs" dxfId="146" priority="565" operator="lessThan">
      <formula>0.1</formula>
    </cfRule>
  </conditionalFormatting>
  <conditionalFormatting sqref="F22:F25">
    <cfRule type="cellIs" dxfId="145" priority="566" operator="lessThan">
      <formula>0.1</formula>
    </cfRule>
  </conditionalFormatting>
  <conditionalFormatting sqref="E10:E14">
    <cfRule type="cellIs" dxfId="144" priority="568" operator="lessThan">
      <formula>0.1</formula>
    </cfRule>
  </conditionalFormatting>
  <conditionalFormatting sqref="F10:F14">
    <cfRule type="cellIs" dxfId="143" priority="569" operator="lessThan">
      <formula>0.1</formula>
    </cfRule>
  </conditionalFormatting>
  <conditionalFormatting sqref="E32:E36">
    <cfRule type="cellIs" dxfId="142" priority="595" operator="lessThan">
      <formula>0.1</formula>
    </cfRule>
  </conditionalFormatting>
  <conditionalFormatting sqref="F33:F36">
    <cfRule type="cellIs" dxfId="141" priority="596" operator="lessThan">
      <formula>0.1</formula>
    </cfRule>
  </conditionalFormatting>
  <conditionalFormatting sqref="F29:F32">
    <cfRule type="cellIs" dxfId="140" priority="597" operator="lessThan">
      <formula>0.1</formula>
    </cfRule>
  </conditionalFormatting>
  <conditionalFormatting sqref="R7:R11 R13">
    <cfRule type="cellIs" dxfId="139" priority="608" operator="lessThan">
      <formula>0.1</formula>
    </cfRule>
  </conditionalFormatting>
  <conditionalFormatting sqref="R14">
    <cfRule type="cellIs" dxfId="138" priority="610" operator="lessThan">
      <formula>0.1</formula>
    </cfRule>
  </conditionalFormatting>
  <conditionalFormatting sqref="R18:R22 R24">
    <cfRule type="cellIs" dxfId="137" priority="611" operator="lessThan">
      <formula>0.1</formula>
    </cfRule>
  </conditionalFormatting>
  <conditionalFormatting sqref="R25">
    <cfRule type="cellIs" dxfId="136" priority="613" operator="lessThan">
      <formula>0.1</formula>
    </cfRule>
  </conditionalFormatting>
  <conditionalFormatting sqref="R29:R33 R35">
    <cfRule type="cellIs" dxfId="135" priority="614" operator="lessThan">
      <formula>0.1</formula>
    </cfRule>
  </conditionalFormatting>
  <conditionalFormatting sqref="R36">
    <cfRule type="cellIs" dxfId="134" priority="616" operator="lessThan">
      <formula>0.1</formula>
    </cfRule>
  </conditionalFormatting>
  <conditionalFormatting sqref="V14">
    <cfRule type="cellIs" dxfId="133" priority="633" operator="lessThan">
      <formula>0.1</formula>
    </cfRule>
  </conditionalFormatting>
  <conditionalFormatting sqref="V7 V13">
    <cfRule type="cellIs" dxfId="132" priority="634" operator="lessThan">
      <formula>0.1</formula>
    </cfRule>
  </conditionalFormatting>
  <conditionalFormatting sqref="V8:V12">
    <cfRule type="cellIs" dxfId="131" priority="635" operator="lessThan">
      <formula>0.1</formula>
    </cfRule>
  </conditionalFormatting>
  <conditionalFormatting sqref="V6">
    <cfRule type="cellIs" dxfId="130" priority="636" operator="lessThan">
      <formula>0.1</formula>
    </cfRule>
  </conditionalFormatting>
  <conditionalFormatting sqref="V25">
    <cfRule type="cellIs" dxfId="129" priority="637" operator="lessThan">
      <formula>0.1</formula>
    </cfRule>
  </conditionalFormatting>
  <conditionalFormatting sqref="V18 V24">
    <cfRule type="cellIs" dxfId="128" priority="638" operator="lessThan">
      <formula>0.1</formula>
    </cfRule>
  </conditionalFormatting>
  <conditionalFormatting sqref="V19:V23">
    <cfRule type="cellIs" dxfId="127" priority="639" operator="lessThan">
      <formula>0.1</formula>
    </cfRule>
  </conditionalFormatting>
  <conditionalFormatting sqref="V36">
    <cfRule type="cellIs" dxfId="126" priority="641" operator="lessThan">
      <formula>0.1</formula>
    </cfRule>
  </conditionalFormatting>
  <conditionalFormatting sqref="V29 V35">
    <cfRule type="cellIs" dxfId="125" priority="642" operator="lessThan">
      <formula>0.1</formula>
    </cfRule>
  </conditionalFormatting>
  <conditionalFormatting sqref="V30:V34">
    <cfRule type="cellIs" dxfId="124" priority="643" operator="lessThan">
      <formula>0.1</formula>
    </cfRule>
  </conditionalFormatting>
  <conditionalFormatting sqref="Z14">
    <cfRule type="cellIs" dxfId="123" priority="673" operator="lessThan">
      <formula>0.1</formula>
    </cfRule>
  </conditionalFormatting>
  <conditionalFormatting sqref="Z7">
    <cfRule type="cellIs" dxfId="122" priority="674" operator="lessThan">
      <formula>0.1</formula>
    </cfRule>
  </conditionalFormatting>
  <conditionalFormatting sqref="Z8:Z12">
    <cfRule type="cellIs" dxfId="121" priority="675" operator="lessThan">
      <formula>0.1</formula>
    </cfRule>
  </conditionalFormatting>
  <conditionalFormatting sqref="Z6">
    <cfRule type="cellIs" dxfId="120" priority="676" operator="lessThan">
      <formula>0.1</formula>
    </cfRule>
  </conditionalFormatting>
  <conditionalFormatting sqref="Z25">
    <cfRule type="cellIs" dxfId="119" priority="677" operator="lessThan">
      <formula>0.1</formula>
    </cfRule>
  </conditionalFormatting>
  <conditionalFormatting sqref="Z18">
    <cfRule type="cellIs" dxfId="118" priority="678" operator="lessThan">
      <formula>0.1</formula>
    </cfRule>
  </conditionalFormatting>
  <conditionalFormatting sqref="Z19:Z23">
    <cfRule type="cellIs" dxfId="117" priority="679" operator="lessThan">
      <formula>0.1</formula>
    </cfRule>
  </conditionalFormatting>
  <conditionalFormatting sqref="Z36">
    <cfRule type="cellIs" dxfId="116" priority="681" operator="lessThan">
      <formula>0.1</formula>
    </cfRule>
  </conditionalFormatting>
  <conditionalFormatting sqref="Z29 Z35">
    <cfRule type="cellIs" dxfId="115" priority="682" operator="lessThan">
      <formula>0.1</formula>
    </cfRule>
  </conditionalFormatting>
  <conditionalFormatting sqref="Z30:Z34">
    <cfRule type="cellIs" dxfId="114" priority="683" operator="lessThan">
      <formula>0.1</formula>
    </cfRule>
  </conditionalFormatting>
  <conditionalFormatting sqref="Z13">
    <cfRule type="cellIs" dxfId="113" priority="725" operator="lessThan">
      <formula>0.1</formula>
    </cfRule>
  </conditionalFormatting>
  <conditionalFormatting sqref="Z24">
    <cfRule type="cellIs" dxfId="112" priority="729" operator="lessThan">
      <formula>0.1</formula>
    </cfRule>
  </conditionalFormatting>
  <conditionalFormatting sqref="Z17">
    <cfRule type="cellIs" dxfId="111" priority="32" operator="lessThan">
      <formula>0.1</formula>
    </cfRule>
  </conditionalFormatting>
  <conditionalFormatting sqref="Z28">
    <cfRule type="cellIs" dxfId="110" priority="31" operator="lessThan">
      <formula>0.1</formula>
    </cfRule>
  </conditionalFormatting>
  <conditionalFormatting sqref="V17">
    <cfRule type="cellIs" dxfId="109" priority="13" operator="lessThan">
      <formula>0.1</formula>
    </cfRule>
  </conditionalFormatting>
  <conditionalFormatting sqref="V28">
    <cfRule type="cellIs" dxfId="108" priority="12" operator="lessThan">
      <formula>0.1</formula>
    </cfRule>
  </conditionalFormatting>
  <printOptions horizontalCentered="1" verticalCentered="1"/>
  <pageMargins left="0.3" right="0.3" top="0.3" bottom="0.3" header="0" footer="0"/>
  <pageSetup scale="40" fitToHeight="0" orientation="landscape" r:id="rId1"/>
  <rowBreaks count="1" manualBreakCount="1">
    <brk id="57" max="28"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14">
    <tabColor rgb="FF92D050"/>
    <pageSetUpPr fitToPage="1"/>
  </sheetPr>
  <dimension ref="A1:BR1047"/>
  <sheetViews>
    <sheetView view="pageBreakPreview" topLeftCell="E1" zoomScale="70" zoomScaleNormal="70" zoomScaleSheetLayoutView="70" workbookViewId="0">
      <selection activeCell="Z307" sqref="Z307:AF307"/>
    </sheetView>
  </sheetViews>
  <sheetFormatPr baseColWidth="10" defaultColWidth="12.7109375" defaultRowHeight="15" customHeight="1" x14ac:dyDescent="0.2"/>
  <cols>
    <col min="1" max="2" width="11.42578125" customWidth="1"/>
    <col min="3" max="3" width="19.28515625" customWidth="1"/>
    <col min="4" max="4" width="14.7109375" customWidth="1"/>
    <col min="5" max="5" width="10.42578125" customWidth="1"/>
    <col min="6" max="6" width="16.28515625" customWidth="1"/>
    <col min="7" max="7" width="15.140625" customWidth="1"/>
    <col min="8" max="8" width="10.42578125" customWidth="1"/>
    <col min="9" max="9" width="11.5703125" customWidth="1"/>
    <col min="10" max="10" width="10.5703125" customWidth="1"/>
    <col min="11" max="11" width="9.7109375" customWidth="1"/>
    <col min="12" max="12" width="19.5703125" customWidth="1"/>
    <col min="13" max="13" width="18.28515625" customWidth="1"/>
    <col min="14" max="14" width="9.7109375" customWidth="1"/>
    <col min="15" max="15" width="17.5703125" customWidth="1"/>
    <col min="16" max="16" width="12.42578125" customWidth="1"/>
    <col min="17" max="17" width="14" customWidth="1"/>
    <col min="18" max="18" width="11.28515625" customWidth="1"/>
    <col min="19" max="19" width="12" customWidth="1"/>
    <col min="20" max="20" width="15.42578125" customWidth="1"/>
    <col min="21" max="21" width="9.85546875" customWidth="1"/>
    <col min="22" max="22" width="16.7109375" customWidth="1"/>
    <col min="23" max="23" width="17.28515625" customWidth="1"/>
    <col min="24" max="24" width="11.28515625" customWidth="1"/>
    <col min="25" max="25" width="14.7109375" customWidth="1"/>
    <col min="26" max="26" width="9.140625" customWidth="1"/>
    <col min="27" max="27" width="10.7109375" customWidth="1"/>
    <col min="28" max="28" width="10.28515625" customWidth="1"/>
  </cols>
  <sheetData>
    <row r="1" spans="1:28" ht="12.75" customHeight="1" x14ac:dyDescent="0.2">
      <c r="A1" s="1038" t="str">
        <f>Indice!$B$2</f>
        <v>CONSTRUCCIÓN DE LA FASE 1 DEL PLAN MAESTRO DE ACUEDUCTO DEL MUNICIPIO DE ÍQUIRA, HUILA</v>
      </c>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8"/>
      <c r="Z1" s="1039"/>
      <c r="AA1" s="1232" t="s">
        <v>0</v>
      </c>
      <c r="AB1" s="1058"/>
    </row>
    <row r="2" spans="1:28" ht="12.75" customHeight="1" x14ac:dyDescent="0.2">
      <c r="A2" s="1285"/>
      <c r="B2" s="1291"/>
      <c r="C2" s="1291"/>
      <c r="D2" s="1291"/>
      <c r="E2" s="1291"/>
      <c r="F2" s="1291"/>
      <c r="G2" s="1291"/>
      <c r="H2" s="1291"/>
      <c r="I2" s="1291"/>
      <c r="J2" s="1291"/>
      <c r="K2" s="1291"/>
      <c r="L2" s="1291"/>
      <c r="M2" s="1291"/>
      <c r="N2" s="1291"/>
      <c r="O2" s="1291"/>
      <c r="P2" s="1291"/>
      <c r="Q2" s="1291"/>
      <c r="R2" s="1291"/>
      <c r="S2" s="1291"/>
      <c r="T2" s="1291"/>
      <c r="U2" s="1291"/>
      <c r="V2" s="1291"/>
      <c r="W2" s="1291"/>
      <c r="X2" s="1291"/>
      <c r="Y2" s="1291"/>
      <c r="Z2" s="1286"/>
      <c r="AA2" s="1233">
        <f>Indice!$Q$3</f>
        <v>46195</v>
      </c>
      <c r="AB2" s="1109"/>
    </row>
    <row r="3" spans="1:28" ht="12.75" customHeight="1" x14ac:dyDescent="0.2">
      <c r="A3" s="1287"/>
      <c r="B3" s="1293"/>
      <c r="C3" s="1293"/>
      <c r="D3" s="1293"/>
      <c r="E3" s="1293"/>
      <c r="F3" s="1293"/>
      <c r="G3" s="1293"/>
      <c r="H3" s="1293"/>
      <c r="I3" s="1293"/>
      <c r="J3" s="1293"/>
      <c r="K3" s="1293"/>
      <c r="L3" s="1293"/>
      <c r="M3" s="1293"/>
      <c r="N3" s="1293"/>
      <c r="O3" s="1293"/>
      <c r="P3" s="1293"/>
      <c r="Q3" s="1293"/>
      <c r="R3" s="1293"/>
      <c r="S3" s="1293"/>
      <c r="T3" s="1293"/>
      <c r="U3" s="1293"/>
      <c r="V3" s="1293"/>
      <c r="W3" s="1293"/>
      <c r="X3" s="1293"/>
      <c r="Y3" s="1293"/>
      <c r="Z3" s="1288"/>
      <c r="AA3" s="1110"/>
      <c r="AB3" s="1112"/>
    </row>
    <row r="4" spans="1:28" ht="12.75" customHeight="1" x14ac:dyDescent="0.25">
      <c r="A4" s="3"/>
      <c r="B4" s="3"/>
      <c r="C4" s="3"/>
      <c r="D4" s="3"/>
      <c r="E4" s="3"/>
      <c r="F4" s="3"/>
      <c r="G4" s="3"/>
      <c r="H4" s="3"/>
      <c r="I4" s="3"/>
      <c r="J4" s="3"/>
      <c r="K4" s="3"/>
      <c r="L4" s="3"/>
      <c r="M4" s="3"/>
      <c r="N4" s="3"/>
      <c r="O4" s="3"/>
      <c r="P4" s="3"/>
      <c r="Q4" s="3"/>
      <c r="R4" s="3"/>
      <c r="S4" s="3"/>
      <c r="T4" s="3"/>
      <c r="U4" s="3"/>
      <c r="V4" s="3"/>
      <c r="W4" s="3"/>
      <c r="X4" s="3"/>
      <c r="Y4" s="3"/>
      <c r="Z4" s="3"/>
      <c r="AA4" s="3"/>
      <c r="AB4" s="3"/>
    </row>
    <row r="5" spans="1:28" ht="17.25" customHeight="1" x14ac:dyDescent="0.2">
      <c r="A5" s="1321" t="s">
        <v>826</v>
      </c>
      <c r="B5" s="1108"/>
      <c r="C5" s="1108"/>
      <c r="D5" s="1108"/>
      <c r="E5" s="1108"/>
      <c r="F5" s="1108"/>
      <c r="G5" s="1108"/>
      <c r="H5" s="1108"/>
      <c r="I5" s="1108"/>
      <c r="J5" s="1108"/>
      <c r="K5" s="1052"/>
      <c r="L5" s="1108"/>
      <c r="M5" s="1108"/>
      <c r="N5" s="1108"/>
      <c r="O5" s="1108"/>
      <c r="P5" s="1108"/>
      <c r="Q5" s="1108"/>
      <c r="R5" s="1108"/>
      <c r="S5" s="1108"/>
      <c r="T5" s="1108"/>
      <c r="U5" s="1052"/>
      <c r="V5" s="1108"/>
      <c r="W5" s="1108"/>
      <c r="X5" s="1108"/>
      <c r="Y5" s="1108"/>
      <c r="Z5" s="1108"/>
      <c r="AA5" s="1108"/>
      <c r="AB5" s="1108"/>
    </row>
    <row r="6" spans="1:28" ht="17.25" customHeight="1" x14ac:dyDescent="0.2">
      <c r="A6" s="1110"/>
      <c r="B6" s="1111"/>
      <c r="C6" s="1111"/>
      <c r="D6" s="1111"/>
      <c r="E6" s="1111"/>
      <c r="F6" s="1111"/>
      <c r="G6" s="1111"/>
      <c r="H6" s="1111"/>
      <c r="I6" s="1111"/>
      <c r="J6" s="1111"/>
      <c r="K6" s="1032"/>
      <c r="L6" s="1111"/>
      <c r="M6" s="1111"/>
      <c r="N6" s="1111"/>
      <c r="O6" s="1111"/>
      <c r="P6" s="1111"/>
      <c r="Q6" s="1111"/>
      <c r="R6" s="1111"/>
      <c r="S6" s="1111"/>
      <c r="T6" s="1111"/>
      <c r="U6" s="1032"/>
      <c r="V6" s="1111"/>
      <c r="W6" s="1111"/>
      <c r="X6" s="1111"/>
      <c r="Y6" s="1111"/>
      <c r="Z6" s="1111"/>
      <c r="AA6" s="1111"/>
      <c r="AB6" s="1111"/>
    </row>
    <row r="7" spans="1:28" ht="12.75" customHeight="1" x14ac:dyDescent="0.25">
      <c r="A7" s="3"/>
      <c r="B7" s="3"/>
      <c r="C7" s="3"/>
      <c r="D7" s="3"/>
      <c r="E7" s="3"/>
      <c r="F7" s="3"/>
      <c r="G7" s="3"/>
      <c r="H7" s="3"/>
      <c r="I7" s="3"/>
      <c r="J7" s="3"/>
      <c r="K7" s="3"/>
      <c r="L7" s="3"/>
      <c r="M7" s="3"/>
      <c r="N7" s="55"/>
      <c r="O7" s="55"/>
      <c r="P7" s="55"/>
      <c r="Q7" s="55"/>
      <c r="R7" s="55"/>
      <c r="S7" s="55"/>
      <c r="T7" s="55"/>
      <c r="U7" s="120"/>
      <c r="V7" s="55"/>
      <c r="W7" s="55"/>
      <c r="X7" s="55"/>
      <c r="Y7" s="55"/>
      <c r="Z7" s="55"/>
      <c r="AA7" s="55"/>
      <c r="AB7" s="55"/>
    </row>
    <row r="8" spans="1:28" ht="12.75" customHeight="1" x14ac:dyDescent="0.2">
      <c r="A8" s="1623" t="s">
        <v>672</v>
      </c>
      <c r="B8" s="1108"/>
      <c r="C8" s="1108"/>
      <c r="D8" s="1109"/>
      <c r="E8" s="1617" t="s">
        <v>827</v>
      </c>
      <c r="F8" s="56" t="s">
        <v>132</v>
      </c>
      <c r="G8" s="1322" t="s">
        <v>43</v>
      </c>
      <c r="H8" s="1057"/>
      <c r="I8" s="1271" t="s">
        <v>48</v>
      </c>
      <c r="J8" s="1272"/>
      <c r="K8" s="1273"/>
      <c r="L8" s="1322" t="s">
        <v>51</v>
      </c>
      <c r="M8" s="1058"/>
      <c r="N8" s="1322" t="s">
        <v>56</v>
      </c>
      <c r="O8" s="1057"/>
      <c r="P8" s="1057"/>
      <c r="Q8" s="1057"/>
      <c r="R8" s="1057"/>
      <c r="S8" s="1322" t="s">
        <v>63</v>
      </c>
      <c r="T8" s="1058"/>
      <c r="U8" s="54" t="s">
        <v>66</v>
      </c>
      <c r="V8" s="1322" t="s">
        <v>69</v>
      </c>
      <c r="W8" s="1057"/>
      <c r="X8" s="1057"/>
      <c r="Y8" s="1057"/>
      <c r="Z8" s="1057"/>
      <c r="AA8" s="1322" t="s">
        <v>69</v>
      </c>
      <c r="AB8" s="1057"/>
    </row>
    <row r="9" spans="1:28" ht="12.75" customHeight="1" x14ac:dyDescent="0.2">
      <c r="A9" s="1229"/>
      <c r="B9" s="1230"/>
      <c r="C9" s="1230"/>
      <c r="D9" s="1231"/>
      <c r="E9" s="1622"/>
      <c r="F9" s="1624" t="e">
        <f>+F13+F25+F70</f>
        <v>#N/A</v>
      </c>
      <c r="G9" s="1626" t="s">
        <v>45</v>
      </c>
      <c r="H9" s="1626" t="s">
        <v>47</v>
      </c>
      <c r="I9" s="1626" t="s">
        <v>49</v>
      </c>
      <c r="J9" s="1626" t="s">
        <v>50</v>
      </c>
      <c r="K9" s="1626" t="s">
        <v>869</v>
      </c>
      <c r="L9" s="1626" t="s">
        <v>53</v>
      </c>
      <c r="M9" s="1626" t="s">
        <v>55</v>
      </c>
      <c r="N9" s="1626" t="s">
        <v>57</v>
      </c>
      <c r="O9" s="1626" t="s">
        <v>59</v>
      </c>
      <c r="P9" s="1626" t="s">
        <v>60</v>
      </c>
      <c r="Q9" s="1626" t="s">
        <v>61</v>
      </c>
      <c r="R9" s="1626" t="s">
        <v>62</v>
      </c>
      <c r="S9" s="1626" t="s">
        <v>64</v>
      </c>
      <c r="T9" s="1626" t="s">
        <v>65</v>
      </c>
      <c r="U9" s="1626" t="s">
        <v>68</v>
      </c>
      <c r="V9" s="1626" t="s">
        <v>71</v>
      </c>
      <c r="W9" s="1626" t="s">
        <v>72</v>
      </c>
      <c r="X9" s="1626" t="s">
        <v>73</v>
      </c>
      <c r="Y9" s="1626" t="s">
        <v>74</v>
      </c>
      <c r="Z9" s="1626" t="s">
        <v>691</v>
      </c>
      <c r="AA9" s="1626" t="s">
        <v>71</v>
      </c>
      <c r="AB9" s="1626" t="s">
        <v>72</v>
      </c>
    </row>
    <row r="10" spans="1:28" ht="12.75" customHeight="1" x14ac:dyDescent="0.2">
      <c r="A10" s="1229"/>
      <c r="B10" s="1230"/>
      <c r="C10" s="1230"/>
      <c r="D10" s="1231"/>
      <c r="E10" s="1622"/>
      <c r="F10" s="1622"/>
      <c r="G10" s="1029"/>
      <c r="H10" s="1029"/>
      <c r="I10" s="1029"/>
      <c r="J10" s="1029"/>
      <c r="K10" s="1029"/>
      <c r="L10" s="1029"/>
      <c r="M10" s="1029"/>
      <c r="N10" s="1029"/>
      <c r="O10" s="1029"/>
      <c r="P10" s="1029"/>
      <c r="Q10" s="1029"/>
      <c r="R10" s="1029"/>
      <c r="S10" s="1029"/>
      <c r="T10" s="1029"/>
      <c r="U10" s="1029"/>
      <c r="V10" s="1029"/>
      <c r="W10" s="1029"/>
      <c r="X10" s="1029"/>
      <c r="Y10" s="1029"/>
      <c r="Z10" s="1029"/>
      <c r="AA10" s="1029"/>
      <c r="AB10" s="1029"/>
    </row>
    <row r="11" spans="1:28" ht="12.75" customHeight="1" x14ac:dyDescent="0.2">
      <c r="A11" s="1229"/>
      <c r="B11" s="1230"/>
      <c r="C11" s="1230"/>
      <c r="D11" s="1231"/>
      <c r="E11" s="1622"/>
      <c r="F11" s="1622"/>
      <c r="G11" s="1029"/>
      <c r="H11" s="1029"/>
      <c r="I11" s="1029"/>
      <c r="J11" s="1029"/>
      <c r="K11" s="1029"/>
      <c r="L11" s="1029"/>
      <c r="M11" s="1029"/>
      <c r="N11" s="1029"/>
      <c r="O11" s="1029"/>
      <c r="P11" s="1029"/>
      <c r="Q11" s="1029"/>
      <c r="R11" s="1029"/>
      <c r="S11" s="1029"/>
      <c r="T11" s="1029"/>
      <c r="U11" s="1029"/>
      <c r="V11" s="1029"/>
      <c r="W11" s="1029"/>
      <c r="X11" s="1029"/>
      <c r="Y11" s="1029"/>
      <c r="Z11" s="1029"/>
      <c r="AA11" s="1029"/>
      <c r="AB11" s="1029"/>
    </row>
    <row r="12" spans="1:28" ht="12.75" customHeight="1" x14ac:dyDescent="0.2">
      <c r="A12" s="1110"/>
      <c r="B12" s="1111"/>
      <c r="C12" s="1111"/>
      <c r="D12" s="1112"/>
      <c r="E12" s="1618"/>
      <c r="F12" s="1618"/>
      <c r="G12" s="1627"/>
      <c r="H12" s="1627"/>
      <c r="I12" s="1627"/>
      <c r="J12" s="1627"/>
      <c r="K12" s="1627"/>
      <c r="L12" s="1627"/>
      <c r="M12" s="1627"/>
      <c r="N12" s="1627"/>
      <c r="O12" s="1627"/>
      <c r="P12" s="1627"/>
      <c r="Q12" s="1627"/>
      <c r="R12" s="1627"/>
      <c r="S12" s="1627"/>
      <c r="T12" s="1627"/>
      <c r="U12" s="1627"/>
      <c r="V12" s="1627"/>
      <c r="W12" s="1627"/>
      <c r="X12" s="1627"/>
      <c r="Y12" s="1627"/>
      <c r="Z12" s="1627"/>
      <c r="AA12" s="1627"/>
      <c r="AB12" s="1627"/>
    </row>
    <row r="13" spans="1:28" ht="12.75" customHeight="1" x14ac:dyDescent="0.2">
      <c r="A13" s="1620" t="s">
        <v>828</v>
      </c>
      <c r="B13" s="1057"/>
      <c r="C13" s="1057"/>
      <c r="D13" s="1057"/>
      <c r="E13" s="1058"/>
      <c r="F13" s="57" t="e">
        <f>+SUM(F14:F22)</f>
        <v>#N/A</v>
      </c>
      <c r="G13" s="58"/>
      <c r="H13" s="58"/>
      <c r="I13" s="58"/>
      <c r="J13" s="58"/>
      <c r="K13" s="58"/>
      <c r="L13" s="58"/>
      <c r="M13" s="58"/>
      <c r="N13" s="58"/>
      <c r="O13" s="58"/>
      <c r="P13" s="58"/>
      <c r="Q13" s="58"/>
      <c r="R13" s="58"/>
      <c r="S13" s="58"/>
      <c r="T13" s="58"/>
      <c r="U13" s="58"/>
      <c r="V13" s="58"/>
      <c r="W13" s="58"/>
      <c r="X13" s="58"/>
      <c r="Y13" s="58"/>
      <c r="Z13" s="58"/>
      <c r="AA13" s="58"/>
      <c r="AB13" s="58"/>
    </row>
    <row r="14" spans="1:28" ht="12.75" customHeight="1" x14ac:dyDescent="0.2">
      <c r="A14" s="1616" t="s">
        <v>406</v>
      </c>
      <c r="B14" s="1108"/>
      <c r="C14" s="1109"/>
      <c r="D14" s="54" t="s">
        <v>399</v>
      </c>
      <c r="E14" s="1617" t="e">
        <f>VLOOKUP(A14,AA_Materiales,16,FALSE)</f>
        <v>#N/A</v>
      </c>
      <c r="F14" s="1619" t="e">
        <f>SUM(G15:AB15)</f>
        <v>#N/A</v>
      </c>
      <c r="G14" s="52">
        <v>0</v>
      </c>
      <c r="H14" s="52">
        <v>0</v>
      </c>
      <c r="I14" s="52">
        <v>0</v>
      </c>
      <c r="J14" s="52">
        <v>0</v>
      </c>
      <c r="K14" s="52"/>
      <c r="L14" s="52">
        <v>0</v>
      </c>
      <c r="M14" s="52">
        <v>0</v>
      </c>
      <c r="N14" s="118">
        <f>0.6*'PTO OC PLIEGO'!J22</f>
        <v>0.77159999999999995</v>
      </c>
      <c r="O14" s="118">
        <f>0.58*'PTO OC PLIEGO'!J23</f>
        <v>8.8971999999999998</v>
      </c>
      <c r="P14" s="118" t="e">
        <f>0.58*'PTO OC PLIEGO'!#REF!</f>
        <v>#REF!</v>
      </c>
      <c r="Q14" s="118" t="e">
        <f>0.58*'PTO OC PLIEGO'!#REF!</f>
        <v>#REF!</v>
      </c>
      <c r="R14" s="52">
        <v>0</v>
      </c>
      <c r="S14" s="52">
        <v>0</v>
      </c>
      <c r="T14" s="52">
        <v>0</v>
      </c>
      <c r="U14" s="52"/>
      <c r="V14" s="52">
        <v>0</v>
      </c>
      <c r="W14" s="52">
        <v>0</v>
      </c>
      <c r="X14" s="52">
        <v>0</v>
      </c>
      <c r="Y14" s="52">
        <v>0</v>
      </c>
      <c r="Z14" s="52">
        <v>0</v>
      </c>
      <c r="AA14" s="52">
        <v>0</v>
      </c>
      <c r="AB14" s="52">
        <v>0</v>
      </c>
    </row>
    <row r="15" spans="1:28" ht="12.75" customHeight="1" x14ac:dyDescent="0.2">
      <c r="A15" s="1110"/>
      <c r="B15" s="1111"/>
      <c r="C15" s="1112"/>
      <c r="D15" s="54" t="s">
        <v>20</v>
      </c>
      <c r="E15" s="1618"/>
      <c r="F15" s="1618"/>
      <c r="G15" s="52"/>
      <c r="H15" s="52"/>
      <c r="I15" s="52"/>
      <c r="J15" s="52"/>
      <c r="K15" s="52"/>
      <c r="L15" s="52"/>
      <c r="M15" s="52"/>
      <c r="N15" s="118" t="e">
        <f>+N14*$E$14</f>
        <v>#N/A</v>
      </c>
      <c r="O15" s="118" t="e">
        <f>+O14*$E$14</f>
        <v>#N/A</v>
      </c>
      <c r="P15" s="118" t="e">
        <f>+P14*$E$14</f>
        <v>#REF!</v>
      </c>
      <c r="Q15" s="118" t="e">
        <f>+Q14*$E$14</f>
        <v>#REF!</v>
      </c>
      <c r="R15" s="52"/>
      <c r="S15" s="52"/>
      <c r="T15" s="52"/>
      <c r="U15" s="52"/>
      <c r="V15" s="52"/>
      <c r="W15" s="52"/>
      <c r="X15" s="52"/>
      <c r="Y15" s="52"/>
      <c r="Z15" s="52"/>
      <c r="AA15" s="52"/>
      <c r="AB15" s="52"/>
    </row>
    <row r="16" spans="1:28" ht="12.75" customHeight="1" x14ac:dyDescent="0.2">
      <c r="A16" s="1620" t="s">
        <v>405</v>
      </c>
      <c r="B16" s="1057"/>
      <c r="C16" s="1058"/>
      <c r="D16" s="54" t="s">
        <v>20</v>
      </c>
      <c r="E16" s="48">
        <f>VLOOKUP(A16,AA_Materiales,16,FALSE)</f>
        <v>0</v>
      </c>
      <c r="F16" s="54" t="e">
        <f>SUM(G16:AB16)</f>
        <v>#REF!</v>
      </c>
      <c r="G16" s="52">
        <v>0</v>
      </c>
      <c r="H16" s="52">
        <v>0</v>
      </c>
      <c r="I16" s="52">
        <v>0</v>
      </c>
      <c r="J16" s="52">
        <v>0</v>
      </c>
      <c r="K16" s="52"/>
      <c r="L16" s="52">
        <v>0</v>
      </c>
      <c r="M16" s="52">
        <v>0</v>
      </c>
      <c r="N16" s="118">
        <f>230*'PTO OC PLIEGO'!J22</f>
        <v>295.78000000000003</v>
      </c>
      <c r="O16" s="118">
        <f>425*'PTO OC PLIEGO'!J23</f>
        <v>6519.5</v>
      </c>
      <c r="P16" s="118" t="e">
        <f>425*'PTO OC PLIEGO'!#REF!</f>
        <v>#REF!</v>
      </c>
      <c r="Q16" s="118" t="e">
        <f>425*'PTO OC PLIEGO'!#REF!</f>
        <v>#REF!</v>
      </c>
      <c r="R16" s="52">
        <v>0</v>
      </c>
      <c r="S16" s="52">
        <v>0</v>
      </c>
      <c r="T16" s="52">
        <v>0</v>
      </c>
      <c r="U16" s="52"/>
      <c r="V16" s="52">
        <v>0</v>
      </c>
      <c r="W16" s="52">
        <v>0</v>
      </c>
      <c r="X16" s="52">
        <v>0</v>
      </c>
      <c r="Y16" s="52">
        <v>0</v>
      </c>
      <c r="Z16" s="52">
        <v>0</v>
      </c>
      <c r="AA16" s="52">
        <v>0</v>
      </c>
      <c r="AB16" s="52">
        <v>0</v>
      </c>
    </row>
    <row r="17" spans="1:28" ht="12.75" customHeight="1" x14ac:dyDescent="0.2">
      <c r="A17" s="1616" t="s">
        <v>444</v>
      </c>
      <c r="B17" s="1108"/>
      <c r="C17" s="1109"/>
      <c r="D17" s="54" t="s">
        <v>399</v>
      </c>
      <c r="E17" s="1617" t="e">
        <f>VLOOKUP(A17,AA_Materiales,16,FALSE)</f>
        <v>#N/A</v>
      </c>
      <c r="F17" s="1619" t="e">
        <f>SUM(G18:AB18)</f>
        <v>#REF!</v>
      </c>
      <c r="G17" s="52">
        <v>0</v>
      </c>
      <c r="H17" s="52">
        <v>0</v>
      </c>
      <c r="I17" s="52">
        <v>0</v>
      </c>
      <c r="J17" s="52">
        <v>0</v>
      </c>
      <c r="K17" s="52"/>
      <c r="L17" s="52">
        <v>0</v>
      </c>
      <c r="M17" s="52">
        <v>0</v>
      </c>
      <c r="N17" s="52">
        <v>0</v>
      </c>
      <c r="O17" s="52">
        <v>0</v>
      </c>
      <c r="P17" s="52">
        <v>0</v>
      </c>
      <c r="Q17" s="52">
        <v>0</v>
      </c>
      <c r="R17" s="118" t="e">
        <f>0.6*'PTO OC PLIEGO'!#REF!</f>
        <v>#REF!</v>
      </c>
      <c r="S17" s="52">
        <v>0</v>
      </c>
      <c r="T17" s="52">
        <v>0</v>
      </c>
      <c r="U17" s="52"/>
      <c r="V17" s="52">
        <v>0</v>
      </c>
      <c r="W17" s="52">
        <v>0</v>
      </c>
      <c r="X17" s="52">
        <v>0</v>
      </c>
      <c r="Y17" s="52">
        <v>0</v>
      </c>
      <c r="Z17" s="52">
        <v>0</v>
      </c>
      <c r="AA17" s="52">
        <v>0</v>
      </c>
      <c r="AB17" s="52">
        <v>0</v>
      </c>
    </row>
    <row r="18" spans="1:28" ht="12.75" customHeight="1" x14ac:dyDescent="0.2">
      <c r="A18" s="1110"/>
      <c r="B18" s="1111"/>
      <c r="C18" s="1112"/>
      <c r="D18" s="54" t="s">
        <v>20</v>
      </c>
      <c r="E18" s="1618"/>
      <c r="F18" s="1618"/>
      <c r="G18" s="52"/>
      <c r="H18" s="52"/>
      <c r="I18" s="52"/>
      <c r="J18" s="52"/>
      <c r="K18" s="52"/>
      <c r="L18" s="52"/>
      <c r="M18" s="52"/>
      <c r="N18" s="52"/>
      <c r="O18" s="52"/>
      <c r="P18" s="52"/>
      <c r="Q18" s="52"/>
      <c r="R18" s="118" t="e">
        <f>+R17*E17</f>
        <v>#REF!</v>
      </c>
      <c r="S18" s="52"/>
      <c r="T18" s="52"/>
      <c r="U18" s="52"/>
      <c r="V18" s="52"/>
      <c r="W18" s="52"/>
      <c r="X18" s="52"/>
      <c r="Y18" s="52"/>
      <c r="Z18" s="52"/>
      <c r="AA18" s="52"/>
      <c r="AB18" s="52"/>
    </row>
    <row r="19" spans="1:28" ht="12.75" customHeight="1" x14ac:dyDescent="0.2">
      <c r="A19" s="1616" t="s">
        <v>422</v>
      </c>
      <c r="B19" s="1108"/>
      <c r="C19" s="1109"/>
      <c r="D19" s="54" t="s">
        <v>399</v>
      </c>
      <c r="E19" s="1617">
        <f>VLOOKUP(A19,AA_Materiales,16,FALSE)</f>
        <v>0</v>
      </c>
      <c r="F19" s="1619" t="e">
        <f>SUM(G20:AB20)</f>
        <v>#REF!</v>
      </c>
      <c r="G19" s="52">
        <v>0</v>
      </c>
      <c r="H19" s="52">
        <v>0</v>
      </c>
      <c r="I19" s="52">
        <v>0</v>
      </c>
      <c r="J19" s="52">
        <v>0</v>
      </c>
      <c r="K19" s="52"/>
      <c r="L19" s="118" t="e">
        <f>1.25*'PTO OC PLIEGO'!#REF!</f>
        <v>#REF!</v>
      </c>
      <c r="M19" s="52">
        <v>0</v>
      </c>
      <c r="N19" s="52">
        <v>0</v>
      </c>
      <c r="O19" s="52">
        <v>0</v>
      </c>
      <c r="P19" s="52">
        <v>0</v>
      </c>
      <c r="Q19" s="52">
        <v>0</v>
      </c>
      <c r="R19" s="52">
        <v>0</v>
      </c>
      <c r="S19" s="52">
        <v>0</v>
      </c>
      <c r="T19" s="52">
        <v>0</v>
      </c>
      <c r="U19" s="52"/>
      <c r="V19" s="52">
        <v>0</v>
      </c>
      <c r="W19" s="52">
        <v>0</v>
      </c>
      <c r="X19" s="52">
        <v>0</v>
      </c>
      <c r="Y19" s="52">
        <v>0</v>
      </c>
      <c r="Z19" s="52">
        <v>0</v>
      </c>
      <c r="AA19" s="52">
        <v>0</v>
      </c>
      <c r="AB19" s="52">
        <v>0</v>
      </c>
    </row>
    <row r="20" spans="1:28" ht="12.75" customHeight="1" x14ac:dyDescent="0.2">
      <c r="A20" s="1110"/>
      <c r="B20" s="1111"/>
      <c r="C20" s="1112"/>
      <c r="D20" s="54" t="s">
        <v>20</v>
      </c>
      <c r="E20" s="1618"/>
      <c r="F20" s="1618"/>
      <c r="G20" s="52"/>
      <c r="H20" s="52"/>
      <c r="I20" s="52"/>
      <c r="J20" s="52"/>
      <c r="K20" s="52"/>
      <c r="L20" s="118" t="e">
        <f>+L19*E19</f>
        <v>#REF!</v>
      </c>
      <c r="M20" s="52"/>
      <c r="N20" s="52"/>
      <c r="O20" s="52"/>
      <c r="P20" s="52"/>
      <c r="Q20" s="52"/>
      <c r="R20" s="52"/>
      <c r="S20" s="52"/>
      <c r="T20" s="52"/>
      <c r="U20" s="52"/>
      <c r="V20" s="52"/>
      <c r="W20" s="52"/>
      <c r="X20" s="52"/>
      <c r="Y20" s="52"/>
      <c r="Z20" s="52"/>
      <c r="AA20" s="52"/>
      <c r="AB20" s="52"/>
    </row>
    <row r="21" spans="1:28" ht="12.75" customHeight="1" x14ac:dyDescent="0.2">
      <c r="A21" s="1616" t="s">
        <v>407</v>
      </c>
      <c r="B21" s="1108"/>
      <c r="C21" s="1109"/>
      <c r="D21" s="54" t="s">
        <v>399</v>
      </c>
      <c r="E21" s="1617" t="e">
        <f>VLOOKUP(A21,AA_Materiales,16,FALSE)</f>
        <v>#N/A</v>
      </c>
      <c r="F21" s="1619" t="e">
        <f>SUM(G22:AB22)</f>
        <v>#N/A</v>
      </c>
      <c r="G21" s="52">
        <v>0</v>
      </c>
      <c r="H21" s="52">
        <v>0</v>
      </c>
      <c r="I21" s="52">
        <v>0</v>
      </c>
      <c r="J21" s="52">
        <v>0</v>
      </c>
      <c r="K21" s="52"/>
      <c r="L21" s="52">
        <v>0</v>
      </c>
      <c r="M21" s="52">
        <v>0</v>
      </c>
      <c r="N21" s="118">
        <f>0.8*'PTO OC PLIEGO'!J22</f>
        <v>1.0288000000000002</v>
      </c>
      <c r="O21" s="118">
        <f>0.7*'PTO OC PLIEGO'!J23</f>
        <v>10.738</v>
      </c>
      <c r="P21" s="118" t="e">
        <f>0.7*'PTO OC PLIEGO'!#REF!</f>
        <v>#REF!</v>
      </c>
      <c r="Q21" s="118" t="e">
        <f>0.7*'PTO OC PLIEGO'!#REF!</f>
        <v>#REF!</v>
      </c>
      <c r="R21" s="52">
        <v>0</v>
      </c>
      <c r="S21" s="52">
        <v>0</v>
      </c>
      <c r="T21" s="52">
        <v>0</v>
      </c>
      <c r="U21" s="52"/>
      <c r="V21" s="52">
        <v>0</v>
      </c>
      <c r="W21" s="52">
        <v>0</v>
      </c>
      <c r="X21" s="52">
        <v>0</v>
      </c>
      <c r="Y21" s="52">
        <v>0</v>
      </c>
      <c r="Z21" s="52">
        <v>0</v>
      </c>
      <c r="AA21" s="52">
        <v>0</v>
      </c>
      <c r="AB21" s="52">
        <v>0</v>
      </c>
    </row>
    <row r="22" spans="1:28" ht="12.75" customHeight="1" x14ac:dyDescent="0.2">
      <c r="A22" s="1110"/>
      <c r="B22" s="1111"/>
      <c r="C22" s="1112"/>
      <c r="D22" s="54" t="s">
        <v>20</v>
      </c>
      <c r="E22" s="1618"/>
      <c r="F22" s="1618"/>
      <c r="G22" s="52"/>
      <c r="H22" s="52"/>
      <c r="I22" s="52"/>
      <c r="J22" s="52"/>
      <c r="K22" s="52"/>
      <c r="L22" s="52"/>
      <c r="M22" s="52"/>
      <c r="N22" s="118" t="e">
        <f>+N21*E21</f>
        <v>#N/A</v>
      </c>
      <c r="O22" s="118" t="e">
        <f>+O21*E21</f>
        <v>#N/A</v>
      </c>
      <c r="P22" s="118" t="e">
        <f>+P21*E21</f>
        <v>#REF!</v>
      </c>
      <c r="Q22" s="118" t="e">
        <f>+Q21*E21</f>
        <v>#REF!</v>
      </c>
      <c r="R22" s="52"/>
      <c r="S22" s="52"/>
      <c r="T22" s="52"/>
      <c r="U22" s="52"/>
      <c r="V22" s="52"/>
      <c r="W22" s="52"/>
      <c r="X22" s="52"/>
      <c r="Y22" s="52"/>
      <c r="Z22" s="52"/>
      <c r="AA22" s="52"/>
      <c r="AB22" s="52"/>
    </row>
    <row r="23" spans="1:28" ht="12.75" customHeight="1" x14ac:dyDescent="0.2">
      <c r="A23" s="1616" t="s">
        <v>482</v>
      </c>
      <c r="B23" s="1108"/>
      <c r="C23" s="1109"/>
      <c r="D23" s="54" t="s">
        <v>399</v>
      </c>
      <c r="E23" s="1617" t="e">
        <f>VLOOKUP(A23,AA_Materiales,16,FALSE)</f>
        <v>#N/A</v>
      </c>
      <c r="F23" s="1619" t="e">
        <f>SUM(G24:AB24)</f>
        <v>#REF!</v>
      </c>
      <c r="G23" s="52"/>
      <c r="H23" s="52"/>
      <c r="I23" s="52"/>
      <c r="J23" s="52"/>
      <c r="K23" s="52"/>
      <c r="L23" s="52"/>
      <c r="M23" s="52"/>
      <c r="N23" s="52"/>
      <c r="O23" s="52"/>
      <c r="P23" s="52"/>
      <c r="Q23" s="52"/>
      <c r="R23" s="118" t="e">
        <f>0.4*'PTO OC PLIEGO'!#REF!</f>
        <v>#REF!</v>
      </c>
      <c r="S23" s="52"/>
      <c r="T23" s="52"/>
      <c r="U23" s="52"/>
      <c r="V23" s="52"/>
      <c r="W23" s="52"/>
      <c r="X23" s="52"/>
      <c r="Y23" s="52"/>
      <c r="Z23" s="52"/>
      <c r="AA23" s="52"/>
      <c r="AB23" s="52"/>
    </row>
    <row r="24" spans="1:28" ht="12.75" customHeight="1" x14ac:dyDescent="0.2">
      <c r="A24" s="1110"/>
      <c r="B24" s="1111"/>
      <c r="C24" s="1112"/>
      <c r="D24" s="54" t="s">
        <v>20</v>
      </c>
      <c r="E24" s="1618"/>
      <c r="F24" s="1618"/>
      <c r="G24" s="52"/>
      <c r="H24" s="52"/>
      <c r="I24" s="52"/>
      <c r="J24" s="52"/>
      <c r="K24" s="52"/>
      <c r="L24" s="52"/>
      <c r="M24" s="52"/>
      <c r="N24" s="52"/>
      <c r="O24" s="52"/>
      <c r="P24" s="52"/>
      <c r="Q24" s="52"/>
      <c r="R24" s="118" t="e">
        <f>+R23*E23</f>
        <v>#REF!</v>
      </c>
      <c r="S24" s="52"/>
      <c r="T24" s="52"/>
      <c r="U24" s="52"/>
      <c r="V24" s="52"/>
      <c r="W24" s="52"/>
      <c r="X24" s="52"/>
      <c r="Y24" s="52"/>
      <c r="Z24" s="52"/>
      <c r="AA24" s="52"/>
      <c r="AB24" s="52"/>
    </row>
    <row r="25" spans="1:28" ht="12.75" customHeight="1" x14ac:dyDescent="0.2">
      <c r="A25" s="1625" t="s">
        <v>829</v>
      </c>
      <c r="B25" s="1052"/>
      <c r="C25" s="1052"/>
      <c r="D25" s="1052"/>
      <c r="E25" s="1235"/>
      <c r="F25" s="50" t="e">
        <f>+SUM(F26:F59)</f>
        <v>#REF!</v>
      </c>
      <c r="G25" s="52"/>
      <c r="H25" s="52"/>
      <c r="I25" s="52"/>
      <c r="J25" s="52"/>
      <c r="K25" s="52"/>
      <c r="L25" s="52"/>
      <c r="M25" s="52"/>
      <c r="N25" s="52"/>
      <c r="O25" s="52"/>
      <c r="P25" s="52"/>
      <c r="Q25" s="52"/>
      <c r="R25" s="52"/>
      <c r="S25" s="52"/>
      <c r="T25" s="52"/>
      <c r="U25" s="52"/>
      <c r="V25" s="52"/>
      <c r="W25" s="52"/>
      <c r="X25" s="52"/>
      <c r="Y25" s="52"/>
      <c r="Z25" s="52"/>
      <c r="AA25" s="52"/>
      <c r="AB25" s="52"/>
    </row>
    <row r="26" spans="1:28" ht="12.75" customHeight="1" x14ac:dyDescent="0.2">
      <c r="A26" s="1620" t="s">
        <v>416</v>
      </c>
      <c r="B26" s="1057"/>
      <c r="C26" s="1058"/>
      <c r="D26" s="54" t="s">
        <v>20</v>
      </c>
      <c r="E26" s="48" t="e">
        <f>VLOOKUP(A26,AA_Materiales,16,FALSE)</f>
        <v>#N/A</v>
      </c>
      <c r="F26" s="54" t="e">
        <f>SUM(G26:AB26)</f>
        <v>#REF!</v>
      </c>
      <c r="G26" s="52">
        <v>0</v>
      </c>
      <c r="H26" s="52">
        <v>0</v>
      </c>
      <c r="I26" s="52">
        <v>0</v>
      </c>
      <c r="J26" s="52">
        <v>0</v>
      </c>
      <c r="K26" s="52"/>
      <c r="L26" s="52">
        <v>0</v>
      </c>
      <c r="M26" s="52">
        <v>0</v>
      </c>
      <c r="N26" s="52">
        <v>0</v>
      </c>
      <c r="O26" s="52">
        <v>0</v>
      </c>
      <c r="P26" s="52">
        <v>0</v>
      </c>
      <c r="Q26" s="52">
        <v>0</v>
      </c>
      <c r="R26" s="130"/>
      <c r="S26" s="52">
        <v>0</v>
      </c>
      <c r="T26" s="118" t="e">
        <f>+'PTO OC PLIEGO'!#REF!</f>
        <v>#REF!</v>
      </c>
      <c r="U26" s="118"/>
      <c r="V26" s="52">
        <v>0</v>
      </c>
      <c r="W26" s="52">
        <v>0</v>
      </c>
      <c r="X26" s="52">
        <v>0</v>
      </c>
      <c r="Y26" s="52">
        <v>0</v>
      </c>
      <c r="Z26" s="52">
        <v>0</v>
      </c>
      <c r="AA26" s="52">
        <v>0</v>
      </c>
      <c r="AB26" s="52">
        <v>0</v>
      </c>
    </row>
    <row r="27" spans="1:28" ht="12.75" customHeight="1" x14ac:dyDescent="0.2">
      <c r="A27" s="1620" t="s">
        <v>417</v>
      </c>
      <c r="B27" s="1057"/>
      <c r="C27" s="1058"/>
      <c r="D27" s="54" t="s">
        <v>20</v>
      </c>
      <c r="E27" s="48" t="e">
        <f>VLOOKUP(A27,AA_Materiales,16,FALSE)</f>
        <v>#N/A</v>
      </c>
      <c r="F27" s="54" t="e">
        <f>SUM(G27:AB27)</f>
        <v>#REF!</v>
      </c>
      <c r="G27" s="128">
        <v>0</v>
      </c>
      <c r="H27" s="128">
        <v>0</v>
      </c>
      <c r="I27" s="128">
        <v>0</v>
      </c>
      <c r="J27" s="128">
        <v>0</v>
      </c>
      <c r="K27" s="128"/>
      <c r="L27" s="128">
        <v>0</v>
      </c>
      <c r="M27" s="128">
        <v>0</v>
      </c>
      <c r="N27" s="128">
        <v>0</v>
      </c>
      <c r="O27" s="128">
        <v>0</v>
      </c>
      <c r="P27" s="128">
        <v>0</v>
      </c>
      <c r="Q27" s="128">
        <v>0</v>
      </c>
      <c r="R27" s="76"/>
      <c r="S27" s="129">
        <f>0.03*'PTO OC PLIEGO'!J25</f>
        <v>256.05</v>
      </c>
      <c r="T27" s="129" t="e">
        <f>0.04*'PTO OC PLIEGO'!#REF!</f>
        <v>#REF!</v>
      </c>
      <c r="U27" s="129"/>
      <c r="V27" s="128">
        <v>0</v>
      </c>
      <c r="W27" s="128">
        <v>0</v>
      </c>
      <c r="X27" s="128">
        <v>0</v>
      </c>
      <c r="Y27" s="128">
        <v>0</v>
      </c>
      <c r="Z27" s="128">
        <v>0</v>
      </c>
      <c r="AA27" s="128">
        <v>0</v>
      </c>
      <c r="AB27" s="128">
        <v>0</v>
      </c>
    </row>
    <row r="28" spans="1:28" ht="12.75" customHeight="1" x14ac:dyDescent="0.2">
      <c r="A28" s="1616" t="s">
        <v>438</v>
      </c>
      <c r="B28" s="1108"/>
      <c r="C28" s="1109"/>
      <c r="D28" s="54" t="s">
        <v>180</v>
      </c>
      <c r="E28" s="1617" t="e">
        <f>VLOOKUP(A28,AA_Materiales,16,FALSE)</f>
        <v>#N/A</v>
      </c>
      <c r="F28" s="1619" t="e">
        <f>SUM(G29:AB29)</f>
        <v>#REF!</v>
      </c>
      <c r="G28" s="52">
        <v>0</v>
      </c>
      <c r="H28" s="52">
        <v>0</v>
      </c>
      <c r="I28" s="52">
        <v>0</v>
      </c>
      <c r="J28" s="52">
        <v>0</v>
      </c>
      <c r="K28" s="52"/>
      <c r="L28" s="52">
        <v>0</v>
      </c>
      <c r="M28" s="52">
        <v>0</v>
      </c>
      <c r="N28" s="52">
        <v>0</v>
      </c>
      <c r="O28" s="52">
        <v>0</v>
      </c>
      <c r="P28" s="52">
        <v>0</v>
      </c>
      <c r="Q28" s="118" t="e">
        <f>156*'PTO OC PLIEGO'!#REF!</f>
        <v>#REF!</v>
      </c>
      <c r="R28" s="52">
        <v>0</v>
      </c>
      <c r="S28" s="52">
        <v>0</v>
      </c>
      <c r="T28" s="52">
        <v>0</v>
      </c>
      <c r="U28" s="52"/>
      <c r="V28" s="52">
        <v>0</v>
      </c>
      <c r="W28" s="52">
        <v>0</v>
      </c>
      <c r="X28" s="52">
        <v>0</v>
      </c>
      <c r="Y28" s="52">
        <v>0</v>
      </c>
      <c r="Z28" s="52">
        <v>0</v>
      </c>
      <c r="AA28" s="52">
        <v>0</v>
      </c>
      <c r="AB28" s="52">
        <v>0</v>
      </c>
    </row>
    <row r="29" spans="1:28" ht="12.75" customHeight="1" x14ac:dyDescent="0.2">
      <c r="A29" s="1110"/>
      <c r="B29" s="1111"/>
      <c r="C29" s="1112"/>
      <c r="D29" s="54" t="s">
        <v>20</v>
      </c>
      <c r="E29" s="1618"/>
      <c r="F29" s="1618"/>
      <c r="G29" s="52"/>
      <c r="H29" s="52"/>
      <c r="I29" s="52"/>
      <c r="J29" s="52"/>
      <c r="K29" s="52"/>
      <c r="L29" s="52"/>
      <c r="M29" s="52"/>
      <c r="N29" s="52"/>
      <c r="O29" s="52"/>
      <c r="P29" s="52"/>
      <c r="Q29" s="118" t="e">
        <f>+Q28*E28</f>
        <v>#REF!</v>
      </c>
      <c r="R29" s="52"/>
      <c r="S29" s="52"/>
      <c r="T29" s="52"/>
      <c r="U29" s="52"/>
      <c r="V29" s="52"/>
      <c r="W29" s="52"/>
      <c r="X29" s="52"/>
      <c r="Y29" s="52"/>
      <c r="Z29" s="52"/>
      <c r="AA29" s="52"/>
      <c r="AB29" s="52"/>
    </row>
    <row r="30" spans="1:28" ht="12.75" customHeight="1" x14ac:dyDescent="0.2">
      <c r="A30" s="1616" t="s">
        <v>389</v>
      </c>
      <c r="B30" s="1108"/>
      <c r="C30" s="1109"/>
      <c r="D30" s="54" t="s">
        <v>577</v>
      </c>
      <c r="E30" s="1617" t="e">
        <f>VLOOKUP(A30,AA_Materiales,16,FALSE)</f>
        <v>#N/A</v>
      </c>
      <c r="F30" s="1619" t="e">
        <f>SUM(G31:AB31)</f>
        <v>#N/A</v>
      </c>
      <c r="G30" s="118">
        <f>0.01*'PTO OC PLIEGO'!J18</f>
        <v>2.2887499999999998</v>
      </c>
      <c r="H30" s="52">
        <v>0</v>
      </c>
      <c r="I30" s="52">
        <v>0</v>
      </c>
      <c r="J30" s="52">
        <v>0</v>
      </c>
      <c r="K30" s="52"/>
      <c r="L30" s="52">
        <v>0</v>
      </c>
      <c r="M30" s="52">
        <v>0</v>
      </c>
      <c r="N30" s="52">
        <v>0</v>
      </c>
      <c r="O30" s="52">
        <v>0</v>
      </c>
      <c r="P30" s="52">
        <v>0</v>
      </c>
      <c r="Q30" s="52">
        <v>0</v>
      </c>
      <c r="R30" s="52">
        <v>0</v>
      </c>
      <c r="S30" s="52">
        <v>0</v>
      </c>
      <c r="T30" s="52">
        <v>0</v>
      </c>
      <c r="U30" s="52"/>
      <c r="V30" s="52">
        <v>0</v>
      </c>
      <c r="W30" s="52">
        <v>0</v>
      </c>
      <c r="X30" s="52">
        <v>0</v>
      </c>
      <c r="Y30" s="52">
        <v>0</v>
      </c>
      <c r="Z30" s="52">
        <v>0</v>
      </c>
      <c r="AA30" s="52">
        <v>0</v>
      </c>
      <c r="AB30" s="52">
        <v>0</v>
      </c>
    </row>
    <row r="31" spans="1:28" ht="12.75" customHeight="1" x14ac:dyDescent="0.2">
      <c r="A31" s="1110"/>
      <c r="B31" s="1111"/>
      <c r="C31" s="1112"/>
      <c r="D31" s="54" t="s">
        <v>20</v>
      </c>
      <c r="E31" s="1618"/>
      <c r="F31" s="1618"/>
      <c r="G31" s="118" t="e">
        <f>+G30*E30</f>
        <v>#N/A</v>
      </c>
      <c r="H31" s="52"/>
      <c r="I31" s="52"/>
      <c r="J31" s="52"/>
      <c r="K31" s="52"/>
      <c r="L31" s="52"/>
      <c r="M31" s="52"/>
      <c r="N31" s="52"/>
      <c r="O31" s="52"/>
      <c r="P31" s="52"/>
      <c r="Q31" s="52"/>
      <c r="R31" s="52"/>
      <c r="S31" s="52"/>
      <c r="T31" s="52"/>
      <c r="U31" s="52"/>
      <c r="V31" s="52"/>
      <c r="W31" s="52"/>
      <c r="X31" s="52"/>
      <c r="Y31" s="52"/>
      <c r="Z31" s="52"/>
      <c r="AA31" s="52"/>
      <c r="AB31" s="52"/>
    </row>
    <row r="32" spans="1:28" ht="12.75" customHeight="1" x14ac:dyDescent="0.2">
      <c r="A32" s="1616" t="s">
        <v>480</v>
      </c>
      <c r="B32" s="1108"/>
      <c r="C32" s="1109"/>
      <c r="D32" s="54" t="s">
        <v>180</v>
      </c>
      <c r="E32" s="1617" t="e">
        <f>VLOOKUP(A32,AA_Materiales,16,FALSE)</f>
        <v>#N/A</v>
      </c>
      <c r="F32" s="1619" t="e">
        <f>SUM(G33:AB33)</f>
        <v>#REF!</v>
      </c>
      <c r="G32" s="52">
        <v>0</v>
      </c>
      <c r="H32" s="118" t="e">
        <f>60*'PTO OC PLIEGO'!#REF!</f>
        <v>#REF!</v>
      </c>
      <c r="I32" s="52">
        <v>0</v>
      </c>
      <c r="J32" s="52">
        <v>0</v>
      </c>
      <c r="K32" s="52"/>
      <c r="L32" s="52">
        <v>0</v>
      </c>
      <c r="M32" s="52">
        <v>0</v>
      </c>
      <c r="N32" s="52">
        <v>0</v>
      </c>
      <c r="O32" s="52">
        <v>0</v>
      </c>
      <c r="P32" s="52">
        <v>0</v>
      </c>
      <c r="Q32" s="52">
        <v>0</v>
      </c>
      <c r="R32" s="52">
        <v>0</v>
      </c>
      <c r="S32" s="52">
        <v>0</v>
      </c>
      <c r="T32" s="52">
        <v>0</v>
      </c>
      <c r="U32" s="52"/>
      <c r="V32" s="52">
        <v>0</v>
      </c>
      <c r="W32" s="52">
        <v>0</v>
      </c>
      <c r="X32" s="52">
        <v>0</v>
      </c>
      <c r="Y32" s="52">
        <v>0</v>
      </c>
      <c r="Z32" s="52">
        <v>0</v>
      </c>
      <c r="AA32" s="52">
        <v>0</v>
      </c>
      <c r="AB32" s="52">
        <v>0</v>
      </c>
    </row>
    <row r="33" spans="1:28" ht="12.75" customHeight="1" x14ac:dyDescent="0.2">
      <c r="A33" s="1110"/>
      <c r="B33" s="1111"/>
      <c r="C33" s="1112"/>
      <c r="D33" s="54" t="s">
        <v>20</v>
      </c>
      <c r="E33" s="1618"/>
      <c r="F33" s="1618"/>
      <c r="G33" s="52"/>
      <c r="H33" s="118" t="e">
        <f>+H32*E32</f>
        <v>#REF!</v>
      </c>
      <c r="I33" s="52"/>
      <c r="J33" s="52"/>
      <c r="K33" s="52"/>
      <c r="L33" s="52"/>
      <c r="M33" s="52"/>
      <c r="N33" s="52"/>
      <c r="O33" s="52"/>
      <c r="P33" s="52"/>
      <c r="Q33" s="52"/>
      <c r="R33" s="52"/>
      <c r="S33" s="52"/>
      <c r="T33" s="52"/>
      <c r="U33" s="52"/>
      <c r="V33" s="52"/>
      <c r="W33" s="52"/>
      <c r="X33" s="52"/>
      <c r="Y33" s="52"/>
      <c r="Z33" s="52"/>
      <c r="AA33" s="52"/>
      <c r="AB33" s="52"/>
    </row>
    <row r="34" spans="1:28" ht="12.75" customHeight="1" x14ac:dyDescent="0.2">
      <c r="A34" s="1616" t="s">
        <v>387</v>
      </c>
      <c r="B34" s="1108"/>
      <c r="C34" s="1109"/>
      <c r="D34" s="54" t="s">
        <v>180</v>
      </c>
      <c r="E34" s="1617" t="e">
        <f>VLOOKUP(A34,AA_Materiales,16,FALSE)</f>
        <v>#N/A</v>
      </c>
      <c r="F34" s="1619" t="e">
        <f>SUM(G35:AB35)</f>
        <v>#N/A</v>
      </c>
      <c r="G34" s="118">
        <f>0.3*'PTO OC PLIEGO'!J18</f>
        <v>68.662499999999994</v>
      </c>
      <c r="H34" s="52">
        <v>0</v>
      </c>
      <c r="I34" s="52">
        <v>0</v>
      </c>
      <c r="J34" s="52">
        <v>0</v>
      </c>
      <c r="K34" s="52"/>
      <c r="L34" s="52">
        <v>0</v>
      </c>
      <c r="M34" s="52">
        <v>0</v>
      </c>
      <c r="N34" s="52">
        <v>0</v>
      </c>
      <c r="O34" s="52">
        <v>0</v>
      </c>
      <c r="P34" s="52">
        <v>0</v>
      </c>
      <c r="Q34" s="52">
        <v>0</v>
      </c>
      <c r="R34" s="52">
        <v>0</v>
      </c>
      <c r="S34" s="52">
        <v>0</v>
      </c>
      <c r="T34" s="52">
        <v>0</v>
      </c>
      <c r="U34" s="52"/>
      <c r="V34" s="52">
        <v>0</v>
      </c>
      <c r="W34" s="52">
        <v>0</v>
      </c>
      <c r="X34" s="52">
        <v>0</v>
      </c>
      <c r="Y34" s="52">
        <v>0</v>
      </c>
      <c r="Z34" s="52">
        <v>0</v>
      </c>
      <c r="AA34" s="52">
        <v>0</v>
      </c>
      <c r="AB34" s="52">
        <v>0</v>
      </c>
    </row>
    <row r="35" spans="1:28" ht="12.75" customHeight="1" x14ac:dyDescent="0.2">
      <c r="A35" s="1110"/>
      <c r="B35" s="1111"/>
      <c r="C35" s="1112"/>
      <c r="D35" s="54" t="s">
        <v>20</v>
      </c>
      <c r="E35" s="1618"/>
      <c r="F35" s="1618"/>
      <c r="G35" s="118" t="e">
        <f>+G34*E34</f>
        <v>#N/A</v>
      </c>
      <c r="H35" s="52"/>
      <c r="I35" s="52"/>
      <c r="J35" s="52"/>
      <c r="K35" s="52"/>
      <c r="L35" s="52"/>
      <c r="M35" s="52"/>
      <c r="N35" s="52"/>
      <c r="O35" s="52"/>
      <c r="P35" s="52"/>
      <c r="Q35" s="52"/>
      <c r="R35" s="52"/>
      <c r="S35" s="52"/>
      <c r="T35" s="52"/>
      <c r="U35" s="52"/>
      <c r="V35" s="52"/>
      <c r="W35" s="52"/>
      <c r="X35" s="52"/>
      <c r="Y35" s="52"/>
      <c r="Z35" s="52"/>
      <c r="AA35" s="52"/>
      <c r="AB35" s="52"/>
    </row>
    <row r="36" spans="1:28" ht="40.5" customHeight="1" x14ac:dyDescent="0.2">
      <c r="A36" s="1625" t="s">
        <v>481</v>
      </c>
      <c r="B36" s="1052"/>
      <c r="C36" s="1235"/>
      <c r="D36" s="54" t="s">
        <v>20</v>
      </c>
      <c r="E36" s="59" t="e">
        <f>VLOOKUP(A36,AA_Materiales,16,FALSE)</f>
        <v>#N/A</v>
      </c>
      <c r="F36" s="60" t="e">
        <f>SUM(G36:AB36)</f>
        <v>#REF!</v>
      </c>
      <c r="G36" s="52">
        <v>0</v>
      </c>
      <c r="H36" s="52">
        <v>0</v>
      </c>
      <c r="I36" s="52">
        <v>0</v>
      </c>
      <c r="J36" s="52"/>
      <c r="K36" s="118" t="e">
        <f>0.3*'PTO OC PLIEGO'!#REF!</f>
        <v>#REF!</v>
      </c>
      <c r="L36" s="52">
        <v>0</v>
      </c>
      <c r="M36" s="52">
        <v>0</v>
      </c>
      <c r="N36" s="52">
        <v>0</v>
      </c>
      <c r="O36" s="52">
        <v>0</v>
      </c>
      <c r="P36" s="52">
        <v>0</v>
      </c>
      <c r="Q36" s="52">
        <v>0</v>
      </c>
      <c r="R36" s="52">
        <v>0</v>
      </c>
      <c r="S36" s="52">
        <v>0</v>
      </c>
      <c r="T36" s="52">
        <v>0</v>
      </c>
      <c r="U36" s="52"/>
      <c r="V36" s="52">
        <v>0</v>
      </c>
      <c r="W36" s="52">
        <v>0</v>
      </c>
      <c r="X36" s="52">
        <v>0</v>
      </c>
      <c r="Y36" s="52">
        <v>0</v>
      </c>
      <c r="Z36" s="52">
        <v>0</v>
      </c>
      <c r="AA36" s="52">
        <v>0</v>
      </c>
      <c r="AB36" s="52">
        <v>0</v>
      </c>
    </row>
    <row r="37" spans="1:28" ht="12.75" customHeight="1" x14ac:dyDescent="0.2">
      <c r="A37" s="1616" t="s">
        <v>412</v>
      </c>
      <c r="B37" s="1108"/>
      <c r="C37" s="1109"/>
      <c r="D37" s="54" t="s">
        <v>397</v>
      </c>
      <c r="E37" s="1617" t="e">
        <f>VLOOKUP(A37,AA_Materiales,16,FALSE)</f>
        <v>#N/A</v>
      </c>
      <c r="F37" s="1619" t="e">
        <f>SUM(G38:AB38)</f>
        <v>#REF!</v>
      </c>
      <c r="G37" s="52">
        <v>0</v>
      </c>
      <c r="H37" s="52">
        <v>0</v>
      </c>
      <c r="I37" s="52">
        <v>0</v>
      </c>
      <c r="J37" s="52">
        <v>0</v>
      </c>
      <c r="K37" s="52"/>
      <c r="L37" s="52">
        <v>0</v>
      </c>
      <c r="M37" s="52">
        <v>0</v>
      </c>
      <c r="N37" s="52">
        <v>0</v>
      </c>
      <c r="O37" s="52">
        <v>0</v>
      </c>
      <c r="P37" s="52">
        <v>0</v>
      </c>
      <c r="Q37" s="52">
        <v>0</v>
      </c>
      <c r="R37" s="118" t="e">
        <f>4*'PTO OC PLIEGO'!#REF!</f>
        <v>#REF!</v>
      </c>
      <c r="S37" s="52">
        <v>0</v>
      </c>
      <c r="T37" s="52">
        <v>0</v>
      </c>
      <c r="U37" s="52"/>
      <c r="V37" s="52">
        <v>0</v>
      </c>
      <c r="W37" s="52">
        <v>0</v>
      </c>
      <c r="X37" s="52">
        <v>0</v>
      </c>
      <c r="Y37" s="52">
        <v>0</v>
      </c>
      <c r="Z37" s="52">
        <v>0</v>
      </c>
      <c r="AA37" s="52">
        <v>0</v>
      </c>
      <c r="AB37" s="52">
        <v>0</v>
      </c>
    </row>
    <row r="38" spans="1:28" ht="12.75" customHeight="1" x14ac:dyDescent="0.2">
      <c r="A38" s="1110"/>
      <c r="B38" s="1111"/>
      <c r="C38" s="1112"/>
      <c r="D38" s="54" t="s">
        <v>20</v>
      </c>
      <c r="E38" s="1618"/>
      <c r="F38" s="1618"/>
      <c r="G38" s="52"/>
      <c r="H38" s="52"/>
      <c r="I38" s="52"/>
      <c r="J38" s="52"/>
      <c r="K38" s="52"/>
      <c r="L38" s="52"/>
      <c r="M38" s="52"/>
      <c r="N38" s="52"/>
      <c r="O38" s="52"/>
      <c r="P38" s="52"/>
      <c r="Q38" s="52"/>
      <c r="R38" s="118" t="e">
        <f>+R37*E37</f>
        <v>#REF!</v>
      </c>
      <c r="S38" s="52"/>
      <c r="T38" s="52"/>
      <c r="U38" s="52"/>
      <c r="V38" s="52"/>
      <c r="W38" s="52"/>
      <c r="X38" s="52"/>
      <c r="Y38" s="52"/>
      <c r="Z38" s="52"/>
      <c r="AA38" s="52"/>
      <c r="AB38" s="52"/>
    </row>
    <row r="39" spans="1:28" ht="27" customHeight="1" x14ac:dyDescent="0.2">
      <c r="A39" s="1616" t="s">
        <v>440</v>
      </c>
      <c r="B39" s="1108"/>
      <c r="C39" s="1109"/>
      <c r="D39" s="54" t="s">
        <v>397</v>
      </c>
      <c r="E39" s="1617" t="e">
        <f>VLOOKUP(A39,AA_Materiales,16,FALSE)</f>
        <v>#N/A</v>
      </c>
      <c r="F39" s="1619" t="e">
        <f>SUM(G40:AB40)</f>
        <v>#REF!</v>
      </c>
      <c r="G39" s="52">
        <v>0</v>
      </c>
      <c r="H39" s="52">
        <v>0</v>
      </c>
      <c r="I39" s="52">
        <v>0</v>
      </c>
      <c r="J39" s="52">
        <v>0</v>
      </c>
      <c r="K39" s="52"/>
      <c r="L39" s="52">
        <v>0</v>
      </c>
      <c r="M39" s="52">
        <v>0</v>
      </c>
      <c r="N39" s="52">
        <v>0</v>
      </c>
      <c r="O39" s="52">
        <v>0</v>
      </c>
      <c r="P39" s="118" t="e">
        <f>8*'PTO OC PLIEGO'!#REF!</f>
        <v>#REF!</v>
      </c>
      <c r="Q39" s="52">
        <v>0</v>
      </c>
      <c r="R39" s="52">
        <v>0</v>
      </c>
      <c r="S39" s="52">
        <v>0</v>
      </c>
      <c r="T39" s="52">
        <v>0</v>
      </c>
      <c r="U39" s="52"/>
      <c r="V39" s="52">
        <v>0</v>
      </c>
      <c r="W39" s="52">
        <v>0</v>
      </c>
      <c r="X39" s="52">
        <v>0</v>
      </c>
      <c r="Y39" s="52">
        <v>0</v>
      </c>
      <c r="Z39" s="52">
        <v>0</v>
      </c>
      <c r="AA39" s="52">
        <v>0</v>
      </c>
      <c r="AB39" s="52">
        <v>0</v>
      </c>
    </row>
    <row r="40" spans="1:28" ht="27" customHeight="1" x14ac:dyDescent="0.2">
      <c r="A40" s="1110"/>
      <c r="B40" s="1111"/>
      <c r="C40" s="1112"/>
      <c r="D40" s="54" t="s">
        <v>20</v>
      </c>
      <c r="E40" s="1618"/>
      <c r="F40" s="1618"/>
      <c r="G40" s="52"/>
      <c r="H40" s="52"/>
      <c r="I40" s="52"/>
      <c r="J40" s="52"/>
      <c r="K40" s="52"/>
      <c r="L40" s="52"/>
      <c r="M40" s="52"/>
      <c r="N40" s="52"/>
      <c r="O40" s="52"/>
      <c r="P40" s="118" t="e">
        <f>+P39*E39</f>
        <v>#REF!</v>
      </c>
      <c r="Q40" s="52"/>
      <c r="R40" s="52"/>
      <c r="S40" s="52"/>
      <c r="T40" s="52"/>
      <c r="U40" s="52"/>
      <c r="V40" s="52"/>
      <c r="W40" s="52"/>
      <c r="X40" s="52"/>
      <c r="Y40" s="52"/>
      <c r="Z40" s="52"/>
      <c r="AA40" s="52"/>
      <c r="AB40" s="52"/>
    </row>
    <row r="41" spans="1:28" ht="12.75" customHeight="1" x14ac:dyDescent="0.2">
      <c r="A41" s="1625" t="s">
        <v>437</v>
      </c>
      <c r="B41" s="1052"/>
      <c r="C41" s="1235"/>
      <c r="D41" s="54" t="s">
        <v>20</v>
      </c>
      <c r="E41" s="59" t="e">
        <f>VLOOKUP(A41,AA_Materiales,16,FALSE)</f>
        <v>#N/A</v>
      </c>
      <c r="F41" s="60" t="e">
        <f>SUM(G41:AB41)</f>
        <v>#REF!</v>
      </c>
      <c r="G41" s="52">
        <v>0</v>
      </c>
      <c r="H41" s="52">
        <v>0</v>
      </c>
      <c r="I41" s="52">
        <v>0</v>
      </c>
      <c r="J41" s="52">
        <v>0</v>
      </c>
      <c r="K41" s="52"/>
      <c r="L41" s="52">
        <v>0</v>
      </c>
      <c r="M41" s="52">
        <v>0</v>
      </c>
      <c r="N41" s="52">
        <v>0</v>
      </c>
      <c r="O41" s="118">
        <f>2.13*'PTO OC PLIEGO'!J23</f>
        <v>32.674199999999999</v>
      </c>
      <c r="P41" s="118" t="e">
        <f>2.13*'PTO OC PLIEGO'!#REF!</f>
        <v>#REF!</v>
      </c>
      <c r="Q41" s="118" t="e">
        <f>2.13*'PTO OC PLIEGO'!#REF!</f>
        <v>#REF!</v>
      </c>
      <c r="R41" s="52">
        <v>0</v>
      </c>
      <c r="S41" s="52">
        <v>0</v>
      </c>
      <c r="T41" s="52">
        <v>0</v>
      </c>
      <c r="U41" s="52"/>
      <c r="V41" s="52">
        <v>0</v>
      </c>
      <c r="W41" s="52">
        <v>0</v>
      </c>
      <c r="X41" s="52">
        <v>0</v>
      </c>
      <c r="Y41" s="52">
        <v>0</v>
      </c>
      <c r="Z41" s="52">
        <v>0</v>
      </c>
      <c r="AA41" s="52">
        <v>0</v>
      </c>
      <c r="AB41" s="52">
        <v>0</v>
      </c>
    </row>
    <row r="42" spans="1:28" ht="12.75" customHeight="1" x14ac:dyDescent="0.2">
      <c r="A42" s="1616" t="s">
        <v>479</v>
      </c>
      <c r="B42" s="1108"/>
      <c r="C42" s="1109"/>
      <c r="D42" s="54" t="s">
        <v>475</v>
      </c>
      <c r="E42" s="1617" t="e">
        <f>VLOOKUP(A42,AA_Materiales,16,FALSE)</f>
        <v>#N/A</v>
      </c>
      <c r="F42" s="1619" t="e">
        <f>SUM(G43:AB43)</f>
        <v>#N/A</v>
      </c>
      <c r="G42" s="52">
        <v>0</v>
      </c>
      <c r="H42" s="52">
        <v>0</v>
      </c>
      <c r="I42" s="52">
        <v>0</v>
      </c>
      <c r="J42" s="52">
        <v>0</v>
      </c>
      <c r="K42" s="52"/>
      <c r="L42" s="52">
        <v>0</v>
      </c>
      <c r="M42" s="52">
        <v>0</v>
      </c>
      <c r="N42" s="52">
        <v>0</v>
      </c>
      <c r="O42" s="52">
        <v>0</v>
      </c>
      <c r="P42" s="52">
        <v>0</v>
      </c>
      <c r="Q42" s="52">
        <v>0</v>
      </c>
      <c r="R42" s="52">
        <v>0</v>
      </c>
      <c r="S42" s="52">
        <v>0</v>
      </c>
      <c r="T42" s="52">
        <v>0</v>
      </c>
      <c r="U42" s="52"/>
      <c r="V42" s="52">
        <v>0</v>
      </c>
      <c r="W42" s="52">
        <v>0</v>
      </c>
      <c r="X42" s="52">
        <v>0</v>
      </c>
      <c r="Y42" s="118">
        <f>0.02*'PTO OC PLIEGO'!J30</f>
        <v>0.02</v>
      </c>
      <c r="Z42" s="118" t="e">
        <f>0.02*'PTO OC PLIEGO'!#REF!</f>
        <v>#REF!</v>
      </c>
      <c r="AA42" s="118" t="e">
        <f>0.06*'PTO OC PLIEGO'!#REF!</f>
        <v>#REF!</v>
      </c>
      <c r="AB42" s="52"/>
    </row>
    <row r="43" spans="1:28" ht="12.75" customHeight="1" x14ac:dyDescent="0.2">
      <c r="A43" s="1110"/>
      <c r="B43" s="1111"/>
      <c r="C43" s="1112"/>
      <c r="D43" s="54" t="s">
        <v>20</v>
      </c>
      <c r="E43" s="1618"/>
      <c r="F43" s="1618"/>
      <c r="G43" s="52"/>
      <c r="H43" s="52"/>
      <c r="I43" s="52"/>
      <c r="J43" s="52"/>
      <c r="K43" s="52"/>
      <c r="L43" s="52"/>
      <c r="M43" s="52"/>
      <c r="N43" s="52"/>
      <c r="O43" s="52"/>
      <c r="P43" s="52"/>
      <c r="Q43" s="52"/>
      <c r="R43" s="52"/>
      <c r="S43" s="52"/>
      <c r="T43" s="52"/>
      <c r="U43" s="52"/>
      <c r="V43" s="52"/>
      <c r="W43" s="52"/>
      <c r="X43" s="52"/>
      <c r="Y43" s="118" t="e">
        <f>+Y42*E42</f>
        <v>#N/A</v>
      </c>
      <c r="Z43" s="118" t="e">
        <f>+Z42*E42</f>
        <v>#REF!</v>
      </c>
      <c r="AA43" s="118" t="e">
        <f>+AA42*E42</f>
        <v>#REF!</v>
      </c>
      <c r="AB43" s="52"/>
    </row>
    <row r="44" spans="1:28" ht="12.75" customHeight="1" x14ac:dyDescent="0.2">
      <c r="A44" s="1616" t="s">
        <v>433</v>
      </c>
      <c r="B44" s="1108"/>
      <c r="C44" s="1109"/>
      <c r="D44" s="54" t="s">
        <v>180</v>
      </c>
      <c r="E44" s="1617" t="e">
        <f>VLOOKUP(A44,AA_Materiales,16,FALSE)</f>
        <v>#N/A</v>
      </c>
      <c r="F44" s="1619" t="e">
        <f>SUM(G45:AB45)</f>
        <v>#REF!</v>
      </c>
      <c r="G44" s="52">
        <v>0</v>
      </c>
      <c r="H44" s="52">
        <v>0</v>
      </c>
      <c r="I44" s="52">
        <v>0</v>
      </c>
      <c r="J44" s="52">
        <v>0</v>
      </c>
      <c r="K44" s="52"/>
      <c r="L44" s="52">
        <v>0</v>
      </c>
      <c r="M44" s="52">
        <v>0</v>
      </c>
      <c r="N44" s="52">
        <v>0</v>
      </c>
      <c r="O44" s="52">
        <v>0</v>
      </c>
      <c r="P44" s="52">
        <v>0</v>
      </c>
      <c r="Q44" s="52">
        <v>0</v>
      </c>
      <c r="R44" s="52">
        <v>0</v>
      </c>
      <c r="S44" s="52">
        <v>0</v>
      </c>
      <c r="T44" s="52">
        <v>0</v>
      </c>
      <c r="U44" s="52"/>
      <c r="V44" s="52">
        <v>0</v>
      </c>
      <c r="W44" s="52">
        <v>0</v>
      </c>
      <c r="X44" s="52">
        <v>0</v>
      </c>
      <c r="Y44" s="52">
        <v>0</v>
      </c>
      <c r="Z44" s="52">
        <v>0</v>
      </c>
      <c r="AA44" s="52" t="e">
        <f>0.01*'PTO OC PLIEGO'!#REF!</f>
        <v>#REF!</v>
      </c>
      <c r="AB44" s="52"/>
    </row>
    <row r="45" spans="1:28" ht="12.75" customHeight="1" x14ac:dyDescent="0.2">
      <c r="A45" s="1110"/>
      <c r="B45" s="1111"/>
      <c r="C45" s="1112"/>
      <c r="D45" s="54" t="s">
        <v>20</v>
      </c>
      <c r="E45" s="1618"/>
      <c r="F45" s="1618"/>
      <c r="G45" s="52"/>
      <c r="H45" s="52"/>
      <c r="I45" s="52"/>
      <c r="J45" s="52"/>
      <c r="K45" s="52"/>
      <c r="L45" s="52"/>
      <c r="M45" s="52"/>
      <c r="N45" s="52"/>
      <c r="O45" s="52"/>
      <c r="P45" s="52"/>
      <c r="Q45" s="52"/>
      <c r="R45" s="52"/>
      <c r="S45" s="52"/>
      <c r="T45" s="52"/>
      <c r="U45" s="52"/>
      <c r="V45" s="52"/>
      <c r="W45" s="52"/>
      <c r="X45" s="52"/>
      <c r="Y45" s="52"/>
      <c r="Z45" s="52"/>
      <c r="AA45" s="52" t="e">
        <f>+AA44*E44</f>
        <v>#REF!</v>
      </c>
      <c r="AB45" s="52"/>
    </row>
    <row r="46" spans="1:28" ht="12.75" customHeight="1" x14ac:dyDescent="0.2">
      <c r="A46" s="1616" t="s">
        <v>1141</v>
      </c>
      <c r="B46" s="1108"/>
      <c r="C46" s="1109"/>
      <c r="D46" s="54" t="s">
        <v>397</v>
      </c>
      <c r="E46" s="1617" t="e">
        <f>VLOOKUP(A46,AA_Materiales,16,FALSE)</f>
        <v>#N/A</v>
      </c>
      <c r="F46" s="1619" t="e">
        <f>SUM(G47:AB47)</f>
        <v>#N/A</v>
      </c>
      <c r="G46" s="52">
        <v>0</v>
      </c>
      <c r="H46" s="52">
        <v>0</v>
      </c>
      <c r="I46" s="52">
        <v>0</v>
      </c>
      <c r="J46" s="52">
        <v>0</v>
      </c>
      <c r="K46" s="52"/>
      <c r="L46" s="52">
        <v>0</v>
      </c>
      <c r="M46" s="52">
        <v>0</v>
      </c>
      <c r="N46" s="52">
        <v>0</v>
      </c>
      <c r="O46" s="52">
        <v>0</v>
      </c>
      <c r="P46" s="52">
        <v>0</v>
      </c>
      <c r="Q46" s="52">
        <v>0</v>
      </c>
      <c r="R46" s="52">
        <v>0</v>
      </c>
      <c r="S46" s="118">
        <f>1.03*'PTO OC PLIEGO'!J25</f>
        <v>8791.0500000000011</v>
      </c>
      <c r="T46" s="52">
        <v>0</v>
      </c>
      <c r="U46" s="52"/>
      <c r="V46" s="52">
        <v>0</v>
      </c>
      <c r="W46" s="52">
        <v>0</v>
      </c>
      <c r="X46" s="52">
        <v>0</v>
      </c>
      <c r="Y46" s="52">
        <v>0</v>
      </c>
      <c r="Z46" s="52">
        <v>0</v>
      </c>
      <c r="AA46" s="52">
        <v>0</v>
      </c>
      <c r="AB46" s="52">
        <v>0</v>
      </c>
    </row>
    <row r="47" spans="1:28" ht="12.75" customHeight="1" x14ac:dyDescent="0.2">
      <c r="A47" s="1110"/>
      <c r="B47" s="1111"/>
      <c r="C47" s="1112"/>
      <c r="D47" s="54" t="s">
        <v>20</v>
      </c>
      <c r="E47" s="1618"/>
      <c r="F47" s="1618"/>
      <c r="G47" s="52"/>
      <c r="H47" s="52"/>
      <c r="I47" s="52"/>
      <c r="J47" s="52"/>
      <c r="K47" s="52"/>
      <c r="L47" s="52"/>
      <c r="M47" s="52"/>
      <c r="N47" s="52"/>
      <c r="O47" s="52"/>
      <c r="P47" s="52"/>
      <c r="Q47" s="52"/>
      <c r="R47" s="52"/>
      <c r="S47" s="118" t="e">
        <f>+S46*E46</f>
        <v>#N/A</v>
      </c>
      <c r="T47" s="52"/>
      <c r="U47" s="52"/>
      <c r="V47" s="52"/>
      <c r="W47" s="52"/>
      <c r="X47" s="52"/>
      <c r="Y47" s="52"/>
      <c r="Z47" s="52"/>
      <c r="AA47" s="52"/>
      <c r="AB47" s="52"/>
    </row>
    <row r="48" spans="1:28" ht="12.75" customHeight="1" x14ac:dyDescent="0.2">
      <c r="A48" s="1616" t="s">
        <v>398</v>
      </c>
      <c r="B48" s="1108"/>
      <c r="C48" s="1109"/>
      <c r="D48" s="54" t="s">
        <v>830</v>
      </c>
      <c r="E48" s="1617" t="e">
        <f>VLOOKUP(A48,AA_Materiales,16,FALSE)</f>
        <v>#N/A</v>
      </c>
      <c r="F48" s="1619" t="e">
        <f>SUM(G49:AB49)</f>
        <v>#N/A</v>
      </c>
      <c r="G48" s="118">
        <f>1*'PTO OC PLIEGO'!J18</f>
        <v>228.875</v>
      </c>
      <c r="H48" s="52">
        <v>0</v>
      </c>
      <c r="I48" s="52">
        <v>0</v>
      </c>
      <c r="J48" s="52">
        <v>0</v>
      </c>
      <c r="K48" s="52"/>
      <c r="L48" s="52">
        <v>0</v>
      </c>
      <c r="M48" s="52">
        <v>0</v>
      </c>
      <c r="N48" s="52">
        <v>0</v>
      </c>
      <c r="O48" s="52">
        <v>0</v>
      </c>
      <c r="P48" s="52">
        <v>0</v>
      </c>
      <c r="Q48" s="52">
        <v>0</v>
      </c>
      <c r="R48" s="52">
        <v>0</v>
      </c>
      <c r="S48" s="52">
        <v>0</v>
      </c>
      <c r="T48" s="52">
        <v>0</v>
      </c>
      <c r="U48" s="52"/>
      <c r="V48" s="52">
        <v>0</v>
      </c>
      <c r="W48" s="52">
        <v>0</v>
      </c>
      <c r="X48" s="52">
        <v>0</v>
      </c>
      <c r="Y48" s="52">
        <v>0</v>
      </c>
      <c r="Z48" s="52">
        <v>0</v>
      </c>
      <c r="AA48" s="52">
        <v>0</v>
      </c>
      <c r="AB48" s="52">
        <v>0</v>
      </c>
    </row>
    <row r="49" spans="1:28" ht="12.75" customHeight="1" x14ac:dyDescent="0.2">
      <c r="A49" s="1110"/>
      <c r="B49" s="1111"/>
      <c r="C49" s="1112"/>
      <c r="D49" s="54" t="s">
        <v>20</v>
      </c>
      <c r="E49" s="1618"/>
      <c r="F49" s="1618"/>
      <c r="G49" s="118" t="e">
        <f>+G48*E48</f>
        <v>#N/A</v>
      </c>
      <c r="H49" s="52"/>
      <c r="I49" s="52"/>
      <c r="J49" s="52"/>
      <c r="K49" s="52"/>
      <c r="L49" s="52"/>
      <c r="M49" s="52"/>
      <c r="N49" s="52"/>
      <c r="O49" s="52"/>
      <c r="P49" s="52"/>
      <c r="Q49" s="52"/>
      <c r="R49" s="52"/>
      <c r="S49" s="52"/>
      <c r="T49" s="52"/>
      <c r="U49" s="52"/>
      <c r="V49" s="52"/>
      <c r="W49" s="52"/>
      <c r="X49" s="52"/>
      <c r="Y49" s="52"/>
      <c r="Z49" s="52"/>
      <c r="AA49" s="52"/>
      <c r="AB49" s="52"/>
    </row>
    <row r="50" spans="1:28" ht="12.75" customHeight="1" x14ac:dyDescent="0.2">
      <c r="A50" s="1616" t="s">
        <v>388</v>
      </c>
      <c r="B50" s="1108"/>
      <c r="C50" s="1109"/>
      <c r="D50" s="54" t="s">
        <v>475</v>
      </c>
      <c r="E50" s="1617">
        <f>VLOOKUP(A50,AA_Materiales,16,FALSE)</f>
        <v>0</v>
      </c>
      <c r="F50" s="1619">
        <f>SUM(G51:AB51)</f>
        <v>0</v>
      </c>
      <c r="G50" s="118">
        <f>0.01*'PTO OC PLIEGO'!J18</f>
        <v>2.2887499999999998</v>
      </c>
      <c r="H50" s="52">
        <v>0</v>
      </c>
      <c r="I50" s="52">
        <v>0</v>
      </c>
      <c r="J50" s="52">
        <v>0</v>
      </c>
      <c r="K50" s="52"/>
      <c r="L50" s="52">
        <v>0</v>
      </c>
      <c r="M50" s="52">
        <v>0</v>
      </c>
      <c r="N50" s="52">
        <v>0</v>
      </c>
      <c r="O50" s="52">
        <v>0</v>
      </c>
      <c r="P50" s="52">
        <v>0</v>
      </c>
      <c r="Q50" s="52">
        <v>0</v>
      </c>
      <c r="R50" s="52">
        <v>0</v>
      </c>
      <c r="S50" s="52">
        <v>0</v>
      </c>
      <c r="T50" s="52">
        <v>0</v>
      </c>
      <c r="U50" s="52"/>
      <c r="V50" s="52">
        <v>0</v>
      </c>
      <c r="W50" s="52">
        <v>0</v>
      </c>
      <c r="X50" s="52">
        <v>0</v>
      </c>
      <c r="Y50" s="52">
        <v>0</v>
      </c>
      <c r="Z50" s="52">
        <v>0</v>
      </c>
      <c r="AA50" s="52">
        <v>0</v>
      </c>
      <c r="AB50" s="52">
        <v>0</v>
      </c>
    </row>
    <row r="51" spans="1:28" ht="12.75" customHeight="1" x14ac:dyDescent="0.2">
      <c r="A51" s="1110"/>
      <c r="B51" s="1111"/>
      <c r="C51" s="1112"/>
      <c r="D51" s="54" t="s">
        <v>20</v>
      </c>
      <c r="E51" s="1618"/>
      <c r="F51" s="1618"/>
      <c r="G51" s="118">
        <f>+G50*E50</f>
        <v>0</v>
      </c>
      <c r="H51" s="52"/>
      <c r="I51" s="52"/>
      <c r="J51" s="52"/>
      <c r="K51" s="52"/>
      <c r="L51" s="52"/>
      <c r="M51" s="52"/>
      <c r="N51" s="52"/>
      <c r="O51" s="52"/>
      <c r="P51" s="52"/>
      <c r="Q51" s="52"/>
      <c r="R51" s="52"/>
      <c r="S51" s="52"/>
      <c r="T51" s="52"/>
      <c r="U51" s="52"/>
      <c r="V51" s="52"/>
      <c r="W51" s="52"/>
      <c r="X51" s="52"/>
      <c r="Y51" s="52"/>
      <c r="Z51" s="52"/>
      <c r="AA51" s="52"/>
      <c r="AB51" s="52"/>
    </row>
    <row r="52" spans="1:28" ht="12.75" customHeight="1" x14ac:dyDescent="0.2">
      <c r="A52" s="1616" t="s">
        <v>421</v>
      </c>
      <c r="B52" s="1108"/>
      <c r="C52" s="1109"/>
      <c r="D52" s="54" t="s">
        <v>475</v>
      </c>
      <c r="E52" s="1617" t="e">
        <f>VLOOKUP(A52,AA_Materiales,16,FALSE)</f>
        <v>#N/A</v>
      </c>
      <c r="F52" s="1619" t="e">
        <f>SUM(G53:AB53)</f>
        <v>#N/A</v>
      </c>
      <c r="G52" s="52">
        <v>0</v>
      </c>
      <c r="H52" s="52">
        <v>0</v>
      </c>
      <c r="I52" s="52">
        <v>0</v>
      </c>
      <c r="J52" s="52">
        <v>0</v>
      </c>
      <c r="K52" s="52"/>
      <c r="L52" s="52">
        <v>0</v>
      </c>
      <c r="M52" s="52">
        <v>0</v>
      </c>
      <c r="N52" s="52">
        <v>0</v>
      </c>
      <c r="O52" s="52">
        <v>0</v>
      </c>
      <c r="P52" s="52">
        <v>0</v>
      </c>
      <c r="Q52" s="52">
        <v>0</v>
      </c>
      <c r="R52" s="52">
        <v>0</v>
      </c>
      <c r="S52" s="52">
        <v>0</v>
      </c>
      <c r="T52" s="52">
        <v>0</v>
      </c>
      <c r="U52" s="52"/>
      <c r="V52" s="118">
        <f>0.05*'PTO OC PLIEGO'!J27</f>
        <v>0.35000000000000003</v>
      </c>
      <c r="W52" s="52">
        <v>0</v>
      </c>
      <c r="X52" s="52">
        <f>0.05*'PTO OC PLIEGO'!J27</f>
        <v>0.35000000000000003</v>
      </c>
      <c r="Y52" s="52">
        <v>0</v>
      </c>
      <c r="Z52" s="52">
        <v>0</v>
      </c>
      <c r="AA52" s="52">
        <v>0</v>
      </c>
      <c r="AB52" s="52">
        <v>0</v>
      </c>
    </row>
    <row r="53" spans="1:28" ht="12.75" customHeight="1" x14ac:dyDescent="0.2">
      <c r="A53" s="1110"/>
      <c r="B53" s="1111"/>
      <c r="C53" s="1112"/>
      <c r="D53" s="54" t="s">
        <v>20</v>
      </c>
      <c r="E53" s="1618"/>
      <c r="F53" s="1618"/>
      <c r="G53" s="52"/>
      <c r="H53" s="52"/>
      <c r="I53" s="52"/>
      <c r="J53" s="52"/>
      <c r="K53" s="52"/>
      <c r="L53" s="52"/>
      <c r="M53" s="52"/>
      <c r="N53" s="52"/>
      <c r="O53" s="52"/>
      <c r="P53" s="52"/>
      <c r="Q53" s="52"/>
      <c r="R53" s="52"/>
      <c r="S53" s="52"/>
      <c r="T53" s="52"/>
      <c r="U53" s="52"/>
      <c r="V53" s="118" t="e">
        <f>+V52*E52</f>
        <v>#N/A</v>
      </c>
      <c r="W53" s="52"/>
      <c r="X53" s="52" t="e">
        <f>+X52*E52</f>
        <v>#N/A</v>
      </c>
      <c r="Y53" s="52"/>
      <c r="Z53" s="52"/>
      <c r="AA53" s="52"/>
      <c r="AB53" s="52"/>
    </row>
    <row r="54" spans="1:28" ht="12.75" customHeight="1" x14ac:dyDescent="0.2">
      <c r="A54" s="1616" t="s">
        <v>439</v>
      </c>
      <c r="B54" s="1108"/>
      <c r="C54" s="1109"/>
      <c r="D54" s="54" t="s">
        <v>180</v>
      </c>
      <c r="E54" s="1617" t="e">
        <f>VLOOKUP(A54,AA_Materiales,16,FALSE)</f>
        <v>#N/A</v>
      </c>
      <c r="F54" s="1619" t="e">
        <f>SUM(G55:AB55)</f>
        <v>#REF!</v>
      </c>
      <c r="G54" s="52">
        <v>0</v>
      </c>
      <c r="H54" s="52">
        <v>0</v>
      </c>
      <c r="I54" s="52">
        <v>0</v>
      </c>
      <c r="J54" s="52">
        <v>0</v>
      </c>
      <c r="K54" s="52"/>
      <c r="L54" s="52">
        <v>0</v>
      </c>
      <c r="M54" s="52">
        <v>0</v>
      </c>
      <c r="N54" s="52">
        <v>0</v>
      </c>
      <c r="O54" s="52">
        <v>0</v>
      </c>
      <c r="P54" s="52">
        <v>0</v>
      </c>
      <c r="Q54" s="118" t="e">
        <f>12*'PTO OC PLIEGO'!#REF!</f>
        <v>#REF!</v>
      </c>
      <c r="R54" s="52">
        <v>0</v>
      </c>
      <c r="S54" s="52">
        <v>0</v>
      </c>
      <c r="T54" s="52">
        <v>0</v>
      </c>
      <c r="U54" s="52"/>
      <c r="V54" s="52">
        <v>0</v>
      </c>
      <c r="W54" s="52">
        <v>0</v>
      </c>
      <c r="X54" s="52">
        <v>0</v>
      </c>
      <c r="Y54" s="52">
        <v>0</v>
      </c>
      <c r="Z54" s="52">
        <v>0</v>
      </c>
      <c r="AA54" s="52">
        <v>0</v>
      </c>
      <c r="AB54" s="52">
        <v>0</v>
      </c>
    </row>
    <row r="55" spans="1:28" ht="12.75" customHeight="1" x14ac:dyDescent="0.2">
      <c r="A55" s="1110"/>
      <c r="B55" s="1111"/>
      <c r="C55" s="1112"/>
      <c r="D55" s="54" t="s">
        <v>20</v>
      </c>
      <c r="E55" s="1618"/>
      <c r="F55" s="1618"/>
      <c r="G55" s="52"/>
      <c r="H55" s="52"/>
      <c r="I55" s="52"/>
      <c r="J55" s="52"/>
      <c r="K55" s="52"/>
      <c r="L55" s="52"/>
      <c r="M55" s="52"/>
      <c r="N55" s="52"/>
      <c r="O55" s="52"/>
      <c r="P55" s="52"/>
      <c r="Q55" s="118" t="e">
        <f>+Q54*E54</f>
        <v>#REF!</v>
      </c>
      <c r="R55" s="52"/>
      <c r="S55" s="52"/>
      <c r="T55" s="52"/>
      <c r="U55" s="52"/>
      <c r="V55" s="52"/>
      <c r="W55" s="52"/>
      <c r="X55" s="52"/>
      <c r="Y55" s="52"/>
      <c r="Z55" s="52"/>
      <c r="AA55" s="52"/>
      <c r="AB55" s="52"/>
    </row>
    <row r="56" spans="1:28" ht="12.75" customHeight="1" x14ac:dyDescent="0.2">
      <c r="A56" s="1616" t="s">
        <v>401</v>
      </c>
      <c r="B56" s="1108"/>
      <c r="C56" s="1109"/>
      <c r="D56" s="54" t="s">
        <v>577</v>
      </c>
      <c r="E56" s="1617" t="e">
        <f>VLOOKUP(A56,AA_Materiales,16,FALSE)</f>
        <v>#N/A</v>
      </c>
      <c r="F56" s="1619" t="e">
        <f>SUM(G57:AB57)</f>
        <v>#REF!</v>
      </c>
      <c r="G56" s="52">
        <v>0</v>
      </c>
      <c r="H56" s="52">
        <v>0</v>
      </c>
      <c r="I56" s="52">
        <v>0</v>
      </c>
      <c r="J56" s="52">
        <v>0</v>
      </c>
      <c r="K56" s="52"/>
      <c r="L56" s="52">
        <v>0</v>
      </c>
      <c r="M56" s="52">
        <v>0</v>
      </c>
      <c r="N56" s="52">
        <v>0</v>
      </c>
      <c r="O56" s="52">
        <v>0</v>
      </c>
      <c r="P56" s="52">
        <v>0</v>
      </c>
      <c r="Q56" s="118" t="e">
        <f>5*'PTO OC PLIEGO'!#REF!</f>
        <v>#REF!</v>
      </c>
      <c r="R56" s="52">
        <v>0</v>
      </c>
      <c r="S56" s="52">
        <v>0</v>
      </c>
      <c r="T56" s="52">
        <v>0</v>
      </c>
      <c r="U56" s="52"/>
      <c r="V56" s="52">
        <v>0</v>
      </c>
      <c r="W56" s="52">
        <v>0</v>
      </c>
      <c r="X56" s="52">
        <v>0</v>
      </c>
      <c r="Y56" s="52">
        <v>0</v>
      </c>
      <c r="Z56" s="52">
        <v>0</v>
      </c>
      <c r="AA56" s="52">
        <v>0</v>
      </c>
      <c r="AB56" s="52">
        <v>0</v>
      </c>
    </row>
    <row r="57" spans="1:28" ht="12.75" customHeight="1" x14ac:dyDescent="0.2">
      <c r="A57" s="1110"/>
      <c r="B57" s="1111"/>
      <c r="C57" s="1112"/>
      <c r="D57" s="54" t="s">
        <v>20</v>
      </c>
      <c r="E57" s="1618"/>
      <c r="F57" s="1618"/>
      <c r="G57" s="52"/>
      <c r="H57" s="52"/>
      <c r="I57" s="52"/>
      <c r="J57" s="52"/>
      <c r="K57" s="52"/>
      <c r="L57" s="52"/>
      <c r="M57" s="52"/>
      <c r="N57" s="52"/>
      <c r="O57" s="52"/>
      <c r="P57" s="52"/>
      <c r="Q57" s="118" t="e">
        <f>+Q56*E56</f>
        <v>#REF!</v>
      </c>
      <c r="R57" s="52"/>
      <c r="S57" s="52"/>
      <c r="T57" s="52"/>
      <c r="U57" s="52"/>
      <c r="V57" s="52"/>
      <c r="W57" s="52"/>
      <c r="X57" s="52">
        <v>0</v>
      </c>
      <c r="Y57" s="52">
        <v>0</v>
      </c>
      <c r="Z57" s="52">
        <v>0</v>
      </c>
      <c r="AA57" s="52">
        <v>0</v>
      </c>
      <c r="AB57" s="52">
        <v>0</v>
      </c>
    </row>
    <row r="58" spans="1:28" ht="12.75" customHeight="1" x14ac:dyDescent="0.2">
      <c r="A58" s="1616" t="s">
        <v>870</v>
      </c>
      <c r="B58" s="1108"/>
      <c r="C58" s="1109"/>
      <c r="D58" s="54" t="s">
        <v>180</v>
      </c>
      <c r="E58" s="1617" t="e">
        <f>VLOOKUP(A58,AA_Materiales,16,FALSE)</f>
        <v>#N/A</v>
      </c>
      <c r="F58" s="1619" t="e">
        <f>SUM(G59:AB59)</f>
        <v>#N/A</v>
      </c>
      <c r="G58" s="52">
        <v>0</v>
      </c>
      <c r="H58" s="52">
        <v>0</v>
      </c>
      <c r="I58" s="52">
        <v>0</v>
      </c>
      <c r="J58" s="52">
        <v>0</v>
      </c>
      <c r="K58" s="52">
        <v>0</v>
      </c>
      <c r="L58" s="52">
        <v>0</v>
      </c>
      <c r="M58" s="52">
        <v>0</v>
      </c>
      <c r="N58" s="52">
        <v>0</v>
      </c>
      <c r="O58" s="52">
        <v>0</v>
      </c>
      <c r="P58" s="52">
        <v>0</v>
      </c>
      <c r="Q58" s="52">
        <v>0</v>
      </c>
      <c r="R58" s="52">
        <v>0</v>
      </c>
      <c r="S58" s="52">
        <v>0</v>
      </c>
      <c r="T58" s="52">
        <v>0</v>
      </c>
      <c r="U58" s="52"/>
      <c r="V58" s="118">
        <f>1*'PTO OC PLIEGO'!J27</f>
        <v>7</v>
      </c>
      <c r="W58" s="52">
        <v>0</v>
      </c>
      <c r="X58" s="52">
        <v>0</v>
      </c>
      <c r="Y58" s="52">
        <v>0</v>
      </c>
      <c r="Z58" s="52">
        <v>0</v>
      </c>
      <c r="AA58" s="52">
        <v>0</v>
      </c>
      <c r="AB58" s="52">
        <v>0</v>
      </c>
    </row>
    <row r="59" spans="1:28" ht="12.75" customHeight="1" x14ac:dyDescent="0.2">
      <c r="A59" s="1110"/>
      <c r="B59" s="1111"/>
      <c r="C59" s="1112"/>
      <c r="D59" s="54" t="s">
        <v>20</v>
      </c>
      <c r="E59" s="1618"/>
      <c r="F59" s="1618"/>
      <c r="G59" s="52">
        <v>0</v>
      </c>
      <c r="H59" s="52">
        <v>0</v>
      </c>
      <c r="I59" s="52">
        <v>0</v>
      </c>
      <c r="J59" s="52">
        <v>0</v>
      </c>
      <c r="K59" s="52">
        <v>0</v>
      </c>
      <c r="L59" s="52">
        <v>0</v>
      </c>
      <c r="M59" s="52">
        <v>0</v>
      </c>
      <c r="N59" s="52">
        <v>0</v>
      </c>
      <c r="O59" s="52">
        <v>0</v>
      </c>
      <c r="P59" s="52">
        <v>0</v>
      </c>
      <c r="Q59" s="52">
        <v>0</v>
      </c>
      <c r="R59" s="52">
        <v>0</v>
      </c>
      <c r="S59" s="52">
        <v>0</v>
      </c>
      <c r="T59" s="52">
        <v>0</v>
      </c>
      <c r="U59" s="52"/>
      <c r="V59" s="118" t="e">
        <f>+V58*E58</f>
        <v>#N/A</v>
      </c>
      <c r="W59" s="52"/>
      <c r="X59" s="52">
        <v>0</v>
      </c>
      <c r="Y59" s="52">
        <v>0</v>
      </c>
      <c r="Z59" s="52">
        <v>0</v>
      </c>
      <c r="AA59" s="52">
        <v>0</v>
      </c>
      <c r="AB59" s="52">
        <v>0</v>
      </c>
    </row>
    <row r="60" spans="1:28" ht="12.75" customHeight="1" x14ac:dyDescent="0.2">
      <c r="A60" s="1616" t="s">
        <v>871</v>
      </c>
      <c r="B60" s="1108"/>
      <c r="C60" s="1109"/>
      <c r="D60" s="54" t="s">
        <v>180</v>
      </c>
      <c r="E60" s="1617" t="e">
        <f>VLOOKUP(A60,AA_Materiales,16,FALSE)</f>
        <v>#N/A</v>
      </c>
      <c r="F60" s="1619" t="e">
        <f>SUM(G61:AB61)</f>
        <v>#N/A</v>
      </c>
      <c r="G60" s="52">
        <v>0</v>
      </c>
      <c r="H60" s="52">
        <v>0</v>
      </c>
      <c r="I60" s="52">
        <v>0</v>
      </c>
      <c r="J60" s="52">
        <v>0</v>
      </c>
      <c r="K60" s="52">
        <v>0</v>
      </c>
      <c r="L60" s="52">
        <v>0</v>
      </c>
      <c r="M60" s="52">
        <v>0</v>
      </c>
      <c r="N60" s="52">
        <v>0</v>
      </c>
      <c r="O60" s="52">
        <v>0</v>
      </c>
      <c r="P60" s="52">
        <v>0</v>
      </c>
      <c r="Q60" s="52">
        <v>0</v>
      </c>
      <c r="R60" s="52">
        <v>0</v>
      </c>
      <c r="S60" s="52">
        <v>0</v>
      </c>
      <c r="T60" s="52">
        <v>0</v>
      </c>
      <c r="U60" s="52">
        <v>0</v>
      </c>
      <c r="V60" s="52">
        <v>0</v>
      </c>
      <c r="W60" s="119">
        <f>1*'PTO OC PLIEGO'!J28</f>
        <v>1</v>
      </c>
      <c r="X60" s="52">
        <v>0</v>
      </c>
      <c r="Y60" s="52">
        <v>0</v>
      </c>
      <c r="Z60" s="52">
        <v>0</v>
      </c>
      <c r="AA60" s="52">
        <v>0</v>
      </c>
      <c r="AB60" s="52">
        <v>0</v>
      </c>
    </row>
    <row r="61" spans="1:28" ht="12.75" customHeight="1" x14ac:dyDescent="0.2">
      <c r="A61" s="1110"/>
      <c r="B61" s="1111"/>
      <c r="C61" s="1112"/>
      <c r="D61" s="54" t="s">
        <v>20</v>
      </c>
      <c r="E61" s="1618"/>
      <c r="F61" s="1618"/>
      <c r="G61" s="52">
        <v>0</v>
      </c>
      <c r="H61" s="52">
        <v>0</v>
      </c>
      <c r="I61" s="52">
        <v>0</v>
      </c>
      <c r="J61" s="52">
        <v>0</v>
      </c>
      <c r="K61" s="52">
        <v>0</v>
      </c>
      <c r="L61" s="52">
        <v>0</v>
      </c>
      <c r="M61" s="52">
        <v>0</v>
      </c>
      <c r="N61" s="52">
        <v>0</v>
      </c>
      <c r="O61" s="52">
        <v>0</v>
      </c>
      <c r="P61" s="52">
        <v>0</v>
      </c>
      <c r="Q61" s="52">
        <v>0</v>
      </c>
      <c r="R61" s="52">
        <v>0</v>
      </c>
      <c r="S61" s="52">
        <v>0</v>
      </c>
      <c r="T61" s="52">
        <v>0</v>
      </c>
      <c r="U61" s="52">
        <v>0</v>
      </c>
      <c r="V61" s="52">
        <v>0</v>
      </c>
      <c r="W61" s="119" t="e">
        <f>+W60*E60</f>
        <v>#N/A</v>
      </c>
      <c r="X61" s="52">
        <v>0</v>
      </c>
      <c r="Y61" s="52">
        <v>0</v>
      </c>
      <c r="Z61" s="52">
        <v>0</v>
      </c>
      <c r="AA61" s="52">
        <v>0</v>
      </c>
      <c r="AB61" s="52">
        <v>0</v>
      </c>
    </row>
    <row r="62" spans="1:28" ht="12.75" customHeight="1" x14ac:dyDescent="0.2">
      <c r="A62" s="1616" t="s">
        <v>427</v>
      </c>
      <c r="B62" s="1108"/>
      <c r="C62" s="1109"/>
      <c r="D62" s="54" t="s">
        <v>180</v>
      </c>
      <c r="E62" s="1617" t="e">
        <f>VLOOKUP(A62,AA_Materiales,16,FALSE)</f>
        <v>#N/A</v>
      </c>
      <c r="F62" s="1619" t="e">
        <f>SUM(G63:AB63)</f>
        <v>#N/A</v>
      </c>
      <c r="G62" s="52">
        <v>0</v>
      </c>
      <c r="H62" s="52">
        <v>0</v>
      </c>
      <c r="I62" s="52">
        <v>0</v>
      </c>
      <c r="J62" s="52">
        <v>0</v>
      </c>
      <c r="K62" s="52">
        <v>0</v>
      </c>
      <c r="L62" s="52">
        <v>0</v>
      </c>
      <c r="M62" s="52">
        <v>0</v>
      </c>
      <c r="N62" s="52">
        <v>0</v>
      </c>
      <c r="O62" s="52">
        <v>0</v>
      </c>
      <c r="P62" s="52">
        <v>0</v>
      </c>
      <c r="Q62" s="52">
        <v>0</v>
      </c>
      <c r="R62" s="52">
        <v>0</v>
      </c>
      <c r="S62" s="52">
        <v>0</v>
      </c>
      <c r="T62" s="52">
        <v>0</v>
      </c>
      <c r="U62" s="52">
        <v>0</v>
      </c>
      <c r="V62" s="52">
        <v>0</v>
      </c>
      <c r="W62" s="52">
        <v>0</v>
      </c>
      <c r="X62" s="119">
        <f>1*'PTO OC PLIEGO'!J29</f>
        <v>1</v>
      </c>
      <c r="Y62" s="52">
        <v>0</v>
      </c>
      <c r="Z62" s="52">
        <v>0</v>
      </c>
      <c r="AA62" s="52">
        <v>0</v>
      </c>
      <c r="AB62" s="52">
        <v>0</v>
      </c>
    </row>
    <row r="63" spans="1:28" ht="12.75" customHeight="1" x14ac:dyDescent="0.2">
      <c r="A63" s="1110"/>
      <c r="B63" s="1111"/>
      <c r="C63" s="1112"/>
      <c r="D63" s="54" t="s">
        <v>20</v>
      </c>
      <c r="E63" s="1618"/>
      <c r="F63" s="1618"/>
      <c r="G63" s="52">
        <v>0</v>
      </c>
      <c r="H63" s="52">
        <v>0</v>
      </c>
      <c r="I63" s="52">
        <v>0</v>
      </c>
      <c r="J63" s="52">
        <v>0</v>
      </c>
      <c r="K63" s="52">
        <v>0</v>
      </c>
      <c r="L63" s="52">
        <v>0</v>
      </c>
      <c r="M63" s="52">
        <v>0</v>
      </c>
      <c r="N63" s="52">
        <v>0</v>
      </c>
      <c r="O63" s="52">
        <v>0</v>
      </c>
      <c r="P63" s="52">
        <v>0</v>
      </c>
      <c r="Q63" s="52">
        <v>0</v>
      </c>
      <c r="R63" s="52">
        <v>0</v>
      </c>
      <c r="S63" s="52">
        <v>0</v>
      </c>
      <c r="T63" s="52">
        <v>0</v>
      </c>
      <c r="U63" s="52">
        <v>0</v>
      </c>
      <c r="V63" s="52">
        <v>0</v>
      </c>
      <c r="W63" s="52">
        <v>0</v>
      </c>
      <c r="X63" s="119" t="e">
        <f>+X62*E62</f>
        <v>#N/A</v>
      </c>
      <c r="Y63" s="52">
        <v>0</v>
      </c>
      <c r="Z63" s="52">
        <v>0</v>
      </c>
      <c r="AA63" s="52">
        <v>0</v>
      </c>
      <c r="AB63" s="52">
        <v>0</v>
      </c>
    </row>
    <row r="64" spans="1:28" ht="12.75" customHeight="1" x14ac:dyDescent="0.2">
      <c r="A64" s="1616" t="s">
        <v>441</v>
      </c>
      <c r="B64" s="1108"/>
      <c r="C64" s="1109"/>
      <c r="D64" s="54" t="s">
        <v>180</v>
      </c>
      <c r="E64" s="1617" t="e">
        <f>VLOOKUP(A64,AA_Materiales,16,FALSE)</f>
        <v>#N/A</v>
      </c>
      <c r="F64" s="1619" t="e">
        <f>SUM(G65:AB65)</f>
        <v>#N/A</v>
      </c>
      <c r="G64" s="52">
        <v>0</v>
      </c>
      <c r="H64" s="52">
        <v>0</v>
      </c>
      <c r="I64" s="52">
        <v>0</v>
      </c>
      <c r="J64" s="52">
        <v>0</v>
      </c>
      <c r="K64" s="52">
        <v>0</v>
      </c>
      <c r="L64" s="52">
        <v>0</v>
      </c>
      <c r="M64" s="52">
        <v>0</v>
      </c>
      <c r="N64" s="52">
        <v>0</v>
      </c>
      <c r="O64" s="52">
        <v>0</v>
      </c>
      <c r="P64" s="52">
        <v>0</v>
      </c>
      <c r="Q64" s="52">
        <v>0</v>
      </c>
      <c r="R64" s="52">
        <v>0</v>
      </c>
      <c r="S64" s="52">
        <v>0</v>
      </c>
      <c r="T64" s="52">
        <v>0</v>
      </c>
      <c r="U64" s="52">
        <v>0</v>
      </c>
      <c r="V64" s="52">
        <v>0</v>
      </c>
      <c r="W64" s="52">
        <v>0</v>
      </c>
      <c r="X64" s="52">
        <v>0</v>
      </c>
      <c r="Y64" s="119">
        <f>1*'PTO OC PLIEGO'!J30</f>
        <v>1</v>
      </c>
      <c r="Z64" s="52">
        <v>0</v>
      </c>
      <c r="AA64" s="52">
        <v>0</v>
      </c>
      <c r="AB64" s="52">
        <v>0</v>
      </c>
    </row>
    <row r="65" spans="1:31" ht="12.75" customHeight="1" x14ac:dyDescent="0.2">
      <c r="A65" s="1110"/>
      <c r="B65" s="1111"/>
      <c r="C65" s="1112"/>
      <c r="D65" s="54" t="s">
        <v>20</v>
      </c>
      <c r="E65" s="1618"/>
      <c r="F65" s="1618"/>
      <c r="G65" s="52">
        <v>0</v>
      </c>
      <c r="H65" s="52">
        <v>0</v>
      </c>
      <c r="I65" s="52">
        <v>0</v>
      </c>
      <c r="J65" s="52">
        <v>0</v>
      </c>
      <c r="K65" s="52">
        <v>0</v>
      </c>
      <c r="L65" s="52">
        <v>0</v>
      </c>
      <c r="M65" s="52">
        <v>0</v>
      </c>
      <c r="N65" s="52">
        <v>0</v>
      </c>
      <c r="O65" s="52">
        <v>0</v>
      </c>
      <c r="P65" s="52">
        <v>0</v>
      </c>
      <c r="Q65" s="52">
        <v>0</v>
      </c>
      <c r="R65" s="52">
        <v>0</v>
      </c>
      <c r="S65" s="52">
        <v>0</v>
      </c>
      <c r="T65" s="52">
        <v>0</v>
      </c>
      <c r="U65" s="52">
        <v>0</v>
      </c>
      <c r="V65" s="52">
        <v>0</v>
      </c>
      <c r="W65" s="52">
        <v>0</v>
      </c>
      <c r="X65" s="52">
        <v>0</v>
      </c>
      <c r="Y65" s="119" t="e">
        <f>+Y64*E64</f>
        <v>#N/A</v>
      </c>
      <c r="Z65" s="52">
        <v>0</v>
      </c>
      <c r="AA65" s="52">
        <v>0</v>
      </c>
      <c r="AB65" s="52">
        <v>0</v>
      </c>
    </row>
    <row r="66" spans="1:31" ht="12.75" customHeight="1" x14ac:dyDescent="0.2">
      <c r="A66" s="1616" t="s">
        <v>478</v>
      </c>
      <c r="B66" s="1108"/>
      <c r="C66" s="1109"/>
      <c r="D66" s="54" t="s">
        <v>475</v>
      </c>
      <c r="E66" s="1617" t="e">
        <f>VLOOKUP(A66,AA_Materiales,16,FALSE)</f>
        <v>#N/A</v>
      </c>
      <c r="F66" s="1619" t="e">
        <f>SUM(G67:AB67)</f>
        <v>#N/A</v>
      </c>
      <c r="G66" s="52">
        <v>0</v>
      </c>
      <c r="H66" s="52">
        <v>0</v>
      </c>
      <c r="I66" s="52">
        <v>0</v>
      </c>
      <c r="J66" s="52">
        <v>0</v>
      </c>
      <c r="K66" s="52">
        <v>0</v>
      </c>
      <c r="L66" s="52">
        <v>0</v>
      </c>
      <c r="M66" s="52">
        <v>0</v>
      </c>
      <c r="N66" s="52">
        <v>0</v>
      </c>
      <c r="O66" s="52">
        <v>0</v>
      </c>
      <c r="P66" s="52">
        <v>0</v>
      </c>
      <c r="Q66" s="52">
        <v>0</v>
      </c>
      <c r="R66" s="52">
        <v>0</v>
      </c>
      <c r="S66" s="52">
        <v>0</v>
      </c>
      <c r="T66" s="52">
        <v>0</v>
      </c>
      <c r="U66" s="52">
        <v>0</v>
      </c>
      <c r="V66" s="52">
        <v>0</v>
      </c>
      <c r="W66" s="52">
        <v>0</v>
      </c>
      <c r="X66" s="52">
        <v>0</v>
      </c>
      <c r="Y66" s="119">
        <f>0.02*'PTO OC PLIEGO'!J30</f>
        <v>0.02</v>
      </c>
      <c r="Z66" s="119" t="e">
        <f>0.02*'PTO OC PLIEGO'!#REF!</f>
        <v>#REF!</v>
      </c>
      <c r="AA66" s="119" t="e">
        <f>0.06*'PTO OC PLIEGO'!#REF!</f>
        <v>#REF!</v>
      </c>
      <c r="AB66" s="52">
        <v>0</v>
      </c>
    </row>
    <row r="67" spans="1:31" ht="12.75" customHeight="1" x14ac:dyDescent="0.2">
      <c r="A67" s="1110"/>
      <c r="B67" s="1111"/>
      <c r="C67" s="1112"/>
      <c r="D67" s="54" t="s">
        <v>20</v>
      </c>
      <c r="E67" s="1618"/>
      <c r="F67" s="1618"/>
      <c r="G67" s="52">
        <v>0</v>
      </c>
      <c r="H67" s="52">
        <v>0</v>
      </c>
      <c r="I67" s="52">
        <v>0</v>
      </c>
      <c r="J67" s="52">
        <v>0</v>
      </c>
      <c r="K67" s="52">
        <v>0</v>
      </c>
      <c r="L67" s="52">
        <v>0</v>
      </c>
      <c r="M67" s="52">
        <v>0</v>
      </c>
      <c r="N67" s="52">
        <v>0</v>
      </c>
      <c r="O67" s="52">
        <v>0</v>
      </c>
      <c r="P67" s="52">
        <v>0</v>
      </c>
      <c r="Q67" s="52">
        <v>0</v>
      </c>
      <c r="R67" s="52">
        <v>0</v>
      </c>
      <c r="S67" s="52">
        <v>0</v>
      </c>
      <c r="T67" s="52">
        <v>0</v>
      </c>
      <c r="U67" s="52">
        <v>0</v>
      </c>
      <c r="V67" s="52">
        <v>0</v>
      </c>
      <c r="W67" s="52">
        <v>0</v>
      </c>
      <c r="X67" s="52">
        <v>0</v>
      </c>
      <c r="Y67" s="119" t="e">
        <f>+Y66*E66</f>
        <v>#N/A</v>
      </c>
      <c r="Z67" s="119" t="e">
        <f>+Z66*E66</f>
        <v>#REF!</v>
      </c>
      <c r="AA67" s="119" t="e">
        <f>+AA66*E66</f>
        <v>#REF!</v>
      </c>
      <c r="AB67" s="52">
        <v>0</v>
      </c>
    </row>
    <row r="68" spans="1:31" ht="12.75" customHeight="1" x14ac:dyDescent="0.2">
      <c r="A68" s="1616" t="s">
        <v>872</v>
      </c>
      <c r="B68" s="1108"/>
      <c r="C68" s="1109"/>
      <c r="D68" s="54" t="s">
        <v>180</v>
      </c>
      <c r="E68" s="1617" t="e">
        <f>VLOOKUP(A68,AA_Materiales,16,FALSE)</f>
        <v>#N/A</v>
      </c>
      <c r="F68" s="1619" t="e">
        <f>SUM(G69:AB69)</f>
        <v>#REF!</v>
      </c>
      <c r="G68" s="52">
        <v>0</v>
      </c>
      <c r="H68" s="52">
        <v>0</v>
      </c>
      <c r="I68" s="52">
        <v>0</v>
      </c>
      <c r="J68" s="52">
        <v>0</v>
      </c>
      <c r="K68" s="52">
        <v>0</v>
      </c>
      <c r="L68" s="52">
        <v>0</v>
      </c>
      <c r="M68" s="52">
        <v>0</v>
      </c>
      <c r="N68" s="52">
        <v>0</v>
      </c>
      <c r="O68" s="52">
        <v>0</v>
      </c>
      <c r="P68" s="52">
        <v>0</v>
      </c>
      <c r="Q68" s="52">
        <v>0</v>
      </c>
      <c r="R68" s="52">
        <v>0</v>
      </c>
      <c r="S68" s="52">
        <v>0</v>
      </c>
      <c r="T68" s="52">
        <v>0</v>
      </c>
      <c r="U68" s="52">
        <v>0</v>
      </c>
      <c r="V68" s="52">
        <v>0</v>
      </c>
      <c r="W68" s="52">
        <v>0</v>
      </c>
      <c r="X68" s="52">
        <v>0</v>
      </c>
      <c r="Y68" s="52">
        <v>0</v>
      </c>
      <c r="Z68" s="119" t="e">
        <f>1*'PTO OC PLIEGO'!#REF!</f>
        <v>#REF!</v>
      </c>
      <c r="AA68" s="52">
        <v>0</v>
      </c>
      <c r="AB68" s="52">
        <v>0</v>
      </c>
    </row>
    <row r="69" spans="1:31" ht="12.75" customHeight="1" x14ac:dyDescent="0.2">
      <c r="A69" s="1110"/>
      <c r="B69" s="1111"/>
      <c r="C69" s="1112"/>
      <c r="D69" s="54" t="s">
        <v>20</v>
      </c>
      <c r="E69" s="1618"/>
      <c r="F69" s="1618"/>
      <c r="G69" s="52">
        <v>0</v>
      </c>
      <c r="H69" s="52">
        <v>0</v>
      </c>
      <c r="I69" s="52">
        <v>0</v>
      </c>
      <c r="J69" s="52">
        <v>0</v>
      </c>
      <c r="K69" s="52">
        <v>0</v>
      </c>
      <c r="L69" s="52">
        <v>0</v>
      </c>
      <c r="M69" s="52">
        <v>0</v>
      </c>
      <c r="N69" s="52">
        <v>0</v>
      </c>
      <c r="O69" s="52">
        <v>0</v>
      </c>
      <c r="P69" s="52">
        <v>0</v>
      </c>
      <c r="Q69" s="52">
        <v>0</v>
      </c>
      <c r="R69" s="52">
        <v>0</v>
      </c>
      <c r="S69" s="52">
        <v>0</v>
      </c>
      <c r="T69" s="52">
        <v>0</v>
      </c>
      <c r="U69" s="52">
        <v>0</v>
      </c>
      <c r="V69" s="52">
        <v>0</v>
      </c>
      <c r="W69" s="52">
        <v>0</v>
      </c>
      <c r="X69" s="52">
        <v>0</v>
      </c>
      <c r="Y69" s="52">
        <v>0</v>
      </c>
      <c r="Z69" s="119" t="e">
        <f>+Z68*E68</f>
        <v>#REF!</v>
      </c>
      <c r="AA69" s="52">
        <v>0</v>
      </c>
      <c r="AB69" s="52">
        <v>0</v>
      </c>
    </row>
    <row r="70" spans="1:31" ht="12.75" customHeight="1" x14ac:dyDescent="0.2">
      <c r="A70" s="1620" t="s">
        <v>70</v>
      </c>
      <c r="B70" s="1057"/>
      <c r="C70" s="1057"/>
      <c r="D70" s="1057"/>
      <c r="E70" s="1058"/>
      <c r="F70" s="57" t="e">
        <f>+SUM(F71:F72)</f>
        <v>#REF!</v>
      </c>
      <c r="G70" s="58"/>
      <c r="H70" s="58"/>
      <c r="I70" s="58"/>
      <c r="J70" s="58"/>
      <c r="K70" s="58"/>
      <c r="L70" s="58"/>
      <c r="M70" s="58"/>
      <c r="N70" s="58"/>
      <c r="O70" s="58"/>
      <c r="P70" s="58"/>
      <c r="Q70" s="58"/>
      <c r="R70" s="58"/>
      <c r="S70" s="58"/>
      <c r="T70" s="58"/>
      <c r="U70" s="58"/>
      <c r="V70" s="58"/>
      <c r="W70" s="58"/>
      <c r="X70" s="58"/>
      <c r="Y70" s="58"/>
      <c r="Z70" s="58"/>
      <c r="AA70" s="58"/>
      <c r="AB70" s="58"/>
    </row>
    <row r="71" spans="1:31" ht="12.75" customHeight="1" x14ac:dyDescent="0.2">
      <c r="A71" s="1616" t="s">
        <v>873</v>
      </c>
      <c r="B71" s="1108"/>
      <c r="C71" s="1109"/>
      <c r="D71" s="54" t="s">
        <v>830</v>
      </c>
      <c r="E71" s="1617" t="e">
        <f>VLOOKUP(A71,AA_Materiales,16,FALSE)</f>
        <v>#N/A</v>
      </c>
      <c r="F71" s="1619" t="e">
        <f>SUM(G72:AB72)</f>
        <v>#REF!</v>
      </c>
      <c r="G71" s="52">
        <v>0</v>
      </c>
      <c r="H71" s="52">
        <v>0</v>
      </c>
      <c r="I71" s="52">
        <v>0</v>
      </c>
      <c r="J71" s="52">
        <v>0</v>
      </c>
      <c r="K71" s="52"/>
      <c r="L71" s="52">
        <v>0</v>
      </c>
      <c r="M71" s="52">
        <v>0</v>
      </c>
      <c r="N71" s="52">
        <v>0</v>
      </c>
      <c r="O71" s="52">
        <v>0</v>
      </c>
      <c r="P71" s="52">
        <v>0</v>
      </c>
      <c r="Q71" s="52">
        <v>0</v>
      </c>
      <c r="R71" s="52">
        <v>0</v>
      </c>
      <c r="S71" s="52">
        <v>0</v>
      </c>
      <c r="T71" s="52">
        <v>0</v>
      </c>
      <c r="U71" s="52"/>
      <c r="V71" s="52">
        <v>0</v>
      </c>
      <c r="W71" s="52">
        <v>0</v>
      </c>
      <c r="X71" s="52">
        <v>0</v>
      </c>
      <c r="Y71" s="52">
        <v>0</v>
      </c>
      <c r="Z71" s="52">
        <v>0</v>
      </c>
      <c r="AA71" s="52">
        <v>0</v>
      </c>
      <c r="AB71" s="118" t="e">
        <f>1*'PTO OC PLIEGO'!#REF!</f>
        <v>#REF!</v>
      </c>
    </row>
    <row r="72" spans="1:31" ht="12.75" customHeight="1" x14ac:dyDescent="0.2">
      <c r="A72" s="1110"/>
      <c r="B72" s="1111"/>
      <c r="C72" s="1112"/>
      <c r="D72" s="54" t="s">
        <v>20</v>
      </c>
      <c r="E72" s="1618"/>
      <c r="F72" s="1618"/>
      <c r="G72" s="52">
        <v>0</v>
      </c>
      <c r="H72" s="52">
        <v>0</v>
      </c>
      <c r="I72" s="52">
        <v>0</v>
      </c>
      <c r="J72" s="52">
        <v>0</v>
      </c>
      <c r="K72" s="52">
        <v>0</v>
      </c>
      <c r="L72" s="52">
        <v>0</v>
      </c>
      <c r="M72" s="52">
        <v>0</v>
      </c>
      <c r="N72" s="52">
        <v>0</v>
      </c>
      <c r="O72" s="52">
        <v>0</v>
      </c>
      <c r="P72" s="52">
        <v>0</v>
      </c>
      <c r="Q72" s="52">
        <v>0</v>
      </c>
      <c r="R72" s="52">
        <v>0</v>
      </c>
      <c r="S72" s="52">
        <v>0</v>
      </c>
      <c r="T72" s="52">
        <v>0</v>
      </c>
      <c r="U72" s="52">
        <v>0</v>
      </c>
      <c r="V72" s="52">
        <v>0</v>
      </c>
      <c r="W72" s="52">
        <v>0</v>
      </c>
      <c r="X72" s="52">
        <v>0</v>
      </c>
      <c r="Y72" s="52">
        <v>0</v>
      </c>
      <c r="Z72" s="52">
        <v>0</v>
      </c>
      <c r="AA72" s="52">
        <v>0</v>
      </c>
      <c r="AB72" s="118" t="e">
        <f>+AB71*E71</f>
        <v>#REF!</v>
      </c>
    </row>
    <row r="73" spans="1:31" ht="12.75" customHeight="1" x14ac:dyDescent="0.25">
      <c r="A73" s="61"/>
      <c r="B73" s="61"/>
      <c r="C73" s="61"/>
      <c r="D73" s="61"/>
      <c r="E73" s="61"/>
      <c r="F73" s="61"/>
      <c r="G73" s="3"/>
      <c r="H73" s="3"/>
      <c r="I73" s="3"/>
      <c r="J73" s="3"/>
      <c r="K73" s="3"/>
      <c r="L73" s="3"/>
      <c r="M73" s="3"/>
      <c r="N73" s="3"/>
      <c r="O73" s="3"/>
      <c r="P73" s="3"/>
      <c r="Q73" s="3"/>
      <c r="R73" s="3"/>
      <c r="S73" s="3"/>
      <c r="T73" s="3"/>
      <c r="U73" s="3"/>
      <c r="V73" s="3"/>
      <c r="W73" s="3"/>
      <c r="X73" s="3"/>
      <c r="Y73" s="3"/>
      <c r="Z73" s="3"/>
      <c r="AA73" s="3"/>
      <c r="AB73" s="3"/>
    </row>
    <row r="74" spans="1:31" ht="12.75" customHeight="1" x14ac:dyDescent="0.2"/>
    <row r="75" spans="1:31" ht="12.75" customHeight="1" x14ac:dyDescent="0.2"/>
    <row r="76" spans="1:31" ht="13.5" customHeight="1" x14ac:dyDescent="0.2">
      <c r="A76" s="1623" t="s">
        <v>23</v>
      </c>
      <c r="B76" s="1108"/>
      <c r="C76" s="1108"/>
      <c r="D76" s="1109"/>
      <c r="E76" s="1617" t="s">
        <v>827</v>
      </c>
      <c r="F76" s="56" t="s">
        <v>132</v>
      </c>
      <c r="G76" s="51" t="s">
        <v>79</v>
      </c>
      <c r="H76" s="1322" t="s">
        <v>81</v>
      </c>
      <c r="I76" s="1057"/>
      <c r="J76" s="1058"/>
      <c r="K76" s="1322" t="s">
        <v>85</v>
      </c>
      <c r="L76" s="1058"/>
      <c r="M76" s="1322" t="s">
        <v>88</v>
      </c>
      <c r="N76" s="1057"/>
      <c r="O76" s="1057"/>
      <c r="P76" s="1057"/>
      <c r="Q76" s="1057"/>
      <c r="R76" s="1322" t="s">
        <v>94</v>
      </c>
      <c r="S76" s="1058"/>
      <c r="T76" s="1271" t="s">
        <v>97</v>
      </c>
      <c r="U76" s="1272"/>
      <c r="V76" s="1272"/>
      <c r="W76" s="1272"/>
      <c r="X76" s="1272"/>
      <c r="Y76" s="1272"/>
      <c r="Z76" s="1272"/>
      <c r="AA76" s="1272"/>
      <c r="AB76" s="1272"/>
      <c r="AC76" s="1272"/>
      <c r="AD76" s="1322" t="s">
        <v>1170</v>
      </c>
      <c r="AE76" s="1058"/>
    </row>
    <row r="77" spans="1:31" ht="13.5" customHeight="1" x14ac:dyDescent="0.2">
      <c r="A77" s="1229"/>
      <c r="B77" s="1230"/>
      <c r="C77" s="1230"/>
      <c r="D77" s="1231"/>
      <c r="E77" s="1622"/>
      <c r="F77" s="1624" t="e">
        <f>+F80+F91+F151</f>
        <v>#REF!</v>
      </c>
      <c r="G77" s="1621" t="s">
        <v>80</v>
      </c>
      <c r="H77" s="1621" t="s">
        <v>82</v>
      </c>
      <c r="I77" s="1621" t="s">
        <v>83</v>
      </c>
      <c r="J77" s="1621" t="s">
        <v>84</v>
      </c>
      <c r="K77" s="1621" t="s">
        <v>86</v>
      </c>
      <c r="L77" s="1621" t="s">
        <v>87</v>
      </c>
      <c r="M77" s="1621" t="s">
        <v>89</v>
      </c>
      <c r="N77" s="1621" t="s">
        <v>90</v>
      </c>
      <c r="O77" s="1621" t="s">
        <v>91</v>
      </c>
      <c r="P77" s="1621" t="s">
        <v>92</v>
      </c>
      <c r="Q77" s="1621" t="s">
        <v>93</v>
      </c>
      <c r="R77" s="1621" t="s">
        <v>831</v>
      </c>
      <c r="S77" s="1621" t="s">
        <v>832</v>
      </c>
      <c r="T77" s="1621" t="s">
        <v>98</v>
      </c>
      <c r="U77" s="1621" t="s">
        <v>99</v>
      </c>
      <c r="V77" s="1621" t="s">
        <v>1162</v>
      </c>
      <c r="W77" s="1621" t="s">
        <v>1163</v>
      </c>
      <c r="X77" s="1621" t="s">
        <v>1164</v>
      </c>
      <c r="Y77" s="1621" t="s">
        <v>1165</v>
      </c>
      <c r="Z77" s="1621" t="s">
        <v>1166</v>
      </c>
      <c r="AA77" s="1621" t="s">
        <v>96</v>
      </c>
      <c r="AB77" s="1621" t="s">
        <v>1168</v>
      </c>
      <c r="AC77" s="1621" t="s">
        <v>1169</v>
      </c>
      <c r="AD77" s="1621" t="s">
        <v>1171</v>
      </c>
      <c r="AE77" s="1621" t="s">
        <v>1172</v>
      </c>
    </row>
    <row r="78" spans="1:31" ht="13.5" customHeight="1" x14ac:dyDescent="0.2">
      <c r="A78" s="1029"/>
      <c r="B78" s="1230"/>
      <c r="C78" s="1230"/>
      <c r="D78" s="1054"/>
      <c r="E78" s="1622"/>
      <c r="F78" s="1622"/>
      <c r="G78" s="1622"/>
      <c r="H78" s="1622"/>
      <c r="I78" s="1622"/>
      <c r="J78" s="1622"/>
      <c r="K78" s="1622"/>
      <c r="L78" s="1622"/>
      <c r="M78" s="1622"/>
      <c r="N78" s="1622"/>
      <c r="O78" s="1622"/>
      <c r="P78" s="1622"/>
      <c r="Q78" s="1622"/>
      <c r="R78" s="1622"/>
      <c r="S78" s="1622"/>
      <c r="T78" s="1622"/>
      <c r="U78" s="1622"/>
      <c r="V78" s="1622"/>
      <c r="W78" s="1622"/>
      <c r="X78" s="1622"/>
      <c r="Y78" s="1622"/>
      <c r="Z78" s="1622"/>
      <c r="AA78" s="1622"/>
      <c r="AB78" s="1622"/>
      <c r="AC78" s="1622"/>
      <c r="AD78" s="1622"/>
      <c r="AE78" s="1622"/>
    </row>
    <row r="79" spans="1:31" ht="13.5" customHeight="1" x14ac:dyDescent="0.2">
      <c r="A79" s="1110"/>
      <c r="B79" s="1111"/>
      <c r="C79" s="1111"/>
      <c r="D79" s="1112"/>
      <c r="E79" s="1618"/>
      <c r="F79" s="1618"/>
      <c r="G79" s="1618"/>
      <c r="H79" s="1618"/>
      <c r="I79" s="1618"/>
      <c r="J79" s="1618"/>
      <c r="K79" s="1618"/>
      <c r="L79" s="1618"/>
      <c r="M79" s="1618"/>
      <c r="N79" s="1618"/>
      <c r="O79" s="1618"/>
      <c r="P79" s="1618"/>
      <c r="Q79" s="1618"/>
      <c r="R79" s="1618"/>
      <c r="S79" s="1618"/>
      <c r="T79" s="1618"/>
      <c r="U79" s="1618"/>
      <c r="V79" s="1618"/>
      <c r="W79" s="1618"/>
      <c r="X79" s="1618"/>
      <c r="Y79" s="1618"/>
      <c r="Z79" s="1618"/>
      <c r="AA79" s="1618"/>
      <c r="AB79" s="1618"/>
      <c r="AC79" s="1618"/>
      <c r="AD79" s="1618"/>
      <c r="AE79" s="1618"/>
    </row>
    <row r="80" spans="1:31" ht="12.75" customHeight="1" x14ac:dyDescent="0.2">
      <c r="A80" s="1620" t="s">
        <v>828</v>
      </c>
      <c r="B80" s="1057"/>
      <c r="C80" s="1057"/>
      <c r="D80" s="1057"/>
      <c r="E80" s="1058"/>
      <c r="F80" s="49" t="e">
        <f>+SUM(F81:F90)</f>
        <v>#REF!</v>
      </c>
      <c r="G80" s="62"/>
      <c r="H80" s="62"/>
      <c r="I80" s="62"/>
      <c r="J80" s="62"/>
      <c r="K80" s="62"/>
      <c r="L80" s="62"/>
      <c r="M80" s="62"/>
      <c r="N80" s="62"/>
      <c r="O80" s="62"/>
      <c r="P80" s="62"/>
      <c r="Q80" s="62"/>
      <c r="R80" s="62"/>
      <c r="S80" s="62"/>
      <c r="T80" s="62"/>
      <c r="U80" s="62"/>
      <c r="V80" s="62"/>
      <c r="W80" s="62"/>
      <c r="X80" s="62"/>
      <c r="Y80" s="62"/>
      <c r="Z80" s="62"/>
      <c r="AA80" s="62"/>
      <c r="AB80" s="62"/>
      <c r="AC80" s="62"/>
      <c r="AD80" s="62"/>
      <c r="AE80" s="62"/>
    </row>
    <row r="81" spans="1:31" ht="13.5" customHeight="1" x14ac:dyDescent="0.2">
      <c r="A81" s="1616" t="s">
        <v>408</v>
      </c>
      <c r="B81" s="1108"/>
      <c r="C81" s="1109"/>
      <c r="D81" s="54" t="s">
        <v>557</v>
      </c>
      <c r="E81" s="1617">
        <f>VLOOKUP(A81,AA_Materiales,16,FALSE)</f>
        <v>0</v>
      </c>
      <c r="F81" s="1619" t="e">
        <f>SUM(G82:AE82)</f>
        <v>#REF!</v>
      </c>
      <c r="G81" s="52">
        <v>0</v>
      </c>
      <c r="H81" s="52">
        <v>0</v>
      </c>
      <c r="I81" s="52">
        <v>0</v>
      </c>
      <c r="J81" s="52">
        <v>0</v>
      </c>
      <c r="K81" s="52">
        <v>0</v>
      </c>
      <c r="L81" s="52">
        <v>0</v>
      </c>
      <c r="M81" s="118">
        <f>180*'PTO OC PLIEGO'!J41</f>
        <v>15127.2</v>
      </c>
      <c r="N81" s="118" t="e">
        <f>200*'PTO OC PLIEGO'!#REF!</f>
        <v>#REF!</v>
      </c>
      <c r="O81" s="118" t="e">
        <f>200*'PTO OC PLIEGO'!#REF!</f>
        <v>#REF!</v>
      </c>
      <c r="P81" s="118" t="e">
        <f>200*'PTO OC PLIEGO'!#REF!</f>
        <v>#REF!</v>
      </c>
      <c r="Q81" s="118" t="e">
        <f>180*'PTO OC PLIEGO'!#REF!</f>
        <v>#REF!</v>
      </c>
      <c r="R81" s="52">
        <v>0</v>
      </c>
      <c r="S81" s="52">
        <v>0</v>
      </c>
      <c r="T81" s="52">
        <v>0</v>
      </c>
      <c r="U81" s="52">
        <v>0</v>
      </c>
      <c r="V81" s="52">
        <v>0</v>
      </c>
      <c r="W81" s="52">
        <v>0</v>
      </c>
      <c r="X81" s="52">
        <v>0</v>
      </c>
      <c r="Y81" s="52">
        <v>0</v>
      </c>
      <c r="Z81" s="52">
        <v>0</v>
      </c>
      <c r="AA81" s="52">
        <v>0</v>
      </c>
      <c r="AB81" s="52">
        <v>0</v>
      </c>
      <c r="AC81" s="52">
        <v>0</v>
      </c>
      <c r="AD81" s="52">
        <v>0</v>
      </c>
      <c r="AE81" s="52">
        <v>0</v>
      </c>
    </row>
    <row r="82" spans="1:31" ht="13.5" customHeight="1" x14ac:dyDescent="0.2">
      <c r="A82" s="1110"/>
      <c r="B82" s="1111"/>
      <c r="C82" s="1112"/>
      <c r="D82" s="54" t="s">
        <v>20</v>
      </c>
      <c r="E82" s="1618"/>
      <c r="F82" s="1618"/>
      <c r="G82" s="52">
        <v>0</v>
      </c>
      <c r="H82" s="52">
        <v>0</v>
      </c>
      <c r="I82" s="52">
        <v>0</v>
      </c>
      <c r="J82" s="52">
        <v>0</v>
      </c>
      <c r="K82" s="52">
        <v>0</v>
      </c>
      <c r="L82" s="52">
        <v>0</v>
      </c>
      <c r="M82" s="118">
        <f>+M81*E81</f>
        <v>0</v>
      </c>
      <c r="N82" s="118" t="e">
        <f>+N81*E81</f>
        <v>#REF!</v>
      </c>
      <c r="O82" s="118" t="e">
        <f>+O81*E81</f>
        <v>#REF!</v>
      </c>
      <c r="P82" s="118" t="e">
        <f>+P81*E81</f>
        <v>#REF!</v>
      </c>
      <c r="Q82" s="118" t="e">
        <f>+Q81*E81</f>
        <v>#REF!</v>
      </c>
      <c r="R82" s="52">
        <v>0</v>
      </c>
      <c r="S82" s="52">
        <v>0</v>
      </c>
      <c r="T82" s="52">
        <v>0</v>
      </c>
      <c r="U82" s="52">
        <v>0</v>
      </c>
      <c r="V82" s="52">
        <v>0</v>
      </c>
      <c r="W82" s="52">
        <v>0</v>
      </c>
      <c r="X82" s="52">
        <v>0</v>
      </c>
      <c r="Y82" s="52">
        <v>0</v>
      </c>
      <c r="Z82" s="52">
        <v>0</v>
      </c>
      <c r="AA82" s="52">
        <v>0</v>
      </c>
      <c r="AB82" s="52">
        <v>0</v>
      </c>
      <c r="AC82" s="52">
        <v>0</v>
      </c>
      <c r="AD82" s="52">
        <v>0</v>
      </c>
      <c r="AE82" s="52">
        <v>0</v>
      </c>
    </row>
    <row r="83" spans="1:31" ht="13.5" customHeight="1" x14ac:dyDescent="0.2">
      <c r="A83" s="1616" t="s">
        <v>406</v>
      </c>
      <c r="B83" s="1108"/>
      <c r="C83" s="1109"/>
      <c r="D83" s="54" t="s">
        <v>399</v>
      </c>
      <c r="E83" s="1617" t="e">
        <f>VLOOKUP(A83,AA_Materiales,16,FALSE)</f>
        <v>#N/A</v>
      </c>
      <c r="F83" s="1619" t="e">
        <f>SUM(G84:AE84)</f>
        <v>#N/A</v>
      </c>
      <c r="G83" s="52">
        <v>0</v>
      </c>
      <c r="H83" s="52">
        <v>0</v>
      </c>
      <c r="I83" s="52">
        <v>0</v>
      </c>
      <c r="J83" s="52">
        <v>0</v>
      </c>
      <c r="K83" s="52">
        <v>0</v>
      </c>
      <c r="L83" s="52">
        <v>0</v>
      </c>
      <c r="M83" s="118">
        <f>0.6*'PTO OC PLIEGO'!J41</f>
        <v>50.423999999999999</v>
      </c>
      <c r="N83" s="118" t="e">
        <f>0.58*'PTO OC PLIEGO'!#REF!</f>
        <v>#REF!</v>
      </c>
      <c r="O83" s="118" t="e">
        <f>0.58*'PTO OC PLIEGO'!#REF!</f>
        <v>#REF!</v>
      </c>
      <c r="P83" s="118" t="e">
        <f>0.58*'PTO OC PLIEGO'!#REF!</f>
        <v>#REF!</v>
      </c>
      <c r="Q83" s="118" t="e">
        <f>0.555*'PTO OC PLIEGO'!#REF!</f>
        <v>#REF!</v>
      </c>
      <c r="R83" s="52">
        <v>0</v>
      </c>
      <c r="S83" s="52">
        <v>0</v>
      </c>
      <c r="T83" s="52">
        <v>0</v>
      </c>
      <c r="U83" s="52">
        <v>0</v>
      </c>
      <c r="V83" s="52">
        <v>0</v>
      </c>
      <c r="W83" s="52">
        <v>0</v>
      </c>
      <c r="X83" s="52">
        <v>0</v>
      </c>
      <c r="Y83" s="52">
        <v>0</v>
      </c>
      <c r="Z83" s="52">
        <v>0</v>
      </c>
      <c r="AA83" s="52">
        <v>0</v>
      </c>
      <c r="AB83" s="52">
        <v>0</v>
      </c>
      <c r="AC83" s="52">
        <v>0</v>
      </c>
      <c r="AD83" s="52">
        <v>0</v>
      </c>
      <c r="AE83" s="52">
        <v>0</v>
      </c>
    </row>
    <row r="84" spans="1:31" ht="13.5" customHeight="1" x14ac:dyDescent="0.2">
      <c r="A84" s="1110"/>
      <c r="B84" s="1111"/>
      <c r="C84" s="1112"/>
      <c r="D84" s="54" t="s">
        <v>20</v>
      </c>
      <c r="E84" s="1618"/>
      <c r="F84" s="1618"/>
      <c r="G84" s="52">
        <v>0</v>
      </c>
      <c r="H84" s="52">
        <v>0</v>
      </c>
      <c r="I84" s="52">
        <v>0</v>
      </c>
      <c r="J84" s="52">
        <v>0</v>
      </c>
      <c r="K84" s="52">
        <v>0</v>
      </c>
      <c r="L84" s="52">
        <v>0</v>
      </c>
      <c r="M84" s="118" t="e">
        <f>+M83*E83</f>
        <v>#N/A</v>
      </c>
      <c r="N84" s="118" t="e">
        <f>+N83*E83</f>
        <v>#REF!</v>
      </c>
      <c r="O84" s="118" t="e">
        <f>+O83*E83</f>
        <v>#REF!</v>
      </c>
      <c r="P84" s="118" t="e">
        <f>+P83*E83</f>
        <v>#REF!</v>
      </c>
      <c r="Q84" s="118" t="e">
        <f>+Q83*E83</f>
        <v>#REF!</v>
      </c>
      <c r="R84" s="52">
        <v>0</v>
      </c>
      <c r="S84" s="52">
        <v>0</v>
      </c>
      <c r="T84" s="52">
        <v>0</v>
      </c>
      <c r="U84" s="52">
        <v>0</v>
      </c>
      <c r="V84" s="52">
        <v>0</v>
      </c>
      <c r="W84" s="52">
        <v>0</v>
      </c>
      <c r="X84" s="52">
        <v>0</v>
      </c>
      <c r="Y84" s="52">
        <v>0</v>
      </c>
      <c r="Z84" s="52">
        <v>0</v>
      </c>
      <c r="AA84" s="52">
        <v>0</v>
      </c>
      <c r="AB84" s="52">
        <v>0</v>
      </c>
      <c r="AC84" s="52">
        <v>0</v>
      </c>
      <c r="AD84" s="52">
        <v>0</v>
      </c>
      <c r="AE84" s="52">
        <v>0</v>
      </c>
    </row>
    <row r="85" spans="1:31" ht="13.5" customHeight="1" x14ac:dyDescent="0.2">
      <c r="A85" s="1616" t="s">
        <v>405</v>
      </c>
      <c r="B85" s="1108"/>
      <c r="C85" s="1109"/>
      <c r="D85" s="54" t="s">
        <v>20</v>
      </c>
      <c r="E85" s="1617">
        <f>VLOOKUP(A85,AA_Materiales,16,FALSE)</f>
        <v>0</v>
      </c>
      <c r="F85" s="1619" t="e">
        <f>SUM(G86:AE86)</f>
        <v>#REF!</v>
      </c>
      <c r="G85" s="52">
        <v>0</v>
      </c>
      <c r="H85" s="52">
        <v>0</v>
      </c>
      <c r="I85" s="52">
        <v>0</v>
      </c>
      <c r="J85" s="52">
        <v>0</v>
      </c>
      <c r="K85" s="52">
        <v>0</v>
      </c>
      <c r="L85" s="52">
        <v>0</v>
      </c>
      <c r="M85" s="118">
        <f>230*'PTO OC PLIEGO'!J41</f>
        <v>19329.2</v>
      </c>
      <c r="N85" s="118" t="e">
        <f>425*'PTO OC PLIEGO'!#REF!</f>
        <v>#REF!</v>
      </c>
      <c r="O85" s="118" t="e">
        <f>425*'PTO OC PLIEGO'!#REF!</f>
        <v>#REF!</v>
      </c>
      <c r="P85" s="118" t="e">
        <f>425*'PTO OC PLIEGO'!#REF!</f>
        <v>#REF!</v>
      </c>
      <c r="Q85" s="118" t="e">
        <f>350*'PTO OC PLIEGO'!#REF!</f>
        <v>#REF!</v>
      </c>
      <c r="R85" s="52">
        <v>0</v>
      </c>
      <c r="S85" s="52">
        <v>0</v>
      </c>
      <c r="T85" s="52">
        <v>0</v>
      </c>
      <c r="U85" s="52">
        <v>0</v>
      </c>
      <c r="V85" s="52">
        <v>0</v>
      </c>
      <c r="W85" s="52">
        <v>0</v>
      </c>
      <c r="X85" s="52">
        <v>0</v>
      </c>
      <c r="Y85" s="52">
        <v>0</v>
      </c>
      <c r="Z85" s="52">
        <v>0</v>
      </c>
      <c r="AA85" s="52">
        <v>0</v>
      </c>
      <c r="AB85" s="52">
        <v>0</v>
      </c>
      <c r="AC85" s="52">
        <v>0</v>
      </c>
      <c r="AD85" s="52">
        <v>0</v>
      </c>
      <c r="AE85" s="52">
        <v>0</v>
      </c>
    </row>
    <row r="86" spans="1:31" ht="13.5" customHeight="1" x14ac:dyDescent="0.2">
      <c r="A86" s="1110"/>
      <c r="B86" s="1111"/>
      <c r="C86" s="1112"/>
      <c r="D86" s="54" t="s">
        <v>20</v>
      </c>
      <c r="E86" s="1618"/>
      <c r="F86" s="1618"/>
      <c r="G86" s="52">
        <v>0</v>
      </c>
      <c r="H86" s="52">
        <v>0</v>
      </c>
      <c r="I86" s="52">
        <v>0</v>
      </c>
      <c r="J86" s="52">
        <v>0</v>
      </c>
      <c r="K86" s="52">
        <v>0</v>
      </c>
      <c r="L86" s="52">
        <v>0</v>
      </c>
      <c r="M86" s="118">
        <f>+M85*E85</f>
        <v>0</v>
      </c>
      <c r="N86" s="118" t="e">
        <f>+N85*E85</f>
        <v>#REF!</v>
      </c>
      <c r="O86" s="118" t="e">
        <f>+O85*E85</f>
        <v>#REF!</v>
      </c>
      <c r="P86" s="118" t="e">
        <f>+P85*E85</f>
        <v>#REF!</v>
      </c>
      <c r="Q86" s="118" t="e">
        <f>+Q85*E85</f>
        <v>#REF!</v>
      </c>
      <c r="R86" s="52">
        <v>0</v>
      </c>
      <c r="S86" s="52">
        <v>0</v>
      </c>
      <c r="T86" s="52">
        <v>0</v>
      </c>
      <c r="U86" s="52">
        <v>0</v>
      </c>
      <c r="V86" s="52">
        <v>0</v>
      </c>
      <c r="W86" s="52">
        <v>0</v>
      </c>
      <c r="X86" s="52">
        <v>0</v>
      </c>
      <c r="Y86" s="52">
        <v>0</v>
      </c>
      <c r="Z86" s="52">
        <v>0</v>
      </c>
      <c r="AA86" s="52">
        <v>0</v>
      </c>
      <c r="AB86" s="52">
        <v>0</v>
      </c>
      <c r="AC86" s="52">
        <v>0</v>
      </c>
      <c r="AD86" s="52">
        <v>0</v>
      </c>
      <c r="AE86" s="52">
        <v>0</v>
      </c>
    </row>
    <row r="87" spans="1:31" ht="13.5" customHeight="1" x14ac:dyDescent="0.2">
      <c r="A87" s="1616" t="s">
        <v>422</v>
      </c>
      <c r="B87" s="1108"/>
      <c r="C87" s="1109"/>
      <c r="D87" s="54" t="s">
        <v>399</v>
      </c>
      <c r="E87" s="1617">
        <f>VLOOKUP(A87,AA_Materiales,16,FALSE)</f>
        <v>0</v>
      </c>
      <c r="F87" s="1619" t="e">
        <f>SUM(G88:AE88)</f>
        <v>#REF!</v>
      </c>
      <c r="G87" s="52">
        <v>0</v>
      </c>
      <c r="H87" s="52">
        <v>0</v>
      </c>
      <c r="I87" s="52">
        <v>0</v>
      </c>
      <c r="J87" s="52">
        <v>0</v>
      </c>
      <c r="K87" s="52" t="e">
        <f>1.25*'PTO OC PLIEGO'!#REF!</f>
        <v>#REF!</v>
      </c>
      <c r="L87" s="52">
        <v>0</v>
      </c>
      <c r="M87" s="52">
        <v>0</v>
      </c>
      <c r="N87" s="52">
        <v>0</v>
      </c>
      <c r="O87" s="52">
        <v>0</v>
      </c>
      <c r="P87" s="52">
        <v>0</v>
      </c>
      <c r="Q87" s="52">
        <v>0</v>
      </c>
      <c r="R87" s="52">
        <v>0</v>
      </c>
      <c r="S87" s="52">
        <v>0</v>
      </c>
      <c r="T87" s="52">
        <v>0</v>
      </c>
      <c r="U87" s="52">
        <v>0</v>
      </c>
      <c r="V87" s="52">
        <v>0</v>
      </c>
      <c r="W87" s="52">
        <v>0</v>
      </c>
      <c r="X87" s="52">
        <v>0</v>
      </c>
      <c r="Y87" s="52">
        <v>0</v>
      </c>
      <c r="Z87" s="52">
        <v>0</v>
      </c>
      <c r="AA87" s="52">
        <v>0</v>
      </c>
      <c r="AB87" s="52">
        <v>0</v>
      </c>
      <c r="AC87" s="52">
        <v>0</v>
      </c>
      <c r="AD87" s="52">
        <v>0</v>
      </c>
      <c r="AE87" s="52">
        <v>0</v>
      </c>
    </row>
    <row r="88" spans="1:31" ht="13.5" customHeight="1" x14ac:dyDescent="0.2">
      <c r="A88" s="1110"/>
      <c r="B88" s="1111"/>
      <c r="C88" s="1112"/>
      <c r="D88" s="54" t="s">
        <v>20</v>
      </c>
      <c r="E88" s="1618"/>
      <c r="F88" s="1618"/>
      <c r="G88" s="52">
        <v>0</v>
      </c>
      <c r="H88" s="52">
        <v>0</v>
      </c>
      <c r="I88" s="52">
        <v>0</v>
      </c>
      <c r="J88" s="52">
        <v>0</v>
      </c>
      <c r="K88" s="52" t="e">
        <f>+K87*E87</f>
        <v>#REF!</v>
      </c>
      <c r="L88" s="52">
        <v>0</v>
      </c>
      <c r="M88" s="52">
        <v>0</v>
      </c>
      <c r="N88" s="52">
        <v>0</v>
      </c>
      <c r="O88" s="52">
        <v>0</v>
      </c>
      <c r="P88" s="52">
        <v>0</v>
      </c>
      <c r="Q88" s="52">
        <v>0</v>
      </c>
      <c r="R88" s="52">
        <v>0</v>
      </c>
      <c r="S88" s="52">
        <v>0</v>
      </c>
      <c r="T88" s="52">
        <v>0</v>
      </c>
      <c r="U88" s="52">
        <v>0</v>
      </c>
      <c r="V88" s="52">
        <v>0</v>
      </c>
      <c r="W88" s="52">
        <v>0</v>
      </c>
      <c r="X88" s="52">
        <v>0</v>
      </c>
      <c r="Y88" s="52">
        <v>0</v>
      </c>
      <c r="Z88" s="52">
        <v>0</v>
      </c>
      <c r="AA88" s="52">
        <v>0</v>
      </c>
      <c r="AB88" s="52">
        <v>0</v>
      </c>
      <c r="AC88" s="52">
        <v>0</v>
      </c>
      <c r="AD88" s="52">
        <v>0</v>
      </c>
      <c r="AE88" s="52">
        <v>0</v>
      </c>
    </row>
    <row r="89" spans="1:31" ht="13.5" customHeight="1" x14ac:dyDescent="0.2">
      <c r="A89" s="1616" t="s">
        <v>407</v>
      </c>
      <c r="B89" s="1108"/>
      <c r="C89" s="1109"/>
      <c r="D89" s="54" t="s">
        <v>399</v>
      </c>
      <c r="E89" s="1617" t="e">
        <f>VLOOKUP(A89,AA_Materiales,16,FALSE)</f>
        <v>#N/A</v>
      </c>
      <c r="F89" s="1619" t="e">
        <f>SUM(G90:AE90)</f>
        <v>#N/A</v>
      </c>
      <c r="G89" s="52">
        <v>0</v>
      </c>
      <c r="H89" s="52">
        <v>0</v>
      </c>
      <c r="I89" s="52">
        <v>0</v>
      </c>
      <c r="J89" s="52">
        <v>0</v>
      </c>
      <c r="K89" s="52">
        <v>0</v>
      </c>
      <c r="L89" s="52">
        <v>0</v>
      </c>
      <c r="M89" s="118">
        <f>0.8*'PTO OC PLIEGO'!J41</f>
        <v>67.232000000000014</v>
      </c>
      <c r="N89" s="118" t="e">
        <f>0.7*'PTO OC PLIEGO'!#REF!</f>
        <v>#REF!</v>
      </c>
      <c r="O89" s="118" t="e">
        <f>0.7*'PTO OC PLIEGO'!#REF!</f>
        <v>#REF!</v>
      </c>
      <c r="P89" s="118" t="e">
        <f>0.7*'PTO OC PLIEGO'!#REF!</f>
        <v>#REF!</v>
      </c>
      <c r="Q89" s="118" t="e">
        <f>0.835*'PTO OC PLIEGO'!#REF!</f>
        <v>#REF!</v>
      </c>
      <c r="R89" s="52">
        <v>0</v>
      </c>
      <c r="S89" s="52">
        <v>0</v>
      </c>
      <c r="T89" s="52">
        <v>0</v>
      </c>
      <c r="U89" s="52">
        <v>0</v>
      </c>
      <c r="V89" s="52">
        <v>0</v>
      </c>
      <c r="W89" s="52">
        <v>0</v>
      </c>
      <c r="X89" s="52">
        <v>0</v>
      </c>
      <c r="Y89" s="52">
        <v>0</v>
      </c>
      <c r="Z89" s="52">
        <v>0</v>
      </c>
      <c r="AA89" s="52">
        <v>0</v>
      </c>
      <c r="AB89" s="52">
        <v>0</v>
      </c>
      <c r="AC89" s="52">
        <v>0</v>
      </c>
      <c r="AD89" s="52">
        <v>0</v>
      </c>
      <c r="AE89" s="52">
        <v>0</v>
      </c>
    </row>
    <row r="90" spans="1:31" ht="13.5" customHeight="1" x14ac:dyDescent="0.2">
      <c r="A90" s="1110"/>
      <c r="B90" s="1111"/>
      <c r="C90" s="1112"/>
      <c r="D90" s="54" t="s">
        <v>20</v>
      </c>
      <c r="E90" s="1618"/>
      <c r="F90" s="1618"/>
      <c r="G90" s="52">
        <v>0</v>
      </c>
      <c r="H90" s="52">
        <v>0</v>
      </c>
      <c r="I90" s="52">
        <v>0</v>
      </c>
      <c r="J90" s="52">
        <v>0</v>
      </c>
      <c r="K90" s="52">
        <v>0</v>
      </c>
      <c r="L90" s="52">
        <v>0</v>
      </c>
      <c r="M90" s="118" t="e">
        <f>+M89*E89</f>
        <v>#N/A</v>
      </c>
      <c r="N90" s="118" t="e">
        <f>+N89*E89</f>
        <v>#REF!</v>
      </c>
      <c r="O90" s="118" t="e">
        <f>+O89*E89</f>
        <v>#REF!</v>
      </c>
      <c r="P90" s="118" t="e">
        <f>+P89*E89</f>
        <v>#REF!</v>
      </c>
      <c r="Q90" s="118" t="e">
        <f>+Q89*E89</f>
        <v>#REF!</v>
      </c>
      <c r="R90" s="52">
        <v>0</v>
      </c>
      <c r="S90" s="52">
        <v>0</v>
      </c>
      <c r="T90" s="52">
        <v>0</v>
      </c>
      <c r="U90" s="52">
        <v>0</v>
      </c>
      <c r="V90" s="52">
        <v>0</v>
      </c>
      <c r="W90" s="52">
        <v>0</v>
      </c>
      <c r="X90" s="52">
        <v>0</v>
      </c>
      <c r="Y90" s="52">
        <v>0</v>
      </c>
      <c r="Z90" s="52">
        <v>0</v>
      </c>
      <c r="AA90" s="52">
        <v>0</v>
      </c>
      <c r="AB90" s="52">
        <v>0</v>
      </c>
      <c r="AC90" s="52">
        <v>0</v>
      </c>
      <c r="AD90" s="52">
        <v>0</v>
      </c>
      <c r="AE90" s="52">
        <v>0</v>
      </c>
    </row>
    <row r="91" spans="1:31" ht="13.5" customHeight="1" x14ac:dyDescent="0.2">
      <c r="A91" s="1620" t="s">
        <v>833</v>
      </c>
      <c r="B91" s="1057"/>
      <c r="C91" s="1057"/>
      <c r="D91" s="1057"/>
      <c r="E91" s="1058"/>
      <c r="F91" s="57" t="e">
        <f>+SUM(F92:F140)</f>
        <v>#REF!</v>
      </c>
      <c r="G91" s="52">
        <v>0</v>
      </c>
      <c r="H91" s="52">
        <v>0</v>
      </c>
      <c r="I91" s="52">
        <v>0</v>
      </c>
      <c r="J91" s="52">
        <v>0</v>
      </c>
      <c r="K91" s="52">
        <v>0</v>
      </c>
      <c r="L91" s="52">
        <v>0</v>
      </c>
      <c r="M91" s="52">
        <v>0</v>
      </c>
      <c r="N91" s="52">
        <v>0</v>
      </c>
      <c r="O91" s="52">
        <v>0</v>
      </c>
      <c r="P91" s="52">
        <v>0</v>
      </c>
      <c r="Q91" s="52">
        <v>0</v>
      </c>
      <c r="R91" s="52">
        <v>0</v>
      </c>
      <c r="S91" s="52">
        <v>0</v>
      </c>
      <c r="T91" s="52">
        <v>0</v>
      </c>
      <c r="U91" s="52">
        <v>0</v>
      </c>
      <c r="V91" s="52">
        <v>0</v>
      </c>
      <c r="W91" s="52">
        <v>0</v>
      </c>
      <c r="X91" s="52">
        <v>0</v>
      </c>
      <c r="Y91" s="52">
        <v>0</v>
      </c>
      <c r="Z91" s="52">
        <v>0</v>
      </c>
      <c r="AA91" s="52">
        <v>0</v>
      </c>
      <c r="AB91" s="52">
        <v>0</v>
      </c>
      <c r="AC91" s="52">
        <v>0</v>
      </c>
      <c r="AD91" s="52">
        <v>0</v>
      </c>
      <c r="AE91" s="52">
        <v>0</v>
      </c>
    </row>
    <row r="92" spans="1:31" ht="13.5" customHeight="1" x14ac:dyDescent="0.2">
      <c r="A92" s="1625" t="s">
        <v>416</v>
      </c>
      <c r="B92" s="1052"/>
      <c r="C92" s="1235"/>
      <c r="D92" s="54" t="s">
        <v>20</v>
      </c>
      <c r="E92" s="59" t="e">
        <f>VLOOKUP(A92,AA_Materiales,16,FALSE)</f>
        <v>#N/A</v>
      </c>
      <c r="F92" s="60">
        <f>SUM(G92:AE92)</f>
        <v>14471.572500000002</v>
      </c>
      <c r="G92" s="52">
        <v>0</v>
      </c>
      <c r="H92" s="52">
        <v>0</v>
      </c>
      <c r="I92" s="52">
        <v>0</v>
      </c>
      <c r="J92" s="52">
        <v>0</v>
      </c>
      <c r="K92" s="52">
        <v>0</v>
      </c>
      <c r="L92" s="52">
        <v>0</v>
      </c>
      <c r="M92" s="52">
        <v>0</v>
      </c>
      <c r="N92" s="52">
        <v>0</v>
      </c>
      <c r="O92" s="52">
        <v>0</v>
      </c>
      <c r="P92" s="52">
        <v>0</v>
      </c>
      <c r="R92" s="52">
        <v>0</v>
      </c>
      <c r="S92" s="118">
        <f>1.05*'PTO OC PLIEGO'!J43</f>
        <v>14471.572500000002</v>
      </c>
      <c r="T92" s="52">
        <v>0</v>
      </c>
      <c r="U92" s="52">
        <v>0</v>
      </c>
      <c r="V92" s="52">
        <v>0</v>
      </c>
      <c r="W92" s="52">
        <v>0</v>
      </c>
      <c r="X92" s="52">
        <v>0</v>
      </c>
      <c r="Y92" s="52">
        <v>0</v>
      </c>
      <c r="Z92" s="52">
        <v>0</v>
      </c>
      <c r="AA92" s="52">
        <v>0</v>
      </c>
      <c r="AB92" s="52">
        <v>0</v>
      </c>
      <c r="AC92" s="52">
        <v>0</v>
      </c>
      <c r="AD92" s="52">
        <v>0</v>
      </c>
      <c r="AE92" s="52">
        <v>0</v>
      </c>
    </row>
    <row r="93" spans="1:31" ht="13.5" customHeight="1" x14ac:dyDescent="0.2">
      <c r="A93" s="1625" t="s">
        <v>417</v>
      </c>
      <c r="B93" s="1052"/>
      <c r="C93" s="1235"/>
      <c r="D93" s="54" t="s">
        <v>20</v>
      </c>
      <c r="E93" s="59" t="e">
        <f>VLOOKUP(A93,AA_Materiales,16,FALSE)</f>
        <v>#N/A</v>
      </c>
      <c r="F93" s="60" t="e">
        <f>SUM(G93:AE93)</f>
        <v>#REF!</v>
      </c>
      <c r="G93" s="52">
        <v>0</v>
      </c>
      <c r="H93" s="52">
        <v>0</v>
      </c>
      <c r="I93" s="52">
        <v>0</v>
      </c>
      <c r="J93" s="52">
        <v>0</v>
      </c>
      <c r="K93" s="52">
        <v>0</v>
      </c>
      <c r="L93" s="52">
        <v>0</v>
      </c>
      <c r="M93" s="52">
        <v>0</v>
      </c>
      <c r="N93" s="52">
        <v>0</v>
      </c>
      <c r="O93" s="52">
        <v>0</v>
      </c>
      <c r="P93" s="52">
        <v>0</v>
      </c>
      <c r="R93" s="118" t="e">
        <f>0.03*'PTO OC PLIEGO'!#REF!</f>
        <v>#REF!</v>
      </c>
      <c r="S93" s="118">
        <f>0.04*'PTO OC PLIEGO'!J43</f>
        <v>551.298</v>
      </c>
      <c r="T93" s="52">
        <v>0</v>
      </c>
      <c r="U93" s="52">
        <v>0</v>
      </c>
      <c r="V93" s="52">
        <v>0</v>
      </c>
      <c r="W93" s="52">
        <v>0</v>
      </c>
      <c r="X93" s="52">
        <v>0</v>
      </c>
      <c r="Y93" s="52">
        <v>0</v>
      </c>
      <c r="Z93" s="52">
        <v>0</v>
      </c>
      <c r="AA93" s="52">
        <v>0</v>
      </c>
      <c r="AB93" s="52">
        <v>0</v>
      </c>
      <c r="AC93" s="52">
        <v>0</v>
      </c>
      <c r="AD93" s="52">
        <v>0</v>
      </c>
      <c r="AE93" s="52">
        <v>0</v>
      </c>
    </row>
    <row r="94" spans="1:31" ht="13.5" customHeight="1" x14ac:dyDescent="0.2">
      <c r="A94" s="1616" t="s">
        <v>429</v>
      </c>
      <c r="B94" s="1108"/>
      <c r="C94" s="1109"/>
      <c r="D94" s="54" t="s">
        <v>830</v>
      </c>
      <c r="E94" s="1617" t="e">
        <f>VLOOKUP(A94,AA_Materiales,16,FALSE)</f>
        <v>#N/A</v>
      </c>
      <c r="F94" s="1619" t="e">
        <f>SUM(G95:AE95)</f>
        <v>#N/A</v>
      </c>
      <c r="G94" s="52">
        <v>0</v>
      </c>
      <c r="H94" s="52">
        <v>0</v>
      </c>
      <c r="I94" s="52">
        <v>0</v>
      </c>
      <c r="J94" s="52">
        <v>0</v>
      </c>
      <c r="K94" s="52">
        <v>0</v>
      </c>
      <c r="L94" s="52">
        <v>0</v>
      </c>
      <c r="M94" s="52">
        <v>0</v>
      </c>
      <c r="N94" s="52">
        <v>0</v>
      </c>
      <c r="O94" s="52">
        <v>0</v>
      </c>
      <c r="P94" s="52">
        <v>0</v>
      </c>
      <c r="Q94" s="52">
        <v>0</v>
      </c>
      <c r="R94" s="52">
        <v>0</v>
      </c>
      <c r="S94" s="52">
        <v>0</v>
      </c>
      <c r="T94" s="52">
        <v>0</v>
      </c>
      <c r="U94" s="52">
        <v>0</v>
      </c>
      <c r="V94" s="52">
        <v>0</v>
      </c>
      <c r="W94" s="52">
        <v>0</v>
      </c>
      <c r="X94" s="118">
        <f>4*'PTO OC PLIEGO'!J50</f>
        <v>12</v>
      </c>
      <c r="Y94" s="52">
        <v>0</v>
      </c>
      <c r="Z94" s="52">
        <v>0</v>
      </c>
      <c r="AA94" s="52">
        <v>0</v>
      </c>
      <c r="AB94" s="52">
        <v>0</v>
      </c>
      <c r="AC94" s="52">
        <v>0</v>
      </c>
      <c r="AD94" s="52">
        <v>0</v>
      </c>
      <c r="AE94" s="52">
        <v>0</v>
      </c>
    </row>
    <row r="95" spans="1:31" ht="13.5" customHeight="1" x14ac:dyDescent="0.2">
      <c r="A95" s="1110"/>
      <c r="B95" s="1111"/>
      <c r="C95" s="1112"/>
      <c r="D95" s="54" t="s">
        <v>20</v>
      </c>
      <c r="E95" s="1618"/>
      <c r="F95" s="1618"/>
      <c r="G95" s="52">
        <v>0</v>
      </c>
      <c r="H95" s="52">
        <v>0</v>
      </c>
      <c r="I95" s="52">
        <v>0</v>
      </c>
      <c r="J95" s="52">
        <v>0</v>
      </c>
      <c r="K95" s="52">
        <v>0</v>
      </c>
      <c r="L95" s="52">
        <v>0</v>
      </c>
      <c r="M95" s="52">
        <v>0</v>
      </c>
      <c r="N95" s="52">
        <v>0</v>
      </c>
      <c r="O95" s="52">
        <v>0</v>
      </c>
      <c r="P95" s="52">
        <v>0</v>
      </c>
      <c r="Q95" s="52">
        <v>0</v>
      </c>
      <c r="R95" s="52">
        <v>0</v>
      </c>
      <c r="S95" s="52">
        <v>0</v>
      </c>
      <c r="T95" s="52">
        <v>0</v>
      </c>
      <c r="U95" s="52">
        <v>0</v>
      </c>
      <c r="V95" s="52">
        <v>0</v>
      </c>
      <c r="W95" s="52">
        <v>0</v>
      </c>
      <c r="X95" s="118" t="e">
        <f>+X94*E94</f>
        <v>#N/A</v>
      </c>
      <c r="Y95" s="52">
        <v>0</v>
      </c>
      <c r="Z95" s="52">
        <v>0</v>
      </c>
      <c r="AA95" s="52">
        <v>0</v>
      </c>
      <c r="AB95" s="52">
        <v>0</v>
      </c>
      <c r="AC95" s="52">
        <v>0</v>
      </c>
      <c r="AD95" s="52">
        <v>0</v>
      </c>
      <c r="AE95" s="52">
        <v>0</v>
      </c>
    </row>
    <row r="96" spans="1:31" ht="13.5" customHeight="1" x14ac:dyDescent="0.2">
      <c r="A96" s="1616" t="s">
        <v>438</v>
      </c>
      <c r="B96" s="1108"/>
      <c r="C96" s="1109"/>
      <c r="D96" s="54" t="s">
        <v>180</v>
      </c>
      <c r="E96" s="1617" t="e">
        <f>VLOOKUP(A96,AA_Materiales,16,FALSE)</f>
        <v>#N/A</v>
      </c>
      <c r="F96" s="1619" t="e">
        <f>SUM(G97:AE97)</f>
        <v>#REF!</v>
      </c>
      <c r="G96" s="52">
        <v>0</v>
      </c>
      <c r="H96" s="52">
        <v>0</v>
      </c>
      <c r="I96" s="52">
        <v>0</v>
      </c>
      <c r="J96" s="52">
        <v>0</v>
      </c>
      <c r="K96" s="52">
        <v>0</v>
      </c>
      <c r="L96" s="52">
        <v>0</v>
      </c>
      <c r="M96" s="52">
        <v>0</v>
      </c>
      <c r="N96" s="52">
        <v>0</v>
      </c>
      <c r="O96" s="52">
        <v>0</v>
      </c>
      <c r="P96" s="118" t="e">
        <f>156*'PTO OC PLIEGO'!#REF!</f>
        <v>#REF!</v>
      </c>
      <c r="Q96" s="52">
        <v>0</v>
      </c>
      <c r="R96" s="52">
        <v>0</v>
      </c>
      <c r="S96" s="52">
        <v>0</v>
      </c>
      <c r="T96" s="52">
        <v>0</v>
      </c>
      <c r="U96" s="52">
        <v>0</v>
      </c>
      <c r="V96" s="52">
        <v>0</v>
      </c>
      <c r="W96" s="52">
        <v>0</v>
      </c>
      <c r="X96" s="52">
        <v>0</v>
      </c>
      <c r="Y96" s="52">
        <v>0</v>
      </c>
      <c r="Z96" s="52">
        <v>0</v>
      </c>
      <c r="AA96" s="52">
        <v>0</v>
      </c>
      <c r="AB96" s="52">
        <v>0</v>
      </c>
      <c r="AC96" s="52">
        <v>0</v>
      </c>
      <c r="AD96" s="52">
        <v>0</v>
      </c>
      <c r="AE96" s="52">
        <v>0</v>
      </c>
    </row>
    <row r="97" spans="1:31" ht="13.5" customHeight="1" x14ac:dyDescent="0.2">
      <c r="A97" s="1110"/>
      <c r="B97" s="1111"/>
      <c r="C97" s="1112"/>
      <c r="D97" s="54" t="s">
        <v>20</v>
      </c>
      <c r="E97" s="1618"/>
      <c r="F97" s="1618"/>
      <c r="G97" s="52">
        <v>0</v>
      </c>
      <c r="H97" s="52">
        <v>0</v>
      </c>
      <c r="I97" s="52">
        <v>0</v>
      </c>
      <c r="J97" s="52">
        <v>0</v>
      </c>
      <c r="K97" s="52">
        <v>0</v>
      </c>
      <c r="L97" s="52">
        <v>0</v>
      </c>
      <c r="M97" s="52">
        <v>0</v>
      </c>
      <c r="N97" s="52">
        <v>0</v>
      </c>
      <c r="O97" s="52">
        <v>0</v>
      </c>
      <c r="P97" s="118" t="e">
        <f>+P96*E96</f>
        <v>#REF!</v>
      </c>
      <c r="Q97" s="52">
        <v>0</v>
      </c>
      <c r="R97" s="52">
        <v>0</v>
      </c>
      <c r="S97" s="52">
        <v>0</v>
      </c>
      <c r="T97" s="52">
        <v>0</v>
      </c>
      <c r="U97" s="52">
        <v>0</v>
      </c>
      <c r="V97" s="52">
        <v>0</v>
      </c>
      <c r="W97" s="52">
        <v>0</v>
      </c>
      <c r="X97" s="52">
        <v>0</v>
      </c>
      <c r="Y97" s="52">
        <v>0</v>
      </c>
      <c r="Z97" s="52">
        <v>0</v>
      </c>
      <c r="AA97" s="52">
        <v>0</v>
      </c>
      <c r="AB97" s="52">
        <v>0</v>
      </c>
      <c r="AC97" s="52">
        <v>0</v>
      </c>
      <c r="AD97" s="52">
        <v>0</v>
      </c>
      <c r="AE97" s="52">
        <v>0</v>
      </c>
    </row>
    <row r="98" spans="1:31" ht="13.5" customHeight="1" x14ac:dyDescent="0.2">
      <c r="A98" s="1616" t="s">
        <v>389</v>
      </c>
      <c r="B98" s="1108"/>
      <c r="C98" s="1109"/>
      <c r="D98" s="54" t="s">
        <v>577</v>
      </c>
      <c r="E98" s="1617" t="e">
        <f>VLOOKUP(A98,AA_Materiales,16,FALSE)</f>
        <v>#N/A</v>
      </c>
      <c r="F98" s="1619" t="e">
        <f>SUM(G99:AE99)</f>
        <v>#N/A</v>
      </c>
      <c r="G98" s="118">
        <f>0.01*'PTO OC PLIEGO'!J37</f>
        <v>2.79318</v>
      </c>
      <c r="H98" s="52">
        <v>0</v>
      </c>
      <c r="I98" s="52">
        <v>0</v>
      </c>
      <c r="J98" s="52">
        <v>0</v>
      </c>
      <c r="K98" s="52">
        <v>0</v>
      </c>
      <c r="L98" s="52">
        <v>0</v>
      </c>
      <c r="M98" s="52">
        <v>0</v>
      </c>
      <c r="N98" s="52">
        <v>0</v>
      </c>
      <c r="O98" s="52">
        <v>0</v>
      </c>
      <c r="P98" s="52">
        <v>0</v>
      </c>
      <c r="Q98" s="52">
        <v>0</v>
      </c>
      <c r="R98" s="52">
        <v>0</v>
      </c>
      <c r="S98" s="52">
        <v>0</v>
      </c>
      <c r="T98" s="52">
        <v>0</v>
      </c>
      <c r="U98" s="52">
        <v>0</v>
      </c>
      <c r="V98" s="52">
        <v>0</v>
      </c>
      <c r="W98" s="52">
        <v>0</v>
      </c>
      <c r="X98" s="52">
        <v>0</v>
      </c>
      <c r="Y98" s="52">
        <v>0</v>
      </c>
      <c r="Z98" s="52">
        <v>0</v>
      </c>
      <c r="AA98" s="52">
        <v>0</v>
      </c>
      <c r="AB98" s="52">
        <v>0</v>
      </c>
      <c r="AC98" s="52">
        <v>0</v>
      </c>
      <c r="AD98" s="52">
        <v>0</v>
      </c>
      <c r="AE98" s="52">
        <v>0</v>
      </c>
    </row>
    <row r="99" spans="1:31" ht="13.5" customHeight="1" x14ac:dyDescent="0.2">
      <c r="A99" s="1110"/>
      <c r="B99" s="1111"/>
      <c r="C99" s="1112"/>
      <c r="D99" s="54" t="s">
        <v>20</v>
      </c>
      <c r="E99" s="1618"/>
      <c r="F99" s="1618"/>
      <c r="G99" s="118" t="e">
        <f>+G98*E98</f>
        <v>#N/A</v>
      </c>
      <c r="H99" s="52">
        <v>0</v>
      </c>
      <c r="I99" s="52">
        <v>0</v>
      </c>
      <c r="J99" s="52">
        <v>0</v>
      </c>
      <c r="K99" s="52">
        <v>0</v>
      </c>
      <c r="L99" s="52">
        <v>0</v>
      </c>
      <c r="M99" s="52">
        <v>0</v>
      </c>
      <c r="N99" s="52">
        <v>0</v>
      </c>
      <c r="O99" s="52">
        <v>0</v>
      </c>
      <c r="P99" s="52">
        <v>0</v>
      </c>
      <c r="Q99" s="52">
        <v>0</v>
      </c>
      <c r="R99" s="52">
        <v>0</v>
      </c>
      <c r="S99" s="52">
        <v>0</v>
      </c>
      <c r="T99" s="52">
        <v>0</v>
      </c>
      <c r="U99" s="52">
        <v>0</v>
      </c>
      <c r="V99" s="52">
        <v>0</v>
      </c>
      <c r="W99" s="52">
        <v>0</v>
      </c>
      <c r="X99" s="52">
        <v>0</v>
      </c>
      <c r="Y99" s="52">
        <v>0</v>
      </c>
      <c r="Z99" s="52">
        <v>0</v>
      </c>
      <c r="AA99" s="52">
        <v>0</v>
      </c>
      <c r="AB99" s="52">
        <v>0</v>
      </c>
      <c r="AC99" s="52">
        <v>0</v>
      </c>
      <c r="AD99" s="52">
        <v>0</v>
      </c>
      <c r="AE99" s="52">
        <v>0</v>
      </c>
    </row>
    <row r="100" spans="1:31" ht="13.5" customHeight="1" x14ac:dyDescent="0.2">
      <c r="A100" s="1616" t="s">
        <v>876</v>
      </c>
      <c r="B100" s="1108"/>
      <c r="C100" s="1109"/>
      <c r="D100" s="54" t="s">
        <v>180</v>
      </c>
      <c r="E100" s="1617" t="e">
        <f>VLOOKUP(A100,AA_Materiales,16,FALSE)</f>
        <v>#N/A</v>
      </c>
      <c r="F100" s="1619" t="e">
        <f>SUM(G101:AE101)</f>
        <v>#N/A</v>
      </c>
      <c r="G100" s="52">
        <v>0</v>
      </c>
      <c r="H100" s="52">
        <v>0</v>
      </c>
      <c r="I100" s="52">
        <v>0</v>
      </c>
      <c r="J100" s="52">
        <v>0</v>
      </c>
      <c r="K100" s="52">
        <v>0</v>
      </c>
      <c r="L100" s="52">
        <v>0</v>
      </c>
      <c r="M100" s="52">
        <v>0</v>
      </c>
      <c r="N100" s="52">
        <v>0</v>
      </c>
      <c r="O100" s="52">
        <v>0</v>
      </c>
      <c r="P100" s="52">
        <v>0</v>
      </c>
      <c r="Q100" s="52">
        <v>0</v>
      </c>
      <c r="R100" s="52">
        <v>0</v>
      </c>
      <c r="S100" s="52">
        <v>0</v>
      </c>
      <c r="T100" s="52">
        <v>0</v>
      </c>
      <c r="U100" s="52">
        <v>0</v>
      </c>
      <c r="V100" s="52">
        <v>0</v>
      </c>
      <c r="W100" s="52">
        <v>0</v>
      </c>
      <c r="X100" s="52">
        <v>0</v>
      </c>
      <c r="Y100" s="52">
        <v>0</v>
      </c>
      <c r="Z100" s="52">
        <v>0</v>
      </c>
      <c r="AA100" s="52">
        <v>0</v>
      </c>
      <c r="AB100" s="52">
        <v>0</v>
      </c>
      <c r="AC100" s="118">
        <f>1*'PTO OC PLIEGO'!J55</f>
        <v>16.8</v>
      </c>
      <c r="AD100" s="52">
        <v>0</v>
      </c>
      <c r="AE100" s="52">
        <v>0</v>
      </c>
    </row>
    <row r="101" spans="1:31" ht="13.5" customHeight="1" x14ac:dyDescent="0.2">
      <c r="A101" s="1110"/>
      <c r="B101" s="1111"/>
      <c r="C101" s="1112"/>
      <c r="D101" s="54" t="s">
        <v>20</v>
      </c>
      <c r="E101" s="1618"/>
      <c r="F101" s="1618"/>
      <c r="G101" s="52">
        <v>0</v>
      </c>
      <c r="H101" s="52">
        <v>0</v>
      </c>
      <c r="I101" s="52">
        <v>0</v>
      </c>
      <c r="J101" s="52">
        <v>0</v>
      </c>
      <c r="K101" s="52">
        <v>0</v>
      </c>
      <c r="L101" s="52">
        <v>0</v>
      </c>
      <c r="M101" s="52">
        <v>0</v>
      </c>
      <c r="N101" s="52">
        <v>0</v>
      </c>
      <c r="O101" s="52">
        <v>0</v>
      </c>
      <c r="P101" s="52">
        <v>0</v>
      </c>
      <c r="Q101" s="52">
        <v>0</v>
      </c>
      <c r="R101" s="52">
        <v>0</v>
      </c>
      <c r="S101" s="52">
        <v>0</v>
      </c>
      <c r="T101" s="52">
        <v>0</v>
      </c>
      <c r="U101" s="52">
        <v>0</v>
      </c>
      <c r="V101" s="52">
        <v>0</v>
      </c>
      <c r="W101" s="52">
        <v>0</v>
      </c>
      <c r="X101" s="52">
        <v>0</v>
      </c>
      <c r="Y101" s="52">
        <v>0</v>
      </c>
      <c r="Z101" s="52">
        <v>0</v>
      </c>
      <c r="AA101" s="52">
        <v>0</v>
      </c>
      <c r="AB101" s="52">
        <v>0</v>
      </c>
      <c r="AC101" s="118" t="e">
        <f>+AC100*E100</f>
        <v>#N/A</v>
      </c>
      <c r="AD101" s="52">
        <v>0</v>
      </c>
      <c r="AE101" s="52">
        <v>0</v>
      </c>
    </row>
    <row r="102" spans="1:31" ht="13.5" customHeight="1" x14ac:dyDescent="0.2">
      <c r="A102" s="1616" t="s">
        <v>430</v>
      </c>
      <c r="B102" s="1108"/>
      <c r="C102" s="1109"/>
      <c r="D102" s="54" t="s">
        <v>475</v>
      </c>
      <c r="E102" s="1617" t="e">
        <f>VLOOKUP(A102,AA_Materiales,16,FALSE)</f>
        <v>#N/A</v>
      </c>
      <c r="F102" s="1619" t="e">
        <f>SUM(G103:AE103)</f>
        <v>#N/A</v>
      </c>
      <c r="G102" s="52">
        <v>0</v>
      </c>
      <c r="H102" s="52">
        <v>0</v>
      </c>
      <c r="I102" s="52">
        <v>0</v>
      </c>
      <c r="J102" s="52">
        <v>0</v>
      </c>
      <c r="K102" s="52">
        <v>0</v>
      </c>
      <c r="L102" s="52">
        <v>0</v>
      </c>
      <c r="M102" s="52">
        <v>0</v>
      </c>
      <c r="N102" s="52">
        <v>0</v>
      </c>
      <c r="O102" s="52">
        <v>0</v>
      </c>
      <c r="P102" s="52">
        <v>0</v>
      </c>
      <c r="Q102" s="52">
        <v>0</v>
      </c>
      <c r="R102" s="52">
        <v>0</v>
      </c>
      <c r="S102" s="52">
        <v>0</v>
      </c>
      <c r="T102" s="52">
        <v>0</v>
      </c>
      <c r="U102" s="52">
        <v>0</v>
      </c>
      <c r="V102" s="52">
        <v>0</v>
      </c>
      <c r="W102" s="52">
        <v>0</v>
      </c>
      <c r="X102" s="118">
        <f>0.05*'PTO OC PLIEGO'!J50</f>
        <v>0.15000000000000002</v>
      </c>
      <c r="Y102" s="52">
        <v>0</v>
      </c>
      <c r="Z102" s="52">
        <v>0</v>
      </c>
      <c r="AA102" s="52">
        <v>0</v>
      </c>
      <c r="AB102" s="52">
        <v>0</v>
      </c>
      <c r="AC102" s="52">
        <v>0</v>
      </c>
      <c r="AD102" s="52">
        <v>0</v>
      </c>
      <c r="AE102" s="52">
        <v>0</v>
      </c>
    </row>
    <row r="103" spans="1:31" ht="13.5" customHeight="1" x14ac:dyDescent="0.2">
      <c r="A103" s="1110"/>
      <c r="B103" s="1111"/>
      <c r="C103" s="1112"/>
      <c r="D103" s="54" t="s">
        <v>20</v>
      </c>
      <c r="E103" s="1618"/>
      <c r="F103" s="1618"/>
      <c r="G103" s="52">
        <v>0</v>
      </c>
      <c r="H103" s="52">
        <v>0</v>
      </c>
      <c r="I103" s="52">
        <v>0</v>
      </c>
      <c r="J103" s="52">
        <v>0</v>
      </c>
      <c r="K103" s="52">
        <v>0</v>
      </c>
      <c r="L103" s="52">
        <v>0</v>
      </c>
      <c r="M103" s="52">
        <v>0</v>
      </c>
      <c r="N103" s="52">
        <v>0</v>
      </c>
      <c r="O103" s="52">
        <v>0</v>
      </c>
      <c r="P103" s="52">
        <v>0</v>
      </c>
      <c r="Q103" s="52">
        <v>0</v>
      </c>
      <c r="R103" s="52">
        <v>0</v>
      </c>
      <c r="S103" s="52">
        <v>0</v>
      </c>
      <c r="T103" s="52">
        <v>0</v>
      </c>
      <c r="U103" s="52">
        <v>0</v>
      </c>
      <c r="V103" s="52">
        <v>0</v>
      </c>
      <c r="W103" s="52">
        <v>0</v>
      </c>
      <c r="X103" s="118" t="e">
        <f>+X102*E102</f>
        <v>#N/A</v>
      </c>
      <c r="Y103" s="52">
        <v>0</v>
      </c>
      <c r="Z103" s="52">
        <v>0</v>
      </c>
      <c r="AA103" s="52">
        <v>0</v>
      </c>
      <c r="AB103" s="52">
        <v>0</v>
      </c>
      <c r="AC103" s="52">
        <v>0</v>
      </c>
      <c r="AD103" s="52">
        <v>0</v>
      </c>
      <c r="AE103" s="52">
        <v>0</v>
      </c>
    </row>
    <row r="104" spans="1:31" ht="13.5" customHeight="1" x14ac:dyDescent="0.2">
      <c r="A104" s="1616" t="s">
        <v>387</v>
      </c>
      <c r="B104" s="1108"/>
      <c r="C104" s="1109"/>
      <c r="D104" s="54" t="s">
        <v>180</v>
      </c>
      <c r="E104" s="1617" t="e">
        <f>VLOOKUP(A104,AA_Materiales,16,FALSE)</f>
        <v>#N/A</v>
      </c>
      <c r="F104" s="1619" t="e">
        <f>SUM(G105:AE105)</f>
        <v>#N/A</v>
      </c>
      <c r="G104" s="118">
        <f>0.3*'PTO OC PLIEGO'!J37</f>
        <v>83.795399999999987</v>
      </c>
      <c r="H104" s="52">
        <v>0</v>
      </c>
      <c r="I104" s="52">
        <v>0</v>
      </c>
      <c r="J104" s="52">
        <v>0</v>
      </c>
      <c r="K104" s="52">
        <v>0</v>
      </c>
      <c r="L104" s="52">
        <v>0</v>
      </c>
      <c r="M104" s="52">
        <v>0</v>
      </c>
      <c r="N104" s="52">
        <v>0</v>
      </c>
      <c r="O104" s="52">
        <v>0</v>
      </c>
      <c r="P104" s="52">
        <v>0</v>
      </c>
      <c r="Q104" s="52">
        <v>0</v>
      </c>
      <c r="R104" s="52">
        <v>0</v>
      </c>
      <c r="S104" s="52">
        <v>0</v>
      </c>
      <c r="T104" s="52">
        <v>0</v>
      </c>
      <c r="U104" s="52">
        <v>0</v>
      </c>
      <c r="V104" s="52">
        <v>0</v>
      </c>
      <c r="W104" s="52">
        <v>0</v>
      </c>
      <c r="X104" s="52">
        <v>0</v>
      </c>
      <c r="Y104" s="52">
        <v>0</v>
      </c>
      <c r="Z104" s="52">
        <v>0</v>
      </c>
      <c r="AA104" s="52">
        <v>0</v>
      </c>
      <c r="AB104" s="52">
        <v>0</v>
      </c>
      <c r="AC104" s="52">
        <v>0</v>
      </c>
      <c r="AD104" s="52">
        <v>0</v>
      </c>
      <c r="AE104" s="52">
        <v>0</v>
      </c>
    </row>
    <row r="105" spans="1:31" ht="13.5" customHeight="1" x14ac:dyDescent="0.2">
      <c r="A105" s="1110"/>
      <c r="B105" s="1111"/>
      <c r="C105" s="1112"/>
      <c r="D105" s="54" t="s">
        <v>20</v>
      </c>
      <c r="E105" s="1618"/>
      <c r="F105" s="1618"/>
      <c r="G105" s="118" t="e">
        <f>+G104*E104</f>
        <v>#N/A</v>
      </c>
      <c r="H105" s="52">
        <v>0</v>
      </c>
      <c r="I105" s="52">
        <v>0</v>
      </c>
      <c r="J105" s="52">
        <v>0</v>
      </c>
      <c r="K105" s="52">
        <v>0</v>
      </c>
      <c r="L105" s="52">
        <v>0</v>
      </c>
      <c r="M105" s="52">
        <v>0</v>
      </c>
      <c r="N105" s="52">
        <v>0</v>
      </c>
      <c r="O105" s="52">
        <v>0</v>
      </c>
      <c r="P105" s="52">
        <v>0</v>
      </c>
      <c r="Q105" s="52">
        <v>0</v>
      </c>
      <c r="R105" s="52">
        <v>0</v>
      </c>
      <c r="S105" s="52">
        <v>0</v>
      </c>
      <c r="T105" s="52">
        <v>0</v>
      </c>
      <c r="U105" s="52">
        <v>0</v>
      </c>
      <c r="V105" s="52">
        <v>0</v>
      </c>
      <c r="W105" s="52">
        <v>0</v>
      </c>
      <c r="X105" s="52">
        <v>0</v>
      </c>
      <c r="Y105" s="52">
        <v>0</v>
      </c>
      <c r="Z105" s="52">
        <v>0</v>
      </c>
      <c r="AA105" s="52">
        <v>0</v>
      </c>
      <c r="AB105" s="52">
        <v>0</v>
      </c>
      <c r="AC105" s="52">
        <v>0</v>
      </c>
      <c r="AD105" s="52">
        <v>0</v>
      </c>
      <c r="AE105" s="52">
        <v>0</v>
      </c>
    </row>
    <row r="106" spans="1:31" ht="13.5" customHeight="1" x14ac:dyDescent="0.2">
      <c r="A106" s="1625" t="s">
        <v>481</v>
      </c>
      <c r="B106" s="1052"/>
      <c r="C106" s="1235"/>
      <c r="D106" s="54" t="s">
        <v>20</v>
      </c>
      <c r="E106" s="59" t="e">
        <f>VLOOKUP(A106,AA_Materiales,16,FALSE)</f>
        <v>#N/A</v>
      </c>
      <c r="F106" s="60" t="e">
        <f>SUM(G106:AE106)</f>
        <v>#REF!</v>
      </c>
      <c r="G106" s="52">
        <v>0</v>
      </c>
      <c r="H106" s="52">
        <v>0</v>
      </c>
      <c r="J106" s="118" t="e">
        <f>0.3*'PTO OC PLIEGO'!#REF!</f>
        <v>#REF!</v>
      </c>
      <c r="K106" s="52">
        <v>0</v>
      </c>
      <c r="L106" s="52">
        <v>0</v>
      </c>
      <c r="M106" s="52">
        <v>0</v>
      </c>
      <c r="N106" s="52">
        <v>0</v>
      </c>
      <c r="O106" s="52">
        <v>0</v>
      </c>
      <c r="P106" s="52">
        <v>0</v>
      </c>
      <c r="Q106" s="52">
        <v>0</v>
      </c>
      <c r="R106" s="52">
        <v>0</v>
      </c>
      <c r="S106" s="52">
        <v>0</v>
      </c>
      <c r="T106" s="52">
        <v>0</v>
      </c>
      <c r="U106" s="52">
        <v>0</v>
      </c>
      <c r="V106" s="52">
        <v>0</v>
      </c>
      <c r="W106" s="52">
        <v>0</v>
      </c>
      <c r="X106" s="52">
        <v>0</v>
      </c>
      <c r="Y106" s="52">
        <v>0</v>
      </c>
      <c r="Z106" s="52">
        <v>0</v>
      </c>
      <c r="AA106" s="52">
        <v>0</v>
      </c>
      <c r="AB106" s="52">
        <v>0</v>
      </c>
      <c r="AC106" s="52">
        <v>0</v>
      </c>
      <c r="AD106" s="52">
        <v>0</v>
      </c>
      <c r="AE106" s="52">
        <v>0</v>
      </c>
    </row>
    <row r="107" spans="1:31" ht="13.5" customHeight="1" x14ac:dyDescent="0.2">
      <c r="A107" s="1616" t="s">
        <v>412</v>
      </c>
      <c r="B107" s="1108"/>
      <c r="C107" s="1109"/>
      <c r="D107" s="54" t="s">
        <v>397</v>
      </c>
      <c r="E107" s="1617" t="e">
        <f>VLOOKUP(A107,AA_Materiales,16,FALSE)</f>
        <v>#N/A</v>
      </c>
      <c r="F107" s="1619" t="e">
        <f>SUM(G108:AE108)</f>
        <v>#REF!</v>
      </c>
      <c r="G107" s="52">
        <v>0</v>
      </c>
      <c r="H107" s="52">
        <v>0</v>
      </c>
      <c r="I107" s="52">
        <v>0</v>
      </c>
      <c r="J107" s="52">
        <v>0</v>
      </c>
      <c r="K107" s="52">
        <v>0</v>
      </c>
      <c r="L107" s="52">
        <v>0</v>
      </c>
      <c r="M107" s="52">
        <v>0</v>
      </c>
      <c r="N107" s="52">
        <v>0</v>
      </c>
      <c r="O107" s="52">
        <v>0</v>
      </c>
      <c r="P107" s="52">
        <v>0</v>
      </c>
      <c r="Q107" s="118" t="e">
        <f>0.6*'PTO OC PLIEGO'!#REF!</f>
        <v>#REF!</v>
      </c>
      <c r="R107" s="52">
        <v>0</v>
      </c>
      <c r="S107" s="52">
        <v>0</v>
      </c>
      <c r="T107" s="52">
        <v>0</v>
      </c>
      <c r="U107" s="52">
        <v>0</v>
      </c>
      <c r="V107" s="52">
        <v>0</v>
      </c>
      <c r="W107" s="52">
        <v>0</v>
      </c>
      <c r="X107" s="52">
        <v>0</v>
      </c>
      <c r="Y107" s="52">
        <v>0</v>
      </c>
      <c r="Z107" s="52">
        <v>0</v>
      </c>
      <c r="AA107" s="52">
        <v>0</v>
      </c>
      <c r="AB107" s="52">
        <v>0</v>
      </c>
      <c r="AC107" s="52">
        <v>0</v>
      </c>
      <c r="AD107" s="52">
        <v>0</v>
      </c>
      <c r="AE107" s="52">
        <v>0</v>
      </c>
    </row>
    <row r="108" spans="1:31" ht="13.5" customHeight="1" x14ac:dyDescent="0.2">
      <c r="A108" s="1110"/>
      <c r="B108" s="1111"/>
      <c r="C108" s="1112"/>
      <c r="D108" s="54" t="s">
        <v>20</v>
      </c>
      <c r="E108" s="1618"/>
      <c r="F108" s="1618"/>
      <c r="G108" s="52">
        <v>0</v>
      </c>
      <c r="H108" s="52">
        <v>0</v>
      </c>
      <c r="I108" s="52">
        <v>0</v>
      </c>
      <c r="J108" s="52">
        <v>0</v>
      </c>
      <c r="K108" s="52">
        <v>0</v>
      </c>
      <c r="L108" s="52">
        <v>0</v>
      </c>
      <c r="M108" s="52">
        <v>0</v>
      </c>
      <c r="N108" s="52">
        <v>0</v>
      </c>
      <c r="O108" s="52">
        <v>0</v>
      </c>
      <c r="P108" s="52">
        <v>0</v>
      </c>
      <c r="Q108" s="118" t="e">
        <f>+Q107*E107</f>
        <v>#REF!</v>
      </c>
      <c r="R108" s="52">
        <v>0</v>
      </c>
      <c r="S108" s="52">
        <v>0</v>
      </c>
      <c r="T108" s="52">
        <v>0</v>
      </c>
      <c r="U108" s="52">
        <v>0</v>
      </c>
      <c r="V108" s="52">
        <v>0</v>
      </c>
      <c r="W108" s="52">
        <v>0</v>
      </c>
      <c r="X108" s="52">
        <v>0</v>
      </c>
      <c r="Y108" s="52">
        <v>0</v>
      </c>
      <c r="Z108" s="52">
        <v>0</v>
      </c>
      <c r="AA108" s="52">
        <v>0</v>
      </c>
      <c r="AB108" s="52">
        <v>0</v>
      </c>
      <c r="AC108" s="52">
        <v>0</v>
      </c>
      <c r="AD108" s="52">
        <v>0</v>
      </c>
      <c r="AE108" s="52">
        <v>0</v>
      </c>
    </row>
    <row r="109" spans="1:31" ht="13.5" customHeight="1" x14ac:dyDescent="0.2">
      <c r="A109" s="1616" t="s">
        <v>440</v>
      </c>
      <c r="B109" s="1108"/>
      <c r="C109" s="1109"/>
      <c r="D109" s="54" t="s">
        <v>397</v>
      </c>
      <c r="E109" s="1617" t="e">
        <f>VLOOKUP(A109,AA_Materiales,16,FALSE)</f>
        <v>#N/A</v>
      </c>
      <c r="F109" s="1619" t="e">
        <f>SUM(G110:AE110)</f>
        <v>#REF!</v>
      </c>
      <c r="G109" s="52">
        <v>0</v>
      </c>
      <c r="H109" s="52">
        <v>0</v>
      </c>
      <c r="I109" s="52">
        <v>0</v>
      </c>
      <c r="J109" s="52">
        <v>0</v>
      </c>
      <c r="K109" s="52">
        <v>0</v>
      </c>
      <c r="L109" s="52">
        <v>0</v>
      </c>
      <c r="M109" s="52">
        <v>0</v>
      </c>
      <c r="N109" s="52">
        <v>0</v>
      </c>
      <c r="O109" s="118" t="e">
        <f>8*'PTO OC PLIEGO'!#REF!</f>
        <v>#REF!</v>
      </c>
      <c r="P109" s="52">
        <v>0</v>
      </c>
      <c r="Q109" s="52">
        <v>0</v>
      </c>
      <c r="R109" s="52">
        <v>0</v>
      </c>
      <c r="S109" s="52">
        <v>0</v>
      </c>
      <c r="T109" s="52">
        <v>0</v>
      </c>
      <c r="U109" s="52">
        <v>0</v>
      </c>
      <c r="V109" s="52">
        <v>0</v>
      </c>
      <c r="W109" s="52">
        <v>0</v>
      </c>
      <c r="X109" s="52">
        <v>0</v>
      </c>
      <c r="Y109" s="52">
        <v>0</v>
      </c>
      <c r="Z109" s="52">
        <v>0</v>
      </c>
      <c r="AA109" s="52">
        <v>0</v>
      </c>
      <c r="AB109" s="52">
        <v>0</v>
      </c>
      <c r="AC109" s="52">
        <v>0</v>
      </c>
      <c r="AD109" s="52">
        <v>0</v>
      </c>
      <c r="AE109" s="52">
        <v>0</v>
      </c>
    </row>
    <row r="110" spans="1:31" ht="13.5" customHeight="1" x14ac:dyDescent="0.2">
      <c r="A110" s="1110"/>
      <c r="B110" s="1111"/>
      <c r="C110" s="1112"/>
      <c r="D110" s="54" t="s">
        <v>20</v>
      </c>
      <c r="E110" s="1618"/>
      <c r="F110" s="1618"/>
      <c r="G110" s="52">
        <v>0</v>
      </c>
      <c r="H110" s="52">
        <v>0</v>
      </c>
      <c r="I110" s="52">
        <v>0</v>
      </c>
      <c r="J110" s="52">
        <v>0</v>
      </c>
      <c r="K110" s="52">
        <v>0</v>
      </c>
      <c r="L110" s="52">
        <v>0</v>
      </c>
      <c r="M110" s="52">
        <v>0</v>
      </c>
      <c r="N110" s="52">
        <v>0</v>
      </c>
      <c r="O110" s="118" t="e">
        <f>+O109*E109</f>
        <v>#REF!</v>
      </c>
      <c r="P110" s="52">
        <v>0</v>
      </c>
      <c r="Q110" s="52">
        <v>0</v>
      </c>
      <c r="R110" s="52">
        <v>0</v>
      </c>
      <c r="S110" s="52">
        <v>0</v>
      </c>
      <c r="T110" s="52">
        <v>0</v>
      </c>
      <c r="U110" s="52">
        <v>0</v>
      </c>
      <c r="V110" s="52">
        <v>0</v>
      </c>
      <c r="W110" s="52">
        <v>0</v>
      </c>
      <c r="X110" s="52">
        <v>0</v>
      </c>
      <c r="Y110" s="52">
        <v>0</v>
      </c>
      <c r="Z110" s="52">
        <v>0</v>
      </c>
      <c r="AA110" s="52">
        <v>0</v>
      </c>
      <c r="AB110" s="52">
        <v>0</v>
      </c>
      <c r="AC110" s="52">
        <v>0</v>
      </c>
      <c r="AD110" s="52">
        <v>0</v>
      </c>
      <c r="AE110" s="52">
        <v>0</v>
      </c>
    </row>
    <row r="111" spans="1:31" ht="13.5" customHeight="1" x14ac:dyDescent="0.2">
      <c r="A111" s="1616" t="s">
        <v>437</v>
      </c>
      <c r="B111" s="1108"/>
      <c r="C111" s="1109"/>
      <c r="D111" s="54" t="s">
        <v>20</v>
      </c>
      <c r="E111" s="1617" t="e">
        <f>VLOOKUP(A111,AA_Materiales,16,FALSE)</f>
        <v>#N/A</v>
      </c>
      <c r="F111" s="1619" t="e">
        <f>SUM(G112:AE112)</f>
        <v>#REF!</v>
      </c>
      <c r="G111" s="52">
        <v>0</v>
      </c>
      <c r="H111" s="52">
        <v>0</v>
      </c>
      <c r="I111" s="52">
        <v>0</v>
      </c>
      <c r="J111" s="52">
        <v>0</v>
      </c>
      <c r="K111" s="52">
        <v>0</v>
      </c>
      <c r="L111" s="52">
        <v>0</v>
      </c>
      <c r="M111" s="52">
        <v>0</v>
      </c>
      <c r="N111" s="118" t="e">
        <f>2.13*'PTO OC PLIEGO'!#REF!</f>
        <v>#REF!</v>
      </c>
      <c r="O111" s="118" t="e">
        <f>2.13*'PTO OC PLIEGO'!#REF!</f>
        <v>#REF!</v>
      </c>
      <c r="P111" s="118" t="e">
        <f>2.13*'PTO OC PLIEGO'!#REF!</f>
        <v>#REF!</v>
      </c>
      <c r="Q111" s="52">
        <v>0</v>
      </c>
      <c r="R111" s="52">
        <v>0</v>
      </c>
      <c r="S111" s="52">
        <v>0</v>
      </c>
      <c r="T111" s="52">
        <v>0</v>
      </c>
      <c r="U111" s="52">
        <v>0</v>
      </c>
      <c r="V111" s="52">
        <v>0</v>
      </c>
      <c r="W111" s="52">
        <v>0</v>
      </c>
      <c r="X111" s="52">
        <v>0</v>
      </c>
      <c r="Y111" s="52">
        <v>0</v>
      </c>
      <c r="Z111" s="52">
        <v>0</v>
      </c>
      <c r="AA111" s="52">
        <v>0</v>
      </c>
      <c r="AB111" s="52">
        <v>0</v>
      </c>
      <c r="AC111" s="52">
        <v>0</v>
      </c>
      <c r="AD111" s="52">
        <v>0</v>
      </c>
      <c r="AE111" s="52">
        <v>0</v>
      </c>
    </row>
    <row r="112" spans="1:31" ht="13.5" customHeight="1" x14ac:dyDescent="0.2">
      <c r="A112" s="1110"/>
      <c r="B112" s="1111"/>
      <c r="C112" s="1112"/>
      <c r="D112" s="54" t="s">
        <v>20</v>
      </c>
      <c r="E112" s="1618"/>
      <c r="F112" s="1618"/>
      <c r="G112" s="52">
        <v>0</v>
      </c>
      <c r="H112" s="52">
        <v>0</v>
      </c>
      <c r="I112" s="52">
        <v>0</v>
      </c>
      <c r="J112" s="52">
        <v>0</v>
      </c>
      <c r="K112" s="52">
        <v>0</v>
      </c>
      <c r="L112" s="52">
        <v>0</v>
      </c>
      <c r="M112" s="52">
        <v>0</v>
      </c>
      <c r="N112" s="118" t="e">
        <f>+N111*E111</f>
        <v>#REF!</v>
      </c>
      <c r="O112" s="118" t="e">
        <f>+O111*E111</f>
        <v>#REF!</v>
      </c>
      <c r="P112" s="118" t="e">
        <f>+P111*E111</f>
        <v>#REF!</v>
      </c>
      <c r="Q112" s="52">
        <v>0</v>
      </c>
      <c r="R112" s="52">
        <v>0</v>
      </c>
      <c r="S112" s="52">
        <v>0</v>
      </c>
      <c r="T112" s="52">
        <v>0</v>
      </c>
      <c r="U112" s="52">
        <v>0</v>
      </c>
      <c r="V112" s="52">
        <v>0</v>
      </c>
      <c r="W112" s="52">
        <v>0</v>
      </c>
      <c r="X112" s="52">
        <v>0</v>
      </c>
      <c r="Y112" s="52">
        <v>0</v>
      </c>
      <c r="Z112" s="52">
        <v>0</v>
      </c>
      <c r="AA112" s="52">
        <v>0</v>
      </c>
      <c r="AB112" s="52">
        <v>0</v>
      </c>
      <c r="AC112" s="52">
        <v>0</v>
      </c>
      <c r="AD112" s="52">
        <v>0</v>
      </c>
      <c r="AE112" s="52">
        <v>0</v>
      </c>
    </row>
    <row r="113" spans="1:31" ht="13.5" customHeight="1" x14ac:dyDescent="0.2">
      <c r="A113" s="1616" t="s">
        <v>428</v>
      </c>
      <c r="B113" s="1108"/>
      <c r="C113" s="1109"/>
      <c r="D113" s="54" t="s">
        <v>397</v>
      </c>
      <c r="E113" s="1617" t="e">
        <f>VLOOKUP(A113,AA_Materiales,16,FALSE)</f>
        <v>#N/A</v>
      </c>
      <c r="F113" s="1619" t="e">
        <f>SUM(G114:AE114)</f>
        <v>#N/A</v>
      </c>
      <c r="G113" s="52">
        <v>0</v>
      </c>
      <c r="H113" s="52">
        <v>0</v>
      </c>
      <c r="I113" s="52">
        <v>0</v>
      </c>
      <c r="J113" s="52">
        <v>0</v>
      </c>
      <c r="K113" s="52">
        <v>0</v>
      </c>
      <c r="L113" s="52">
        <v>0</v>
      </c>
      <c r="M113" s="52">
        <v>0</v>
      </c>
      <c r="N113" s="52">
        <v>0</v>
      </c>
      <c r="O113" s="52">
        <v>0</v>
      </c>
      <c r="P113" s="52">
        <v>0</v>
      </c>
      <c r="Q113" s="52">
        <v>0</v>
      </c>
      <c r="R113" s="52">
        <v>0</v>
      </c>
      <c r="S113" s="52">
        <v>0</v>
      </c>
      <c r="T113" s="52">
        <v>0</v>
      </c>
      <c r="U113" s="52">
        <v>0</v>
      </c>
      <c r="V113" s="52">
        <v>0</v>
      </c>
      <c r="W113" s="52">
        <v>0</v>
      </c>
      <c r="X113" s="118">
        <f>1*'PTO OC PLIEGO'!J50</f>
        <v>3</v>
      </c>
      <c r="Y113" s="52">
        <v>0</v>
      </c>
      <c r="Z113" s="52">
        <v>0</v>
      </c>
      <c r="AA113" s="52">
        <v>0</v>
      </c>
      <c r="AB113" s="52">
        <v>0</v>
      </c>
      <c r="AC113" s="52">
        <v>0</v>
      </c>
      <c r="AD113" s="52">
        <v>0</v>
      </c>
      <c r="AE113" s="52">
        <v>0</v>
      </c>
    </row>
    <row r="114" spans="1:31" ht="13.5" customHeight="1" x14ac:dyDescent="0.2">
      <c r="A114" s="1110"/>
      <c r="B114" s="1111"/>
      <c r="C114" s="1112"/>
      <c r="D114" s="54" t="s">
        <v>20</v>
      </c>
      <c r="E114" s="1618"/>
      <c r="F114" s="1618"/>
      <c r="G114" s="52">
        <v>0</v>
      </c>
      <c r="H114" s="52">
        <v>0</v>
      </c>
      <c r="I114" s="52">
        <v>0</v>
      </c>
      <c r="J114" s="52">
        <v>0</v>
      </c>
      <c r="K114" s="52">
        <v>0</v>
      </c>
      <c r="L114" s="52">
        <v>0</v>
      </c>
      <c r="M114" s="52">
        <v>0</v>
      </c>
      <c r="N114" s="52">
        <v>0</v>
      </c>
      <c r="O114" s="52">
        <v>0</v>
      </c>
      <c r="P114" s="52">
        <v>0</v>
      </c>
      <c r="Q114" s="52">
        <v>0</v>
      </c>
      <c r="R114" s="52">
        <v>0</v>
      </c>
      <c r="S114" s="52">
        <v>0</v>
      </c>
      <c r="T114" s="52">
        <v>0</v>
      </c>
      <c r="U114" s="52">
        <v>0</v>
      </c>
      <c r="V114" s="52">
        <v>0</v>
      </c>
      <c r="W114" s="52">
        <v>0</v>
      </c>
      <c r="X114" s="118" t="e">
        <f>+X113*E113</f>
        <v>#N/A</v>
      </c>
      <c r="Y114" s="52">
        <v>0</v>
      </c>
      <c r="Z114" s="52">
        <v>0</v>
      </c>
      <c r="AA114" s="52">
        <v>0</v>
      </c>
      <c r="AB114" s="52">
        <v>0</v>
      </c>
      <c r="AC114" s="52">
        <v>0</v>
      </c>
      <c r="AD114" s="52">
        <v>0</v>
      </c>
      <c r="AE114" s="52">
        <v>0</v>
      </c>
    </row>
    <row r="115" spans="1:31" ht="13.5" customHeight="1" x14ac:dyDescent="0.2">
      <c r="A115" s="1616" t="s">
        <v>479</v>
      </c>
      <c r="B115" s="1108"/>
      <c r="C115" s="1109"/>
      <c r="D115" s="54" t="s">
        <v>475</v>
      </c>
      <c r="E115" s="1617" t="e">
        <f>VLOOKUP(A115,AA_Materiales,16,FALSE)</f>
        <v>#N/A</v>
      </c>
      <c r="F115" s="1619" t="e">
        <f>SUM(G116:AE116)</f>
        <v>#N/A</v>
      </c>
      <c r="G115" s="52">
        <v>0</v>
      </c>
      <c r="H115" s="52">
        <v>0</v>
      </c>
      <c r="I115" s="52">
        <v>0</v>
      </c>
      <c r="J115" s="52">
        <v>0</v>
      </c>
      <c r="K115" s="52">
        <v>0</v>
      </c>
      <c r="L115" s="52">
        <v>0</v>
      </c>
      <c r="M115" s="52">
        <v>0</v>
      </c>
      <c r="N115" s="52">
        <v>0</v>
      </c>
      <c r="O115" s="52">
        <v>0</v>
      </c>
      <c r="P115" s="52">
        <v>0</v>
      </c>
      <c r="Q115" s="52">
        <v>0</v>
      </c>
      <c r="R115" s="52">
        <v>0</v>
      </c>
      <c r="S115" s="52">
        <v>0</v>
      </c>
      <c r="T115" s="52">
        <v>0</v>
      </c>
      <c r="U115" s="52">
        <v>0</v>
      </c>
      <c r="V115" s="118">
        <f>0.02*'PTO OC PLIEGO'!J47</f>
        <v>0.04</v>
      </c>
      <c r="W115" s="118">
        <f>0.02*'PTO OC PLIEGO'!J48</f>
        <v>0.08</v>
      </c>
      <c r="X115" s="52">
        <v>0</v>
      </c>
      <c r="Y115" s="52">
        <v>0</v>
      </c>
      <c r="Z115" s="52">
        <v>0</v>
      </c>
      <c r="AA115" s="52">
        <v>0</v>
      </c>
      <c r="AB115" s="52">
        <v>0</v>
      </c>
      <c r="AC115" s="52">
        <v>0</v>
      </c>
      <c r="AD115" s="118">
        <f>0.06*'PTO OC PLIEGO'!J59</f>
        <v>0.54</v>
      </c>
      <c r="AE115" s="52">
        <v>0</v>
      </c>
    </row>
    <row r="116" spans="1:31" ht="13.5" customHeight="1" x14ac:dyDescent="0.2">
      <c r="A116" s="1110"/>
      <c r="B116" s="1111"/>
      <c r="C116" s="1112"/>
      <c r="D116" s="54" t="s">
        <v>20</v>
      </c>
      <c r="E116" s="1618"/>
      <c r="F116" s="1618"/>
      <c r="G116" s="52">
        <v>0</v>
      </c>
      <c r="H116" s="52">
        <v>0</v>
      </c>
      <c r="I116" s="52">
        <v>0</v>
      </c>
      <c r="J116" s="52">
        <v>0</v>
      </c>
      <c r="K116" s="52">
        <v>0</v>
      </c>
      <c r="L116" s="52">
        <v>0</v>
      </c>
      <c r="M116" s="52">
        <v>0</v>
      </c>
      <c r="N116" s="52">
        <v>0</v>
      </c>
      <c r="O116" s="52">
        <v>0</v>
      </c>
      <c r="P116" s="52">
        <v>0</v>
      </c>
      <c r="Q116" s="52">
        <v>0</v>
      </c>
      <c r="R116" s="52">
        <v>0</v>
      </c>
      <c r="S116" s="52">
        <v>0</v>
      </c>
      <c r="T116" s="52">
        <v>0</v>
      </c>
      <c r="U116" s="52">
        <v>0</v>
      </c>
      <c r="V116" s="118" t="e">
        <f>+V115*E115</f>
        <v>#N/A</v>
      </c>
      <c r="W116" s="118" t="e">
        <f>+W115*E115</f>
        <v>#N/A</v>
      </c>
      <c r="X116" s="52">
        <v>0</v>
      </c>
      <c r="Y116" s="52">
        <v>0</v>
      </c>
      <c r="Z116" s="52">
        <v>0</v>
      </c>
      <c r="AA116" s="52">
        <v>0</v>
      </c>
      <c r="AB116" s="52">
        <v>0</v>
      </c>
      <c r="AC116" s="52">
        <v>0</v>
      </c>
      <c r="AD116" s="118" t="e">
        <f>+AD115*E115</f>
        <v>#N/A</v>
      </c>
      <c r="AE116" s="52">
        <v>0</v>
      </c>
    </row>
    <row r="117" spans="1:31" ht="13.5" customHeight="1" x14ac:dyDescent="0.2">
      <c r="A117" s="1616" t="s">
        <v>1141</v>
      </c>
      <c r="B117" s="1108"/>
      <c r="C117" s="1109"/>
      <c r="D117" s="54" t="s">
        <v>397</v>
      </c>
      <c r="E117" s="1617" t="e">
        <f>VLOOKUP(A117,AA_Materiales,16,FALSE)</f>
        <v>#N/A</v>
      </c>
      <c r="F117" s="1619" t="e">
        <f>SUM(G118:AE118)</f>
        <v>#REF!</v>
      </c>
      <c r="G117" s="52">
        <v>0</v>
      </c>
      <c r="H117" s="52">
        <v>0</v>
      </c>
      <c r="I117" s="52">
        <v>0</v>
      </c>
      <c r="J117" s="52">
        <v>0</v>
      </c>
      <c r="K117" s="52">
        <v>0</v>
      </c>
      <c r="L117" s="52">
        <v>0</v>
      </c>
      <c r="M117" s="52">
        <v>0</v>
      </c>
      <c r="N117" s="52">
        <v>0</v>
      </c>
      <c r="O117" s="52">
        <v>0</v>
      </c>
      <c r="P117" s="52">
        <v>0</v>
      </c>
      <c r="Q117" s="52">
        <v>0</v>
      </c>
      <c r="R117" s="118" t="e">
        <f>1.03*'PTO OC PLIEGO'!#REF!</f>
        <v>#REF!</v>
      </c>
      <c r="S117" s="52">
        <v>0</v>
      </c>
      <c r="T117" s="52">
        <v>0</v>
      </c>
      <c r="U117" s="52">
        <v>0</v>
      </c>
      <c r="V117" s="52">
        <v>0</v>
      </c>
      <c r="W117" s="52">
        <v>0</v>
      </c>
      <c r="X117" s="52">
        <v>0</v>
      </c>
      <c r="Y117" s="52">
        <v>0</v>
      </c>
      <c r="Z117" s="52">
        <v>0</v>
      </c>
      <c r="AA117" s="52">
        <v>0</v>
      </c>
      <c r="AB117" s="52">
        <v>0</v>
      </c>
      <c r="AC117" s="52">
        <v>0</v>
      </c>
      <c r="AD117" s="52">
        <v>0</v>
      </c>
      <c r="AE117" s="52">
        <v>0</v>
      </c>
    </row>
    <row r="118" spans="1:31" ht="13.5" customHeight="1" x14ac:dyDescent="0.2">
      <c r="A118" s="1110"/>
      <c r="B118" s="1111"/>
      <c r="C118" s="1112"/>
      <c r="D118" s="54" t="s">
        <v>20</v>
      </c>
      <c r="E118" s="1618"/>
      <c r="F118" s="1618"/>
      <c r="G118" s="52">
        <v>0</v>
      </c>
      <c r="H118" s="52">
        <v>0</v>
      </c>
      <c r="I118" s="52">
        <v>0</v>
      </c>
      <c r="J118" s="52">
        <v>0</v>
      </c>
      <c r="K118" s="52">
        <v>0</v>
      </c>
      <c r="L118" s="52">
        <v>0</v>
      </c>
      <c r="M118" s="52">
        <v>0</v>
      </c>
      <c r="N118" s="52">
        <v>0</v>
      </c>
      <c r="O118" s="52">
        <v>0</v>
      </c>
      <c r="P118" s="52">
        <v>0</v>
      </c>
      <c r="Q118" s="52">
        <v>0</v>
      </c>
      <c r="R118" s="118" t="e">
        <f>+R117*E117</f>
        <v>#REF!</v>
      </c>
      <c r="S118" s="52">
        <v>0</v>
      </c>
      <c r="T118" s="52">
        <v>0</v>
      </c>
      <c r="U118" s="52">
        <v>0</v>
      </c>
      <c r="V118" s="52">
        <v>0</v>
      </c>
      <c r="W118" s="52">
        <v>0</v>
      </c>
      <c r="X118" s="52">
        <v>0</v>
      </c>
      <c r="Y118" s="52">
        <v>0</v>
      </c>
      <c r="Z118" s="52">
        <v>0</v>
      </c>
      <c r="AA118" s="52">
        <v>0</v>
      </c>
      <c r="AB118" s="52">
        <v>0</v>
      </c>
      <c r="AC118" s="52">
        <v>0</v>
      </c>
      <c r="AD118" s="52">
        <v>0</v>
      </c>
      <c r="AE118" s="52">
        <v>0</v>
      </c>
    </row>
    <row r="119" spans="1:31" ht="13.5" customHeight="1" x14ac:dyDescent="0.2">
      <c r="A119" s="1616" t="s">
        <v>398</v>
      </c>
      <c r="B119" s="1108"/>
      <c r="C119" s="1109"/>
      <c r="D119" s="54" t="s">
        <v>830</v>
      </c>
      <c r="E119" s="1617" t="e">
        <f>VLOOKUP(A119,AA_Materiales,16,FALSE)</f>
        <v>#N/A</v>
      </c>
      <c r="F119" s="1619" t="e">
        <f>SUM(G120:AE120)</f>
        <v>#N/A</v>
      </c>
      <c r="G119" s="118">
        <f>1*'PTO OC PLIEGO'!J37</f>
        <v>279.31799999999998</v>
      </c>
      <c r="H119" s="52">
        <v>0</v>
      </c>
      <c r="I119" s="52">
        <v>0</v>
      </c>
      <c r="J119" s="52">
        <v>0</v>
      </c>
      <c r="K119" s="52">
        <v>0</v>
      </c>
      <c r="L119" s="52">
        <v>0</v>
      </c>
      <c r="M119" s="52">
        <v>0</v>
      </c>
      <c r="N119" s="52">
        <v>0</v>
      </c>
      <c r="O119" s="52">
        <v>0</v>
      </c>
      <c r="P119" s="52">
        <v>0</v>
      </c>
      <c r="Q119" s="52">
        <v>0</v>
      </c>
      <c r="R119" s="52">
        <v>0</v>
      </c>
      <c r="S119" s="52">
        <v>0</v>
      </c>
      <c r="T119" s="52">
        <v>0</v>
      </c>
      <c r="U119" s="52">
        <v>0</v>
      </c>
      <c r="V119" s="52">
        <v>0</v>
      </c>
      <c r="W119" s="52">
        <v>0</v>
      </c>
      <c r="X119" s="52">
        <v>0</v>
      </c>
      <c r="Y119" s="52">
        <v>0</v>
      </c>
      <c r="Z119" s="52">
        <v>0</v>
      </c>
      <c r="AA119" s="52">
        <v>0</v>
      </c>
      <c r="AB119" s="52">
        <v>0</v>
      </c>
      <c r="AC119" s="52">
        <v>0</v>
      </c>
      <c r="AD119" s="52">
        <v>0</v>
      </c>
      <c r="AE119" s="52">
        <v>0</v>
      </c>
    </row>
    <row r="120" spans="1:31" ht="13.5" customHeight="1" x14ac:dyDescent="0.2">
      <c r="A120" s="1110"/>
      <c r="B120" s="1111"/>
      <c r="C120" s="1112"/>
      <c r="D120" s="54" t="s">
        <v>20</v>
      </c>
      <c r="E120" s="1618"/>
      <c r="F120" s="1618"/>
      <c r="G120" s="118" t="e">
        <f>+G119*E119</f>
        <v>#N/A</v>
      </c>
      <c r="H120" s="52">
        <v>0</v>
      </c>
      <c r="I120" s="52">
        <v>0</v>
      </c>
      <c r="J120" s="52">
        <v>0</v>
      </c>
      <c r="K120" s="52">
        <v>0</v>
      </c>
      <c r="L120" s="52">
        <v>0</v>
      </c>
      <c r="M120" s="52">
        <v>0</v>
      </c>
      <c r="N120" s="52">
        <v>0</v>
      </c>
      <c r="O120" s="52">
        <v>0</v>
      </c>
      <c r="P120" s="52">
        <v>0</v>
      </c>
      <c r="Q120" s="52">
        <v>0</v>
      </c>
      <c r="R120" s="52">
        <v>0</v>
      </c>
      <c r="S120" s="52">
        <v>0</v>
      </c>
      <c r="T120" s="52">
        <v>0</v>
      </c>
      <c r="U120" s="52">
        <v>0</v>
      </c>
      <c r="V120" s="52">
        <v>0</v>
      </c>
      <c r="W120" s="52">
        <v>0</v>
      </c>
      <c r="X120" s="52">
        <v>0</v>
      </c>
      <c r="Y120" s="52">
        <v>0</v>
      </c>
      <c r="Z120" s="52">
        <v>0</v>
      </c>
      <c r="AA120" s="52">
        <v>0</v>
      </c>
      <c r="AB120" s="52">
        <v>0</v>
      </c>
      <c r="AC120" s="52">
        <v>0</v>
      </c>
      <c r="AD120" s="52">
        <v>0</v>
      </c>
      <c r="AE120" s="52">
        <v>0</v>
      </c>
    </row>
    <row r="121" spans="1:31" ht="13.5" customHeight="1" x14ac:dyDescent="0.2">
      <c r="A121" s="1616" t="s">
        <v>875</v>
      </c>
      <c r="B121" s="1108"/>
      <c r="C121" s="1109"/>
      <c r="D121" s="54" t="s">
        <v>180</v>
      </c>
      <c r="E121" s="1617" t="e">
        <f>VLOOKUP(A121,AA_Materiales,16,FALSE)</f>
        <v>#N/A</v>
      </c>
      <c r="F121" s="1619" t="e">
        <f>SUM(G122:AE122)</f>
        <v>#N/A</v>
      </c>
      <c r="G121" s="52">
        <v>0</v>
      </c>
      <c r="H121" s="52">
        <v>0</v>
      </c>
      <c r="I121" s="52">
        <v>0</v>
      </c>
      <c r="J121" s="52">
        <v>0</v>
      </c>
      <c r="K121" s="52">
        <v>0</v>
      </c>
      <c r="L121" s="52">
        <v>0</v>
      </c>
      <c r="M121" s="52">
        <v>0</v>
      </c>
      <c r="N121" s="52">
        <v>0</v>
      </c>
      <c r="O121" s="52">
        <v>0</v>
      </c>
      <c r="P121" s="52">
        <v>0</v>
      </c>
      <c r="Q121" s="52">
        <v>0</v>
      </c>
      <c r="R121" s="52">
        <v>0</v>
      </c>
      <c r="S121" s="52">
        <v>0</v>
      </c>
      <c r="T121" s="52">
        <v>0</v>
      </c>
      <c r="U121" s="52">
        <v>0</v>
      </c>
      <c r="V121" s="52">
        <v>0</v>
      </c>
      <c r="W121" s="52">
        <v>0</v>
      </c>
      <c r="X121" s="52">
        <v>0</v>
      </c>
      <c r="Y121" s="52">
        <v>0</v>
      </c>
      <c r="Z121" s="52">
        <v>0</v>
      </c>
      <c r="AA121" s="118">
        <f>1*'PTO OC PLIEGO'!J53</f>
        <v>6</v>
      </c>
      <c r="AB121" s="52">
        <v>0</v>
      </c>
      <c r="AC121" s="52">
        <v>0</v>
      </c>
      <c r="AD121" s="52">
        <v>0</v>
      </c>
      <c r="AE121" s="52">
        <v>0</v>
      </c>
    </row>
    <row r="122" spans="1:31" ht="13.5" customHeight="1" x14ac:dyDescent="0.2">
      <c r="A122" s="1110"/>
      <c r="B122" s="1111"/>
      <c r="C122" s="1112"/>
      <c r="D122" s="54" t="s">
        <v>20</v>
      </c>
      <c r="E122" s="1618"/>
      <c r="F122" s="1618"/>
      <c r="G122" s="52">
        <v>0</v>
      </c>
      <c r="H122" s="52">
        <v>0</v>
      </c>
      <c r="I122" s="52">
        <v>0</v>
      </c>
      <c r="J122" s="52">
        <v>0</v>
      </c>
      <c r="K122" s="52">
        <v>0</v>
      </c>
      <c r="L122" s="52">
        <v>0</v>
      </c>
      <c r="M122" s="52">
        <v>0</v>
      </c>
      <c r="N122" s="52">
        <v>0</v>
      </c>
      <c r="O122" s="52">
        <v>0</v>
      </c>
      <c r="P122" s="52">
        <v>0</v>
      </c>
      <c r="Q122" s="52">
        <v>0</v>
      </c>
      <c r="R122" s="52">
        <v>0</v>
      </c>
      <c r="S122" s="52">
        <v>0</v>
      </c>
      <c r="T122" s="52">
        <v>0</v>
      </c>
      <c r="U122" s="52">
        <v>0</v>
      </c>
      <c r="V122" s="52">
        <v>0</v>
      </c>
      <c r="W122" s="52">
        <v>0</v>
      </c>
      <c r="X122" s="52">
        <v>0</v>
      </c>
      <c r="Y122" s="52">
        <v>0</v>
      </c>
      <c r="Z122" s="52">
        <v>0</v>
      </c>
      <c r="AA122" s="118" t="e">
        <f>+AA121*E121</f>
        <v>#N/A</v>
      </c>
      <c r="AB122" s="52">
        <v>0</v>
      </c>
      <c r="AC122" s="52">
        <v>0</v>
      </c>
      <c r="AD122" s="52">
        <v>0</v>
      </c>
      <c r="AE122" s="52">
        <v>0</v>
      </c>
    </row>
    <row r="123" spans="1:31" ht="13.5" customHeight="1" x14ac:dyDescent="0.2">
      <c r="A123" s="1616" t="s">
        <v>493</v>
      </c>
      <c r="B123" s="1108"/>
      <c r="C123" s="1109"/>
      <c r="D123" s="54" t="s">
        <v>180</v>
      </c>
      <c r="E123" s="1617" t="e">
        <f>VLOOKUP(A123,AA_Materiales,16,FALSE)</f>
        <v>#N/A</v>
      </c>
      <c r="F123" s="1619" t="e">
        <f>SUM(G124:AE124)</f>
        <v>#N/A</v>
      </c>
      <c r="G123" s="52">
        <v>0</v>
      </c>
      <c r="H123" s="52">
        <v>0</v>
      </c>
      <c r="I123" s="52">
        <v>0</v>
      </c>
      <c r="J123" s="52">
        <v>0</v>
      </c>
      <c r="K123" s="52">
        <v>0</v>
      </c>
      <c r="L123" s="52">
        <v>0</v>
      </c>
      <c r="M123" s="52">
        <v>0</v>
      </c>
      <c r="N123" s="52">
        <v>0</v>
      </c>
      <c r="O123" s="52">
        <v>0</v>
      </c>
      <c r="P123" s="52">
        <v>0</v>
      </c>
      <c r="Q123" s="52">
        <v>0</v>
      </c>
      <c r="R123" s="52">
        <v>0</v>
      </c>
      <c r="S123" s="52">
        <v>0</v>
      </c>
      <c r="T123" s="52">
        <v>0</v>
      </c>
      <c r="U123" s="52">
        <v>0</v>
      </c>
      <c r="V123" s="52">
        <v>0</v>
      </c>
      <c r="W123" s="52">
        <v>0</v>
      </c>
      <c r="X123" s="52">
        <v>0</v>
      </c>
      <c r="Y123" s="52">
        <v>0</v>
      </c>
      <c r="Z123" s="52">
        <v>0</v>
      </c>
      <c r="AA123" s="52">
        <v>0</v>
      </c>
      <c r="AB123" s="118">
        <f>1*'PTO OC PLIEGO'!J54</f>
        <v>10</v>
      </c>
      <c r="AC123" s="52">
        <v>0</v>
      </c>
      <c r="AD123" s="52">
        <v>0</v>
      </c>
      <c r="AE123" s="52">
        <v>0</v>
      </c>
    </row>
    <row r="124" spans="1:31" ht="13.5" customHeight="1" x14ac:dyDescent="0.2">
      <c r="A124" s="1110"/>
      <c r="B124" s="1111"/>
      <c r="C124" s="1112"/>
      <c r="D124" s="54" t="s">
        <v>20</v>
      </c>
      <c r="E124" s="1618"/>
      <c r="F124" s="1618"/>
      <c r="G124" s="52">
        <v>0</v>
      </c>
      <c r="H124" s="52">
        <v>0</v>
      </c>
      <c r="I124" s="52">
        <v>0</v>
      </c>
      <c r="J124" s="52">
        <v>0</v>
      </c>
      <c r="K124" s="52">
        <v>0</v>
      </c>
      <c r="L124" s="52">
        <v>0</v>
      </c>
      <c r="M124" s="52">
        <v>0</v>
      </c>
      <c r="N124" s="52">
        <v>0</v>
      </c>
      <c r="O124" s="52">
        <v>0</v>
      </c>
      <c r="P124" s="52">
        <v>0</v>
      </c>
      <c r="Q124" s="52">
        <v>0</v>
      </c>
      <c r="R124" s="52">
        <v>0</v>
      </c>
      <c r="S124" s="52">
        <v>0</v>
      </c>
      <c r="T124" s="52">
        <v>0</v>
      </c>
      <c r="U124" s="52">
        <v>0</v>
      </c>
      <c r="V124" s="52">
        <v>0</v>
      </c>
      <c r="W124" s="52">
        <v>0</v>
      </c>
      <c r="X124" s="52">
        <v>0</v>
      </c>
      <c r="Y124" s="52">
        <v>0</v>
      </c>
      <c r="Z124" s="52">
        <v>0</v>
      </c>
      <c r="AA124" s="52">
        <v>0</v>
      </c>
      <c r="AB124" s="118" t="e">
        <f>+AB123*E123</f>
        <v>#N/A</v>
      </c>
      <c r="AC124" s="52">
        <v>0</v>
      </c>
      <c r="AD124" s="52">
        <v>0</v>
      </c>
      <c r="AE124" s="52">
        <v>0</v>
      </c>
    </row>
    <row r="125" spans="1:31" ht="13.5" customHeight="1" x14ac:dyDescent="0.2">
      <c r="A125" s="1616" t="s">
        <v>875</v>
      </c>
      <c r="B125" s="1108"/>
      <c r="C125" s="1109"/>
      <c r="D125" s="54" t="s">
        <v>180</v>
      </c>
      <c r="E125" s="1617" t="e">
        <f>VLOOKUP(A125,AA_Materiales,16,FALSE)</f>
        <v>#N/A</v>
      </c>
      <c r="F125" s="1619" t="e">
        <f>SUM(G126:AE126)</f>
        <v>#N/A</v>
      </c>
      <c r="G125" s="52">
        <v>0</v>
      </c>
      <c r="H125" s="52">
        <v>0</v>
      </c>
      <c r="I125" s="52">
        <v>0</v>
      </c>
      <c r="J125" s="52">
        <v>0</v>
      </c>
      <c r="K125" s="52">
        <v>0</v>
      </c>
      <c r="L125" s="52">
        <v>0</v>
      </c>
      <c r="M125" s="52">
        <v>0</v>
      </c>
      <c r="N125" s="52">
        <v>0</v>
      </c>
      <c r="O125" s="52">
        <v>0</v>
      </c>
      <c r="P125" s="52">
        <v>0</v>
      </c>
      <c r="Q125" s="52">
        <v>0</v>
      </c>
      <c r="R125" s="52">
        <v>0</v>
      </c>
      <c r="S125" s="52">
        <v>0</v>
      </c>
      <c r="T125" s="52">
        <v>0</v>
      </c>
      <c r="U125" s="52">
        <v>0</v>
      </c>
      <c r="V125" s="52">
        <v>0</v>
      </c>
      <c r="W125" s="52">
        <v>0</v>
      </c>
      <c r="X125" s="52">
        <v>0</v>
      </c>
      <c r="Y125" s="52">
        <v>0</v>
      </c>
      <c r="Z125" s="118">
        <f>1*'PTO OC PLIEGO'!J52</f>
        <v>2</v>
      </c>
      <c r="AA125" s="52">
        <v>0</v>
      </c>
      <c r="AB125" s="52">
        <v>0</v>
      </c>
      <c r="AC125" s="52">
        <v>0</v>
      </c>
      <c r="AD125" s="52">
        <v>0</v>
      </c>
      <c r="AE125" s="52">
        <v>0</v>
      </c>
    </row>
    <row r="126" spans="1:31" ht="13.5" customHeight="1" x14ac:dyDescent="0.2">
      <c r="A126" s="1110"/>
      <c r="B126" s="1111"/>
      <c r="C126" s="1112"/>
      <c r="D126" s="54" t="s">
        <v>20</v>
      </c>
      <c r="E126" s="1618"/>
      <c r="F126" s="1618"/>
      <c r="G126" s="52">
        <v>0</v>
      </c>
      <c r="H126" s="52">
        <v>0</v>
      </c>
      <c r="I126" s="52">
        <v>0</v>
      </c>
      <c r="J126" s="52">
        <v>0</v>
      </c>
      <c r="K126" s="52">
        <v>0</v>
      </c>
      <c r="L126" s="52">
        <v>0</v>
      </c>
      <c r="M126" s="52">
        <v>0</v>
      </c>
      <c r="N126" s="52">
        <v>0</v>
      </c>
      <c r="O126" s="52">
        <v>0</v>
      </c>
      <c r="P126" s="52">
        <v>0</v>
      </c>
      <c r="Q126" s="52">
        <v>0</v>
      </c>
      <c r="R126" s="52">
        <v>0</v>
      </c>
      <c r="S126" s="52">
        <v>0</v>
      </c>
      <c r="T126" s="52">
        <v>0</v>
      </c>
      <c r="U126" s="52">
        <v>0</v>
      </c>
      <c r="V126" s="52">
        <v>0</v>
      </c>
      <c r="W126" s="52">
        <v>0</v>
      </c>
      <c r="X126" s="52">
        <v>0</v>
      </c>
      <c r="Y126" s="52">
        <v>0</v>
      </c>
      <c r="Z126" s="118" t="e">
        <f>+Z125*E125</f>
        <v>#N/A</v>
      </c>
      <c r="AA126" s="52">
        <v>0</v>
      </c>
      <c r="AB126" s="52">
        <v>0</v>
      </c>
      <c r="AC126" s="52">
        <v>0</v>
      </c>
      <c r="AD126" s="52">
        <v>0</v>
      </c>
      <c r="AE126" s="52">
        <v>0</v>
      </c>
    </row>
    <row r="127" spans="1:31" ht="13.5" customHeight="1" x14ac:dyDescent="0.2">
      <c r="A127" s="1616" t="s">
        <v>425</v>
      </c>
      <c r="B127" s="1108"/>
      <c r="C127" s="1109"/>
      <c r="D127" s="54" t="s">
        <v>180</v>
      </c>
      <c r="E127" s="1617" t="e">
        <f>VLOOKUP(A127,AA_Materiales,16,FALSE)</f>
        <v>#N/A</v>
      </c>
      <c r="F127" s="1619" t="e">
        <f>SUM(G128:AE128)</f>
        <v>#N/A</v>
      </c>
      <c r="G127" s="52">
        <v>0</v>
      </c>
      <c r="H127" s="52">
        <v>0</v>
      </c>
      <c r="I127" s="52">
        <v>0</v>
      </c>
      <c r="J127" s="52">
        <v>0</v>
      </c>
      <c r="K127" s="52">
        <v>0</v>
      </c>
      <c r="L127" s="52">
        <v>0</v>
      </c>
      <c r="M127" s="52">
        <v>0</v>
      </c>
      <c r="N127" s="52">
        <v>0</v>
      </c>
      <c r="O127" s="52">
        <v>0</v>
      </c>
      <c r="P127" s="52">
        <v>0</v>
      </c>
      <c r="Q127" s="52">
        <v>0</v>
      </c>
      <c r="R127" s="52">
        <v>0</v>
      </c>
      <c r="S127" s="52">
        <v>0</v>
      </c>
      <c r="T127" s="52">
        <v>0</v>
      </c>
      <c r="U127" s="52">
        <v>0</v>
      </c>
      <c r="V127" s="52">
        <v>0</v>
      </c>
      <c r="W127" s="52">
        <v>0</v>
      </c>
      <c r="X127" s="52">
        <v>0</v>
      </c>
      <c r="Y127" s="118">
        <f>1*'PTO OC PLIEGO'!J51</f>
        <v>2</v>
      </c>
      <c r="Z127" s="52">
        <v>0</v>
      </c>
      <c r="AA127" s="52">
        <v>0</v>
      </c>
      <c r="AB127" s="52">
        <v>0</v>
      </c>
      <c r="AC127" s="52">
        <v>0</v>
      </c>
      <c r="AD127" s="52">
        <v>0</v>
      </c>
      <c r="AE127" s="52">
        <v>0</v>
      </c>
    </row>
    <row r="128" spans="1:31" ht="13.5" customHeight="1" x14ac:dyDescent="0.2">
      <c r="A128" s="1110"/>
      <c r="B128" s="1111"/>
      <c r="C128" s="1112"/>
      <c r="D128" s="54" t="s">
        <v>20</v>
      </c>
      <c r="E128" s="1618"/>
      <c r="F128" s="1618"/>
      <c r="G128" s="52">
        <v>0</v>
      </c>
      <c r="H128" s="52">
        <v>0</v>
      </c>
      <c r="I128" s="52">
        <v>0</v>
      </c>
      <c r="J128" s="52">
        <v>0</v>
      </c>
      <c r="K128" s="52">
        <v>0</v>
      </c>
      <c r="L128" s="52">
        <v>0</v>
      </c>
      <c r="M128" s="52">
        <v>0</v>
      </c>
      <c r="N128" s="52">
        <v>0</v>
      </c>
      <c r="O128" s="52">
        <v>0</v>
      </c>
      <c r="P128" s="52">
        <v>0</v>
      </c>
      <c r="Q128" s="52">
        <v>0</v>
      </c>
      <c r="R128" s="52">
        <v>0</v>
      </c>
      <c r="S128" s="52">
        <v>0</v>
      </c>
      <c r="T128" s="52">
        <v>0</v>
      </c>
      <c r="U128" s="52">
        <v>0</v>
      </c>
      <c r="V128" s="52">
        <v>0</v>
      </c>
      <c r="W128" s="52">
        <v>0</v>
      </c>
      <c r="X128" s="52">
        <v>0</v>
      </c>
      <c r="Y128" s="118" t="e">
        <f>+Y127*E127</f>
        <v>#N/A</v>
      </c>
      <c r="Z128" s="52">
        <v>0</v>
      </c>
      <c r="AA128" s="52">
        <v>0</v>
      </c>
      <c r="AB128" s="52">
        <v>0</v>
      </c>
      <c r="AC128" s="52">
        <v>0</v>
      </c>
      <c r="AD128" s="52">
        <v>0</v>
      </c>
      <c r="AE128" s="52">
        <v>0</v>
      </c>
    </row>
    <row r="129" spans="1:31" ht="13.5" customHeight="1" x14ac:dyDescent="0.2">
      <c r="A129" s="1616" t="s">
        <v>388</v>
      </c>
      <c r="B129" s="1108"/>
      <c r="C129" s="1109"/>
      <c r="D129" s="54" t="s">
        <v>475</v>
      </c>
      <c r="E129" s="1617">
        <f>VLOOKUP(A129,AA_Materiales,16,FALSE)</f>
        <v>0</v>
      </c>
      <c r="F129" s="1619">
        <f>SUM(G130:AE130)</f>
        <v>0</v>
      </c>
      <c r="G129" s="118">
        <f>0.01*'PTO OC PLIEGO'!J37</f>
        <v>2.79318</v>
      </c>
      <c r="H129" s="52">
        <v>0</v>
      </c>
      <c r="I129" s="52">
        <v>0</v>
      </c>
      <c r="J129" s="52">
        <v>0</v>
      </c>
      <c r="K129" s="52">
        <v>0</v>
      </c>
      <c r="L129" s="52">
        <v>0</v>
      </c>
      <c r="M129" s="52">
        <v>0</v>
      </c>
      <c r="N129" s="52">
        <v>0</v>
      </c>
      <c r="O129" s="52">
        <v>0</v>
      </c>
      <c r="P129" s="52">
        <v>0</v>
      </c>
      <c r="Q129" s="52">
        <v>0</v>
      </c>
      <c r="R129" s="52">
        <v>0</v>
      </c>
      <c r="S129" s="52">
        <v>0</v>
      </c>
      <c r="T129" s="52">
        <v>0</v>
      </c>
      <c r="U129" s="52">
        <v>0</v>
      </c>
      <c r="V129" s="52">
        <v>0</v>
      </c>
      <c r="W129" s="52">
        <v>0</v>
      </c>
      <c r="X129" s="52">
        <v>0</v>
      </c>
      <c r="Y129" s="52">
        <v>0</v>
      </c>
      <c r="Z129" s="52">
        <v>0</v>
      </c>
      <c r="AA129" s="52">
        <v>0</v>
      </c>
      <c r="AB129" s="52">
        <v>0</v>
      </c>
      <c r="AC129" s="52">
        <v>0</v>
      </c>
      <c r="AD129" s="52">
        <v>0</v>
      </c>
      <c r="AE129" s="52">
        <v>0</v>
      </c>
    </row>
    <row r="130" spans="1:31" ht="13.5" customHeight="1" x14ac:dyDescent="0.2">
      <c r="A130" s="1110"/>
      <c r="B130" s="1111"/>
      <c r="C130" s="1112"/>
      <c r="D130" s="54" t="s">
        <v>20</v>
      </c>
      <c r="E130" s="1618"/>
      <c r="F130" s="1618"/>
      <c r="G130" s="118">
        <f>+G129*E129</f>
        <v>0</v>
      </c>
      <c r="H130" s="52">
        <v>0</v>
      </c>
      <c r="I130" s="52">
        <v>0</v>
      </c>
      <c r="J130" s="52">
        <v>0</v>
      </c>
      <c r="K130" s="52">
        <v>0</v>
      </c>
      <c r="L130" s="52">
        <v>0</v>
      </c>
      <c r="M130" s="52">
        <v>0</v>
      </c>
      <c r="N130" s="52">
        <v>0</v>
      </c>
      <c r="O130" s="52">
        <v>0</v>
      </c>
      <c r="P130" s="52">
        <v>0</v>
      </c>
      <c r="Q130" s="52">
        <v>0</v>
      </c>
      <c r="R130" s="52">
        <v>0</v>
      </c>
      <c r="S130" s="52">
        <v>0</v>
      </c>
      <c r="T130" s="52">
        <v>0</v>
      </c>
      <c r="U130" s="52">
        <v>0</v>
      </c>
      <c r="V130" s="52">
        <v>0</v>
      </c>
      <c r="W130" s="52">
        <v>0</v>
      </c>
      <c r="X130" s="52">
        <v>0</v>
      </c>
      <c r="Y130" s="52">
        <v>0</v>
      </c>
      <c r="Z130" s="52">
        <v>0</v>
      </c>
      <c r="AA130" s="52">
        <v>0</v>
      </c>
      <c r="AB130" s="52">
        <v>0</v>
      </c>
      <c r="AC130" s="52">
        <v>0</v>
      </c>
      <c r="AD130" s="52">
        <v>0</v>
      </c>
      <c r="AE130" s="52">
        <v>0</v>
      </c>
    </row>
    <row r="131" spans="1:31" ht="13.5" customHeight="1" x14ac:dyDescent="0.2">
      <c r="A131" s="1616" t="s">
        <v>421</v>
      </c>
      <c r="B131" s="1108"/>
      <c r="C131" s="1109"/>
      <c r="D131" s="54" t="s">
        <v>475</v>
      </c>
      <c r="E131" s="1617" t="e">
        <f>VLOOKUP(A131,AA_Materiales,16,FALSE)</f>
        <v>#N/A</v>
      </c>
      <c r="F131" s="1619" t="e">
        <f>SUM(G132:AE132)</f>
        <v>#N/A</v>
      </c>
      <c r="G131" s="52">
        <v>0</v>
      </c>
      <c r="H131" s="52">
        <v>0</v>
      </c>
      <c r="I131" s="52">
        <v>0</v>
      </c>
      <c r="J131" s="52">
        <v>0</v>
      </c>
      <c r="K131" s="52">
        <v>0</v>
      </c>
      <c r="L131" s="52">
        <v>0</v>
      </c>
      <c r="M131" s="52">
        <v>0</v>
      </c>
      <c r="N131" s="52">
        <v>0</v>
      </c>
      <c r="O131" s="52">
        <v>0</v>
      </c>
      <c r="P131" s="52">
        <v>0</v>
      </c>
      <c r="Q131" s="52">
        <v>0</v>
      </c>
      <c r="R131" s="52">
        <v>0</v>
      </c>
      <c r="S131" s="52">
        <v>0</v>
      </c>
      <c r="T131" s="52">
        <v>0</v>
      </c>
      <c r="U131" s="52">
        <v>0</v>
      </c>
      <c r="V131" s="52">
        <v>0</v>
      </c>
      <c r="W131" s="52">
        <v>0</v>
      </c>
      <c r="X131" s="118">
        <f>0.05*'PTO OC PLIEGO'!J50</f>
        <v>0.15000000000000002</v>
      </c>
      <c r="Y131" s="52">
        <v>0</v>
      </c>
      <c r="Z131" s="52">
        <v>0</v>
      </c>
      <c r="AA131" s="52">
        <v>0</v>
      </c>
      <c r="AB131" s="52">
        <v>0</v>
      </c>
      <c r="AC131" s="52">
        <v>0</v>
      </c>
      <c r="AD131" s="52">
        <v>0</v>
      </c>
      <c r="AE131" s="52">
        <v>0</v>
      </c>
    </row>
    <row r="132" spans="1:31" ht="13.5" customHeight="1" x14ac:dyDescent="0.2">
      <c r="A132" s="1110"/>
      <c r="B132" s="1111"/>
      <c r="C132" s="1112"/>
      <c r="D132" s="54" t="s">
        <v>20</v>
      </c>
      <c r="E132" s="1618"/>
      <c r="F132" s="1618"/>
      <c r="G132" s="52">
        <v>0</v>
      </c>
      <c r="H132" s="52">
        <v>0</v>
      </c>
      <c r="I132" s="52">
        <v>0</v>
      </c>
      <c r="J132" s="52">
        <v>0</v>
      </c>
      <c r="K132" s="52">
        <v>0</v>
      </c>
      <c r="L132" s="52">
        <v>0</v>
      </c>
      <c r="M132" s="52">
        <v>0</v>
      </c>
      <c r="N132" s="52">
        <v>0</v>
      </c>
      <c r="O132" s="52">
        <v>0</v>
      </c>
      <c r="P132" s="52">
        <v>0</v>
      </c>
      <c r="Q132" s="52">
        <v>0</v>
      </c>
      <c r="R132" s="52">
        <v>0</v>
      </c>
      <c r="S132" s="52">
        <v>0</v>
      </c>
      <c r="T132" s="52">
        <v>0</v>
      </c>
      <c r="U132" s="52">
        <v>0</v>
      </c>
      <c r="V132" s="52">
        <v>0</v>
      </c>
      <c r="W132" s="52">
        <v>0</v>
      </c>
      <c r="X132" s="118" t="e">
        <f>+X131*E131</f>
        <v>#N/A</v>
      </c>
      <c r="Y132" s="52">
        <v>0</v>
      </c>
      <c r="Z132" s="52">
        <v>0</v>
      </c>
      <c r="AA132" s="52">
        <v>0</v>
      </c>
      <c r="AB132" s="52">
        <v>0</v>
      </c>
      <c r="AC132" s="52">
        <v>0</v>
      </c>
      <c r="AD132" s="52">
        <v>0</v>
      </c>
      <c r="AE132" s="52">
        <v>0</v>
      </c>
    </row>
    <row r="133" spans="1:31" ht="13.5" customHeight="1" x14ac:dyDescent="0.2">
      <c r="A133" s="1616" t="s">
        <v>439</v>
      </c>
      <c r="B133" s="1108"/>
      <c r="C133" s="1109"/>
      <c r="D133" s="54" t="s">
        <v>180</v>
      </c>
      <c r="E133" s="1617" t="e">
        <f>VLOOKUP(A133,AA_Materiales,16,FALSE)</f>
        <v>#N/A</v>
      </c>
      <c r="F133" s="1619" t="e">
        <f>SUM(G134:AE134)</f>
        <v>#REF!</v>
      </c>
      <c r="G133" s="52">
        <v>0</v>
      </c>
      <c r="H133" s="52">
        <v>0</v>
      </c>
      <c r="I133" s="52">
        <v>0</v>
      </c>
      <c r="J133" s="52">
        <v>0</v>
      </c>
      <c r="K133" s="52">
        <v>0</v>
      </c>
      <c r="L133" s="52">
        <v>0</v>
      </c>
      <c r="M133" s="52">
        <v>0</v>
      </c>
      <c r="N133" s="52">
        <v>0</v>
      </c>
      <c r="O133" s="52">
        <v>0</v>
      </c>
      <c r="P133" s="118" t="e">
        <f>12*'PTO OC PLIEGO'!#REF!</f>
        <v>#REF!</v>
      </c>
      <c r="Q133" s="52">
        <v>0</v>
      </c>
      <c r="R133" s="52">
        <v>0</v>
      </c>
      <c r="S133" s="52">
        <v>0</v>
      </c>
      <c r="T133" s="52">
        <v>0</v>
      </c>
      <c r="U133" s="52">
        <v>0</v>
      </c>
      <c r="V133" s="52">
        <v>0</v>
      </c>
      <c r="W133" s="52">
        <v>0</v>
      </c>
      <c r="X133" s="52">
        <v>0</v>
      </c>
      <c r="Y133" s="52">
        <v>0</v>
      </c>
      <c r="Z133" s="52">
        <v>0</v>
      </c>
      <c r="AA133" s="52">
        <v>0</v>
      </c>
      <c r="AB133" s="52">
        <v>0</v>
      </c>
      <c r="AC133" s="52">
        <v>0</v>
      </c>
      <c r="AD133" s="52">
        <v>0</v>
      </c>
      <c r="AE133" s="52">
        <v>0</v>
      </c>
    </row>
    <row r="134" spans="1:31" ht="13.5" customHeight="1" x14ac:dyDescent="0.2">
      <c r="A134" s="1110"/>
      <c r="B134" s="1111"/>
      <c r="C134" s="1112"/>
      <c r="D134" s="54" t="s">
        <v>20</v>
      </c>
      <c r="E134" s="1618"/>
      <c r="F134" s="1618"/>
      <c r="G134" s="52">
        <v>0</v>
      </c>
      <c r="H134" s="52">
        <v>0</v>
      </c>
      <c r="I134" s="52">
        <v>0</v>
      </c>
      <c r="J134" s="52">
        <v>0</v>
      </c>
      <c r="K134" s="52">
        <v>0</v>
      </c>
      <c r="L134" s="52">
        <v>0</v>
      </c>
      <c r="M134" s="52">
        <v>0</v>
      </c>
      <c r="N134" s="52">
        <v>0</v>
      </c>
      <c r="O134" s="52">
        <v>0</v>
      </c>
      <c r="P134" s="118" t="e">
        <f>+P133*E133</f>
        <v>#REF!</v>
      </c>
      <c r="Q134" s="52">
        <v>0</v>
      </c>
      <c r="R134" s="52">
        <v>0</v>
      </c>
      <c r="S134" s="52">
        <v>0</v>
      </c>
      <c r="T134" s="52">
        <v>0</v>
      </c>
      <c r="U134" s="52">
        <v>0</v>
      </c>
      <c r="V134" s="52">
        <v>0</v>
      </c>
      <c r="W134" s="52">
        <v>0</v>
      </c>
      <c r="X134" s="52">
        <v>0</v>
      </c>
      <c r="Y134" s="52">
        <v>0</v>
      </c>
      <c r="Z134" s="52">
        <v>0</v>
      </c>
      <c r="AA134" s="52">
        <v>0</v>
      </c>
      <c r="AB134" s="52">
        <v>0</v>
      </c>
      <c r="AC134" s="52">
        <v>0</v>
      </c>
      <c r="AD134" s="52">
        <v>0</v>
      </c>
      <c r="AE134" s="52">
        <v>0</v>
      </c>
    </row>
    <row r="135" spans="1:31" ht="13.5" customHeight="1" x14ac:dyDescent="0.2">
      <c r="A135" s="1616" t="s">
        <v>401</v>
      </c>
      <c r="B135" s="1108"/>
      <c r="C135" s="1109"/>
      <c r="D135" s="54" t="s">
        <v>577</v>
      </c>
      <c r="E135" s="1617" t="e">
        <f>VLOOKUP(A135,AA_Materiales,16,FALSE)</f>
        <v>#N/A</v>
      </c>
      <c r="F135" s="1619" t="e">
        <f>SUM(G136:AE136)</f>
        <v>#REF!</v>
      </c>
      <c r="G135" s="52">
        <v>0</v>
      </c>
      <c r="H135" s="52">
        <v>0</v>
      </c>
      <c r="I135" s="52">
        <v>0</v>
      </c>
      <c r="J135" s="52">
        <v>0</v>
      </c>
      <c r="K135" s="52">
        <v>0</v>
      </c>
      <c r="L135" s="52">
        <v>0</v>
      </c>
      <c r="M135" s="52">
        <v>0</v>
      </c>
      <c r="N135" s="52">
        <v>0</v>
      </c>
      <c r="O135" s="52">
        <v>0</v>
      </c>
      <c r="P135" s="118" t="e">
        <f>5*'PTO OC PLIEGO'!#REF!</f>
        <v>#REF!</v>
      </c>
      <c r="Q135" s="52">
        <v>0</v>
      </c>
      <c r="R135" s="52">
        <v>0</v>
      </c>
      <c r="S135" s="52">
        <v>0</v>
      </c>
      <c r="T135" s="52">
        <v>0</v>
      </c>
      <c r="U135" s="52">
        <v>0</v>
      </c>
      <c r="V135" s="52">
        <v>0</v>
      </c>
      <c r="W135" s="52">
        <v>0</v>
      </c>
      <c r="X135" s="52">
        <v>0</v>
      </c>
      <c r="Y135" s="52">
        <v>0</v>
      </c>
      <c r="Z135" s="52">
        <v>0</v>
      </c>
      <c r="AA135" s="52">
        <v>0</v>
      </c>
      <c r="AB135" s="52">
        <v>0</v>
      </c>
      <c r="AC135" s="52">
        <v>0</v>
      </c>
      <c r="AD135" s="52">
        <v>0</v>
      </c>
      <c r="AE135" s="52">
        <v>0</v>
      </c>
    </row>
    <row r="136" spans="1:31" ht="13.5" customHeight="1" x14ac:dyDescent="0.2">
      <c r="A136" s="1110"/>
      <c r="B136" s="1111"/>
      <c r="C136" s="1112"/>
      <c r="D136" s="54" t="s">
        <v>20</v>
      </c>
      <c r="E136" s="1618"/>
      <c r="F136" s="1618"/>
      <c r="G136" s="52">
        <v>0</v>
      </c>
      <c r="H136" s="52">
        <v>0</v>
      </c>
      <c r="I136" s="52">
        <v>0</v>
      </c>
      <c r="J136" s="52">
        <v>0</v>
      </c>
      <c r="K136" s="52">
        <v>0</v>
      </c>
      <c r="L136" s="52">
        <v>0</v>
      </c>
      <c r="M136" s="52">
        <v>0</v>
      </c>
      <c r="N136" s="52">
        <v>0</v>
      </c>
      <c r="O136" s="52">
        <v>0</v>
      </c>
      <c r="P136" s="118" t="e">
        <f>+P135*E135</f>
        <v>#REF!</v>
      </c>
      <c r="Q136" s="52">
        <v>0</v>
      </c>
      <c r="R136" s="52">
        <v>0</v>
      </c>
      <c r="S136" s="52">
        <v>0</v>
      </c>
      <c r="T136" s="52">
        <v>0</v>
      </c>
      <c r="U136" s="52">
        <v>0</v>
      </c>
      <c r="V136" s="52">
        <v>0</v>
      </c>
      <c r="W136" s="52">
        <v>0</v>
      </c>
      <c r="X136" s="52">
        <v>0</v>
      </c>
      <c r="Y136" s="52">
        <v>0</v>
      </c>
      <c r="Z136" s="52">
        <v>0</v>
      </c>
      <c r="AA136" s="52">
        <v>0</v>
      </c>
      <c r="AB136" s="52">
        <v>0</v>
      </c>
      <c r="AC136" s="52">
        <v>0</v>
      </c>
      <c r="AD136" s="52">
        <v>0</v>
      </c>
      <c r="AE136" s="52">
        <v>0</v>
      </c>
    </row>
    <row r="137" spans="1:31" ht="13.5" customHeight="1" x14ac:dyDescent="0.2">
      <c r="A137" s="1625" t="s">
        <v>420</v>
      </c>
      <c r="B137" s="1052"/>
      <c r="C137" s="1235"/>
      <c r="D137" s="54" t="s">
        <v>20</v>
      </c>
      <c r="E137" s="59" t="e">
        <f>VLOOKUP(A137,AA_Materiales,16,FALSE)</f>
        <v>#N/A</v>
      </c>
      <c r="F137" s="60">
        <f>SUM(G137:AE137)</f>
        <v>2.0999999999999996</v>
      </c>
      <c r="G137" s="52">
        <v>0</v>
      </c>
      <c r="H137" s="52">
        <v>0</v>
      </c>
      <c r="I137" s="52">
        <v>0</v>
      </c>
      <c r="J137" s="52">
        <v>0</v>
      </c>
      <c r="K137" s="52">
        <v>0</v>
      </c>
      <c r="L137" s="52">
        <v>0</v>
      </c>
      <c r="M137" s="52">
        <v>0</v>
      </c>
      <c r="N137" s="52">
        <v>0</v>
      </c>
      <c r="O137" s="52">
        <v>0</v>
      </c>
      <c r="P137" s="52">
        <v>0</v>
      </c>
      <c r="Q137" s="52">
        <v>0</v>
      </c>
      <c r="R137" s="52">
        <v>0</v>
      </c>
      <c r="S137" s="52">
        <v>0</v>
      </c>
      <c r="T137" s="52">
        <v>0</v>
      </c>
      <c r="U137" s="52">
        <v>0</v>
      </c>
      <c r="V137" s="52">
        <v>0</v>
      </c>
      <c r="W137" s="52">
        <v>0</v>
      </c>
      <c r="X137" s="118">
        <f>0.7*'PTO OC PLIEGO'!J50</f>
        <v>2.0999999999999996</v>
      </c>
      <c r="Y137" s="52">
        <v>0</v>
      </c>
      <c r="Z137" s="52">
        <v>0</v>
      </c>
      <c r="AA137" s="52">
        <v>0</v>
      </c>
      <c r="AB137" s="52">
        <v>0</v>
      </c>
      <c r="AC137" s="52">
        <v>0</v>
      </c>
      <c r="AD137" s="52">
        <v>0</v>
      </c>
      <c r="AE137" s="52">
        <v>0</v>
      </c>
    </row>
    <row r="138" spans="1:31" ht="13.5" customHeight="1" x14ac:dyDescent="0.2">
      <c r="A138" s="1616" t="s">
        <v>426</v>
      </c>
      <c r="B138" s="1108"/>
      <c r="C138" s="1109"/>
      <c r="D138" s="54" t="s">
        <v>180</v>
      </c>
      <c r="E138" s="1617" t="e">
        <f>VLOOKUP(A138,AA_Materiales,16,FALSE)</f>
        <v>#N/A</v>
      </c>
      <c r="F138" s="1619" t="e">
        <f>SUM(G139:AE139)</f>
        <v>#N/A</v>
      </c>
      <c r="G138" s="52">
        <v>0</v>
      </c>
      <c r="H138" s="52">
        <v>0</v>
      </c>
      <c r="I138" s="52">
        <v>0</v>
      </c>
      <c r="J138" s="52">
        <v>0</v>
      </c>
      <c r="K138" s="52">
        <v>0</v>
      </c>
      <c r="L138" s="52">
        <v>0</v>
      </c>
      <c r="M138" s="52">
        <v>0</v>
      </c>
      <c r="N138" s="52">
        <v>0</v>
      </c>
      <c r="O138" s="52">
        <v>0</v>
      </c>
      <c r="P138" s="52">
        <v>0</v>
      </c>
      <c r="Q138" s="52">
        <v>0</v>
      </c>
      <c r="R138" s="52">
        <v>0</v>
      </c>
      <c r="S138" s="52">
        <v>0</v>
      </c>
      <c r="T138" s="52">
        <v>0</v>
      </c>
      <c r="U138" s="118">
        <f>1*'PTO OC PLIEGO'!J48</f>
        <v>4</v>
      </c>
      <c r="V138" s="52">
        <v>0</v>
      </c>
      <c r="W138" s="52">
        <v>0</v>
      </c>
      <c r="X138" s="52">
        <v>0</v>
      </c>
      <c r="Y138" s="52">
        <v>0</v>
      </c>
      <c r="Z138" s="52">
        <v>0</v>
      </c>
      <c r="AA138" s="52">
        <v>0</v>
      </c>
      <c r="AB138" s="52">
        <v>0</v>
      </c>
      <c r="AC138" s="52">
        <v>0</v>
      </c>
      <c r="AD138" s="52">
        <v>0</v>
      </c>
      <c r="AE138" s="52">
        <v>0</v>
      </c>
    </row>
    <row r="139" spans="1:31" ht="13.5" customHeight="1" x14ac:dyDescent="0.2">
      <c r="A139" s="1110"/>
      <c r="B139" s="1111"/>
      <c r="C139" s="1112"/>
      <c r="D139" s="54" t="s">
        <v>20</v>
      </c>
      <c r="E139" s="1618"/>
      <c r="F139" s="1618"/>
      <c r="G139" s="52">
        <v>0</v>
      </c>
      <c r="H139" s="52">
        <v>0</v>
      </c>
      <c r="I139" s="52">
        <v>0</v>
      </c>
      <c r="J139" s="52">
        <v>0</v>
      </c>
      <c r="K139" s="52">
        <v>0</v>
      </c>
      <c r="L139" s="52">
        <v>0</v>
      </c>
      <c r="M139" s="52">
        <v>0</v>
      </c>
      <c r="N139" s="52">
        <v>0</v>
      </c>
      <c r="O139" s="52">
        <v>0</v>
      </c>
      <c r="P139" s="52">
        <v>0</v>
      </c>
      <c r="Q139" s="52">
        <v>0</v>
      </c>
      <c r="R139" s="52">
        <v>0</v>
      </c>
      <c r="S139" s="52">
        <v>0</v>
      </c>
      <c r="T139" s="52">
        <v>0</v>
      </c>
      <c r="U139" s="118" t="e">
        <f>+U138*E138</f>
        <v>#N/A</v>
      </c>
      <c r="V139" s="52">
        <v>0</v>
      </c>
      <c r="W139" s="52">
        <v>0</v>
      </c>
      <c r="X139" s="52">
        <v>0</v>
      </c>
      <c r="Y139" s="52">
        <v>0</v>
      </c>
      <c r="Z139" s="52">
        <v>0</v>
      </c>
      <c r="AA139" s="52">
        <v>0</v>
      </c>
      <c r="AB139" s="52">
        <v>0</v>
      </c>
      <c r="AC139" s="52">
        <v>0</v>
      </c>
      <c r="AD139" s="52">
        <v>0</v>
      </c>
      <c r="AE139" s="52">
        <v>0</v>
      </c>
    </row>
    <row r="140" spans="1:31" ht="13.5" customHeight="1" x14ac:dyDescent="0.2">
      <c r="A140" s="1625" t="s">
        <v>431</v>
      </c>
      <c r="B140" s="1052"/>
      <c r="C140" s="1235"/>
      <c r="D140" s="54" t="s">
        <v>20</v>
      </c>
      <c r="E140" s="59" t="e">
        <f>VLOOKUP(A140,AA_Materiales,16,FALSE)</f>
        <v>#N/A</v>
      </c>
      <c r="F140" s="60">
        <f>SUM(G140:AE140)</f>
        <v>0.48</v>
      </c>
      <c r="G140" s="52">
        <v>0</v>
      </c>
      <c r="H140" s="52">
        <v>0</v>
      </c>
      <c r="I140" s="52">
        <v>0</v>
      </c>
      <c r="J140" s="52">
        <v>0</v>
      </c>
      <c r="K140" s="52">
        <v>0</v>
      </c>
      <c r="L140" s="52">
        <v>0</v>
      </c>
      <c r="M140" s="52">
        <v>0</v>
      </c>
      <c r="N140" s="52">
        <v>0</v>
      </c>
      <c r="O140" s="52">
        <v>0</v>
      </c>
      <c r="P140" s="52">
        <v>0</v>
      </c>
      <c r="Q140" s="52">
        <v>0</v>
      </c>
      <c r="R140" s="52">
        <v>0</v>
      </c>
      <c r="S140" s="52">
        <v>0</v>
      </c>
      <c r="T140" s="52">
        <v>0</v>
      </c>
      <c r="U140" s="52">
        <v>0</v>
      </c>
      <c r="V140" s="52">
        <v>0</v>
      </c>
      <c r="W140" s="52">
        <v>0</v>
      </c>
      <c r="X140" s="118">
        <f>0.16*'PTO OC PLIEGO'!J50</f>
        <v>0.48</v>
      </c>
      <c r="Y140" s="52">
        <v>0</v>
      </c>
      <c r="Z140" s="52">
        <v>0</v>
      </c>
      <c r="AA140" s="52">
        <v>0</v>
      </c>
      <c r="AB140" s="52">
        <v>0</v>
      </c>
      <c r="AC140" s="52">
        <v>0</v>
      </c>
      <c r="AD140" s="52">
        <v>0</v>
      </c>
      <c r="AE140" s="52">
        <v>0</v>
      </c>
    </row>
    <row r="141" spans="1:31" ht="12.75" customHeight="1" x14ac:dyDescent="0.2">
      <c r="A141" s="1616" t="s">
        <v>871</v>
      </c>
      <c r="B141" s="1108"/>
      <c r="C141" s="1109"/>
      <c r="D141" s="54" t="s">
        <v>696</v>
      </c>
      <c r="E141" s="1617" t="e">
        <f>VLOOKUP(A141,AA_Materiales,16,FALSE)</f>
        <v>#N/A</v>
      </c>
      <c r="F141" s="1619" t="e">
        <f>SUM(G142:AE142)</f>
        <v>#N/A</v>
      </c>
      <c r="G141" s="52">
        <v>0</v>
      </c>
      <c r="H141" s="52">
        <v>0</v>
      </c>
      <c r="I141" s="52">
        <v>0</v>
      </c>
      <c r="J141" s="52">
        <v>0</v>
      </c>
      <c r="K141" s="52">
        <v>0</v>
      </c>
      <c r="L141" s="52">
        <v>0</v>
      </c>
      <c r="M141" s="52">
        <v>0</v>
      </c>
      <c r="N141" s="52">
        <v>0</v>
      </c>
      <c r="O141" s="52">
        <v>0</v>
      </c>
      <c r="P141" s="52">
        <v>0</v>
      </c>
      <c r="Q141" s="52">
        <v>0</v>
      </c>
      <c r="R141" s="52">
        <v>0</v>
      </c>
      <c r="S141" s="52">
        <v>0</v>
      </c>
      <c r="T141" s="118">
        <f>1*'PTO OC PLIEGO'!J45</f>
        <v>1</v>
      </c>
      <c r="U141" s="52">
        <v>0</v>
      </c>
      <c r="V141" s="52">
        <v>0</v>
      </c>
      <c r="W141" s="52">
        <v>0</v>
      </c>
      <c r="X141" s="52">
        <v>0</v>
      </c>
      <c r="Y141" s="52">
        <v>0</v>
      </c>
      <c r="Z141" s="52">
        <v>0</v>
      </c>
      <c r="AA141" s="52">
        <v>0</v>
      </c>
      <c r="AB141" s="52">
        <v>0</v>
      </c>
      <c r="AC141" s="52">
        <v>0</v>
      </c>
      <c r="AD141" s="52">
        <v>0</v>
      </c>
      <c r="AE141" s="52">
        <v>0</v>
      </c>
    </row>
    <row r="142" spans="1:31" ht="12.75" customHeight="1" x14ac:dyDescent="0.2">
      <c r="A142" s="1110"/>
      <c r="B142" s="1111"/>
      <c r="C142" s="1112"/>
      <c r="D142" s="54" t="s">
        <v>20</v>
      </c>
      <c r="E142" s="1618"/>
      <c r="F142" s="1618"/>
      <c r="G142" s="52">
        <v>0</v>
      </c>
      <c r="H142" s="52">
        <v>0</v>
      </c>
      <c r="I142" s="52">
        <v>0</v>
      </c>
      <c r="J142" s="52">
        <v>0</v>
      </c>
      <c r="K142" s="52">
        <v>0</v>
      </c>
      <c r="L142" s="52">
        <v>0</v>
      </c>
      <c r="M142" s="52">
        <v>0</v>
      </c>
      <c r="N142" s="52">
        <v>0</v>
      </c>
      <c r="O142" s="52">
        <v>0</v>
      </c>
      <c r="P142" s="52">
        <v>0</v>
      </c>
      <c r="Q142" s="52">
        <v>0</v>
      </c>
      <c r="R142" s="52">
        <v>0</v>
      </c>
      <c r="S142" s="52">
        <v>0</v>
      </c>
      <c r="T142" s="118" t="e">
        <f>+T141*E141</f>
        <v>#N/A</v>
      </c>
      <c r="U142" s="52">
        <v>0</v>
      </c>
      <c r="V142" s="52">
        <v>0</v>
      </c>
      <c r="W142" s="52">
        <v>0</v>
      </c>
      <c r="X142" s="52">
        <v>0</v>
      </c>
      <c r="Y142" s="52">
        <v>0</v>
      </c>
      <c r="Z142" s="52">
        <v>0</v>
      </c>
      <c r="AA142" s="52">
        <v>0</v>
      </c>
      <c r="AB142" s="52">
        <v>0</v>
      </c>
      <c r="AC142" s="52">
        <v>0</v>
      </c>
      <c r="AD142" s="52">
        <v>0</v>
      </c>
      <c r="AE142" s="52">
        <v>0</v>
      </c>
    </row>
    <row r="143" spans="1:31" ht="12.75" customHeight="1" x14ac:dyDescent="0.2">
      <c r="A143" s="1616" t="s">
        <v>427</v>
      </c>
      <c r="B143" s="1108"/>
      <c r="C143" s="1109"/>
      <c r="D143" s="54" t="s">
        <v>696</v>
      </c>
      <c r="E143" s="1617" t="e">
        <f>VLOOKUP(A143,AA_Materiales,16,FALSE)</f>
        <v>#N/A</v>
      </c>
      <c r="F143" s="1619" t="e">
        <f>SUM(G144:AE144)</f>
        <v>#N/A</v>
      </c>
      <c r="G143" s="52">
        <v>0</v>
      </c>
      <c r="H143" s="52">
        <v>0</v>
      </c>
      <c r="I143" s="52">
        <v>0</v>
      </c>
      <c r="J143" s="52">
        <v>0</v>
      </c>
      <c r="K143" s="52">
        <v>0</v>
      </c>
      <c r="L143" s="52">
        <v>0</v>
      </c>
      <c r="M143" s="52">
        <v>0</v>
      </c>
      <c r="N143" s="52">
        <v>0</v>
      </c>
      <c r="O143" s="52">
        <v>0</v>
      </c>
      <c r="P143" s="52">
        <v>0</v>
      </c>
      <c r="Q143" s="52">
        <v>0</v>
      </c>
      <c r="R143" s="52">
        <v>0</v>
      </c>
      <c r="S143" s="52">
        <v>0</v>
      </c>
      <c r="T143" s="52">
        <v>0</v>
      </c>
      <c r="U143" s="118">
        <f>1*'PTO OC PLIEGO'!J46</f>
        <v>1</v>
      </c>
      <c r="V143" s="52">
        <v>0</v>
      </c>
      <c r="W143" s="52">
        <v>0</v>
      </c>
      <c r="X143" s="52">
        <v>0</v>
      </c>
      <c r="Y143" s="52">
        <v>0</v>
      </c>
      <c r="Z143" s="52">
        <v>0</v>
      </c>
      <c r="AA143" s="52">
        <v>0</v>
      </c>
      <c r="AB143" s="52">
        <v>0</v>
      </c>
      <c r="AC143" s="52">
        <v>0</v>
      </c>
      <c r="AD143" s="52">
        <v>0</v>
      </c>
      <c r="AE143" s="52">
        <v>0</v>
      </c>
    </row>
    <row r="144" spans="1:31" ht="12.75" customHeight="1" x14ac:dyDescent="0.2">
      <c r="A144" s="1110"/>
      <c r="B144" s="1111"/>
      <c r="C144" s="1112"/>
      <c r="D144" s="54" t="s">
        <v>20</v>
      </c>
      <c r="E144" s="1618"/>
      <c r="F144" s="1618"/>
      <c r="G144" s="52">
        <v>0</v>
      </c>
      <c r="H144" s="52">
        <v>0</v>
      </c>
      <c r="I144" s="52">
        <v>0</v>
      </c>
      <c r="J144" s="52">
        <v>0</v>
      </c>
      <c r="K144" s="52">
        <v>0</v>
      </c>
      <c r="L144" s="52">
        <v>0</v>
      </c>
      <c r="M144" s="52">
        <v>0</v>
      </c>
      <c r="N144" s="52">
        <v>0</v>
      </c>
      <c r="O144" s="52">
        <v>0</v>
      </c>
      <c r="P144" s="52">
        <v>0</v>
      </c>
      <c r="Q144" s="52">
        <v>0</v>
      </c>
      <c r="R144" s="52">
        <v>0</v>
      </c>
      <c r="S144" s="52">
        <v>0</v>
      </c>
      <c r="T144" s="52">
        <v>0</v>
      </c>
      <c r="U144" s="118" t="e">
        <f>+U143*E143</f>
        <v>#N/A</v>
      </c>
      <c r="V144" s="52">
        <v>0</v>
      </c>
      <c r="W144" s="52">
        <v>0</v>
      </c>
      <c r="X144" s="52">
        <v>0</v>
      </c>
      <c r="Y144" s="52">
        <v>0</v>
      </c>
      <c r="Z144" s="52">
        <v>0</v>
      </c>
      <c r="AA144" s="52">
        <v>0</v>
      </c>
      <c r="AB144" s="52">
        <v>0</v>
      </c>
      <c r="AC144" s="52">
        <v>0</v>
      </c>
      <c r="AD144" s="52">
        <v>0</v>
      </c>
      <c r="AE144" s="52">
        <v>0</v>
      </c>
    </row>
    <row r="145" spans="1:70" ht="12.75" customHeight="1" x14ac:dyDescent="0.2">
      <c r="A145" s="1616" t="s">
        <v>441</v>
      </c>
      <c r="B145" s="1108"/>
      <c r="C145" s="1109"/>
      <c r="D145" s="54" t="s">
        <v>696</v>
      </c>
      <c r="E145" s="1617" t="e">
        <f>VLOOKUP(A145,AA_Materiales,16,FALSE)</f>
        <v>#N/A</v>
      </c>
      <c r="F145" s="1619" t="e">
        <f>SUM(G146:AE146)</f>
        <v>#N/A</v>
      </c>
      <c r="G145" s="52">
        <v>0</v>
      </c>
      <c r="H145" s="52">
        <v>0</v>
      </c>
      <c r="I145" s="52">
        <v>0</v>
      </c>
      <c r="J145" s="52">
        <v>0</v>
      </c>
      <c r="K145" s="52">
        <v>0</v>
      </c>
      <c r="L145" s="52">
        <v>0</v>
      </c>
      <c r="M145" s="52">
        <v>0</v>
      </c>
      <c r="N145" s="52">
        <v>0</v>
      </c>
      <c r="O145" s="52">
        <v>0</v>
      </c>
      <c r="P145" s="52">
        <v>0</v>
      </c>
      <c r="Q145" s="52">
        <v>0</v>
      </c>
      <c r="R145" s="52">
        <v>0</v>
      </c>
      <c r="S145" s="52">
        <v>0</v>
      </c>
      <c r="T145" s="52">
        <v>0</v>
      </c>
      <c r="U145" s="52">
        <v>0</v>
      </c>
      <c r="V145" s="118">
        <f>1*'PTO OC PLIEGO'!J47</f>
        <v>2</v>
      </c>
      <c r="W145" s="52">
        <v>0</v>
      </c>
      <c r="X145" s="52">
        <v>0</v>
      </c>
      <c r="Y145" s="52">
        <v>0</v>
      </c>
      <c r="Z145" s="52">
        <v>0</v>
      </c>
      <c r="AA145" s="52">
        <v>0</v>
      </c>
      <c r="AB145" s="52">
        <v>0</v>
      </c>
      <c r="AC145" s="52">
        <v>0</v>
      </c>
      <c r="AD145" s="52">
        <v>0</v>
      </c>
      <c r="AE145" s="52">
        <v>0</v>
      </c>
    </row>
    <row r="146" spans="1:70" ht="12.75" customHeight="1" x14ac:dyDescent="0.2">
      <c r="A146" s="1110"/>
      <c r="B146" s="1111"/>
      <c r="C146" s="1112"/>
      <c r="D146" s="54" t="s">
        <v>20</v>
      </c>
      <c r="E146" s="1618"/>
      <c r="F146" s="1618"/>
      <c r="G146" s="52">
        <v>0</v>
      </c>
      <c r="H146" s="52">
        <v>0</v>
      </c>
      <c r="I146" s="52">
        <v>0</v>
      </c>
      <c r="J146" s="52">
        <v>0</v>
      </c>
      <c r="K146" s="52">
        <v>0</v>
      </c>
      <c r="L146" s="52">
        <v>0</v>
      </c>
      <c r="M146" s="52">
        <v>0</v>
      </c>
      <c r="N146" s="52">
        <v>0</v>
      </c>
      <c r="O146" s="52">
        <v>0</v>
      </c>
      <c r="P146" s="52">
        <v>0</v>
      </c>
      <c r="Q146" s="52">
        <v>0</v>
      </c>
      <c r="R146" s="52">
        <v>0</v>
      </c>
      <c r="S146" s="52">
        <v>0</v>
      </c>
      <c r="T146" s="52">
        <v>0</v>
      </c>
      <c r="U146" s="52">
        <v>0</v>
      </c>
      <c r="V146" s="118" t="e">
        <f>+V145*E145</f>
        <v>#N/A</v>
      </c>
      <c r="W146" s="52">
        <v>0</v>
      </c>
      <c r="X146" s="52">
        <v>0</v>
      </c>
      <c r="Y146" s="52">
        <v>0</v>
      </c>
      <c r="Z146" s="52">
        <v>0</v>
      </c>
      <c r="AA146" s="52">
        <v>0</v>
      </c>
      <c r="AB146" s="52">
        <v>0</v>
      </c>
      <c r="AC146" s="52">
        <v>0</v>
      </c>
      <c r="AD146" s="52">
        <v>0</v>
      </c>
      <c r="AE146" s="52">
        <v>0</v>
      </c>
    </row>
    <row r="147" spans="1:70" ht="12.75" customHeight="1" x14ac:dyDescent="0.2">
      <c r="A147" s="1616" t="s">
        <v>478</v>
      </c>
      <c r="B147" s="1108"/>
      <c r="C147" s="1109"/>
      <c r="D147" s="54" t="s">
        <v>696</v>
      </c>
      <c r="E147" s="1617" t="e">
        <f>VLOOKUP(A147,AA_Materiales,16,FALSE)</f>
        <v>#N/A</v>
      </c>
      <c r="F147" s="1619" t="e">
        <f>SUM(G148:AE148)</f>
        <v>#N/A</v>
      </c>
      <c r="G147" s="52">
        <v>0</v>
      </c>
      <c r="H147" s="52">
        <v>0</v>
      </c>
      <c r="I147" s="52">
        <v>0</v>
      </c>
      <c r="J147" s="52">
        <v>0</v>
      </c>
      <c r="K147" s="52">
        <v>0</v>
      </c>
      <c r="L147" s="52">
        <v>0</v>
      </c>
      <c r="M147" s="52">
        <v>0</v>
      </c>
      <c r="N147" s="52">
        <v>0</v>
      </c>
      <c r="O147" s="52">
        <v>0</v>
      </c>
      <c r="P147" s="52">
        <v>0</v>
      </c>
      <c r="Q147" s="52">
        <v>0</v>
      </c>
      <c r="R147" s="52">
        <v>0</v>
      </c>
      <c r="S147" s="52">
        <v>0</v>
      </c>
      <c r="T147" s="52">
        <v>0</v>
      </c>
      <c r="U147" s="52">
        <v>0</v>
      </c>
      <c r="V147" s="118">
        <f>0.02*'PTO OC PLIEGO'!J47</f>
        <v>0.04</v>
      </c>
      <c r="W147" s="118">
        <f>0.02*'PTO OC PLIEGO'!J48</f>
        <v>0.08</v>
      </c>
      <c r="X147" s="52">
        <v>0</v>
      </c>
      <c r="Y147" s="52">
        <v>0</v>
      </c>
      <c r="Z147" s="52">
        <v>0</v>
      </c>
      <c r="AA147" s="52">
        <v>0</v>
      </c>
      <c r="AB147" s="52">
        <v>0</v>
      </c>
      <c r="AC147" s="52">
        <v>0</v>
      </c>
      <c r="AD147" s="118">
        <f>0.06*'PTO OC PLIEGO'!J59</f>
        <v>0.54</v>
      </c>
      <c r="AE147" s="52">
        <v>0</v>
      </c>
    </row>
    <row r="148" spans="1:70" ht="12.75" customHeight="1" x14ac:dyDescent="0.2">
      <c r="A148" s="1110"/>
      <c r="B148" s="1111"/>
      <c r="C148" s="1112"/>
      <c r="D148" s="54" t="s">
        <v>20</v>
      </c>
      <c r="E148" s="1618"/>
      <c r="F148" s="1618"/>
      <c r="G148" s="52">
        <v>0</v>
      </c>
      <c r="H148" s="52">
        <v>0</v>
      </c>
      <c r="I148" s="52">
        <v>0</v>
      </c>
      <c r="J148" s="52">
        <v>0</v>
      </c>
      <c r="K148" s="52">
        <v>0</v>
      </c>
      <c r="L148" s="52">
        <v>0</v>
      </c>
      <c r="M148" s="52">
        <v>0</v>
      </c>
      <c r="N148" s="52">
        <v>0</v>
      </c>
      <c r="O148" s="52">
        <v>0</v>
      </c>
      <c r="P148" s="52">
        <v>0</v>
      </c>
      <c r="Q148" s="52">
        <v>0</v>
      </c>
      <c r="R148" s="52">
        <v>0</v>
      </c>
      <c r="S148" s="52">
        <v>0</v>
      </c>
      <c r="T148" s="52">
        <v>0</v>
      </c>
      <c r="U148" s="52">
        <v>0</v>
      </c>
      <c r="V148" s="118" t="e">
        <f>+V147*E147</f>
        <v>#N/A</v>
      </c>
      <c r="W148" s="118" t="e">
        <f>+W147*E147</f>
        <v>#N/A</v>
      </c>
      <c r="X148" s="52">
        <v>0</v>
      </c>
      <c r="Y148" s="52">
        <v>0</v>
      </c>
      <c r="Z148" s="52">
        <v>0</v>
      </c>
      <c r="AA148" s="52">
        <v>0</v>
      </c>
      <c r="AB148" s="52">
        <v>0</v>
      </c>
      <c r="AC148" s="52">
        <v>0</v>
      </c>
      <c r="AD148" s="118" t="e">
        <f>+AD147*E147</f>
        <v>#N/A</v>
      </c>
      <c r="AE148" s="52">
        <v>0</v>
      </c>
    </row>
    <row r="149" spans="1:70" ht="12.75" customHeight="1" x14ac:dyDescent="0.2">
      <c r="A149" s="1616" t="s">
        <v>874</v>
      </c>
      <c r="B149" s="1108"/>
      <c r="C149" s="1109"/>
      <c r="D149" s="54" t="s">
        <v>696</v>
      </c>
      <c r="E149" s="1617" t="e">
        <f>VLOOKUP(A149,AA_Materiales,16,FALSE)</f>
        <v>#N/A</v>
      </c>
      <c r="F149" s="1619" t="e">
        <f>SUM(G150:AE150)</f>
        <v>#N/A</v>
      </c>
      <c r="G149" s="52">
        <v>0</v>
      </c>
      <c r="H149" s="52">
        <v>0</v>
      </c>
      <c r="I149" s="52">
        <v>0</v>
      </c>
      <c r="J149" s="52">
        <v>0</v>
      </c>
      <c r="K149" s="52">
        <v>0</v>
      </c>
      <c r="L149" s="52">
        <v>0</v>
      </c>
      <c r="M149" s="52">
        <v>0</v>
      </c>
      <c r="N149" s="52">
        <v>0</v>
      </c>
      <c r="O149" s="52">
        <v>0</v>
      </c>
      <c r="P149" s="52">
        <v>0</v>
      </c>
      <c r="Q149" s="52">
        <v>0</v>
      </c>
      <c r="R149" s="52">
        <v>0</v>
      </c>
      <c r="S149" s="52">
        <v>0</v>
      </c>
      <c r="T149" s="52">
        <v>0</v>
      </c>
      <c r="U149" s="52">
        <v>0</v>
      </c>
      <c r="V149" s="52">
        <v>0</v>
      </c>
      <c r="W149" s="118">
        <f>1*'PTO OC PLIEGO'!J48</f>
        <v>4</v>
      </c>
      <c r="X149" s="52">
        <v>0</v>
      </c>
      <c r="Y149" s="52">
        <v>0</v>
      </c>
      <c r="Z149" s="52">
        <v>0</v>
      </c>
      <c r="AA149" s="52">
        <v>0</v>
      </c>
      <c r="AB149" s="52">
        <v>0</v>
      </c>
      <c r="AC149" s="52">
        <v>0</v>
      </c>
      <c r="AD149" s="52">
        <v>0</v>
      </c>
      <c r="AE149" s="52">
        <v>0</v>
      </c>
    </row>
    <row r="150" spans="1:70" ht="12.75" customHeight="1" x14ac:dyDescent="0.2">
      <c r="A150" s="1110"/>
      <c r="B150" s="1111"/>
      <c r="C150" s="1112"/>
      <c r="D150" s="54" t="s">
        <v>20</v>
      </c>
      <c r="E150" s="1618"/>
      <c r="F150" s="1618"/>
      <c r="G150" s="52">
        <v>0</v>
      </c>
      <c r="H150" s="52">
        <v>0</v>
      </c>
      <c r="I150" s="52">
        <v>0</v>
      </c>
      <c r="J150" s="52">
        <v>0</v>
      </c>
      <c r="K150" s="52">
        <v>0</v>
      </c>
      <c r="L150" s="52">
        <v>0</v>
      </c>
      <c r="M150" s="52">
        <v>0</v>
      </c>
      <c r="N150" s="52">
        <v>0</v>
      </c>
      <c r="O150" s="52">
        <v>0</v>
      </c>
      <c r="P150" s="52">
        <v>0</v>
      </c>
      <c r="Q150" s="52">
        <v>0</v>
      </c>
      <c r="R150" s="52">
        <v>0</v>
      </c>
      <c r="S150" s="52">
        <v>0</v>
      </c>
      <c r="T150" s="52">
        <v>0</v>
      </c>
      <c r="U150" s="52">
        <v>0</v>
      </c>
      <c r="V150" s="52">
        <v>0</v>
      </c>
      <c r="W150" s="118" t="e">
        <f>+W149*E149</f>
        <v>#N/A</v>
      </c>
      <c r="X150" s="52">
        <v>0</v>
      </c>
      <c r="Y150" s="52">
        <v>0</v>
      </c>
      <c r="Z150" s="52">
        <v>0</v>
      </c>
      <c r="AA150" s="52">
        <v>0</v>
      </c>
      <c r="AB150" s="52">
        <v>0</v>
      </c>
      <c r="AC150" s="52">
        <v>0</v>
      </c>
      <c r="AD150" s="52">
        <v>0</v>
      </c>
      <c r="AE150" s="52">
        <v>0</v>
      </c>
    </row>
    <row r="151" spans="1:70" ht="12.75" customHeight="1" x14ac:dyDescent="0.2">
      <c r="A151" s="1620" t="s">
        <v>70</v>
      </c>
      <c r="B151" s="1057"/>
      <c r="C151" s="1057"/>
      <c r="D151" s="1057"/>
      <c r="E151" s="1058"/>
      <c r="F151" s="57" t="e">
        <f>+SUM(F152:F153)</f>
        <v>#N/A</v>
      </c>
      <c r="G151" s="52"/>
      <c r="H151" s="52"/>
      <c r="I151" s="52"/>
      <c r="J151" s="52"/>
      <c r="K151" s="52"/>
      <c r="L151" s="52"/>
      <c r="M151" s="52"/>
      <c r="N151" s="52"/>
      <c r="O151" s="52"/>
      <c r="P151" s="52"/>
      <c r="Q151" s="52"/>
      <c r="R151" s="52"/>
      <c r="S151" s="52"/>
      <c r="T151" s="52"/>
      <c r="U151" s="52"/>
      <c r="V151" s="52"/>
      <c r="W151" s="52"/>
      <c r="X151" s="52"/>
      <c r="Y151" s="52"/>
      <c r="Z151" s="52"/>
      <c r="AA151" s="52"/>
      <c r="AB151" s="52"/>
      <c r="AC151" s="130"/>
      <c r="AD151" s="130"/>
      <c r="AE151" s="130"/>
    </row>
    <row r="152" spans="1:70" ht="12.75" customHeight="1" x14ac:dyDescent="0.2">
      <c r="A152" s="1616" t="s">
        <v>873</v>
      </c>
      <c r="B152" s="1108"/>
      <c r="C152" s="1109"/>
      <c r="D152" s="54" t="s">
        <v>696</v>
      </c>
      <c r="E152" s="1617" t="e">
        <f>VLOOKUP(A152,AA_Materiales,16,FALSE)</f>
        <v>#N/A</v>
      </c>
      <c r="F152" s="1619" t="e">
        <f>SUM(G153:AE153)</f>
        <v>#N/A</v>
      </c>
      <c r="G152" s="52">
        <v>0</v>
      </c>
      <c r="H152" s="52">
        <v>0</v>
      </c>
      <c r="I152" s="52">
        <v>0</v>
      </c>
      <c r="J152" s="52">
        <v>0</v>
      </c>
      <c r="K152" s="52">
        <v>0</v>
      </c>
      <c r="L152" s="52">
        <v>0</v>
      </c>
      <c r="M152" s="52">
        <v>0</v>
      </c>
      <c r="N152" s="52">
        <v>0</v>
      </c>
      <c r="O152" s="52">
        <v>0</v>
      </c>
      <c r="P152" s="52">
        <v>0</v>
      </c>
      <c r="Q152" s="52">
        <v>0</v>
      </c>
      <c r="R152" s="52">
        <v>0</v>
      </c>
      <c r="S152" s="52">
        <v>0</v>
      </c>
      <c r="T152" s="52">
        <v>0</v>
      </c>
      <c r="U152" s="52">
        <v>0</v>
      </c>
      <c r="V152" s="52">
        <v>0</v>
      </c>
      <c r="W152" s="52">
        <v>0</v>
      </c>
      <c r="X152" s="52">
        <v>0</v>
      </c>
      <c r="Y152" s="52">
        <v>0</v>
      </c>
      <c r="Z152" s="52">
        <v>0</v>
      </c>
      <c r="AA152" s="52">
        <v>0</v>
      </c>
      <c r="AB152" s="52">
        <v>0</v>
      </c>
      <c r="AC152" s="52">
        <v>0</v>
      </c>
      <c r="AD152" s="52">
        <v>0</v>
      </c>
      <c r="AE152" s="118">
        <f>1*'PTO OC PLIEGO'!J60</f>
        <v>43.3</v>
      </c>
    </row>
    <row r="153" spans="1:70" ht="12.75" customHeight="1" x14ac:dyDescent="0.2">
      <c r="A153" s="1110"/>
      <c r="B153" s="1111"/>
      <c r="C153" s="1112"/>
      <c r="D153" s="54" t="s">
        <v>20</v>
      </c>
      <c r="E153" s="1618"/>
      <c r="F153" s="1618"/>
      <c r="G153" s="52">
        <v>0</v>
      </c>
      <c r="H153" s="52">
        <v>0</v>
      </c>
      <c r="I153" s="52">
        <v>0</v>
      </c>
      <c r="J153" s="52">
        <v>0</v>
      </c>
      <c r="K153" s="52">
        <v>0</v>
      </c>
      <c r="L153" s="52">
        <v>0</v>
      </c>
      <c r="M153" s="52">
        <v>0</v>
      </c>
      <c r="N153" s="52">
        <v>0</v>
      </c>
      <c r="O153" s="52">
        <v>0</v>
      </c>
      <c r="P153" s="52">
        <v>0</v>
      </c>
      <c r="Q153" s="52">
        <v>0</v>
      </c>
      <c r="R153" s="52">
        <v>0</v>
      </c>
      <c r="S153" s="52">
        <v>0</v>
      </c>
      <c r="T153" s="52">
        <v>0</v>
      </c>
      <c r="U153" s="52">
        <v>0</v>
      </c>
      <c r="V153" s="52">
        <v>0</v>
      </c>
      <c r="W153" s="52">
        <v>0</v>
      </c>
      <c r="X153" s="52">
        <v>0</v>
      </c>
      <c r="Y153" s="52">
        <v>0</v>
      </c>
      <c r="Z153" s="52">
        <v>0</v>
      </c>
      <c r="AA153" s="52">
        <v>0</v>
      </c>
      <c r="AB153" s="52">
        <v>0</v>
      </c>
      <c r="AC153" s="52">
        <v>0</v>
      </c>
      <c r="AD153" s="52">
        <v>0</v>
      </c>
      <c r="AE153" s="118" t="e">
        <f>+AE152*E152</f>
        <v>#N/A</v>
      </c>
    </row>
    <row r="154" spans="1:70" ht="12.75" customHeight="1" x14ac:dyDescent="0.25">
      <c r="AU154" s="61"/>
      <c r="AV154" s="61"/>
      <c r="AW154" s="61"/>
      <c r="AX154" s="61"/>
      <c r="AY154" s="61"/>
      <c r="AZ154" s="61"/>
      <c r="BA154" s="3"/>
      <c r="BB154" s="3"/>
      <c r="BC154" s="3"/>
      <c r="BD154" s="3"/>
      <c r="BE154" s="3"/>
      <c r="BF154" s="3"/>
      <c r="BG154" s="3"/>
      <c r="BH154" s="3"/>
      <c r="BI154" s="3"/>
      <c r="BJ154" s="3"/>
      <c r="BO154" s="3"/>
      <c r="BP154" s="3"/>
      <c r="BQ154" s="3"/>
      <c r="BR154" s="3"/>
    </row>
    <row r="155" spans="1:70" ht="12.75" customHeight="1" x14ac:dyDescent="0.25">
      <c r="AU155" s="61"/>
      <c r="AV155" s="61"/>
      <c r="AW155" s="61"/>
      <c r="AX155" s="61"/>
      <c r="AY155" s="61"/>
      <c r="AZ155" s="61"/>
      <c r="BA155" s="3"/>
      <c r="BB155" s="3"/>
      <c r="BC155" s="3"/>
      <c r="BD155" s="3"/>
      <c r="BE155" s="3"/>
      <c r="BF155" s="3"/>
      <c r="BG155" s="3"/>
      <c r="BH155" s="3"/>
      <c r="BI155" s="3"/>
      <c r="BJ155" s="3"/>
      <c r="BO155" s="3"/>
      <c r="BP155" s="3"/>
      <c r="BQ155" s="3"/>
      <c r="BR155" s="3"/>
    </row>
    <row r="156" spans="1:70" ht="12.75" customHeight="1" thickBot="1" x14ac:dyDescent="0.3">
      <c r="AU156" s="61"/>
      <c r="AV156" s="61"/>
      <c r="AW156" s="61"/>
      <c r="AX156" s="61"/>
      <c r="AY156" s="61"/>
      <c r="AZ156" s="61"/>
      <c r="BA156" s="3"/>
      <c r="BB156" s="3"/>
      <c r="BC156" s="3"/>
      <c r="BD156" s="3"/>
      <c r="BE156" s="3"/>
      <c r="BF156" s="3"/>
      <c r="BG156" s="3"/>
      <c r="BH156" s="3"/>
      <c r="BI156" s="3"/>
      <c r="BJ156" s="3"/>
      <c r="BO156" s="3"/>
      <c r="BP156" s="3"/>
      <c r="BQ156" s="3"/>
      <c r="BR156" s="3"/>
    </row>
    <row r="157" spans="1:70" s="608" customFormat="1" ht="19.899999999999999" customHeight="1" x14ac:dyDescent="0.25">
      <c r="A157" s="1652" t="s">
        <v>698</v>
      </c>
      <c r="B157" s="1653"/>
      <c r="C157" s="1653"/>
      <c r="D157" s="1654"/>
      <c r="E157" s="1661" t="s">
        <v>827</v>
      </c>
      <c r="F157" s="724" t="s">
        <v>132</v>
      </c>
      <c r="G157" s="725" t="s">
        <v>916</v>
      </c>
      <c r="H157" s="1598" t="s">
        <v>918</v>
      </c>
      <c r="I157" s="1599"/>
      <c r="J157" s="1599"/>
      <c r="K157" s="1600"/>
      <c r="L157" s="1598" t="s">
        <v>922</v>
      </c>
      <c r="M157" s="1599"/>
      <c r="N157" s="1600"/>
      <c r="O157" s="725" t="s">
        <v>926</v>
      </c>
      <c r="P157" s="1598" t="s">
        <v>928</v>
      </c>
      <c r="Q157" s="1600"/>
      <c r="R157" s="1598" t="s">
        <v>931</v>
      </c>
      <c r="S157" s="1599"/>
      <c r="T157" s="1599"/>
      <c r="U157" s="1599"/>
      <c r="V157" s="1599"/>
      <c r="W157" s="1599"/>
      <c r="X157" s="1600"/>
      <c r="Y157" s="1598" t="s">
        <v>939</v>
      </c>
      <c r="Z157" s="1599"/>
      <c r="AA157" s="1599"/>
      <c r="AB157" s="1599"/>
      <c r="AC157" s="1599"/>
      <c r="AD157" s="1599"/>
      <c r="AE157" s="1599"/>
      <c r="AF157" s="1599"/>
      <c r="AG157" s="1600"/>
      <c r="AH157" s="1598" t="s">
        <v>953</v>
      </c>
      <c r="AI157" s="1599"/>
      <c r="AJ157" s="1599"/>
      <c r="AK157" s="1599"/>
      <c r="AL157" s="1599"/>
      <c r="AM157" s="1599"/>
      <c r="AN157" s="1600"/>
      <c r="AO157" s="1598" t="s">
        <v>961</v>
      </c>
      <c r="AP157" s="1599"/>
      <c r="AQ157" s="1599"/>
      <c r="AR157" s="1599"/>
      <c r="AS157" s="1600"/>
      <c r="AT157" s="1598" t="s">
        <v>966</v>
      </c>
      <c r="AU157" s="1599"/>
      <c r="AV157" s="1599"/>
      <c r="AW157" s="1598" t="s">
        <v>1408</v>
      </c>
      <c r="AX157" s="1600"/>
    </row>
    <row r="158" spans="1:70" s="608" customFormat="1" ht="19.899999999999999" customHeight="1" x14ac:dyDescent="0.25">
      <c r="A158" s="1655"/>
      <c r="B158" s="1656"/>
      <c r="C158" s="1656"/>
      <c r="D158" s="1657"/>
      <c r="E158" s="1662"/>
      <c r="F158" s="1664" t="e">
        <f>+F161+F184+F278</f>
        <v>#REF!</v>
      </c>
      <c r="G158" s="1644" t="s">
        <v>917</v>
      </c>
      <c r="H158" s="1641" t="s">
        <v>919</v>
      </c>
      <c r="I158" s="1629" t="s">
        <v>920</v>
      </c>
      <c r="J158" s="1629" t="s">
        <v>921</v>
      </c>
      <c r="K158" s="1632" t="s">
        <v>952</v>
      </c>
      <c r="L158" s="1641" t="s">
        <v>923</v>
      </c>
      <c r="M158" s="1629" t="s">
        <v>924</v>
      </c>
      <c r="N158" s="1632" t="s">
        <v>925</v>
      </c>
      <c r="O158" s="1644" t="s">
        <v>927</v>
      </c>
      <c r="P158" s="1641" t="s">
        <v>929</v>
      </c>
      <c r="Q158" s="1641" t="s">
        <v>930</v>
      </c>
      <c r="R158" s="1641" t="s">
        <v>932</v>
      </c>
      <c r="S158" s="1629" t="s">
        <v>933</v>
      </c>
      <c r="T158" s="1629" t="s">
        <v>934</v>
      </c>
      <c r="U158" s="1629" t="s">
        <v>935</v>
      </c>
      <c r="V158" s="1629" t="s">
        <v>936</v>
      </c>
      <c r="W158" s="1629" t="s">
        <v>937</v>
      </c>
      <c r="X158" s="1629" t="s">
        <v>938</v>
      </c>
      <c r="Y158" s="1641" t="s">
        <v>940</v>
      </c>
      <c r="Z158" s="1629" t="s">
        <v>941</v>
      </c>
      <c r="AA158" s="1629" t="s">
        <v>942</v>
      </c>
      <c r="AB158" s="1629" t="s">
        <v>943</v>
      </c>
      <c r="AC158" s="1629" t="s">
        <v>944</v>
      </c>
      <c r="AD158" s="1629" t="s">
        <v>945</v>
      </c>
      <c r="AE158" s="1629" t="s">
        <v>946</v>
      </c>
      <c r="AF158" s="1629" t="s">
        <v>947</v>
      </c>
      <c r="AG158" s="1632" t="s">
        <v>948</v>
      </c>
      <c r="AH158" s="1635" t="s">
        <v>954</v>
      </c>
      <c r="AI158" s="1638" t="s">
        <v>955</v>
      </c>
      <c r="AJ158" s="1638" t="s">
        <v>956</v>
      </c>
      <c r="AK158" s="1638" t="s">
        <v>957</v>
      </c>
      <c r="AL158" s="1638" t="s">
        <v>958</v>
      </c>
      <c r="AM158" s="1638" t="s">
        <v>959</v>
      </c>
      <c r="AN158" s="1649" t="s">
        <v>960</v>
      </c>
      <c r="AO158" s="1641" t="s">
        <v>962</v>
      </c>
      <c r="AP158" s="1629" t="s">
        <v>1409</v>
      </c>
      <c r="AQ158" s="1629" t="s">
        <v>963</v>
      </c>
      <c r="AR158" s="1629" t="s">
        <v>964</v>
      </c>
      <c r="AS158" s="1629" t="s">
        <v>965</v>
      </c>
      <c r="AT158" s="1641" t="s">
        <v>967</v>
      </c>
      <c r="AU158" s="1629" t="s">
        <v>968</v>
      </c>
      <c r="AV158" s="1632" t="s">
        <v>969</v>
      </c>
      <c r="AW158" s="1641" t="s">
        <v>1410</v>
      </c>
      <c r="AX158" s="1632" t="s">
        <v>1411</v>
      </c>
    </row>
    <row r="159" spans="1:70" s="608" customFormat="1" ht="19.899999999999999" customHeight="1" x14ac:dyDescent="0.25">
      <c r="A159" s="1655"/>
      <c r="B159" s="1656"/>
      <c r="C159" s="1656"/>
      <c r="D159" s="1657"/>
      <c r="E159" s="1662"/>
      <c r="F159" s="1665"/>
      <c r="G159" s="1645"/>
      <c r="H159" s="1642"/>
      <c r="I159" s="1630"/>
      <c r="J159" s="1630"/>
      <c r="K159" s="1633"/>
      <c r="L159" s="1642"/>
      <c r="M159" s="1630"/>
      <c r="N159" s="1633"/>
      <c r="O159" s="1645"/>
      <c r="P159" s="1642"/>
      <c r="Q159" s="1642"/>
      <c r="R159" s="1642"/>
      <c r="S159" s="1630"/>
      <c r="T159" s="1630"/>
      <c r="U159" s="1630"/>
      <c r="V159" s="1630"/>
      <c r="W159" s="1630"/>
      <c r="X159" s="1630"/>
      <c r="Y159" s="1642"/>
      <c r="Z159" s="1630"/>
      <c r="AA159" s="1630"/>
      <c r="AB159" s="1630"/>
      <c r="AC159" s="1630"/>
      <c r="AD159" s="1630"/>
      <c r="AE159" s="1630"/>
      <c r="AF159" s="1630"/>
      <c r="AG159" s="1633"/>
      <c r="AH159" s="1636"/>
      <c r="AI159" s="1639"/>
      <c r="AJ159" s="1639"/>
      <c r="AK159" s="1639"/>
      <c r="AL159" s="1639"/>
      <c r="AM159" s="1639"/>
      <c r="AN159" s="1650"/>
      <c r="AO159" s="1642"/>
      <c r="AP159" s="1630"/>
      <c r="AQ159" s="1630"/>
      <c r="AR159" s="1630"/>
      <c r="AS159" s="1630"/>
      <c r="AT159" s="1642"/>
      <c r="AU159" s="1630"/>
      <c r="AV159" s="1633"/>
      <c r="AW159" s="1642"/>
      <c r="AX159" s="1633"/>
    </row>
    <row r="160" spans="1:70" s="608" customFormat="1" ht="19.899999999999999" customHeight="1" x14ac:dyDescent="0.25">
      <c r="A160" s="1658"/>
      <c r="B160" s="1659"/>
      <c r="C160" s="1659"/>
      <c r="D160" s="1660"/>
      <c r="E160" s="1663"/>
      <c r="F160" s="1666"/>
      <c r="G160" s="1646"/>
      <c r="H160" s="1643"/>
      <c r="I160" s="1631"/>
      <c r="J160" s="1631"/>
      <c r="K160" s="1634"/>
      <c r="L160" s="1643"/>
      <c r="M160" s="1631"/>
      <c r="N160" s="1634"/>
      <c r="O160" s="1646"/>
      <c r="P160" s="1643"/>
      <c r="Q160" s="1643"/>
      <c r="R160" s="1643"/>
      <c r="S160" s="1631"/>
      <c r="T160" s="1631"/>
      <c r="U160" s="1631"/>
      <c r="V160" s="1631"/>
      <c r="W160" s="1631"/>
      <c r="X160" s="1631"/>
      <c r="Y160" s="1643"/>
      <c r="Z160" s="1631"/>
      <c r="AA160" s="1631"/>
      <c r="AB160" s="1631"/>
      <c r="AC160" s="1631"/>
      <c r="AD160" s="1631"/>
      <c r="AE160" s="1631"/>
      <c r="AF160" s="1631"/>
      <c r="AG160" s="1634"/>
      <c r="AH160" s="1637"/>
      <c r="AI160" s="1640"/>
      <c r="AJ160" s="1640"/>
      <c r="AK160" s="1640"/>
      <c r="AL160" s="1640"/>
      <c r="AM160" s="1640"/>
      <c r="AN160" s="1651"/>
      <c r="AO160" s="1643"/>
      <c r="AP160" s="1631"/>
      <c r="AQ160" s="1631"/>
      <c r="AR160" s="1631"/>
      <c r="AS160" s="1631"/>
      <c r="AT160" s="1643"/>
      <c r="AU160" s="1631"/>
      <c r="AV160" s="1634"/>
      <c r="AW160" s="1643"/>
      <c r="AX160" s="1634"/>
    </row>
    <row r="161" spans="1:64" ht="19.899999999999999" customHeight="1" x14ac:dyDescent="0.2">
      <c r="A161" s="1315" t="s">
        <v>828</v>
      </c>
      <c r="B161" s="1647"/>
      <c r="C161" s="1647"/>
      <c r="D161" s="1647"/>
      <c r="E161" s="1648"/>
      <c r="F161" s="655" t="e">
        <f>+SUM(F162:F183)</f>
        <v>#REF!</v>
      </c>
      <c r="G161" s="656"/>
      <c r="H161" s="657"/>
      <c r="I161" s="658"/>
      <c r="J161" s="658"/>
      <c r="K161" s="659"/>
      <c r="L161" s="660"/>
      <c r="M161" s="661"/>
      <c r="N161" s="662"/>
      <c r="O161" s="663"/>
      <c r="P161" s="660"/>
      <c r="Q161" s="662"/>
      <c r="R161" s="660"/>
      <c r="S161" s="661"/>
      <c r="T161" s="661"/>
      <c r="U161" s="661"/>
      <c r="V161" s="661"/>
      <c r="W161" s="661"/>
      <c r="X161" s="661"/>
      <c r="Y161" s="660"/>
      <c r="Z161" s="661"/>
      <c r="AA161" s="661"/>
      <c r="AB161" s="661"/>
      <c r="AC161" s="661"/>
      <c r="AD161" s="664"/>
      <c r="AE161" s="665"/>
      <c r="AF161" s="665"/>
      <c r="AG161" s="666"/>
      <c r="AH161" s="667"/>
      <c r="AI161" s="668"/>
      <c r="AJ161" s="669"/>
      <c r="AK161" s="670"/>
      <c r="AL161" s="668"/>
      <c r="AM161" s="668"/>
      <c r="AN161" s="671"/>
      <c r="AO161" s="672"/>
      <c r="AP161" s="668"/>
      <c r="AQ161" s="668"/>
      <c r="AR161" s="668"/>
      <c r="AS161" s="668"/>
      <c r="AT161" s="672"/>
      <c r="AU161" s="668"/>
      <c r="AV161" s="671"/>
      <c r="AW161" s="672"/>
      <c r="AX161" s="671"/>
    </row>
    <row r="162" spans="1:64" s="609" customFormat="1" ht="30" customHeight="1" x14ac:dyDescent="0.3">
      <c r="A162" s="1601" t="s">
        <v>408</v>
      </c>
      <c r="B162" s="1602"/>
      <c r="C162" s="1603"/>
      <c r="D162" s="611" t="s">
        <v>557</v>
      </c>
      <c r="E162" s="1607">
        <f>VLOOKUP(A162,AA_Materiales,16,FALSE)</f>
        <v>0</v>
      </c>
      <c r="F162" s="1609" t="e">
        <f>SUM(G163:AX163)</f>
        <v>#REF!</v>
      </c>
      <c r="G162" s="674">
        <v>0</v>
      </c>
      <c r="H162" s="675">
        <v>0</v>
      </c>
      <c r="I162" s="676">
        <v>0</v>
      </c>
      <c r="J162" s="676">
        <v>0</v>
      </c>
      <c r="K162" s="677">
        <v>0</v>
      </c>
      <c r="L162" s="675">
        <v>0</v>
      </c>
      <c r="M162" s="678">
        <v>0</v>
      </c>
      <c r="N162" s="679">
        <v>0</v>
      </c>
      <c r="O162" s="680" t="e">
        <f>180*'PTO OC PLIEGO'!#REF!</f>
        <v>#REF!</v>
      </c>
      <c r="P162" s="681">
        <v>0</v>
      </c>
      <c r="Q162" s="677">
        <v>0</v>
      </c>
      <c r="R162" s="675">
        <v>0</v>
      </c>
      <c r="S162" s="676">
        <v>0</v>
      </c>
      <c r="T162" s="676">
        <v>0</v>
      </c>
      <c r="U162" s="676">
        <v>0</v>
      </c>
      <c r="V162" s="676">
        <v>0</v>
      </c>
      <c r="W162" s="676">
        <v>0</v>
      </c>
      <c r="X162" s="676">
        <v>0</v>
      </c>
      <c r="Y162" s="675">
        <v>0</v>
      </c>
      <c r="Z162" s="676">
        <v>0</v>
      </c>
      <c r="AA162" s="676">
        <v>0</v>
      </c>
      <c r="AB162" s="676">
        <v>0</v>
      </c>
      <c r="AC162" s="676">
        <v>0</v>
      </c>
      <c r="AD162" s="676">
        <v>0</v>
      </c>
      <c r="AE162" s="676">
        <v>0</v>
      </c>
      <c r="AF162" s="676">
        <v>0</v>
      </c>
      <c r="AG162" s="682">
        <v>0</v>
      </c>
      <c r="AH162" s="683">
        <v>0</v>
      </c>
      <c r="AI162" s="676">
        <v>0</v>
      </c>
      <c r="AJ162" s="676">
        <v>0</v>
      </c>
      <c r="AK162" s="676">
        <v>0</v>
      </c>
      <c r="AL162" s="676">
        <v>0</v>
      </c>
      <c r="AM162" s="676">
        <v>0</v>
      </c>
      <c r="AN162" s="682">
        <v>0</v>
      </c>
      <c r="AO162" s="683">
        <v>0</v>
      </c>
      <c r="AP162" s="676">
        <v>0</v>
      </c>
      <c r="AQ162" s="676">
        <v>0</v>
      </c>
      <c r="AR162" s="676">
        <v>0</v>
      </c>
      <c r="AS162" s="682">
        <v>0</v>
      </c>
      <c r="AT162" s="674">
        <v>0</v>
      </c>
      <c r="AU162" s="674">
        <v>0</v>
      </c>
      <c r="AV162" s="674">
        <v>0</v>
      </c>
      <c r="AW162" s="684">
        <v>0</v>
      </c>
      <c r="AX162" s="685">
        <v>0</v>
      </c>
    </row>
    <row r="163" spans="1:64" s="609" customFormat="1" ht="30" customHeight="1" x14ac:dyDescent="0.3">
      <c r="A163" s="1604"/>
      <c r="B163" s="1605"/>
      <c r="C163" s="1606"/>
      <c r="D163" s="611" t="s">
        <v>20</v>
      </c>
      <c r="E163" s="1608"/>
      <c r="F163" s="1610"/>
      <c r="G163" s="674">
        <v>0</v>
      </c>
      <c r="H163" s="675">
        <v>0</v>
      </c>
      <c r="I163" s="676">
        <v>0</v>
      </c>
      <c r="J163" s="676">
        <v>0</v>
      </c>
      <c r="K163" s="677">
        <v>0</v>
      </c>
      <c r="L163" s="686">
        <v>0</v>
      </c>
      <c r="M163" s="678">
        <v>0</v>
      </c>
      <c r="N163" s="687">
        <v>0</v>
      </c>
      <c r="O163" s="688" t="e">
        <f>+O162*E162</f>
        <v>#REF!</v>
      </c>
      <c r="P163" s="689">
        <v>0</v>
      </c>
      <c r="Q163" s="677">
        <v>0</v>
      </c>
      <c r="R163" s="686">
        <v>0</v>
      </c>
      <c r="S163" s="676">
        <v>0</v>
      </c>
      <c r="T163" s="676">
        <v>0</v>
      </c>
      <c r="U163" s="676">
        <v>0</v>
      </c>
      <c r="V163" s="676">
        <v>0</v>
      </c>
      <c r="W163" s="676">
        <v>0</v>
      </c>
      <c r="X163" s="676">
        <v>0</v>
      </c>
      <c r="Y163" s="675">
        <v>0</v>
      </c>
      <c r="Z163" s="676">
        <v>0</v>
      </c>
      <c r="AA163" s="676">
        <v>0</v>
      </c>
      <c r="AB163" s="676">
        <v>0</v>
      </c>
      <c r="AC163" s="676">
        <v>0</v>
      </c>
      <c r="AD163" s="676">
        <v>0</v>
      </c>
      <c r="AE163" s="676">
        <v>0</v>
      </c>
      <c r="AF163" s="676">
        <v>0</v>
      </c>
      <c r="AG163" s="682">
        <v>0</v>
      </c>
      <c r="AH163" s="683">
        <v>0</v>
      </c>
      <c r="AI163" s="676">
        <v>0</v>
      </c>
      <c r="AJ163" s="676">
        <v>0</v>
      </c>
      <c r="AK163" s="676">
        <v>0</v>
      </c>
      <c r="AL163" s="676">
        <v>0</v>
      </c>
      <c r="AM163" s="676">
        <v>0</v>
      </c>
      <c r="AN163" s="682">
        <v>0</v>
      </c>
      <c r="AO163" s="683">
        <v>0</v>
      </c>
      <c r="AP163" s="676">
        <v>0</v>
      </c>
      <c r="AQ163" s="676">
        <v>0</v>
      </c>
      <c r="AR163" s="676">
        <v>0</v>
      </c>
      <c r="AS163" s="682">
        <v>0</v>
      </c>
      <c r="AT163" s="674">
        <v>0</v>
      </c>
      <c r="AU163" s="674">
        <v>0</v>
      </c>
      <c r="AV163" s="674">
        <v>0</v>
      </c>
      <c r="AW163" s="684">
        <v>0</v>
      </c>
      <c r="AX163" s="685">
        <v>0</v>
      </c>
    </row>
    <row r="164" spans="1:64" s="609" customFormat="1" ht="30" customHeight="1" x14ac:dyDescent="0.3">
      <c r="A164" s="1601" t="s">
        <v>406</v>
      </c>
      <c r="B164" s="1602"/>
      <c r="C164" s="1603"/>
      <c r="D164" s="611" t="s">
        <v>399</v>
      </c>
      <c r="E164" s="1607" t="e">
        <f>VLOOKUP(A164,AA_Materiales,16,FALSE)</f>
        <v>#N/A</v>
      </c>
      <c r="F164" s="1609" t="e">
        <f>SUM(G165:AX165)</f>
        <v>#REF!</v>
      </c>
      <c r="G164" s="674">
        <v>0</v>
      </c>
      <c r="H164" s="675">
        <v>0</v>
      </c>
      <c r="I164" s="676">
        <v>0</v>
      </c>
      <c r="J164" s="676">
        <v>0</v>
      </c>
      <c r="K164" s="677">
        <v>0</v>
      </c>
      <c r="L164" s="690" t="e">
        <f>1*'PTO OC PLIEGO'!#REF!</f>
        <v>#REF!</v>
      </c>
      <c r="M164" s="678">
        <v>0</v>
      </c>
      <c r="N164" s="687">
        <v>0</v>
      </c>
      <c r="O164" s="688" t="e">
        <f>0.555*'PTO OC PLIEGO'!#REF!</f>
        <v>#REF!</v>
      </c>
      <c r="P164" s="689">
        <v>0</v>
      </c>
      <c r="Q164" s="677">
        <v>0</v>
      </c>
      <c r="R164" s="686">
        <v>0</v>
      </c>
      <c r="S164" s="676">
        <v>0</v>
      </c>
      <c r="T164" s="676">
        <v>0</v>
      </c>
      <c r="U164" s="676">
        <v>0</v>
      </c>
      <c r="V164" s="676">
        <v>0</v>
      </c>
      <c r="W164" s="676">
        <v>0</v>
      </c>
      <c r="X164" s="676">
        <v>0</v>
      </c>
      <c r="Y164" s="675">
        <v>0</v>
      </c>
      <c r="Z164" s="676">
        <v>0</v>
      </c>
      <c r="AA164" s="676">
        <v>0</v>
      </c>
      <c r="AB164" s="676">
        <v>0</v>
      </c>
      <c r="AC164" s="676">
        <v>0</v>
      </c>
      <c r="AD164" s="676">
        <v>0</v>
      </c>
      <c r="AE164" s="676">
        <v>0</v>
      </c>
      <c r="AF164" s="676">
        <v>0</v>
      </c>
      <c r="AG164" s="682">
        <v>0</v>
      </c>
      <c r="AH164" s="683">
        <v>0</v>
      </c>
      <c r="AI164" s="676">
        <v>0</v>
      </c>
      <c r="AJ164" s="676">
        <v>0</v>
      </c>
      <c r="AK164" s="676">
        <v>0</v>
      </c>
      <c r="AL164" s="676">
        <v>0</v>
      </c>
      <c r="AM164" s="676">
        <v>0</v>
      </c>
      <c r="AN164" s="682">
        <v>0</v>
      </c>
      <c r="AO164" s="683">
        <v>0</v>
      </c>
      <c r="AP164" s="676">
        <v>0</v>
      </c>
      <c r="AQ164" s="676">
        <v>0</v>
      </c>
      <c r="AR164" s="676">
        <v>0</v>
      </c>
      <c r="AS164" s="682">
        <v>0</v>
      </c>
      <c r="AT164" s="674">
        <v>0</v>
      </c>
      <c r="AU164" s="674">
        <v>0</v>
      </c>
      <c r="AV164" s="674">
        <v>0</v>
      </c>
      <c r="AW164" s="684">
        <v>0</v>
      </c>
      <c r="AX164" s="685">
        <v>0</v>
      </c>
    </row>
    <row r="165" spans="1:64" s="609" customFormat="1" ht="30" customHeight="1" x14ac:dyDescent="0.3">
      <c r="A165" s="1604"/>
      <c r="B165" s="1605"/>
      <c r="C165" s="1606"/>
      <c r="D165" s="611" t="s">
        <v>20</v>
      </c>
      <c r="E165" s="1608"/>
      <c r="F165" s="1610"/>
      <c r="G165" s="674">
        <v>0</v>
      </c>
      <c r="H165" s="675">
        <v>0</v>
      </c>
      <c r="I165" s="676">
        <v>0</v>
      </c>
      <c r="J165" s="676">
        <v>0</v>
      </c>
      <c r="K165" s="677">
        <v>0</v>
      </c>
      <c r="L165" s="686" t="e">
        <f>+L164*E164</f>
        <v>#REF!</v>
      </c>
      <c r="M165" s="678">
        <v>0</v>
      </c>
      <c r="N165" s="687">
        <v>0</v>
      </c>
      <c r="O165" s="688" t="e">
        <f>+O164*E164</f>
        <v>#REF!</v>
      </c>
      <c r="P165" s="689">
        <v>0</v>
      </c>
      <c r="Q165" s="677">
        <v>0</v>
      </c>
      <c r="R165" s="686">
        <v>0</v>
      </c>
      <c r="S165" s="676">
        <v>0</v>
      </c>
      <c r="T165" s="676">
        <v>0</v>
      </c>
      <c r="U165" s="676">
        <v>0</v>
      </c>
      <c r="V165" s="676">
        <v>0</v>
      </c>
      <c r="W165" s="676">
        <v>0</v>
      </c>
      <c r="X165" s="676">
        <v>0</v>
      </c>
      <c r="Y165" s="675">
        <v>0</v>
      </c>
      <c r="Z165" s="676">
        <v>0</v>
      </c>
      <c r="AA165" s="676">
        <v>0</v>
      </c>
      <c r="AB165" s="676">
        <v>0</v>
      </c>
      <c r="AC165" s="676">
        <v>0</v>
      </c>
      <c r="AD165" s="676">
        <v>0</v>
      </c>
      <c r="AE165" s="676">
        <v>0</v>
      </c>
      <c r="AF165" s="676">
        <v>0</v>
      </c>
      <c r="AG165" s="682">
        <v>0</v>
      </c>
      <c r="AH165" s="683">
        <v>0</v>
      </c>
      <c r="AI165" s="676">
        <v>0</v>
      </c>
      <c r="AJ165" s="676">
        <v>0</v>
      </c>
      <c r="AK165" s="676">
        <v>0</v>
      </c>
      <c r="AL165" s="676">
        <v>0</v>
      </c>
      <c r="AM165" s="676">
        <v>0</v>
      </c>
      <c r="AN165" s="682">
        <v>0</v>
      </c>
      <c r="AO165" s="683">
        <v>0</v>
      </c>
      <c r="AP165" s="676">
        <v>0</v>
      </c>
      <c r="AQ165" s="676">
        <v>0</v>
      </c>
      <c r="AR165" s="676">
        <v>0</v>
      </c>
      <c r="AS165" s="682">
        <v>0</v>
      </c>
      <c r="AT165" s="674">
        <v>0</v>
      </c>
      <c r="AU165" s="674">
        <v>0</v>
      </c>
      <c r="AV165" s="674">
        <v>0</v>
      </c>
      <c r="AW165" s="684">
        <v>0</v>
      </c>
      <c r="AX165" s="685">
        <v>0</v>
      </c>
    </row>
    <row r="166" spans="1:64" s="609" customFormat="1" ht="30" customHeight="1" x14ac:dyDescent="0.3">
      <c r="A166" s="1601" t="s">
        <v>405</v>
      </c>
      <c r="B166" s="1602"/>
      <c r="C166" s="1603"/>
      <c r="D166" s="611" t="s">
        <v>20</v>
      </c>
      <c r="E166" s="1607">
        <f>VLOOKUP(A166,AA_Materiales,16,FALSE)</f>
        <v>0</v>
      </c>
      <c r="F166" s="1609" t="e">
        <f>SUM(G167:AX167)</f>
        <v>#REF!</v>
      </c>
      <c r="G166" s="674">
        <v>0</v>
      </c>
      <c r="H166" s="675">
        <v>0</v>
      </c>
      <c r="I166" s="676">
        <v>0</v>
      </c>
      <c r="J166" s="676">
        <v>0</v>
      </c>
      <c r="K166" s="677">
        <v>0</v>
      </c>
      <c r="L166" s="686">
        <v>0</v>
      </c>
      <c r="M166" s="678">
        <v>0</v>
      </c>
      <c r="N166" s="687">
        <v>0</v>
      </c>
      <c r="O166" s="688" t="e">
        <f>350*'PTO OC PLIEGO'!#REF!</f>
        <v>#REF!</v>
      </c>
      <c r="P166" s="689">
        <v>0</v>
      </c>
      <c r="Q166" s="677">
        <v>0</v>
      </c>
      <c r="R166" s="686">
        <v>0</v>
      </c>
      <c r="S166" s="676">
        <v>0</v>
      </c>
      <c r="T166" s="676">
        <v>0</v>
      </c>
      <c r="U166" s="676">
        <v>0</v>
      </c>
      <c r="V166" s="676">
        <v>0</v>
      </c>
      <c r="W166" s="676">
        <v>0</v>
      </c>
      <c r="X166" s="676">
        <v>0</v>
      </c>
      <c r="Y166" s="675">
        <v>0</v>
      </c>
      <c r="Z166" s="676">
        <v>0</v>
      </c>
      <c r="AA166" s="676">
        <v>0</v>
      </c>
      <c r="AB166" s="676">
        <v>0</v>
      </c>
      <c r="AC166" s="676">
        <v>0</v>
      </c>
      <c r="AD166" s="676">
        <v>0</v>
      </c>
      <c r="AE166" s="676">
        <v>0</v>
      </c>
      <c r="AF166" s="676">
        <v>0</v>
      </c>
      <c r="AG166" s="682">
        <v>0</v>
      </c>
      <c r="AH166" s="683">
        <v>0</v>
      </c>
      <c r="AI166" s="676">
        <v>0</v>
      </c>
      <c r="AJ166" s="676">
        <v>0</v>
      </c>
      <c r="AK166" s="676">
        <v>0</v>
      </c>
      <c r="AL166" s="676">
        <v>0</v>
      </c>
      <c r="AM166" s="676">
        <v>0</v>
      </c>
      <c r="AN166" s="682">
        <v>0</v>
      </c>
      <c r="AO166" s="683">
        <v>0</v>
      </c>
      <c r="AP166" s="676">
        <v>0</v>
      </c>
      <c r="AQ166" s="676">
        <v>0</v>
      </c>
      <c r="AR166" s="676">
        <v>0</v>
      </c>
      <c r="AS166" s="682">
        <v>0</v>
      </c>
      <c r="AT166" s="674">
        <v>0</v>
      </c>
      <c r="AU166" s="674">
        <v>0</v>
      </c>
      <c r="AV166" s="674">
        <v>0</v>
      </c>
      <c r="AW166" s="684">
        <v>0</v>
      </c>
      <c r="AX166" s="685">
        <v>0</v>
      </c>
    </row>
    <row r="167" spans="1:64" s="609" customFormat="1" ht="30" customHeight="1" x14ac:dyDescent="0.3">
      <c r="A167" s="1604"/>
      <c r="B167" s="1605"/>
      <c r="C167" s="1606"/>
      <c r="D167" s="611" t="s">
        <v>20</v>
      </c>
      <c r="E167" s="1608"/>
      <c r="F167" s="1610"/>
      <c r="G167" s="674">
        <v>0</v>
      </c>
      <c r="H167" s="675">
        <v>0</v>
      </c>
      <c r="I167" s="676">
        <v>0</v>
      </c>
      <c r="J167" s="676">
        <v>0</v>
      </c>
      <c r="K167" s="677">
        <v>0</v>
      </c>
      <c r="L167" s="686">
        <v>0</v>
      </c>
      <c r="M167" s="678">
        <v>0</v>
      </c>
      <c r="N167" s="687">
        <v>0</v>
      </c>
      <c r="O167" s="688" t="e">
        <f>O166*E166</f>
        <v>#REF!</v>
      </c>
      <c r="P167" s="689">
        <v>0</v>
      </c>
      <c r="Q167" s="677">
        <v>0</v>
      </c>
      <c r="R167" s="686">
        <v>0</v>
      </c>
      <c r="S167" s="676">
        <v>0</v>
      </c>
      <c r="T167" s="676">
        <v>0</v>
      </c>
      <c r="U167" s="676">
        <v>0</v>
      </c>
      <c r="V167" s="676">
        <v>0</v>
      </c>
      <c r="W167" s="676">
        <v>0</v>
      </c>
      <c r="X167" s="676">
        <v>0</v>
      </c>
      <c r="Y167" s="675">
        <v>0</v>
      </c>
      <c r="Z167" s="676">
        <v>0</v>
      </c>
      <c r="AA167" s="676">
        <v>0</v>
      </c>
      <c r="AB167" s="676">
        <v>0</v>
      </c>
      <c r="AC167" s="676">
        <v>0</v>
      </c>
      <c r="AD167" s="676">
        <v>0</v>
      </c>
      <c r="AE167" s="676">
        <v>0</v>
      </c>
      <c r="AF167" s="676">
        <v>0</v>
      </c>
      <c r="AG167" s="682">
        <v>0</v>
      </c>
      <c r="AH167" s="683">
        <v>0</v>
      </c>
      <c r="AI167" s="676">
        <v>0</v>
      </c>
      <c r="AJ167" s="676">
        <v>0</v>
      </c>
      <c r="AK167" s="676">
        <v>0</v>
      </c>
      <c r="AL167" s="676">
        <v>0</v>
      </c>
      <c r="AM167" s="676">
        <v>0</v>
      </c>
      <c r="AN167" s="682">
        <v>0</v>
      </c>
      <c r="AO167" s="683">
        <v>0</v>
      </c>
      <c r="AP167" s="676">
        <v>0</v>
      </c>
      <c r="AQ167" s="676">
        <v>0</v>
      </c>
      <c r="AR167" s="676">
        <v>0</v>
      </c>
      <c r="AS167" s="682">
        <v>0</v>
      </c>
      <c r="AT167" s="674">
        <v>0</v>
      </c>
      <c r="AU167" s="674">
        <v>0</v>
      </c>
      <c r="AV167" s="674">
        <v>0</v>
      </c>
      <c r="AW167" s="684">
        <v>0</v>
      </c>
      <c r="AX167" s="685">
        <v>0</v>
      </c>
    </row>
    <row r="168" spans="1:64" s="609" customFormat="1" ht="30" customHeight="1" x14ac:dyDescent="0.3">
      <c r="A168" s="1601" t="s">
        <v>422</v>
      </c>
      <c r="B168" s="1602"/>
      <c r="C168" s="1603"/>
      <c r="D168" s="611" t="s">
        <v>399</v>
      </c>
      <c r="E168" s="1607">
        <f>VLOOKUP(A168,AA_Materiales,16,FALSE)</f>
        <v>0</v>
      </c>
      <c r="F168" s="1609" t="e">
        <f>SUM(G169:AX169)</f>
        <v>#REF!</v>
      </c>
      <c r="G168" s="674">
        <v>0</v>
      </c>
      <c r="H168" s="675">
        <v>0</v>
      </c>
      <c r="I168" s="676">
        <v>0</v>
      </c>
      <c r="J168" s="676">
        <v>0</v>
      </c>
      <c r="K168" s="677">
        <v>0</v>
      </c>
      <c r="L168" s="686">
        <v>0</v>
      </c>
      <c r="M168" s="691" t="e">
        <f>1.25*'PTO OC PLIEGO'!#REF!</f>
        <v>#REF!</v>
      </c>
      <c r="N168" s="687">
        <v>0</v>
      </c>
      <c r="O168" s="692">
        <v>0</v>
      </c>
      <c r="P168" s="689">
        <v>0</v>
      </c>
      <c r="Q168" s="677">
        <v>0</v>
      </c>
      <c r="R168" s="686">
        <v>0</v>
      </c>
      <c r="S168" s="676">
        <v>0</v>
      </c>
      <c r="T168" s="676">
        <v>0</v>
      </c>
      <c r="U168" s="676">
        <v>0</v>
      </c>
      <c r="V168" s="676">
        <v>0</v>
      </c>
      <c r="W168" s="676">
        <v>0</v>
      </c>
      <c r="X168" s="676">
        <v>0</v>
      </c>
      <c r="Y168" s="675">
        <v>0</v>
      </c>
      <c r="Z168" s="676">
        <v>0</v>
      </c>
      <c r="AA168" s="676">
        <v>0</v>
      </c>
      <c r="AB168" s="676">
        <v>0</v>
      </c>
      <c r="AC168" s="676">
        <v>0</v>
      </c>
      <c r="AD168" s="676">
        <v>0</v>
      </c>
      <c r="AE168" s="676">
        <v>0</v>
      </c>
      <c r="AF168" s="676">
        <v>0</v>
      </c>
      <c r="AG168" s="682">
        <v>0</v>
      </c>
      <c r="AH168" s="683">
        <v>0</v>
      </c>
      <c r="AI168" s="676">
        <v>0</v>
      </c>
      <c r="AJ168" s="676">
        <v>0</v>
      </c>
      <c r="AK168" s="676">
        <v>0</v>
      </c>
      <c r="AL168" s="676">
        <v>0</v>
      </c>
      <c r="AM168" s="676">
        <v>0</v>
      </c>
      <c r="AN168" s="682">
        <v>0</v>
      </c>
      <c r="AO168" s="683">
        <v>0</v>
      </c>
      <c r="AP168" s="676">
        <v>0</v>
      </c>
      <c r="AQ168" s="676">
        <v>0</v>
      </c>
      <c r="AR168" s="676">
        <v>0</v>
      </c>
      <c r="AS168" s="682">
        <v>0</v>
      </c>
      <c r="AT168" s="674">
        <v>0</v>
      </c>
      <c r="AU168" s="674">
        <v>0</v>
      </c>
      <c r="AV168" s="674">
        <v>0</v>
      </c>
      <c r="AW168" s="684">
        <v>0</v>
      </c>
      <c r="AX168" s="685">
        <v>0</v>
      </c>
    </row>
    <row r="169" spans="1:64" s="609" customFormat="1" ht="30" customHeight="1" x14ac:dyDescent="0.3">
      <c r="A169" s="1604"/>
      <c r="B169" s="1605"/>
      <c r="C169" s="1606"/>
      <c r="D169" s="611" t="s">
        <v>20</v>
      </c>
      <c r="E169" s="1608"/>
      <c r="F169" s="1610"/>
      <c r="G169" s="674">
        <v>0</v>
      </c>
      <c r="H169" s="675">
        <v>0</v>
      </c>
      <c r="I169" s="676">
        <v>0</v>
      </c>
      <c r="J169" s="676">
        <v>0</v>
      </c>
      <c r="K169" s="677">
        <v>0</v>
      </c>
      <c r="L169" s="686">
        <v>0</v>
      </c>
      <c r="M169" s="691" t="e">
        <f>+M168*E168</f>
        <v>#REF!</v>
      </c>
      <c r="N169" s="687">
        <v>0</v>
      </c>
      <c r="O169" s="692">
        <v>0</v>
      </c>
      <c r="P169" s="689">
        <v>0</v>
      </c>
      <c r="Q169" s="677">
        <v>0</v>
      </c>
      <c r="R169" s="686">
        <v>0</v>
      </c>
      <c r="S169" s="676">
        <v>0</v>
      </c>
      <c r="T169" s="676">
        <v>0</v>
      </c>
      <c r="U169" s="676">
        <v>0</v>
      </c>
      <c r="V169" s="676">
        <v>0</v>
      </c>
      <c r="W169" s="676">
        <v>0</v>
      </c>
      <c r="X169" s="676">
        <v>0</v>
      </c>
      <c r="Y169" s="675">
        <v>0</v>
      </c>
      <c r="Z169" s="676">
        <v>0</v>
      </c>
      <c r="AA169" s="676">
        <v>0</v>
      </c>
      <c r="AB169" s="676">
        <v>0</v>
      </c>
      <c r="AC169" s="676">
        <v>0</v>
      </c>
      <c r="AD169" s="676">
        <v>0</v>
      </c>
      <c r="AE169" s="676">
        <v>0</v>
      </c>
      <c r="AF169" s="676">
        <v>0</v>
      </c>
      <c r="AG169" s="682">
        <v>0</v>
      </c>
      <c r="AH169" s="683">
        <v>0</v>
      </c>
      <c r="AI169" s="676">
        <v>0</v>
      </c>
      <c r="AJ169" s="676">
        <v>0</v>
      </c>
      <c r="AK169" s="676">
        <v>0</v>
      </c>
      <c r="AL169" s="676">
        <v>0</v>
      </c>
      <c r="AM169" s="676">
        <v>0</v>
      </c>
      <c r="AN169" s="682">
        <v>0</v>
      </c>
      <c r="AO169" s="683">
        <v>0</v>
      </c>
      <c r="AP169" s="676">
        <v>0</v>
      </c>
      <c r="AQ169" s="676">
        <v>0</v>
      </c>
      <c r="AR169" s="676">
        <v>0</v>
      </c>
      <c r="AS169" s="682">
        <v>0</v>
      </c>
      <c r="AT169" s="674">
        <v>0</v>
      </c>
      <c r="AU169" s="674">
        <v>0</v>
      </c>
      <c r="AV169" s="674">
        <v>0</v>
      </c>
      <c r="AW169" s="684">
        <v>0</v>
      </c>
      <c r="AX169" s="685">
        <v>0</v>
      </c>
    </row>
    <row r="170" spans="1:64" s="609" customFormat="1" ht="30" customHeight="1" x14ac:dyDescent="0.3">
      <c r="A170" s="1601" t="s">
        <v>407</v>
      </c>
      <c r="B170" s="1602"/>
      <c r="C170" s="1603"/>
      <c r="D170" s="611" t="s">
        <v>399</v>
      </c>
      <c r="E170" s="1607" t="e">
        <f>VLOOKUP(A170,AA_Materiales,16,FALSE)</f>
        <v>#N/A</v>
      </c>
      <c r="F170" s="1609" t="e">
        <f>SUM(G171:AX171)</f>
        <v>#REF!</v>
      </c>
      <c r="G170" s="674">
        <v>0</v>
      </c>
      <c r="H170" s="675">
        <v>0</v>
      </c>
      <c r="I170" s="676">
        <v>0</v>
      </c>
      <c r="J170" s="676">
        <v>0</v>
      </c>
      <c r="K170" s="677">
        <v>0</v>
      </c>
      <c r="L170" s="686">
        <v>0</v>
      </c>
      <c r="M170" s="693">
        <v>0</v>
      </c>
      <c r="N170" s="687">
        <v>0</v>
      </c>
      <c r="O170" s="688" t="e">
        <f>0.835*'PTO OC PLIEGO'!#REF!</f>
        <v>#REF!</v>
      </c>
      <c r="P170" s="689">
        <v>0</v>
      </c>
      <c r="Q170" s="677">
        <v>0</v>
      </c>
      <c r="R170" s="686">
        <v>0</v>
      </c>
      <c r="S170" s="676">
        <v>0</v>
      </c>
      <c r="T170" s="676">
        <v>0</v>
      </c>
      <c r="U170" s="676">
        <v>0</v>
      </c>
      <c r="V170" s="676">
        <v>0</v>
      </c>
      <c r="W170" s="676">
        <v>0</v>
      </c>
      <c r="X170" s="676">
        <v>0</v>
      </c>
      <c r="Y170" s="675">
        <v>0</v>
      </c>
      <c r="Z170" s="676">
        <v>0</v>
      </c>
      <c r="AA170" s="676">
        <v>0</v>
      </c>
      <c r="AB170" s="676">
        <v>0</v>
      </c>
      <c r="AC170" s="676">
        <v>0</v>
      </c>
      <c r="AD170" s="676">
        <v>0</v>
      </c>
      <c r="AE170" s="676">
        <v>0</v>
      </c>
      <c r="AF170" s="676">
        <v>0</v>
      </c>
      <c r="AG170" s="682">
        <v>0</v>
      </c>
      <c r="AH170" s="683">
        <v>0</v>
      </c>
      <c r="AI170" s="676">
        <v>0</v>
      </c>
      <c r="AJ170" s="676">
        <v>0</v>
      </c>
      <c r="AK170" s="676">
        <v>0</v>
      </c>
      <c r="AL170" s="676">
        <v>0</v>
      </c>
      <c r="AM170" s="676">
        <v>0</v>
      </c>
      <c r="AN170" s="682">
        <v>0</v>
      </c>
      <c r="AO170" s="683">
        <v>0</v>
      </c>
      <c r="AP170" s="676">
        <v>0</v>
      </c>
      <c r="AQ170" s="676">
        <v>0</v>
      </c>
      <c r="AR170" s="676">
        <v>0</v>
      </c>
      <c r="AS170" s="682">
        <v>0</v>
      </c>
      <c r="AT170" s="674">
        <v>0</v>
      </c>
      <c r="AU170" s="674">
        <v>0</v>
      </c>
      <c r="AV170" s="674">
        <v>0</v>
      </c>
      <c r="AW170" s="684">
        <v>0</v>
      </c>
      <c r="AX170" s="685">
        <v>0</v>
      </c>
    </row>
    <row r="171" spans="1:64" s="609" customFormat="1" ht="30" customHeight="1" x14ac:dyDescent="0.3">
      <c r="A171" s="1604"/>
      <c r="B171" s="1605"/>
      <c r="C171" s="1606"/>
      <c r="D171" s="611" t="s">
        <v>20</v>
      </c>
      <c r="E171" s="1608"/>
      <c r="F171" s="1610"/>
      <c r="G171" s="674">
        <v>0</v>
      </c>
      <c r="H171" s="675">
        <v>0</v>
      </c>
      <c r="I171" s="676">
        <v>0</v>
      </c>
      <c r="J171" s="676">
        <v>0</v>
      </c>
      <c r="K171" s="677">
        <v>0</v>
      </c>
      <c r="L171" s="686">
        <v>0</v>
      </c>
      <c r="M171" s="693">
        <v>0</v>
      </c>
      <c r="N171" s="687">
        <v>0</v>
      </c>
      <c r="O171" s="688" t="e">
        <f>+O170*E170</f>
        <v>#REF!</v>
      </c>
      <c r="P171" s="689">
        <v>0</v>
      </c>
      <c r="Q171" s="677">
        <v>0</v>
      </c>
      <c r="R171" s="686">
        <v>0</v>
      </c>
      <c r="S171" s="676">
        <v>0</v>
      </c>
      <c r="T171" s="676">
        <v>0</v>
      </c>
      <c r="U171" s="676">
        <v>0</v>
      </c>
      <c r="V171" s="676">
        <v>0</v>
      </c>
      <c r="W171" s="676">
        <v>0</v>
      </c>
      <c r="X171" s="676">
        <v>0</v>
      </c>
      <c r="Y171" s="675">
        <v>0</v>
      </c>
      <c r="Z171" s="676">
        <v>0</v>
      </c>
      <c r="AA171" s="676">
        <v>0</v>
      </c>
      <c r="AB171" s="676">
        <v>0</v>
      </c>
      <c r="AC171" s="676">
        <v>0</v>
      </c>
      <c r="AD171" s="676">
        <v>0</v>
      </c>
      <c r="AE171" s="676">
        <v>0</v>
      </c>
      <c r="AF171" s="676">
        <v>0</v>
      </c>
      <c r="AG171" s="682">
        <v>0</v>
      </c>
      <c r="AH171" s="683">
        <v>0</v>
      </c>
      <c r="AI171" s="676">
        <v>0</v>
      </c>
      <c r="AJ171" s="676">
        <v>0</v>
      </c>
      <c r="AK171" s="676">
        <v>0</v>
      </c>
      <c r="AL171" s="676">
        <v>0</v>
      </c>
      <c r="AM171" s="676">
        <v>0</v>
      </c>
      <c r="AN171" s="682">
        <v>0</v>
      </c>
      <c r="AO171" s="683">
        <v>0</v>
      </c>
      <c r="AP171" s="676">
        <v>0</v>
      </c>
      <c r="AQ171" s="676">
        <v>0</v>
      </c>
      <c r="AR171" s="676">
        <v>0</v>
      </c>
      <c r="AS171" s="682">
        <v>0</v>
      </c>
      <c r="AT171" s="674">
        <v>0</v>
      </c>
      <c r="AU171" s="674">
        <v>0</v>
      </c>
      <c r="AV171" s="674">
        <v>0</v>
      </c>
      <c r="AW171" s="684">
        <v>0</v>
      </c>
      <c r="AX171" s="685">
        <v>0</v>
      </c>
    </row>
    <row r="172" spans="1:64" s="609" customFormat="1" ht="30" customHeight="1" x14ac:dyDescent="0.3">
      <c r="A172" s="1601" t="s">
        <v>443</v>
      </c>
      <c r="B172" s="1602"/>
      <c r="C172" s="1603"/>
      <c r="D172" s="611" t="s">
        <v>696</v>
      </c>
      <c r="E172" s="1607" t="e">
        <f>VLOOKUP(A172,AA_Materiales,16,FALSE)</f>
        <v>#N/A</v>
      </c>
      <c r="F172" s="1609" t="e">
        <f>SUM(G173:AX173)</f>
        <v>#REF!</v>
      </c>
      <c r="G172" s="674">
        <v>0</v>
      </c>
      <c r="H172" s="675">
        <v>0</v>
      </c>
      <c r="I172" s="676">
        <v>0</v>
      </c>
      <c r="J172" s="676">
        <v>0</v>
      </c>
      <c r="K172" s="677">
        <v>0</v>
      </c>
      <c r="L172" s="686">
        <v>0</v>
      </c>
      <c r="M172" s="693">
        <v>0</v>
      </c>
      <c r="N172" s="687">
        <v>0</v>
      </c>
      <c r="O172" s="688">
        <v>0</v>
      </c>
      <c r="P172" s="689">
        <v>0</v>
      </c>
      <c r="Q172" s="677">
        <v>0</v>
      </c>
      <c r="R172" s="686">
        <v>0</v>
      </c>
      <c r="S172" s="676">
        <v>0</v>
      </c>
      <c r="T172" s="676">
        <v>0</v>
      </c>
      <c r="U172" s="676">
        <v>0</v>
      </c>
      <c r="V172" s="691" t="e">
        <f>0.76*'PTO OC PLIEGO'!#REF!</f>
        <v>#REF!</v>
      </c>
      <c r="W172" s="691" t="e">
        <f>0.585*'PTO OC PLIEGO'!#REF!</f>
        <v>#REF!</v>
      </c>
      <c r="X172" s="691" t="e">
        <f>0.79*'PTO OC PLIEGO'!#REF!</f>
        <v>#REF!</v>
      </c>
      <c r="Y172" s="675">
        <v>0</v>
      </c>
      <c r="Z172" s="676">
        <v>0</v>
      </c>
      <c r="AA172" s="676">
        <v>0</v>
      </c>
      <c r="AB172" s="676">
        <v>0</v>
      </c>
      <c r="AC172" s="676">
        <v>0</v>
      </c>
      <c r="AD172" s="676">
        <v>0</v>
      </c>
      <c r="AE172" s="676">
        <v>0</v>
      </c>
      <c r="AF172" s="676">
        <v>0</v>
      </c>
      <c r="AG172" s="682">
        <v>0</v>
      </c>
      <c r="AH172" s="683">
        <v>0</v>
      </c>
      <c r="AI172" s="676">
        <v>0</v>
      </c>
      <c r="AJ172" s="676">
        <v>0</v>
      </c>
      <c r="AK172" s="676">
        <v>0</v>
      </c>
      <c r="AL172" s="676">
        <v>0</v>
      </c>
      <c r="AM172" s="676">
        <v>0</v>
      </c>
      <c r="AN172" s="682">
        <v>0</v>
      </c>
      <c r="AO172" s="694" t="e">
        <f>0.38*'PTO OC PLIEGO'!#REF!</f>
        <v>#REF!</v>
      </c>
      <c r="AP172" s="695" t="e">
        <f>0.26*'PTO OC PLIEGO'!#REF!</f>
        <v>#REF!</v>
      </c>
      <c r="AQ172" s="695" t="e">
        <f>0.64*'PTO OC PLIEGO'!#REF!</f>
        <v>#REF!</v>
      </c>
      <c r="AR172" s="696" t="e">
        <f>1.28*'PTO OC PLIEGO'!#REF!</f>
        <v>#REF!</v>
      </c>
      <c r="AS172" s="697" t="e">
        <f>2.3*'PTO OC PLIEGO'!#REF!</f>
        <v>#REF!</v>
      </c>
      <c r="AT172" s="674">
        <v>0</v>
      </c>
      <c r="AU172" s="674">
        <v>0</v>
      </c>
      <c r="AV172" s="674">
        <v>0</v>
      </c>
      <c r="AW172" s="684">
        <v>0</v>
      </c>
      <c r="AX172" s="685">
        <v>0</v>
      </c>
      <c r="AY172" s="612"/>
      <c r="AZ172" s="612"/>
      <c r="BA172" s="612"/>
      <c r="BB172" s="612"/>
      <c r="BC172" s="612"/>
      <c r="BD172" s="612"/>
      <c r="BI172" s="612"/>
      <c r="BJ172" s="612"/>
      <c r="BK172" s="612"/>
      <c r="BL172" s="612"/>
    </row>
    <row r="173" spans="1:64" s="609" customFormat="1" ht="30" customHeight="1" x14ac:dyDescent="0.3">
      <c r="A173" s="1604"/>
      <c r="B173" s="1605"/>
      <c r="C173" s="1606"/>
      <c r="D173" s="611" t="s">
        <v>20</v>
      </c>
      <c r="E173" s="1608"/>
      <c r="F173" s="1610"/>
      <c r="G173" s="674">
        <v>0</v>
      </c>
      <c r="H173" s="675">
        <v>0</v>
      </c>
      <c r="I173" s="676">
        <v>0</v>
      </c>
      <c r="J173" s="676">
        <v>0</v>
      </c>
      <c r="K173" s="677">
        <v>0</v>
      </c>
      <c r="L173" s="686">
        <v>0</v>
      </c>
      <c r="M173" s="693">
        <v>0</v>
      </c>
      <c r="N173" s="687">
        <v>0</v>
      </c>
      <c r="O173" s="688">
        <v>0</v>
      </c>
      <c r="P173" s="689">
        <v>0</v>
      </c>
      <c r="Q173" s="677">
        <v>0</v>
      </c>
      <c r="R173" s="686">
        <v>0</v>
      </c>
      <c r="S173" s="676">
        <v>0</v>
      </c>
      <c r="T173" s="676">
        <v>0</v>
      </c>
      <c r="U173" s="676">
        <v>0</v>
      </c>
      <c r="V173" s="691" t="e">
        <f>+V172*E172</f>
        <v>#REF!</v>
      </c>
      <c r="W173" s="691" t="e">
        <f>W172*E172</f>
        <v>#REF!</v>
      </c>
      <c r="X173" s="691" t="e">
        <f>X172*E172</f>
        <v>#REF!</v>
      </c>
      <c r="Y173" s="675">
        <v>0</v>
      </c>
      <c r="Z173" s="676">
        <v>0</v>
      </c>
      <c r="AA173" s="676">
        <v>0</v>
      </c>
      <c r="AB173" s="676">
        <v>0</v>
      </c>
      <c r="AC173" s="676">
        <v>0</v>
      </c>
      <c r="AD173" s="676">
        <v>0</v>
      </c>
      <c r="AE173" s="676">
        <v>0</v>
      </c>
      <c r="AF173" s="676">
        <v>0</v>
      </c>
      <c r="AG173" s="682">
        <v>0</v>
      </c>
      <c r="AH173" s="683">
        <v>0</v>
      </c>
      <c r="AI173" s="676">
        <v>0</v>
      </c>
      <c r="AJ173" s="676">
        <v>0</v>
      </c>
      <c r="AK173" s="676">
        <v>0</v>
      </c>
      <c r="AL173" s="676">
        <v>0</v>
      </c>
      <c r="AM173" s="676">
        <v>0</v>
      </c>
      <c r="AN173" s="682">
        <v>0</v>
      </c>
      <c r="AO173" s="694" t="e">
        <f>AO172*E172</f>
        <v>#REF!</v>
      </c>
      <c r="AP173" s="695" t="e">
        <f>AP172*E172</f>
        <v>#REF!</v>
      </c>
      <c r="AQ173" s="695" t="e">
        <f>AQ172*E172</f>
        <v>#REF!</v>
      </c>
      <c r="AR173" s="696" t="e">
        <f>AR172*E172</f>
        <v>#REF!</v>
      </c>
      <c r="AS173" s="697" t="e">
        <f>AS172*E172</f>
        <v>#REF!</v>
      </c>
      <c r="AT173" s="674">
        <v>0</v>
      </c>
      <c r="AU173" s="674">
        <v>0</v>
      </c>
      <c r="AV173" s="674">
        <v>0</v>
      </c>
      <c r="AW173" s="684">
        <v>0</v>
      </c>
      <c r="AX173" s="685">
        <v>0</v>
      </c>
      <c r="AY173" s="612"/>
      <c r="AZ173" s="612"/>
      <c r="BA173" s="612"/>
      <c r="BB173" s="612"/>
      <c r="BC173" s="612"/>
      <c r="BD173" s="612"/>
      <c r="BI173" s="612"/>
      <c r="BJ173" s="612"/>
      <c r="BK173" s="612"/>
      <c r="BL173" s="612"/>
    </row>
    <row r="174" spans="1:64" s="609" customFormat="1" ht="30" customHeight="1" x14ac:dyDescent="0.3">
      <c r="A174" s="1601" t="s">
        <v>444</v>
      </c>
      <c r="B174" s="1602"/>
      <c r="C174" s="1603"/>
      <c r="D174" s="611" t="s">
        <v>696</v>
      </c>
      <c r="E174" s="1607" t="e">
        <f>VLOOKUP(A174,AA_Materiales,16,FALSE)</f>
        <v>#N/A</v>
      </c>
      <c r="F174" s="1609" t="e">
        <f>SUM(G175:AX175)</f>
        <v>#REF!</v>
      </c>
      <c r="G174" s="674">
        <v>0</v>
      </c>
      <c r="H174" s="675">
        <v>0</v>
      </c>
      <c r="I174" s="676">
        <v>0</v>
      </c>
      <c r="J174" s="676">
        <v>0</v>
      </c>
      <c r="K174" s="677">
        <v>0</v>
      </c>
      <c r="L174" s="686">
        <v>0</v>
      </c>
      <c r="M174" s="693">
        <v>0</v>
      </c>
      <c r="N174" s="687">
        <v>0</v>
      </c>
      <c r="O174" s="688">
        <v>0</v>
      </c>
      <c r="P174" s="689">
        <v>0</v>
      </c>
      <c r="Q174" s="677">
        <v>0</v>
      </c>
      <c r="R174" s="686">
        <v>0</v>
      </c>
      <c r="S174" s="676">
        <v>0</v>
      </c>
      <c r="T174" s="676">
        <v>0</v>
      </c>
      <c r="U174" s="676">
        <v>0</v>
      </c>
      <c r="V174" s="691" t="e">
        <f>0.19*'PTO OC PLIEGO'!#REF!</f>
        <v>#REF!</v>
      </c>
      <c r="W174" s="691" t="e">
        <f>0.15*'PTO OC PLIEGO'!#REF!</f>
        <v>#REF!</v>
      </c>
      <c r="X174" s="691" t="e">
        <f>0.2*'PTO OC PLIEGO'!#REF!</f>
        <v>#REF!</v>
      </c>
      <c r="Y174" s="675">
        <v>0</v>
      </c>
      <c r="Z174" s="676">
        <v>0</v>
      </c>
      <c r="AA174" s="676">
        <v>0</v>
      </c>
      <c r="AB174" s="676">
        <v>0</v>
      </c>
      <c r="AC174" s="676">
        <v>0</v>
      </c>
      <c r="AD174" s="676">
        <v>0</v>
      </c>
      <c r="AE174" s="676">
        <v>0</v>
      </c>
      <c r="AF174" s="676">
        <v>0</v>
      </c>
      <c r="AG174" s="682">
        <v>0</v>
      </c>
      <c r="AH174" s="683">
        <v>0</v>
      </c>
      <c r="AI174" s="676">
        <v>0</v>
      </c>
      <c r="AJ174" s="676">
        <v>0</v>
      </c>
      <c r="AK174" s="676">
        <v>0</v>
      </c>
      <c r="AL174" s="676">
        <v>0</v>
      </c>
      <c r="AM174" s="676">
        <v>0</v>
      </c>
      <c r="AN174" s="682">
        <v>0</v>
      </c>
      <c r="AO174" s="694" t="e">
        <f>0.09*'PTO OC PLIEGO'!#REF!</f>
        <v>#REF!</v>
      </c>
      <c r="AP174" s="695" t="e">
        <f>0.06*'PTO OC PLIEGO'!#REF!</f>
        <v>#REF!</v>
      </c>
      <c r="AQ174" s="695" t="e">
        <f>0.16*'PTO OC PLIEGO'!#REF!</f>
        <v>#REF!</v>
      </c>
      <c r="AR174" s="696" t="e">
        <f>0.32*'PTO OC PLIEGO'!#REF!</f>
        <v>#REF!</v>
      </c>
      <c r="AS174" s="697" t="e">
        <f>0.58*'PTO OC PLIEGO'!#REF!</f>
        <v>#REF!</v>
      </c>
      <c r="AT174" s="674">
        <v>0</v>
      </c>
      <c r="AU174" s="674">
        <v>0</v>
      </c>
      <c r="AV174" s="674">
        <v>0</v>
      </c>
      <c r="AW174" s="684">
        <v>0</v>
      </c>
      <c r="AX174" s="685">
        <v>0</v>
      </c>
      <c r="AY174" s="612"/>
      <c r="AZ174" s="612"/>
      <c r="BA174" s="612"/>
      <c r="BB174" s="612"/>
      <c r="BC174" s="612"/>
      <c r="BD174" s="612"/>
      <c r="BI174" s="612"/>
      <c r="BJ174" s="612"/>
      <c r="BK174" s="612"/>
      <c r="BL174" s="612"/>
    </row>
    <row r="175" spans="1:64" s="609" customFormat="1" ht="30" customHeight="1" x14ac:dyDescent="0.3">
      <c r="A175" s="1604"/>
      <c r="B175" s="1605"/>
      <c r="C175" s="1606"/>
      <c r="D175" s="611" t="s">
        <v>20</v>
      </c>
      <c r="E175" s="1608"/>
      <c r="F175" s="1610"/>
      <c r="G175" s="674">
        <v>0</v>
      </c>
      <c r="H175" s="675">
        <v>0</v>
      </c>
      <c r="I175" s="676">
        <v>0</v>
      </c>
      <c r="J175" s="676">
        <v>0</v>
      </c>
      <c r="K175" s="677">
        <v>0</v>
      </c>
      <c r="L175" s="686">
        <v>0</v>
      </c>
      <c r="M175" s="693">
        <v>0</v>
      </c>
      <c r="N175" s="687">
        <v>0</v>
      </c>
      <c r="O175" s="688">
        <v>0</v>
      </c>
      <c r="P175" s="689">
        <v>0</v>
      </c>
      <c r="Q175" s="677">
        <v>0</v>
      </c>
      <c r="R175" s="686">
        <v>0</v>
      </c>
      <c r="S175" s="676">
        <v>0</v>
      </c>
      <c r="T175" s="676">
        <v>0</v>
      </c>
      <c r="U175" s="676">
        <v>0</v>
      </c>
      <c r="V175" s="691" t="e">
        <f>V174*E174</f>
        <v>#REF!</v>
      </c>
      <c r="W175" s="691" t="e">
        <f>W174*E174</f>
        <v>#REF!</v>
      </c>
      <c r="X175" s="691" t="e">
        <f>X174*E174</f>
        <v>#REF!</v>
      </c>
      <c r="Y175" s="675">
        <v>0</v>
      </c>
      <c r="Z175" s="676">
        <v>0</v>
      </c>
      <c r="AA175" s="676">
        <v>0</v>
      </c>
      <c r="AB175" s="676">
        <v>0</v>
      </c>
      <c r="AC175" s="676">
        <v>0</v>
      </c>
      <c r="AD175" s="676">
        <v>0</v>
      </c>
      <c r="AE175" s="676">
        <v>0</v>
      </c>
      <c r="AF175" s="676">
        <v>0</v>
      </c>
      <c r="AG175" s="682">
        <v>0</v>
      </c>
      <c r="AH175" s="683">
        <v>0</v>
      </c>
      <c r="AI175" s="676">
        <v>0</v>
      </c>
      <c r="AJ175" s="676">
        <v>0</v>
      </c>
      <c r="AK175" s="676">
        <v>0</v>
      </c>
      <c r="AL175" s="676">
        <v>0</v>
      </c>
      <c r="AM175" s="676">
        <v>0</v>
      </c>
      <c r="AN175" s="682">
        <v>0</v>
      </c>
      <c r="AO175" s="694" t="e">
        <f>AO174*E174</f>
        <v>#REF!</v>
      </c>
      <c r="AP175" s="695" t="e">
        <f>AP174*E174</f>
        <v>#REF!</v>
      </c>
      <c r="AQ175" s="695" t="e">
        <f>AQ174*E174</f>
        <v>#REF!</v>
      </c>
      <c r="AR175" s="696" t="e">
        <f>E174</f>
        <v>#N/A</v>
      </c>
      <c r="AS175" s="697" t="e">
        <f>AS174*E174</f>
        <v>#REF!</v>
      </c>
      <c r="AT175" s="674">
        <v>0</v>
      </c>
      <c r="AU175" s="674">
        <v>0</v>
      </c>
      <c r="AV175" s="674">
        <v>0</v>
      </c>
      <c r="AW175" s="684">
        <v>0</v>
      </c>
      <c r="AX175" s="685">
        <v>0</v>
      </c>
      <c r="AY175" s="612"/>
      <c r="AZ175" s="612"/>
      <c r="BA175" s="612"/>
      <c r="BB175" s="612"/>
      <c r="BC175" s="612"/>
      <c r="BD175" s="612"/>
      <c r="BI175" s="612"/>
      <c r="BJ175" s="612"/>
      <c r="BK175" s="612"/>
      <c r="BL175" s="612"/>
    </row>
    <row r="176" spans="1:64" s="609" customFormat="1" ht="30" customHeight="1" x14ac:dyDescent="0.3">
      <c r="A176" s="1601" t="s">
        <v>483</v>
      </c>
      <c r="B176" s="1602"/>
      <c r="C176" s="1603"/>
      <c r="D176" s="611" t="s">
        <v>696</v>
      </c>
      <c r="E176" s="1607" t="e">
        <f>VLOOKUP(A176,AA_Materiales,16,FALSE)</f>
        <v>#N/A</v>
      </c>
      <c r="F176" s="1609" t="e">
        <f>SUM(G177:AX177)</f>
        <v>#REF!</v>
      </c>
      <c r="G176" s="674">
        <v>0</v>
      </c>
      <c r="H176" s="675">
        <v>0</v>
      </c>
      <c r="I176" s="676">
        <v>0</v>
      </c>
      <c r="J176" s="676">
        <v>0</v>
      </c>
      <c r="K176" s="677">
        <v>0</v>
      </c>
      <c r="L176" s="686">
        <v>0</v>
      </c>
      <c r="M176" s="693">
        <v>0</v>
      </c>
      <c r="N176" s="687">
        <v>0</v>
      </c>
      <c r="O176" s="688">
        <v>0</v>
      </c>
      <c r="P176" s="689">
        <v>0</v>
      </c>
      <c r="Q176" s="677">
        <v>0</v>
      </c>
      <c r="R176" s="686">
        <v>0</v>
      </c>
      <c r="S176" s="676">
        <v>0</v>
      </c>
      <c r="T176" s="676">
        <v>0</v>
      </c>
      <c r="U176" s="676">
        <v>0</v>
      </c>
      <c r="V176" s="691">
        <v>0</v>
      </c>
      <c r="W176" s="691">
        <v>0</v>
      </c>
      <c r="X176" s="691" t="e">
        <f>0.99*'PTO OC PLIEGO'!#REF!</f>
        <v>#REF!</v>
      </c>
      <c r="Y176" s="675">
        <v>0</v>
      </c>
      <c r="Z176" s="676">
        <v>0</v>
      </c>
      <c r="AA176" s="676">
        <v>0</v>
      </c>
      <c r="AB176" s="676">
        <v>0</v>
      </c>
      <c r="AC176" s="676">
        <v>0</v>
      </c>
      <c r="AD176" s="676">
        <v>0</v>
      </c>
      <c r="AE176" s="676">
        <v>0</v>
      </c>
      <c r="AF176" s="676">
        <v>0</v>
      </c>
      <c r="AG176" s="682">
        <v>0</v>
      </c>
      <c r="AH176" s="683">
        <v>0</v>
      </c>
      <c r="AI176" s="676">
        <v>0</v>
      </c>
      <c r="AJ176" s="676">
        <v>0</v>
      </c>
      <c r="AK176" s="676">
        <v>0</v>
      </c>
      <c r="AL176" s="676">
        <v>0</v>
      </c>
      <c r="AM176" s="676">
        <v>0</v>
      </c>
      <c r="AN176" s="682">
        <v>0</v>
      </c>
      <c r="AO176" s="694" t="e">
        <f>0.77*'PTO OC PLIEGO'!#REF!</f>
        <v>#REF!</v>
      </c>
      <c r="AP176" s="676">
        <v>0</v>
      </c>
      <c r="AQ176" s="676">
        <v>0</v>
      </c>
      <c r="AR176" s="676">
        <v>0</v>
      </c>
      <c r="AS176" s="682">
        <v>0</v>
      </c>
      <c r="AT176" s="674">
        <v>0</v>
      </c>
      <c r="AU176" s="674">
        <v>0</v>
      </c>
      <c r="AV176" s="674">
        <v>0</v>
      </c>
      <c r="AW176" s="684">
        <v>0</v>
      </c>
      <c r="AX176" s="685">
        <v>0</v>
      </c>
      <c r="AY176" s="612"/>
      <c r="AZ176" s="612"/>
      <c r="BA176" s="612"/>
      <c r="BB176" s="612"/>
      <c r="BC176" s="612"/>
      <c r="BD176" s="612"/>
      <c r="BI176" s="612"/>
      <c r="BJ176" s="612"/>
      <c r="BK176" s="612"/>
      <c r="BL176" s="612"/>
    </row>
    <row r="177" spans="1:64" s="609" customFormat="1" ht="30" customHeight="1" x14ac:dyDescent="0.3">
      <c r="A177" s="1604"/>
      <c r="B177" s="1605"/>
      <c r="C177" s="1606"/>
      <c r="D177" s="611" t="s">
        <v>20</v>
      </c>
      <c r="E177" s="1608"/>
      <c r="F177" s="1610"/>
      <c r="G177" s="674">
        <v>0</v>
      </c>
      <c r="H177" s="675">
        <v>0</v>
      </c>
      <c r="I177" s="676">
        <v>0</v>
      </c>
      <c r="J177" s="676">
        <v>0</v>
      </c>
      <c r="K177" s="677">
        <v>0</v>
      </c>
      <c r="L177" s="686">
        <v>0</v>
      </c>
      <c r="M177" s="693">
        <v>0</v>
      </c>
      <c r="N177" s="687">
        <v>0</v>
      </c>
      <c r="O177" s="688">
        <v>0</v>
      </c>
      <c r="P177" s="689">
        <v>0</v>
      </c>
      <c r="Q177" s="677">
        <v>0</v>
      </c>
      <c r="R177" s="686">
        <v>0</v>
      </c>
      <c r="S177" s="676">
        <v>0</v>
      </c>
      <c r="T177" s="676">
        <v>0</v>
      </c>
      <c r="U177" s="676">
        <v>0</v>
      </c>
      <c r="V177" s="691">
        <v>0</v>
      </c>
      <c r="W177" s="691">
        <v>0</v>
      </c>
      <c r="X177" s="691" t="e">
        <f>X176*E176</f>
        <v>#REF!</v>
      </c>
      <c r="Y177" s="675">
        <v>0</v>
      </c>
      <c r="Z177" s="676">
        <v>0</v>
      </c>
      <c r="AA177" s="676">
        <v>0</v>
      </c>
      <c r="AB177" s="676">
        <v>0</v>
      </c>
      <c r="AC177" s="676">
        <v>0</v>
      </c>
      <c r="AD177" s="676">
        <v>0</v>
      </c>
      <c r="AE177" s="676">
        <v>0</v>
      </c>
      <c r="AF177" s="676">
        <v>0</v>
      </c>
      <c r="AG177" s="682">
        <v>0</v>
      </c>
      <c r="AH177" s="683">
        <v>0</v>
      </c>
      <c r="AI177" s="676">
        <v>0</v>
      </c>
      <c r="AJ177" s="676">
        <v>0</v>
      </c>
      <c r="AK177" s="676">
        <v>0</v>
      </c>
      <c r="AL177" s="676">
        <v>0</v>
      </c>
      <c r="AM177" s="676">
        <v>0</v>
      </c>
      <c r="AN177" s="682">
        <v>0</v>
      </c>
      <c r="AO177" s="694" t="e">
        <f>AO176*E176</f>
        <v>#REF!</v>
      </c>
      <c r="AP177" s="676">
        <v>0</v>
      </c>
      <c r="AQ177" s="676">
        <v>0</v>
      </c>
      <c r="AR177" s="676">
        <v>0</v>
      </c>
      <c r="AS177" s="682">
        <v>0</v>
      </c>
      <c r="AT177" s="674">
        <v>0</v>
      </c>
      <c r="AU177" s="674">
        <v>0</v>
      </c>
      <c r="AV177" s="674">
        <v>0</v>
      </c>
      <c r="AW177" s="684">
        <v>0</v>
      </c>
      <c r="AX177" s="685">
        <v>0</v>
      </c>
      <c r="AY177" s="612"/>
      <c r="AZ177" s="612"/>
      <c r="BA177" s="612"/>
      <c r="BB177" s="612"/>
      <c r="BC177" s="612"/>
      <c r="BD177" s="612"/>
      <c r="BI177" s="612"/>
      <c r="BJ177" s="612"/>
      <c r="BK177" s="612"/>
      <c r="BL177" s="612"/>
    </row>
    <row r="178" spans="1:64" s="609" customFormat="1" ht="30" customHeight="1" x14ac:dyDescent="0.3">
      <c r="A178" s="1601" t="s">
        <v>485</v>
      </c>
      <c r="B178" s="1602"/>
      <c r="C178" s="1603"/>
      <c r="D178" s="611" t="s">
        <v>696</v>
      </c>
      <c r="E178" s="1607" t="e">
        <f>VLOOKUP(A178,AA_Materiales,16,FALSE)</f>
        <v>#N/A</v>
      </c>
      <c r="F178" s="1609" t="e">
        <f>SUM(G179:AX179)</f>
        <v>#REF!</v>
      </c>
      <c r="G178" s="674">
        <v>0</v>
      </c>
      <c r="H178" s="675">
        <v>0</v>
      </c>
      <c r="I178" s="676">
        <v>0</v>
      </c>
      <c r="J178" s="676">
        <v>0</v>
      </c>
      <c r="K178" s="677">
        <v>0</v>
      </c>
      <c r="L178" s="686">
        <v>0</v>
      </c>
      <c r="M178" s="693">
        <v>0</v>
      </c>
      <c r="N178" s="687">
        <v>0</v>
      </c>
      <c r="O178" s="688">
        <v>0</v>
      </c>
      <c r="P178" s="689">
        <v>0</v>
      </c>
      <c r="Q178" s="677">
        <v>0</v>
      </c>
      <c r="R178" s="686">
        <v>0</v>
      </c>
      <c r="S178" s="676">
        <v>0</v>
      </c>
      <c r="T178" s="676">
        <v>0</v>
      </c>
      <c r="U178" s="676">
        <v>0</v>
      </c>
      <c r="V178" s="691">
        <v>0</v>
      </c>
      <c r="W178" s="691">
        <v>0</v>
      </c>
      <c r="X178" s="691" t="e">
        <f>1.3*'PTO OC PLIEGO'!#REF!</f>
        <v>#REF!</v>
      </c>
      <c r="Y178" s="675">
        <v>0</v>
      </c>
      <c r="Z178" s="676">
        <v>0</v>
      </c>
      <c r="AA178" s="676">
        <v>0</v>
      </c>
      <c r="AB178" s="676">
        <v>0</v>
      </c>
      <c r="AC178" s="676">
        <v>0</v>
      </c>
      <c r="AD178" s="676">
        <v>0</v>
      </c>
      <c r="AE178" s="676">
        <v>0</v>
      </c>
      <c r="AF178" s="676">
        <v>0</v>
      </c>
      <c r="AG178" s="682">
        <v>0</v>
      </c>
      <c r="AH178" s="683">
        <v>0</v>
      </c>
      <c r="AI178" s="676">
        <v>0</v>
      </c>
      <c r="AJ178" s="676">
        <v>0</v>
      </c>
      <c r="AK178" s="676">
        <v>0</v>
      </c>
      <c r="AL178" s="676">
        <v>0</v>
      </c>
      <c r="AM178" s="676">
        <v>0</v>
      </c>
      <c r="AN178" s="682">
        <v>0</v>
      </c>
      <c r="AO178" s="683">
        <v>0</v>
      </c>
      <c r="AP178" s="676">
        <v>0</v>
      </c>
      <c r="AQ178" s="676">
        <v>0</v>
      </c>
      <c r="AR178" s="676">
        <v>0</v>
      </c>
      <c r="AS178" s="682">
        <v>0</v>
      </c>
      <c r="AT178" s="674">
        <v>0</v>
      </c>
      <c r="AU178" s="674">
        <v>0</v>
      </c>
      <c r="AV178" s="674">
        <v>0</v>
      </c>
      <c r="AW178" s="684">
        <v>0</v>
      </c>
      <c r="AX178" s="685">
        <v>0</v>
      </c>
      <c r="AY178" s="612"/>
      <c r="AZ178" s="612"/>
      <c r="BA178" s="612"/>
      <c r="BB178" s="612"/>
      <c r="BC178" s="612"/>
      <c r="BD178" s="612"/>
      <c r="BI178" s="612"/>
      <c r="BJ178" s="612"/>
      <c r="BK178" s="612"/>
      <c r="BL178" s="612"/>
    </row>
    <row r="179" spans="1:64" s="609" customFormat="1" ht="30" customHeight="1" x14ac:dyDescent="0.3">
      <c r="A179" s="1604"/>
      <c r="B179" s="1605"/>
      <c r="C179" s="1606"/>
      <c r="D179" s="611" t="s">
        <v>20</v>
      </c>
      <c r="E179" s="1608"/>
      <c r="F179" s="1610"/>
      <c r="G179" s="674">
        <v>0</v>
      </c>
      <c r="H179" s="675">
        <v>0</v>
      </c>
      <c r="I179" s="676">
        <v>0</v>
      </c>
      <c r="J179" s="676">
        <v>0</v>
      </c>
      <c r="K179" s="677">
        <v>0</v>
      </c>
      <c r="L179" s="686">
        <v>0</v>
      </c>
      <c r="M179" s="693">
        <v>0</v>
      </c>
      <c r="N179" s="687">
        <v>0</v>
      </c>
      <c r="O179" s="688">
        <v>0</v>
      </c>
      <c r="P179" s="689">
        <v>0</v>
      </c>
      <c r="Q179" s="677">
        <v>0</v>
      </c>
      <c r="R179" s="686">
        <v>0</v>
      </c>
      <c r="S179" s="676">
        <v>0</v>
      </c>
      <c r="T179" s="676">
        <v>0</v>
      </c>
      <c r="U179" s="676">
        <v>0</v>
      </c>
      <c r="V179" s="691">
        <v>0</v>
      </c>
      <c r="W179" s="691">
        <v>0</v>
      </c>
      <c r="X179" s="691" t="e">
        <f>X178*E178</f>
        <v>#REF!</v>
      </c>
      <c r="Y179" s="675">
        <v>0</v>
      </c>
      <c r="Z179" s="676">
        <v>0</v>
      </c>
      <c r="AA179" s="676">
        <v>0</v>
      </c>
      <c r="AB179" s="676">
        <v>0</v>
      </c>
      <c r="AC179" s="676">
        <v>0</v>
      </c>
      <c r="AD179" s="676">
        <v>0</v>
      </c>
      <c r="AE179" s="676">
        <v>0</v>
      </c>
      <c r="AF179" s="676">
        <v>0</v>
      </c>
      <c r="AG179" s="682">
        <v>0</v>
      </c>
      <c r="AH179" s="683">
        <v>0</v>
      </c>
      <c r="AI179" s="676">
        <v>0</v>
      </c>
      <c r="AJ179" s="676">
        <v>0</v>
      </c>
      <c r="AK179" s="676">
        <v>0</v>
      </c>
      <c r="AL179" s="676">
        <v>0</v>
      </c>
      <c r="AM179" s="676">
        <v>0</v>
      </c>
      <c r="AN179" s="682">
        <v>0</v>
      </c>
      <c r="AO179" s="683">
        <v>0</v>
      </c>
      <c r="AP179" s="676">
        <v>0</v>
      </c>
      <c r="AQ179" s="676">
        <v>0</v>
      </c>
      <c r="AR179" s="676">
        <v>0</v>
      </c>
      <c r="AS179" s="682">
        <v>0</v>
      </c>
      <c r="AT179" s="674">
        <v>0</v>
      </c>
      <c r="AU179" s="674">
        <v>0</v>
      </c>
      <c r="AV179" s="674">
        <v>0</v>
      </c>
      <c r="AW179" s="684">
        <v>0</v>
      </c>
      <c r="AX179" s="685">
        <v>0</v>
      </c>
      <c r="AY179" s="612"/>
      <c r="AZ179" s="612"/>
      <c r="BA179" s="612"/>
      <c r="BB179" s="612"/>
      <c r="BC179" s="612"/>
      <c r="BD179" s="612"/>
      <c r="BI179" s="612"/>
      <c r="BJ179" s="612"/>
      <c r="BK179" s="612"/>
      <c r="BL179" s="612"/>
    </row>
    <row r="180" spans="1:64" s="609" customFormat="1" ht="30" customHeight="1" x14ac:dyDescent="0.3">
      <c r="A180" s="1601" t="s">
        <v>484</v>
      </c>
      <c r="B180" s="1602"/>
      <c r="C180" s="1603"/>
      <c r="D180" s="611" t="s">
        <v>696</v>
      </c>
      <c r="E180" s="1607" t="e">
        <f>VLOOKUP(A180,AA_Materiales,16,FALSE)</f>
        <v>#N/A</v>
      </c>
      <c r="F180" s="1609" t="e">
        <f>SUM(G181:AX181)</f>
        <v>#REF!</v>
      </c>
      <c r="G180" s="674">
        <v>0</v>
      </c>
      <c r="H180" s="675">
        <v>0</v>
      </c>
      <c r="I180" s="676">
        <v>0</v>
      </c>
      <c r="J180" s="676">
        <v>0</v>
      </c>
      <c r="K180" s="677">
        <v>0</v>
      </c>
      <c r="L180" s="686">
        <v>0</v>
      </c>
      <c r="M180" s="693">
        <v>0</v>
      </c>
      <c r="N180" s="687">
        <v>0</v>
      </c>
      <c r="O180" s="688">
        <v>0</v>
      </c>
      <c r="P180" s="689">
        <v>0</v>
      </c>
      <c r="Q180" s="677">
        <v>0</v>
      </c>
      <c r="R180" s="686">
        <v>0</v>
      </c>
      <c r="S180" s="676">
        <v>0</v>
      </c>
      <c r="T180" s="676">
        <v>0</v>
      </c>
      <c r="U180" s="676">
        <v>0</v>
      </c>
      <c r="V180" s="691">
        <v>0</v>
      </c>
      <c r="W180" s="691">
        <v>0</v>
      </c>
      <c r="X180" s="691" t="e">
        <f>0.33*'PTO OC PLIEGO'!#REF!</f>
        <v>#REF!</v>
      </c>
      <c r="Y180" s="675">
        <v>0</v>
      </c>
      <c r="Z180" s="676">
        <v>0</v>
      </c>
      <c r="AA180" s="676">
        <v>0</v>
      </c>
      <c r="AB180" s="676">
        <v>0</v>
      </c>
      <c r="AC180" s="676">
        <v>0</v>
      </c>
      <c r="AD180" s="676">
        <v>0</v>
      </c>
      <c r="AE180" s="676">
        <v>0</v>
      </c>
      <c r="AF180" s="676">
        <v>0</v>
      </c>
      <c r="AG180" s="682">
        <v>0</v>
      </c>
      <c r="AH180" s="683">
        <v>0</v>
      </c>
      <c r="AI180" s="676">
        <v>0</v>
      </c>
      <c r="AJ180" s="676">
        <v>0</v>
      </c>
      <c r="AK180" s="676">
        <v>0</v>
      </c>
      <c r="AL180" s="676">
        <v>0</v>
      </c>
      <c r="AM180" s="676">
        <v>0</v>
      </c>
      <c r="AN180" s="682">
        <v>0</v>
      </c>
      <c r="AO180" s="683">
        <v>0</v>
      </c>
      <c r="AP180" s="676">
        <v>0</v>
      </c>
      <c r="AQ180" s="676">
        <v>0</v>
      </c>
      <c r="AR180" s="676">
        <v>0</v>
      </c>
      <c r="AS180" s="682">
        <v>0</v>
      </c>
      <c r="AT180" s="674">
        <v>0</v>
      </c>
      <c r="AU180" s="674">
        <v>0</v>
      </c>
      <c r="AV180" s="674">
        <v>0</v>
      </c>
      <c r="AW180" s="684">
        <v>0</v>
      </c>
      <c r="AX180" s="685">
        <v>0</v>
      </c>
      <c r="AY180" s="612"/>
      <c r="AZ180" s="612"/>
      <c r="BA180" s="612"/>
      <c r="BB180" s="612"/>
      <c r="BC180" s="612"/>
      <c r="BD180" s="612"/>
      <c r="BI180" s="612"/>
      <c r="BJ180" s="612"/>
      <c r="BK180" s="612"/>
      <c r="BL180" s="612"/>
    </row>
    <row r="181" spans="1:64" s="609" customFormat="1" ht="30" customHeight="1" x14ac:dyDescent="0.3">
      <c r="A181" s="1604"/>
      <c r="B181" s="1605"/>
      <c r="C181" s="1606"/>
      <c r="D181" s="611" t="s">
        <v>20</v>
      </c>
      <c r="E181" s="1608"/>
      <c r="F181" s="1610"/>
      <c r="G181" s="674">
        <v>0</v>
      </c>
      <c r="H181" s="675">
        <v>0</v>
      </c>
      <c r="I181" s="676">
        <v>0</v>
      </c>
      <c r="J181" s="676">
        <v>0</v>
      </c>
      <c r="K181" s="677">
        <v>0</v>
      </c>
      <c r="L181" s="686">
        <v>0</v>
      </c>
      <c r="M181" s="693">
        <v>0</v>
      </c>
      <c r="N181" s="687">
        <v>0</v>
      </c>
      <c r="O181" s="688">
        <v>0</v>
      </c>
      <c r="P181" s="689">
        <v>0</v>
      </c>
      <c r="Q181" s="677">
        <v>0</v>
      </c>
      <c r="R181" s="686">
        <v>0</v>
      </c>
      <c r="S181" s="676">
        <v>0</v>
      </c>
      <c r="T181" s="676">
        <v>0</v>
      </c>
      <c r="U181" s="676">
        <v>0</v>
      </c>
      <c r="V181" s="691">
        <v>0</v>
      </c>
      <c r="W181" s="691">
        <v>0</v>
      </c>
      <c r="X181" s="691" t="e">
        <f>X180*E180</f>
        <v>#REF!</v>
      </c>
      <c r="Y181" s="675">
        <v>0</v>
      </c>
      <c r="Z181" s="676">
        <v>0</v>
      </c>
      <c r="AA181" s="676">
        <v>0</v>
      </c>
      <c r="AB181" s="676">
        <v>0</v>
      </c>
      <c r="AC181" s="676">
        <v>0</v>
      </c>
      <c r="AD181" s="676">
        <v>0</v>
      </c>
      <c r="AE181" s="676">
        <v>0</v>
      </c>
      <c r="AF181" s="676">
        <v>0</v>
      </c>
      <c r="AG181" s="682">
        <v>0</v>
      </c>
      <c r="AH181" s="683">
        <v>0</v>
      </c>
      <c r="AI181" s="676">
        <v>0</v>
      </c>
      <c r="AJ181" s="676">
        <v>0</v>
      </c>
      <c r="AK181" s="676">
        <v>0</v>
      </c>
      <c r="AL181" s="676">
        <v>0</v>
      </c>
      <c r="AM181" s="676">
        <v>0</v>
      </c>
      <c r="AN181" s="682">
        <v>0</v>
      </c>
      <c r="AO181" s="683">
        <v>0</v>
      </c>
      <c r="AP181" s="676">
        <v>0</v>
      </c>
      <c r="AQ181" s="676">
        <v>0</v>
      </c>
      <c r="AR181" s="676">
        <v>0</v>
      </c>
      <c r="AS181" s="682">
        <v>0</v>
      </c>
      <c r="AT181" s="674">
        <v>0</v>
      </c>
      <c r="AU181" s="674">
        <v>0</v>
      </c>
      <c r="AV181" s="674">
        <v>0</v>
      </c>
      <c r="AW181" s="684">
        <v>0</v>
      </c>
      <c r="AX181" s="685">
        <v>0</v>
      </c>
      <c r="AY181" s="612"/>
      <c r="AZ181" s="612"/>
      <c r="BA181" s="612"/>
      <c r="BB181" s="612"/>
      <c r="BC181" s="612"/>
      <c r="BD181" s="612"/>
      <c r="BI181" s="612"/>
      <c r="BJ181" s="612"/>
      <c r="BK181" s="612"/>
      <c r="BL181" s="612"/>
    </row>
    <row r="182" spans="1:64" s="609" customFormat="1" ht="30" customHeight="1" x14ac:dyDescent="0.3">
      <c r="A182" s="1601" t="s">
        <v>466</v>
      </c>
      <c r="B182" s="1602"/>
      <c r="C182" s="1603"/>
      <c r="D182" s="611" t="s">
        <v>696</v>
      </c>
      <c r="E182" s="1607" t="e">
        <f>VLOOKUP(A182,AA_Materiales,16,FALSE)</f>
        <v>#N/A</v>
      </c>
      <c r="F182" s="1609" t="e">
        <f>SUM(G183:AX183)</f>
        <v>#REF!</v>
      </c>
      <c r="G182" s="674">
        <v>0</v>
      </c>
      <c r="H182" s="675">
        <v>0</v>
      </c>
      <c r="I182" s="676">
        <v>0</v>
      </c>
      <c r="J182" s="676">
        <v>0</v>
      </c>
      <c r="K182" s="677">
        <v>0</v>
      </c>
      <c r="L182" s="686">
        <v>0</v>
      </c>
      <c r="M182" s="693">
        <v>0</v>
      </c>
      <c r="N182" s="687">
        <v>0</v>
      </c>
      <c r="O182" s="688">
        <v>0</v>
      </c>
      <c r="P182" s="689">
        <v>0</v>
      </c>
      <c r="Q182" s="677">
        <v>0</v>
      </c>
      <c r="R182" s="686">
        <v>0</v>
      </c>
      <c r="S182" s="676">
        <v>0</v>
      </c>
      <c r="T182" s="676">
        <v>0</v>
      </c>
      <c r="U182" s="676">
        <v>0</v>
      </c>
      <c r="V182" s="691">
        <v>0</v>
      </c>
      <c r="W182" s="691">
        <v>0</v>
      </c>
      <c r="X182" s="691">
        <v>0</v>
      </c>
      <c r="Y182" s="675">
        <v>0</v>
      </c>
      <c r="Z182" s="676">
        <v>0</v>
      </c>
      <c r="AA182" s="676">
        <v>0</v>
      </c>
      <c r="AB182" s="676">
        <v>0</v>
      </c>
      <c r="AC182" s="676">
        <v>0</v>
      </c>
      <c r="AD182" s="676">
        <v>0</v>
      </c>
      <c r="AE182" s="676">
        <v>0</v>
      </c>
      <c r="AF182" s="676">
        <v>0</v>
      </c>
      <c r="AG182" s="682">
        <v>0</v>
      </c>
      <c r="AH182" s="683">
        <v>0</v>
      </c>
      <c r="AI182" s="676">
        <v>0</v>
      </c>
      <c r="AJ182" s="676">
        <v>0</v>
      </c>
      <c r="AK182" s="676">
        <v>0</v>
      </c>
      <c r="AL182" s="676">
        <v>0</v>
      </c>
      <c r="AM182" s="676">
        <v>0</v>
      </c>
      <c r="AN182" s="682">
        <v>0</v>
      </c>
      <c r="AO182" s="683">
        <v>0</v>
      </c>
      <c r="AP182" s="695" t="e">
        <f>0.35*'PTO OC PLIEGO'!#REF!</f>
        <v>#REF!</v>
      </c>
      <c r="AQ182" s="695" t="e">
        <f>0.88*'PTO OC PLIEGO'!#REF!</f>
        <v>#REF!</v>
      </c>
      <c r="AR182" s="696" t="e">
        <f>1.76*'PTO OC PLIEGO'!#REF!</f>
        <v>#REF!</v>
      </c>
      <c r="AS182" s="697" t="e">
        <f>3.17*'PTO OC PLIEGO'!#REF!</f>
        <v>#REF!</v>
      </c>
      <c r="AT182" s="674">
        <v>0</v>
      </c>
      <c r="AU182" s="674">
        <v>0</v>
      </c>
      <c r="AV182" s="674">
        <v>0</v>
      </c>
      <c r="AW182" s="684">
        <v>0</v>
      </c>
      <c r="AX182" s="685">
        <v>0</v>
      </c>
      <c r="AY182" s="612"/>
      <c r="AZ182" s="612"/>
      <c r="BA182" s="612"/>
      <c r="BB182" s="612"/>
      <c r="BC182" s="612"/>
      <c r="BD182" s="612"/>
      <c r="BI182" s="612"/>
      <c r="BJ182" s="612"/>
      <c r="BK182" s="612"/>
      <c r="BL182" s="612"/>
    </row>
    <row r="183" spans="1:64" s="609" customFormat="1" ht="30" customHeight="1" x14ac:dyDescent="0.3">
      <c r="A183" s="1604"/>
      <c r="B183" s="1605"/>
      <c r="C183" s="1606"/>
      <c r="D183" s="611" t="s">
        <v>20</v>
      </c>
      <c r="E183" s="1608"/>
      <c r="F183" s="1610"/>
      <c r="G183" s="674">
        <v>0</v>
      </c>
      <c r="H183" s="675">
        <v>0</v>
      </c>
      <c r="I183" s="676">
        <v>0</v>
      </c>
      <c r="J183" s="676">
        <v>0</v>
      </c>
      <c r="K183" s="677">
        <v>0</v>
      </c>
      <c r="L183" s="686">
        <v>0</v>
      </c>
      <c r="M183" s="693">
        <v>0</v>
      </c>
      <c r="N183" s="687">
        <v>0</v>
      </c>
      <c r="O183" s="688">
        <v>0</v>
      </c>
      <c r="P183" s="689">
        <v>0</v>
      </c>
      <c r="Q183" s="677">
        <v>0</v>
      </c>
      <c r="R183" s="686">
        <v>0</v>
      </c>
      <c r="S183" s="676">
        <v>0</v>
      </c>
      <c r="T183" s="676">
        <v>0</v>
      </c>
      <c r="U183" s="676">
        <v>0</v>
      </c>
      <c r="V183" s="691">
        <v>0</v>
      </c>
      <c r="W183" s="691">
        <v>0</v>
      </c>
      <c r="X183" s="691">
        <v>0</v>
      </c>
      <c r="Y183" s="675">
        <v>0</v>
      </c>
      <c r="Z183" s="676">
        <v>0</v>
      </c>
      <c r="AA183" s="676">
        <v>0</v>
      </c>
      <c r="AB183" s="676">
        <v>0</v>
      </c>
      <c r="AC183" s="676">
        <v>0</v>
      </c>
      <c r="AD183" s="676">
        <v>0</v>
      </c>
      <c r="AE183" s="676">
        <v>0</v>
      </c>
      <c r="AF183" s="676">
        <v>0</v>
      </c>
      <c r="AG183" s="682">
        <v>0</v>
      </c>
      <c r="AH183" s="683">
        <v>0</v>
      </c>
      <c r="AI183" s="676">
        <v>0</v>
      </c>
      <c r="AJ183" s="676">
        <v>0</v>
      </c>
      <c r="AK183" s="676">
        <v>0</v>
      </c>
      <c r="AL183" s="676">
        <v>0</v>
      </c>
      <c r="AM183" s="676">
        <v>0</v>
      </c>
      <c r="AN183" s="682">
        <v>0</v>
      </c>
      <c r="AO183" s="683">
        <v>0</v>
      </c>
      <c r="AP183" s="695" t="e">
        <f>AP182*E182</f>
        <v>#REF!</v>
      </c>
      <c r="AQ183" s="695" t="e">
        <f>AQ182*E182</f>
        <v>#REF!</v>
      </c>
      <c r="AR183" s="696" t="e">
        <f>AR182*E182</f>
        <v>#REF!</v>
      </c>
      <c r="AS183" s="697" t="e">
        <f>AS182*E182</f>
        <v>#REF!</v>
      </c>
      <c r="AT183" s="674">
        <v>0</v>
      </c>
      <c r="AU183" s="674">
        <v>0</v>
      </c>
      <c r="AV183" s="674">
        <v>0</v>
      </c>
      <c r="AW183" s="684">
        <v>0</v>
      </c>
      <c r="AX183" s="685">
        <v>0</v>
      </c>
      <c r="AY183" s="612"/>
      <c r="AZ183" s="612"/>
      <c r="BA183" s="612"/>
      <c r="BB183" s="612"/>
      <c r="BC183" s="612"/>
      <c r="BD183" s="612"/>
      <c r="BI183" s="612"/>
      <c r="BJ183" s="612"/>
      <c r="BK183" s="612"/>
      <c r="BL183" s="612"/>
    </row>
    <row r="184" spans="1:64" s="609" customFormat="1" ht="30" customHeight="1" x14ac:dyDescent="0.3">
      <c r="A184" s="1667" t="s">
        <v>833</v>
      </c>
      <c r="B184" s="1668"/>
      <c r="C184" s="1668"/>
      <c r="D184" s="1668"/>
      <c r="E184" s="1669"/>
      <c r="F184" s="698" t="e">
        <f>+SUM(F185:F277)</f>
        <v>#REF!</v>
      </c>
      <c r="G184" s="674">
        <v>0</v>
      </c>
      <c r="H184" s="675">
        <v>0</v>
      </c>
      <c r="I184" s="676">
        <v>0</v>
      </c>
      <c r="J184" s="676">
        <v>0</v>
      </c>
      <c r="K184" s="677">
        <v>0</v>
      </c>
      <c r="L184" s="686">
        <v>0</v>
      </c>
      <c r="M184" s="693">
        <v>0</v>
      </c>
      <c r="N184" s="687">
        <v>0</v>
      </c>
      <c r="O184" s="688">
        <v>0</v>
      </c>
      <c r="P184" s="689">
        <v>0</v>
      </c>
      <c r="Q184" s="677">
        <v>0</v>
      </c>
      <c r="R184" s="686">
        <v>0</v>
      </c>
      <c r="S184" s="676">
        <v>0</v>
      </c>
      <c r="T184" s="676">
        <v>0</v>
      </c>
      <c r="U184" s="676">
        <v>0</v>
      </c>
      <c r="V184" s="691">
        <v>0</v>
      </c>
      <c r="W184" s="691">
        <v>0</v>
      </c>
      <c r="X184" s="691">
        <v>0</v>
      </c>
      <c r="Y184" s="675">
        <v>0</v>
      </c>
      <c r="Z184" s="676">
        <v>0</v>
      </c>
      <c r="AA184" s="676">
        <v>0</v>
      </c>
      <c r="AB184" s="676">
        <v>0</v>
      </c>
      <c r="AC184" s="676">
        <v>0</v>
      </c>
      <c r="AD184" s="676">
        <v>0</v>
      </c>
      <c r="AE184" s="676">
        <v>0</v>
      </c>
      <c r="AF184" s="676">
        <v>0</v>
      </c>
      <c r="AG184" s="682">
        <v>0</v>
      </c>
      <c r="AH184" s="683">
        <v>0</v>
      </c>
      <c r="AI184" s="676">
        <v>0</v>
      </c>
      <c r="AJ184" s="676">
        <v>0</v>
      </c>
      <c r="AK184" s="676">
        <v>0</v>
      </c>
      <c r="AL184" s="676">
        <v>0</v>
      </c>
      <c r="AM184" s="676">
        <v>0</v>
      </c>
      <c r="AN184" s="682">
        <v>0</v>
      </c>
      <c r="AO184" s="683">
        <v>0</v>
      </c>
      <c r="AP184" s="676">
        <v>0</v>
      </c>
      <c r="AQ184" s="676">
        <v>0</v>
      </c>
      <c r="AR184" s="676">
        <v>0</v>
      </c>
      <c r="AS184" s="682">
        <v>0</v>
      </c>
      <c r="AT184" s="674">
        <v>0</v>
      </c>
      <c r="AU184" s="674">
        <v>0</v>
      </c>
      <c r="AV184" s="674">
        <v>0</v>
      </c>
      <c r="AW184" s="684">
        <v>0</v>
      </c>
      <c r="AX184" s="685">
        <v>0</v>
      </c>
    </row>
    <row r="185" spans="1:64" s="609" customFormat="1" ht="30" customHeight="1" x14ac:dyDescent="0.3">
      <c r="A185" s="1667" t="s">
        <v>416</v>
      </c>
      <c r="B185" s="1668"/>
      <c r="C185" s="1669"/>
      <c r="D185" s="611" t="s">
        <v>20</v>
      </c>
      <c r="E185" s="673" t="e">
        <f>VLOOKUP(A185,AA_Materiales,16,FALSE)</f>
        <v>#N/A</v>
      </c>
      <c r="F185" s="699" t="e">
        <f>SUM(G185:AX185)</f>
        <v>#REF!</v>
      </c>
      <c r="G185" s="674">
        <v>0</v>
      </c>
      <c r="H185" s="675">
        <v>0</v>
      </c>
      <c r="I185" s="676">
        <v>0</v>
      </c>
      <c r="J185" s="676">
        <v>0</v>
      </c>
      <c r="K185" s="677">
        <v>0</v>
      </c>
      <c r="L185" s="686">
        <v>0</v>
      </c>
      <c r="M185" s="693">
        <v>0</v>
      </c>
      <c r="N185" s="687">
        <v>0</v>
      </c>
      <c r="O185" s="688">
        <v>0</v>
      </c>
      <c r="P185" s="686" t="e">
        <f>1.05*'PTO OC PLIEGO'!#REF!</f>
        <v>#REF!</v>
      </c>
      <c r="Q185" s="700" t="e">
        <f>1*'PTO OC PLIEGO'!#REF!</f>
        <v>#REF!</v>
      </c>
      <c r="R185" s="686">
        <v>0</v>
      </c>
      <c r="S185" s="676">
        <v>0</v>
      </c>
      <c r="T185" s="676">
        <v>0</v>
      </c>
      <c r="U185" s="676">
        <v>0</v>
      </c>
      <c r="V185" s="691">
        <v>0</v>
      </c>
      <c r="W185" s="691">
        <v>0</v>
      </c>
      <c r="X185" s="691">
        <v>0</v>
      </c>
      <c r="Y185" s="675">
        <v>0</v>
      </c>
      <c r="Z185" s="676">
        <v>0</v>
      </c>
      <c r="AA185" s="676">
        <v>0</v>
      </c>
      <c r="AB185" s="676">
        <v>0</v>
      </c>
      <c r="AC185" s="676">
        <v>0</v>
      </c>
      <c r="AD185" s="676">
        <v>0</v>
      </c>
      <c r="AE185" s="676">
        <v>0</v>
      </c>
      <c r="AF185" s="676">
        <v>0</v>
      </c>
      <c r="AG185" s="682">
        <v>0</v>
      </c>
      <c r="AH185" s="683">
        <v>0</v>
      </c>
      <c r="AI185" s="676">
        <v>0</v>
      </c>
      <c r="AJ185" s="676">
        <v>0</v>
      </c>
      <c r="AK185" s="676">
        <v>0</v>
      </c>
      <c r="AL185" s="676">
        <v>0</v>
      </c>
      <c r="AM185" s="676">
        <v>0</v>
      </c>
      <c r="AN185" s="682">
        <v>0</v>
      </c>
      <c r="AO185" s="683">
        <v>0</v>
      </c>
      <c r="AP185" s="676">
        <v>0</v>
      </c>
      <c r="AQ185" s="676">
        <v>0</v>
      </c>
      <c r="AR185" s="676">
        <v>0</v>
      </c>
      <c r="AS185" s="682">
        <v>0</v>
      </c>
      <c r="AT185" s="674">
        <v>0</v>
      </c>
      <c r="AU185" s="674">
        <v>0</v>
      </c>
      <c r="AV185" s="674">
        <v>0</v>
      </c>
      <c r="AW185" s="684">
        <v>0</v>
      </c>
      <c r="AX185" s="685">
        <v>0</v>
      </c>
    </row>
    <row r="186" spans="1:64" s="609" customFormat="1" ht="30" customHeight="1" x14ac:dyDescent="0.3">
      <c r="A186" s="1667" t="s">
        <v>465</v>
      </c>
      <c r="B186" s="1668"/>
      <c r="C186" s="1669"/>
      <c r="D186" s="611" t="s">
        <v>20</v>
      </c>
      <c r="E186" s="673" t="e">
        <f>VLOOKUP(A186,AA_Materiales,16,FALSE)</f>
        <v>#N/A</v>
      </c>
      <c r="F186" s="699" t="e">
        <f>SUM(G186:AX186)</f>
        <v>#REF!</v>
      </c>
      <c r="G186" s="674">
        <v>0</v>
      </c>
      <c r="H186" s="675">
        <v>0</v>
      </c>
      <c r="I186" s="676">
        <v>0</v>
      </c>
      <c r="J186" s="676">
        <v>0</v>
      </c>
      <c r="K186" s="677">
        <v>0</v>
      </c>
      <c r="L186" s="686">
        <v>0</v>
      </c>
      <c r="M186" s="693">
        <v>0</v>
      </c>
      <c r="N186" s="687">
        <v>0</v>
      </c>
      <c r="O186" s="688">
        <v>0</v>
      </c>
      <c r="P186" s="686">
        <v>0</v>
      </c>
      <c r="Q186" s="688">
        <v>0</v>
      </c>
      <c r="R186" s="686">
        <v>0</v>
      </c>
      <c r="S186" s="676">
        <v>0</v>
      </c>
      <c r="T186" s="676">
        <v>0</v>
      </c>
      <c r="U186" s="676">
        <v>0</v>
      </c>
      <c r="V186" s="691">
        <v>0</v>
      </c>
      <c r="W186" s="691">
        <v>0</v>
      </c>
      <c r="X186" s="691">
        <v>0</v>
      </c>
      <c r="Y186" s="675">
        <v>0</v>
      </c>
      <c r="Z186" s="676">
        <v>0</v>
      </c>
      <c r="AA186" s="676">
        <v>0</v>
      </c>
      <c r="AB186" s="676">
        <v>0</v>
      </c>
      <c r="AC186" s="676">
        <v>0</v>
      </c>
      <c r="AD186" s="676">
        <v>0</v>
      </c>
      <c r="AE186" s="676">
        <v>0</v>
      </c>
      <c r="AF186" s="676">
        <v>0</v>
      </c>
      <c r="AG186" s="682">
        <v>0</v>
      </c>
      <c r="AH186" s="683">
        <v>0</v>
      </c>
      <c r="AI186" s="676">
        <v>0</v>
      </c>
      <c r="AJ186" s="676">
        <v>0</v>
      </c>
      <c r="AK186" s="676">
        <v>0</v>
      </c>
      <c r="AL186" s="676">
        <v>0</v>
      </c>
      <c r="AM186" s="676">
        <v>0</v>
      </c>
      <c r="AN186" s="682">
        <v>0</v>
      </c>
      <c r="AO186" s="683">
        <v>0</v>
      </c>
      <c r="AP186" s="695" t="e">
        <f>0.25*'PTO OC PLIEGO'!#REF!</f>
        <v>#REF!</v>
      </c>
      <c r="AQ186" s="695" t="e">
        <f>0.61*'PTO OC PLIEGO'!#REF!</f>
        <v>#REF!</v>
      </c>
      <c r="AR186" s="695" t="e">
        <f>1.23*E186</f>
        <v>#N/A</v>
      </c>
      <c r="AS186" s="701" t="e">
        <f>2.21*'PTO OC PLIEGO'!#REF!</f>
        <v>#REF!</v>
      </c>
      <c r="AT186" s="674">
        <v>0</v>
      </c>
      <c r="AU186" s="674">
        <v>0</v>
      </c>
      <c r="AV186" s="674">
        <v>0</v>
      </c>
      <c r="AW186" s="684">
        <v>0</v>
      </c>
      <c r="AX186" s="685">
        <v>0</v>
      </c>
    </row>
    <row r="187" spans="1:64" s="609" customFormat="1" ht="30" customHeight="1" x14ac:dyDescent="0.3">
      <c r="A187" s="1667" t="s">
        <v>467</v>
      </c>
      <c r="B187" s="1668"/>
      <c r="C187" s="1669"/>
      <c r="D187" s="611" t="s">
        <v>20</v>
      </c>
      <c r="E187" s="673" t="e">
        <f>VLOOKUP(A187,AA_Materiales,16,FALSE)</f>
        <v>#N/A</v>
      </c>
      <c r="F187" s="699" t="e">
        <f>SUM(G187:AX187)</f>
        <v>#REF!</v>
      </c>
      <c r="G187" s="674">
        <v>0</v>
      </c>
      <c r="H187" s="675">
        <v>0</v>
      </c>
      <c r="I187" s="676">
        <v>0</v>
      </c>
      <c r="J187" s="676">
        <v>0</v>
      </c>
      <c r="K187" s="677">
        <v>0</v>
      </c>
      <c r="L187" s="686">
        <v>0</v>
      </c>
      <c r="M187" s="693">
        <v>0</v>
      </c>
      <c r="N187" s="687">
        <v>0</v>
      </c>
      <c r="O187" s="688">
        <v>0</v>
      </c>
      <c r="P187" s="686">
        <v>0</v>
      </c>
      <c r="Q187" s="688">
        <v>0</v>
      </c>
      <c r="R187" s="686">
        <v>0</v>
      </c>
      <c r="S187" s="676">
        <v>0</v>
      </c>
      <c r="T187" s="676">
        <v>0</v>
      </c>
      <c r="U187" s="676">
        <v>0</v>
      </c>
      <c r="V187" s="691">
        <v>0</v>
      </c>
      <c r="W187" s="691">
        <v>0</v>
      </c>
      <c r="X187" s="691">
        <v>0</v>
      </c>
      <c r="Y187" s="675">
        <v>0</v>
      </c>
      <c r="Z187" s="676">
        <v>0</v>
      </c>
      <c r="AA187" s="676">
        <v>0</v>
      </c>
      <c r="AB187" s="676">
        <v>0</v>
      </c>
      <c r="AC187" s="676">
        <v>0</v>
      </c>
      <c r="AD187" s="676">
        <v>0</v>
      </c>
      <c r="AE187" s="676">
        <v>0</v>
      </c>
      <c r="AF187" s="676">
        <v>0</v>
      </c>
      <c r="AG187" s="682">
        <v>0</v>
      </c>
      <c r="AH187" s="683">
        <v>0</v>
      </c>
      <c r="AI187" s="676">
        <v>0</v>
      </c>
      <c r="AJ187" s="676">
        <v>0</v>
      </c>
      <c r="AK187" s="676">
        <v>0</v>
      </c>
      <c r="AL187" s="676">
        <v>0</v>
      </c>
      <c r="AM187" s="676">
        <v>0</v>
      </c>
      <c r="AN187" s="682">
        <v>0</v>
      </c>
      <c r="AO187" s="683">
        <v>0</v>
      </c>
      <c r="AP187" s="695" t="e">
        <f>239.22*'PTO OC PLIEGO'!#REF!</f>
        <v>#REF!</v>
      </c>
      <c r="AQ187" s="695" t="e">
        <f>598.05*'PTO OC PLIEGO'!#REF!</f>
        <v>#REF!</v>
      </c>
      <c r="AR187" s="695" t="e">
        <f>1196.09*'PTO OC PLIEGO'!#REF!</f>
        <v>#REF!</v>
      </c>
      <c r="AS187" s="701" t="e">
        <f>2152.97*'PTO OC PLIEGO'!#REF!</f>
        <v>#REF!</v>
      </c>
      <c r="AT187" s="674">
        <v>0</v>
      </c>
      <c r="AU187" s="674">
        <v>0</v>
      </c>
      <c r="AV187" s="674">
        <v>0</v>
      </c>
      <c r="AW187" s="684">
        <v>0</v>
      </c>
      <c r="AX187" s="685">
        <v>0</v>
      </c>
    </row>
    <row r="188" spans="1:64" s="609" customFormat="1" ht="30" customHeight="1" x14ac:dyDescent="0.3">
      <c r="A188" s="1667" t="s">
        <v>417</v>
      </c>
      <c r="B188" s="1668"/>
      <c r="C188" s="1669"/>
      <c r="D188" s="611" t="s">
        <v>20</v>
      </c>
      <c r="E188" s="673" t="e">
        <f>VLOOKUP(A188,AA_Materiales,16,FALSE)</f>
        <v>#N/A</v>
      </c>
      <c r="F188" s="699">
        <f>SUM(G188:AX188)</f>
        <v>53.90957920000001</v>
      </c>
      <c r="G188" s="674">
        <v>0</v>
      </c>
      <c r="H188" s="675">
        <v>0</v>
      </c>
      <c r="I188" s="676">
        <v>0</v>
      </c>
      <c r="J188" s="676">
        <v>0</v>
      </c>
      <c r="K188" s="677">
        <v>0</v>
      </c>
      <c r="L188" s="686">
        <v>0</v>
      </c>
      <c r="M188" s="693">
        <v>0</v>
      </c>
      <c r="N188" s="687">
        <v>0</v>
      </c>
      <c r="O188" s="688">
        <v>0</v>
      </c>
      <c r="P188" s="686">
        <v>53.90957920000001</v>
      </c>
      <c r="Q188" s="688">
        <v>0</v>
      </c>
      <c r="R188" s="686">
        <v>0</v>
      </c>
      <c r="S188" s="676">
        <v>0</v>
      </c>
      <c r="T188" s="676">
        <v>0</v>
      </c>
      <c r="U188" s="676">
        <v>0</v>
      </c>
      <c r="V188" s="691">
        <v>0</v>
      </c>
      <c r="W188" s="691">
        <v>0</v>
      </c>
      <c r="X188" s="691">
        <v>0</v>
      </c>
      <c r="Y188" s="675">
        <v>0</v>
      </c>
      <c r="Z188" s="676">
        <v>0</v>
      </c>
      <c r="AA188" s="676">
        <v>0</v>
      </c>
      <c r="AB188" s="676">
        <v>0</v>
      </c>
      <c r="AC188" s="676">
        <v>0</v>
      </c>
      <c r="AD188" s="676">
        <v>0</v>
      </c>
      <c r="AE188" s="676">
        <v>0</v>
      </c>
      <c r="AF188" s="676">
        <v>0</v>
      </c>
      <c r="AG188" s="682">
        <v>0</v>
      </c>
      <c r="AH188" s="683">
        <v>0</v>
      </c>
      <c r="AI188" s="676">
        <v>0</v>
      </c>
      <c r="AJ188" s="676">
        <v>0</v>
      </c>
      <c r="AK188" s="676">
        <v>0</v>
      </c>
      <c r="AL188" s="676">
        <v>0</v>
      </c>
      <c r="AM188" s="676">
        <v>0</v>
      </c>
      <c r="AN188" s="682">
        <v>0</v>
      </c>
      <c r="AO188" s="683">
        <v>0</v>
      </c>
      <c r="AP188" s="676">
        <v>0</v>
      </c>
      <c r="AQ188" s="676">
        <v>0</v>
      </c>
      <c r="AR188" s="676">
        <v>0</v>
      </c>
      <c r="AS188" s="682">
        <v>0</v>
      </c>
      <c r="AT188" s="674">
        <v>0</v>
      </c>
      <c r="AU188" s="674">
        <v>0</v>
      </c>
      <c r="AV188" s="674">
        <v>0</v>
      </c>
      <c r="AW188" s="684">
        <v>0</v>
      </c>
      <c r="AX188" s="685">
        <v>0</v>
      </c>
    </row>
    <row r="189" spans="1:64" s="609" customFormat="1" ht="30" customHeight="1" x14ac:dyDescent="0.3">
      <c r="A189" s="1601" t="s">
        <v>1141</v>
      </c>
      <c r="B189" s="1602"/>
      <c r="C189" s="1603"/>
      <c r="D189" s="611" t="s">
        <v>830</v>
      </c>
      <c r="E189" s="1607" t="e">
        <f>VLOOKUP(A189,AA_Materiales,16,FALSE)</f>
        <v>#N/A</v>
      </c>
      <c r="F189" s="1609" t="e">
        <f>SUM(G190:AX190)</f>
        <v>#REF!</v>
      </c>
      <c r="G189" s="674">
        <v>0</v>
      </c>
      <c r="H189" s="675">
        <v>0</v>
      </c>
      <c r="I189" s="676">
        <v>0</v>
      </c>
      <c r="J189" s="676">
        <v>0</v>
      </c>
      <c r="K189" s="677">
        <v>0</v>
      </c>
      <c r="L189" s="686">
        <v>0</v>
      </c>
      <c r="M189" s="693">
        <v>0</v>
      </c>
      <c r="N189" s="687">
        <v>0</v>
      </c>
      <c r="O189" s="688">
        <v>0</v>
      </c>
      <c r="P189" s="686">
        <v>0</v>
      </c>
      <c r="Q189" s="688">
        <v>0</v>
      </c>
      <c r="R189" s="686">
        <v>0</v>
      </c>
      <c r="S189" s="676">
        <v>0</v>
      </c>
      <c r="T189" s="676">
        <v>0</v>
      </c>
      <c r="U189" s="676">
        <v>0</v>
      </c>
      <c r="V189" s="691">
        <v>0</v>
      </c>
      <c r="W189" s="691">
        <v>0</v>
      </c>
      <c r="X189" s="691">
        <v>0</v>
      </c>
      <c r="Y189" s="675">
        <v>0</v>
      </c>
      <c r="Z189" s="676">
        <v>0</v>
      </c>
      <c r="AA189" s="676">
        <v>0</v>
      </c>
      <c r="AB189" s="676">
        <v>0</v>
      </c>
      <c r="AC189" s="676">
        <v>0</v>
      </c>
      <c r="AD189" s="676">
        <v>0</v>
      </c>
      <c r="AE189" s="676">
        <v>0</v>
      </c>
      <c r="AF189" s="676">
        <v>0</v>
      </c>
      <c r="AG189" s="682">
        <v>0</v>
      </c>
      <c r="AH189" s="683">
        <v>0</v>
      </c>
      <c r="AI189" s="676">
        <v>0</v>
      </c>
      <c r="AJ189" s="676">
        <v>0</v>
      </c>
      <c r="AK189" s="676">
        <v>0</v>
      </c>
      <c r="AL189" s="676">
        <v>0</v>
      </c>
      <c r="AM189" s="676">
        <v>0</v>
      </c>
      <c r="AN189" s="682">
        <v>0</v>
      </c>
      <c r="AO189" s="694" t="e">
        <f>2.2*'PTO OC PLIEGO'!#REF!</f>
        <v>#REF!</v>
      </c>
      <c r="AP189" s="676">
        <v>0</v>
      </c>
      <c r="AQ189" s="676">
        <v>0</v>
      </c>
      <c r="AR189" s="676">
        <v>0</v>
      </c>
      <c r="AS189" s="682">
        <v>0</v>
      </c>
      <c r="AT189" s="674">
        <v>0</v>
      </c>
      <c r="AU189" s="674">
        <v>0</v>
      </c>
      <c r="AV189" s="674">
        <v>0</v>
      </c>
      <c r="AW189" s="684">
        <v>0</v>
      </c>
      <c r="AX189" s="685">
        <v>0</v>
      </c>
    </row>
    <row r="190" spans="1:64" s="609" customFormat="1" ht="30" customHeight="1" x14ac:dyDescent="0.3">
      <c r="A190" s="1604"/>
      <c r="B190" s="1605"/>
      <c r="C190" s="1606"/>
      <c r="D190" s="611" t="s">
        <v>20</v>
      </c>
      <c r="E190" s="1608"/>
      <c r="F190" s="1610"/>
      <c r="G190" s="674">
        <v>0</v>
      </c>
      <c r="H190" s="675">
        <v>0</v>
      </c>
      <c r="I190" s="676">
        <v>0</v>
      </c>
      <c r="J190" s="676">
        <v>0</v>
      </c>
      <c r="K190" s="677">
        <v>0</v>
      </c>
      <c r="L190" s="686">
        <v>0</v>
      </c>
      <c r="M190" s="693">
        <v>0</v>
      </c>
      <c r="N190" s="687">
        <v>0</v>
      </c>
      <c r="O190" s="688">
        <v>0</v>
      </c>
      <c r="P190" s="686">
        <v>0</v>
      </c>
      <c r="Q190" s="688">
        <v>0</v>
      </c>
      <c r="R190" s="686">
        <v>0</v>
      </c>
      <c r="S190" s="676">
        <v>0</v>
      </c>
      <c r="T190" s="676">
        <v>0</v>
      </c>
      <c r="U190" s="676">
        <v>0</v>
      </c>
      <c r="V190" s="691">
        <v>0</v>
      </c>
      <c r="W190" s="691">
        <v>0</v>
      </c>
      <c r="X190" s="691">
        <v>0</v>
      </c>
      <c r="Y190" s="675">
        <v>0</v>
      </c>
      <c r="Z190" s="676">
        <v>0</v>
      </c>
      <c r="AA190" s="676">
        <v>0</v>
      </c>
      <c r="AB190" s="676">
        <v>0</v>
      </c>
      <c r="AC190" s="676">
        <v>0</v>
      </c>
      <c r="AD190" s="676">
        <v>0</v>
      </c>
      <c r="AE190" s="676">
        <v>0</v>
      </c>
      <c r="AF190" s="676">
        <v>0</v>
      </c>
      <c r="AG190" s="682">
        <v>0</v>
      </c>
      <c r="AH190" s="683">
        <v>0</v>
      </c>
      <c r="AI190" s="676">
        <v>0</v>
      </c>
      <c r="AJ190" s="676">
        <v>0</v>
      </c>
      <c r="AK190" s="676">
        <v>0</v>
      </c>
      <c r="AL190" s="676">
        <v>0</v>
      </c>
      <c r="AM190" s="676">
        <v>0</v>
      </c>
      <c r="AN190" s="682">
        <v>0</v>
      </c>
      <c r="AO190" s="694" t="e">
        <f>AO189*E189</f>
        <v>#REF!</v>
      </c>
      <c r="AP190" s="676">
        <v>0</v>
      </c>
      <c r="AQ190" s="676">
        <v>0</v>
      </c>
      <c r="AR190" s="676">
        <v>0</v>
      </c>
      <c r="AS190" s="682">
        <v>0</v>
      </c>
      <c r="AT190" s="674">
        <v>0</v>
      </c>
      <c r="AU190" s="674">
        <v>0</v>
      </c>
      <c r="AV190" s="674">
        <v>0</v>
      </c>
      <c r="AW190" s="684">
        <v>0</v>
      </c>
      <c r="AX190" s="685">
        <v>0</v>
      </c>
    </row>
    <row r="191" spans="1:64" s="609" customFormat="1" ht="30" customHeight="1" x14ac:dyDescent="0.3">
      <c r="A191" s="1601" t="s">
        <v>389</v>
      </c>
      <c r="B191" s="1602"/>
      <c r="C191" s="1603"/>
      <c r="D191" s="611" t="s">
        <v>577</v>
      </c>
      <c r="E191" s="1607" t="e">
        <f>VLOOKUP(A191,AA_Materiales,16,FALSE)</f>
        <v>#N/A</v>
      </c>
      <c r="F191" s="1556" t="e">
        <f>SUM(G192:AX192)</f>
        <v>#REF!</v>
      </c>
      <c r="G191" s="690" t="e">
        <f>0.01*'PTO OC PLIEGO'!#REF!</f>
        <v>#REF!</v>
      </c>
      <c r="H191" s="675">
        <v>0</v>
      </c>
      <c r="I191" s="676">
        <v>0</v>
      </c>
      <c r="J191" s="676">
        <v>0</v>
      </c>
      <c r="K191" s="677">
        <v>0</v>
      </c>
      <c r="L191" s="686">
        <v>0</v>
      </c>
      <c r="M191" s="693">
        <v>0</v>
      </c>
      <c r="N191" s="687">
        <v>0</v>
      </c>
      <c r="O191" s="692">
        <v>0</v>
      </c>
      <c r="P191" s="686">
        <v>0</v>
      </c>
      <c r="Q191" s="688">
        <v>0</v>
      </c>
      <c r="R191" s="686">
        <v>0</v>
      </c>
      <c r="S191" s="676">
        <v>0</v>
      </c>
      <c r="T191" s="676">
        <v>0</v>
      </c>
      <c r="U191" s="676">
        <v>0</v>
      </c>
      <c r="V191" s="691">
        <v>0</v>
      </c>
      <c r="W191" s="691">
        <v>0</v>
      </c>
      <c r="X191" s="691">
        <v>0</v>
      </c>
      <c r="Y191" s="675">
        <v>0</v>
      </c>
      <c r="Z191" s="676">
        <v>0</v>
      </c>
      <c r="AA191" s="676">
        <v>0</v>
      </c>
      <c r="AB191" s="676">
        <v>0</v>
      </c>
      <c r="AC191" s="676">
        <v>0</v>
      </c>
      <c r="AD191" s="676">
        <v>0</v>
      </c>
      <c r="AE191" s="676">
        <v>0</v>
      </c>
      <c r="AF191" s="676">
        <v>0</v>
      </c>
      <c r="AG191" s="682">
        <v>0</v>
      </c>
      <c r="AH191" s="683">
        <v>0</v>
      </c>
      <c r="AI191" s="676">
        <v>0</v>
      </c>
      <c r="AJ191" s="676">
        <v>0</v>
      </c>
      <c r="AK191" s="676">
        <v>0</v>
      </c>
      <c r="AL191" s="676">
        <v>0</v>
      </c>
      <c r="AM191" s="676">
        <v>0</v>
      </c>
      <c r="AN191" s="682">
        <v>0</v>
      </c>
      <c r="AO191" s="683">
        <v>0</v>
      </c>
      <c r="AP191" s="676">
        <v>0</v>
      </c>
      <c r="AQ191" s="676">
        <v>0</v>
      </c>
      <c r="AR191" s="676">
        <v>0</v>
      </c>
      <c r="AS191" s="682">
        <v>0</v>
      </c>
      <c r="AT191" s="674">
        <v>0</v>
      </c>
      <c r="AU191" s="674">
        <v>0</v>
      </c>
      <c r="AV191" s="674">
        <v>0</v>
      </c>
      <c r="AW191" s="684">
        <v>0</v>
      </c>
      <c r="AX191" s="685">
        <v>0</v>
      </c>
    </row>
    <row r="192" spans="1:64" s="609" customFormat="1" ht="30" customHeight="1" x14ac:dyDescent="0.3">
      <c r="A192" s="1604"/>
      <c r="B192" s="1605"/>
      <c r="C192" s="1606"/>
      <c r="D192" s="611" t="s">
        <v>20</v>
      </c>
      <c r="E192" s="1608"/>
      <c r="F192" s="1670"/>
      <c r="G192" s="690" t="e">
        <f>+$G$191*$E$191</f>
        <v>#REF!</v>
      </c>
      <c r="H192" s="675">
        <v>0</v>
      </c>
      <c r="I192" s="676">
        <v>0</v>
      </c>
      <c r="J192" s="676">
        <v>0</v>
      </c>
      <c r="K192" s="677">
        <v>0</v>
      </c>
      <c r="L192" s="686">
        <v>0</v>
      </c>
      <c r="M192" s="693">
        <v>0</v>
      </c>
      <c r="N192" s="687">
        <v>0</v>
      </c>
      <c r="O192" s="692">
        <v>0</v>
      </c>
      <c r="P192" s="686">
        <v>0</v>
      </c>
      <c r="Q192" s="688">
        <v>0</v>
      </c>
      <c r="R192" s="686">
        <v>0</v>
      </c>
      <c r="S192" s="676">
        <v>0</v>
      </c>
      <c r="T192" s="676">
        <v>0</v>
      </c>
      <c r="U192" s="676">
        <v>0</v>
      </c>
      <c r="V192" s="691">
        <v>0</v>
      </c>
      <c r="W192" s="691">
        <v>0</v>
      </c>
      <c r="X192" s="691">
        <v>0</v>
      </c>
      <c r="Y192" s="675">
        <v>0</v>
      </c>
      <c r="Z192" s="676">
        <v>0</v>
      </c>
      <c r="AA192" s="676">
        <v>0</v>
      </c>
      <c r="AB192" s="676">
        <v>0</v>
      </c>
      <c r="AC192" s="676">
        <v>0</v>
      </c>
      <c r="AD192" s="676">
        <v>0</v>
      </c>
      <c r="AE192" s="676">
        <v>0</v>
      </c>
      <c r="AF192" s="676">
        <v>0</v>
      </c>
      <c r="AG192" s="682">
        <v>0</v>
      </c>
      <c r="AH192" s="683">
        <v>0</v>
      </c>
      <c r="AI192" s="676">
        <v>0</v>
      </c>
      <c r="AJ192" s="676">
        <v>0</v>
      </c>
      <c r="AK192" s="676">
        <v>0</v>
      </c>
      <c r="AL192" s="676">
        <v>0</v>
      </c>
      <c r="AM192" s="676">
        <v>0</v>
      </c>
      <c r="AN192" s="682">
        <v>0</v>
      </c>
      <c r="AO192" s="683">
        <v>0</v>
      </c>
      <c r="AP192" s="676">
        <v>0</v>
      </c>
      <c r="AQ192" s="676">
        <v>0</v>
      </c>
      <c r="AR192" s="676">
        <v>0</v>
      </c>
      <c r="AS192" s="682">
        <v>0</v>
      </c>
      <c r="AT192" s="674">
        <v>0</v>
      </c>
      <c r="AU192" s="674">
        <v>0</v>
      </c>
      <c r="AV192" s="674">
        <v>0</v>
      </c>
      <c r="AW192" s="684">
        <v>0</v>
      </c>
      <c r="AX192" s="685">
        <v>0</v>
      </c>
    </row>
    <row r="193" spans="1:50" s="609" customFormat="1" ht="30" customHeight="1" x14ac:dyDescent="0.3">
      <c r="A193" s="1601" t="s">
        <v>387</v>
      </c>
      <c r="B193" s="1602"/>
      <c r="C193" s="1603"/>
      <c r="D193" s="611" t="s">
        <v>180</v>
      </c>
      <c r="E193" s="1607" t="e">
        <f>VLOOKUP(A193,AA_Materiales,16,FALSE)</f>
        <v>#N/A</v>
      </c>
      <c r="F193" s="1556" t="e">
        <f>SUM(G194:AX194)</f>
        <v>#REF!</v>
      </c>
      <c r="G193" s="690" t="e">
        <f>0.3*'PTO OC PLIEGO'!#REF!</f>
        <v>#REF!</v>
      </c>
      <c r="H193" s="675">
        <v>0</v>
      </c>
      <c r="I193" s="676">
        <v>0</v>
      </c>
      <c r="J193" s="676">
        <v>0</v>
      </c>
      <c r="K193" s="677">
        <v>0</v>
      </c>
      <c r="L193" s="686">
        <v>0</v>
      </c>
      <c r="M193" s="693">
        <v>0</v>
      </c>
      <c r="N193" s="687">
        <v>0</v>
      </c>
      <c r="O193" s="692">
        <v>0</v>
      </c>
      <c r="P193" s="686">
        <v>0</v>
      </c>
      <c r="Q193" s="688">
        <v>0</v>
      </c>
      <c r="R193" s="686">
        <v>0</v>
      </c>
      <c r="S193" s="676">
        <v>0</v>
      </c>
      <c r="T193" s="676">
        <v>0</v>
      </c>
      <c r="U193" s="676">
        <v>0</v>
      </c>
      <c r="V193" s="691">
        <v>0</v>
      </c>
      <c r="W193" s="691">
        <v>0</v>
      </c>
      <c r="X193" s="691">
        <v>0</v>
      </c>
      <c r="Y193" s="675">
        <v>0</v>
      </c>
      <c r="Z193" s="676">
        <v>0</v>
      </c>
      <c r="AA193" s="676">
        <v>0</v>
      </c>
      <c r="AB193" s="676">
        <v>0</v>
      </c>
      <c r="AC193" s="676">
        <v>0</v>
      </c>
      <c r="AD193" s="676">
        <v>0</v>
      </c>
      <c r="AE193" s="676">
        <v>0</v>
      </c>
      <c r="AF193" s="676">
        <v>0</v>
      </c>
      <c r="AG193" s="682">
        <v>0</v>
      </c>
      <c r="AH193" s="683">
        <v>0</v>
      </c>
      <c r="AI193" s="676">
        <v>0</v>
      </c>
      <c r="AJ193" s="676">
        <v>0</v>
      </c>
      <c r="AK193" s="676">
        <v>0</v>
      </c>
      <c r="AL193" s="676">
        <v>0</v>
      </c>
      <c r="AM193" s="676">
        <v>0</v>
      </c>
      <c r="AN193" s="682">
        <v>0</v>
      </c>
      <c r="AO193" s="683">
        <v>0</v>
      </c>
      <c r="AP193" s="676">
        <v>0</v>
      </c>
      <c r="AQ193" s="676">
        <v>0</v>
      </c>
      <c r="AR193" s="676">
        <v>0</v>
      </c>
      <c r="AS193" s="682">
        <v>0</v>
      </c>
      <c r="AT193" s="674">
        <v>0</v>
      </c>
      <c r="AU193" s="674">
        <v>0</v>
      </c>
      <c r="AV193" s="674">
        <v>0</v>
      </c>
      <c r="AW193" s="684">
        <v>0</v>
      </c>
      <c r="AX193" s="685">
        <v>0</v>
      </c>
    </row>
    <row r="194" spans="1:50" s="609" customFormat="1" ht="30" customHeight="1" x14ac:dyDescent="0.3">
      <c r="A194" s="1604"/>
      <c r="B194" s="1605"/>
      <c r="C194" s="1606"/>
      <c r="D194" s="611" t="s">
        <v>20</v>
      </c>
      <c r="E194" s="1608"/>
      <c r="F194" s="1670"/>
      <c r="G194" s="690" t="e">
        <f>+$G$193*$E$193</f>
        <v>#REF!</v>
      </c>
      <c r="H194" s="675">
        <v>0</v>
      </c>
      <c r="I194" s="676">
        <v>0</v>
      </c>
      <c r="J194" s="676">
        <v>0</v>
      </c>
      <c r="K194" s="677">
        <v>0</v>
      </c>
      <c r="L194" s="686">
        <v>0</v>
      </c>
      <c r="M194" s="693">
        <v>0</v>
      </c>
      <c r="N194" s="687">
        <v>0</v>
      </c>
      <c r="O194" s="692">
        <v>0</v>
      </c>
      <c r="P194" s="686">
        <v>0</v>
      </c>
      <c r="Q194" s="688">
        <v>0</v>
      </c>
      <c r="R194" s="686">
        <v>0</v>
      </c>
      <c r="S194" s="676">
        <v>0</v>
      </c>
      <c r="T194" s="676">
        <v>0</v>
      </c>
      <c r="U194" s="676">
        <v>0</v>
      </c>
      <c r="V194" s="691">
        <v>0</v>
      </c>
      <c r="W194" s="691">
        <v>0</v>
      </c>
      <c r="X194" s="691">
        <v>0</v>
      </c>
      <c r="Y194" s="675">
        <v>0</v>
      </c>
      <c r="Z194" s="676">
        <v>0</v>
      </c>
      <c r="AA194" s="676">
        <v>0</v>
      </c>
      <c r="AB194" s="676">
        <v>0</v>
      </c>
      <c r="AC194" s="676">
        <v>0</v>
      </c>
      <c r="AD194" s="676">
        <v>0</v>
      </c>
      <c r="AE194" s="676">
        <v>0</v>
      </c>
      <c r="AF194" s="676">
        <v>0</v>
      </c>
      <c r="AG194" s="682">
        <v>0</v>
      </c>
      <c r="AH194" s="683">
        <v>0</v>
      </c>
      <c r="AI194" s="676">
        <v>0</v>
      </c>
      <c r="AJ194" s="676">
        <v>0</v>
      </c>
      <c r="AK194" s="676">
        <v>0</v>
      </c>
      <c r="AL194" s="676">
        <v>0</v>
      </c>
      <c r="AM194" s="676">
        <v>0</v>
      </c>
      <c r="AN194" s="682">
        <v>0</v>
      </c>
      <c r="AO194" s="683">
        <v>0</v>
      </c>
      <c r="AP194" s="676">
        <v>0</v>
      </c>
      <c r="AQ194" s="676">
        <v>0</v>
      </c>
      <c r="AR194" s="676">
        <v>0</v>
      </c>
      <c r="AS194" s="682">
        <v>0</v>
      </c>
      <c r="AT194" s="674">
        <v>0</v>
      </c>
      <c r="AU194" s="674">
        <v>0</v>
      </c>
      <c r="AV194" s="674">
        <v>0</v>
      </c>
      <c r="AW194" s="684">
        <v>0</v>
      </c>
      <c r="AX194" s="685">
        <v>0</v>
      </c>
    </row>
    <row r="195" spans="1:50" s="609" customFormat="1" ht="30" customHeight="1" x14ac:dyDescent="0.3">
      <c r="A195" s="1667" t="s">
        <v>481</v>
      </c>
      <c r="B195" s="1668"/>
      <c r="C195" s="1669"/>
      <c r="D195" s="611" t="s">
        <v>20</v>
      </c>
      <c r="E195" s="673" t="e">
        <f>VLOOKUP(A195,AA_Materiales,16,FALSE)</f>
        <v>#N/A</v>
      </c>
      <c r="F195" s="699" t="e">
        <f>SUM(G195:AX195)</f>
        <v>#REF!</v>
      </c>
      <c r="G195" s="692">
        <v>0</v>
      </c>
      <c r="H195" s="675">
        <v>0</v>
      </c>
      <c r="I195" s="676">
        <v>0</v>
      </c>
      <c r="J195" s="693" t="e">
        <f>0.3*'PTO OC PLIEGO'!#REF!</f>
        <v>#REF!</v>
      </c>
      <c r="K195" s="677">
        <v>0</v>
      </c>
      <c r="L195" s="686">
        <v>0</v>
      </c>
      <c r="M195" s="693">
        <v>0</v>
      </c>
      <c r="N195" s="687">
        <v>0</v>
      </c>
      <c r="O195" s="692">
        <v>0</v>
      </c>
      <c r="P195" s="686">
        <v>0</v>
      </c>
      <c r="Q195" s="688">
        <v>0</v>
      </c>
      <c r="R195" s="686">
        <v>0</v>
      </c>
      <c r="S195" s="676">
        <v>0</v>
      </c>
      <c r="T195" s="676">
        <v>0</v>
      </c>
      <c r="U195" s="676">
        <v>0</v>
      </c>
      <c r="V195" s="691">
        <v>0</v>
      </c>
      <c r="W195" s="691">
        <v>0</v>
      </c>
      <c r="X195" s="691">
        <v>0</v>
      </c>
      <c r="Y195" s="675">
        <v>0</v>
      </c>
      <c r="Z195" s="676">
        <v>0</v>
      </c>
      <c r="AA195" s="676">
        <v>0</v>
      </c>
      <c r="AB195" s="676">
        <v>0</v>
      </c>
      <c r="AC195" s="676">
        <v>0</v>
      </c>
      <c r="AD195" s="676">
        <v>0</v>
      </c>
      <c r="AE195" s="676">
        <v>0</v>
      </c>
      <c r="AF195" s="676">
        <v>0</v>
      </c>
      <c r="AG195" s="682">
        <v>0</v>
      </c>
      <c r="AH195" s="683">
        <v>0</v>
      </c>
      <c r="AI195" s="676">
        <v>0</v>
      </c>
      <c r="AJ195" s="676">
        <v>0</v>
      </c>
      <c r="AK195" s="676">
        <v>0</v>
      </c>
      <c r="AL195" s="676">
        <v>0</v>
      </c>
      <c r="AM195" s="676">
        <v>0</v>
      </c>
      <c r="AN195" s="682">
        <v>0</v>
      </c>
      <c r="AO195" s="683">
        <v>0</v>
      </c>
      <c r="AP195" s="676">
        <v>0</v>
      </c>
      <c r="AQ195" s="676">
        <v>0</v>
      </c>
      <c r="AR195" s="676">
        <v>0</v>
      </c>
      <c r="AS195" s="682">
        <v>0</v>
      </c>
      <c r="AT195" s="674">
        <v>0</v>
      </c>
      <c r="AU195" s="674">
        <v>0</v>
      </c>
      <c r="AV195" s="674">
        <v>0</v>
      </c>
      <c r="AW195" s="684">
        <v>0</v>
      </c>
      <c r="AX195" s="685">
        <v>0</v>
      </c>
    </row>
    <row r="196" spans="1:50" s="609" customFormat="1" ht="30" customHeight="1" x14ac:dyDescent="0.3">
      <c r="A196" s="1601" t="s">
        <v>412</v>
      </c>
      <c r="B196" s="1602"/>
      <c r="C196" s="1603"/>
      <c r="D196" s="611" t="s">
        <v>397</v>
      </c>
      <c r="E196" s="1607" t="e">
        <f>VLOOKUP(A196,AA_Materiales,16,FALSE)</f>
        <v>#N/A</v>
      </c>
      <c r="F196" s="1609" t="e">
        <f>SUM(G197:AX197)</f>
        <v>#REF!</v>
      </c>
      <c r="G196" s="692">
        <v>0</v>
      </c>
      <c r="H196" s="675">
        <v>0</v>
      </c>
      <c r="I196" s="676">
        <v>0</v>
      </c>
      <c r="J196" s="691">
        <v>0</v>
      </c>
      <c r="K196" s="677">
        <v>0</v>
      </c>
      <c r="L196" s="686">
        <v>0</v>
      </c>
      <c r="M196" s="693">
        <v>0</v>
      </c>
      <c r="N196" s="687">
        <v>0</v>
      </c>
      <c r="O196" s="692" t="e">
        <f>0.6*'PTO OC PLIEGO'!#REF!</f>
        <v>#REF!</v>
      </c>
      <c r="P196" s="686">
        <v>0</v>
      </c>
      <c r="Q196" s="688">
        <v>0</v>
      </c>
      <c r="R196" s="686">
        <v>0</v>
      </c>
      <c r="S196" s="676">
        <v>0</v>
      </c>
      <c r="T196" s="676">
        <v>0</v>
      </c>
      <c r="U196" s="676">
        <v>0</v>
      </c>
      <c r="V196" s="691">
        <v>0</v>
      </c>
      <c r="W196" s="691">
        <v>0</v>
      </c>
      <c r="X196" s="691">
        <v>0</v>
      </c>
      <c r="Y196" s="675">
        <v>0</v>
      </c>
      <c r="Z196" s="676">
        <v>0</v>
      </c>
      <c r="AA196" s="676">
        <v>0</v>
      </c>
      <c r="AB196" s="676">
        <v>0</v>
      </c>
      <c r="AC196" s="676">
        <v>0</v>
      </c>
      <c r="AD196" s="676">
        <v>0</v>
      </c>
      <c r="AE196" s="676">
        <v>0</v>
      </c>
      <c r="AF196" s="676">
        <v>0</v>
      </c>
      <c r="AG196" s="682">
        <v>0</v>
      </c>
      <c r="AH196" s="683">
        <v>0</v>
      </c>
      <c r="AI196" s="676">
        <v>0</v>
      </c>
      <c r="AJ196" s="676">
        <v>0</v>
      </c>
      <c r="AK196" s="676">
        <v>0</v>
      </c>
      <c r="AL196" s="676">
        <v>0</v>
      </c>
      <c r="AM196" s="676">
        <v>0</v>
      </c>
      <c r="AN196" s="682">
        <v>0</v>
      </c>
      <c r="AO196" s="683">
        <v>0</v>
      </c>
      <c r="AP196" s="676">
        <v>0</v>
      </c>
      <c r="AQ196" s="676">
        <v>0</v>
      </c>
      <c r="AR196" s="676">
        <v>0</v>
      </c>
      <c r="AS196" s="682">
        <v>0</v>
      </c>
      <c r="AT196" s="674">
        <v>0</v>
      </c>
      <c r="AU196" s="674">
        <v>0</v>
      </c>
      <c r="AV196" s="674">
        <v>0</v>
      </c>
      <c r="AW196" s="684">
        <v>0</v>
      </c>
      <c r="AX196" s="685">
        <v>0</v>
      </c>
    </row>
    <row r="197" spans="1:50" s="609" customFormat="1" ht="30" customHeight="1" x14ac:dyDescent="0.3">
      <c r="A197" s="1604"/>
      <c r="B197" s="1605"/>
      <c r="C197" s="1606"/>
      <c r="D197" s="611" t="s">
        <v>20</v>
      </c>
      <c r="E197" s="1608"/>
      <c r="F197" s="1610"/>
      <c r="G197" s="692">
        <v>0</v>
      </c>
      <c r="H197" s="675">
        <v>0</v>
      </c>
      <c r="I197" s="676">
        <v>0</v>
      </c>
      <c r="J197" s="691">
        <v>0</v>
      </c>
      <c r="K197" s="677">
        <v>0</v>
      </c>
      <c r="L197" s="686">
        <v>0</v>
      </c>
      <c r="M197" s="693">
        <v>0</v>
      </c>
      <c r="N197" s="687">
        <v>0</v>
      </c>
      <c r="O197" s="692" t="e">
        <f>+O196*E196</f>
        <v>#REF!</v>
      </c>
      <c r="P197" s="686">
        <v>0</v>
      </c>
      <c r="Q197" s="688">
        <v>0</v>
      </c>
      <c r="R197" s="686">
        <v>0</v>
      </c>
      <c r="S197" s="676">
        <v>0</v>
      </c>
      <c r="T197" s="676">
        <v>0</v>
      </c>
      <c r="U197" s="676">
        <v>0</v>
      </c>
      <c r="V197" s="691">
        <v>0</v>
      </c>
      <c r="W197" s="691">
        <v>0</v>
      </c>
      <c r="X197" s="691">
        <v>0</v>
      </c>
      <c r="Y197" s="675">
        <v>0</v>
      </c>
      <c r="Z197" s="676">
        <v>0</v>
      </c>
      <c r="AA197" s="676">
        <v>0</v>
      </c>
      <c r="AB197" s="676">
        <v>0</v>
      </c>
      <c r="AC197" s="676">
        <v>0</v>
      </c>
      <c r="AD197" s="676">
        <v>0</v>
      </c>
      <c r="AE197" s="676">
        <v>0</v>
      </c>
      <c r="AF197" s="676">
        <v>0</v>
      </c>
      <c r="AG197" s="682">
        <v>0</v>
      </c>
      <c r="AH197" s="683">
        <v>0</v>
      </c>
      <c r="AI197" s="676">
        <v>0</v>
      </c>
      <c r="AJ197" s="676">
        <v>0</v>
      </c>
      <c r="AK197" s="676">
        <v>0</v>
      </c>
      <c r="AL197" s="676">
        <v>0</v>
      </c>
      <c r="AM197" s="676">
        <v>0</v>
      </c>
      <c r="AN197" s="682">
        <v>0</v>
      </c>
      <c r="AO197" s="683">
        <v>0</v>
      </c>
      <c r="AP197" s="676">
        <v>0</v>
      </c>
      <c r="AQ197" s="676">
        <v>0</v>
      </c>
      <c r="AR197" s="676">
        <v>0</v>
      </c>
      <c r="AS197" s="682">
        <v>0</v>
      </c>
      <c r="AT197" s="674">
        <v>0</v>
      </c>
      <c r="AU197" s="674">
        <v>0</v>
      </c>
      <c r="AV197" s="674">
        <v>0</v>
      </c>
      <c r="AW197" s="684">
        <v>0</v>
      </c>
      <c r="AX197" s="685">
        <v>0</v>
      </c>
    </row>
    <row r="198" spans="1:50" s="609" customFormat="1" ht="30" customHeight="1" x14ac:dyDescent="0.3">
      <c r="A198" s="1601" t="s">
        <v>440</v>
      </c>
      <c r="B198" s="1602"/>
      <c r="C198" s="1603"/>
      <c r="D198" s="611" t="s">
        <v>397</v>
      </c>
      <c r="E198" s="1607" t="e">
        <f>VLOOKUP(A198,AA_Materiales,16,FALSE)</f>
        <v>#N/A</v>
      </c>
      <c r="F198" s="1609" t="e">
        <f>SUM(G199:AX199)</f>
        <v>#REF!</v>
      </c>
      <c r="G198" s="692">
        <v>0</v>
      </c>
      <c r="H198" s="675">
        <v>0</v>
      </c>
      <c r="I198" s="676">
        <v>0</v>
      </c>
      <c r="J198" s="691">
        <v>0</v>
      </c>
      <c r="K198" s="677">
        <v>0</v>
      </c>
      <c r="L198" s="686">
        <v>0</v>
      </c>
      <c r="M198" s="693">
        <v>0</v>
      </c>
      <c r="N198" s="687">
        <v>0</v>
      </c>
      <c r="O198" s="688">
        <v>0</v>
      </c>
      <c r="P198" s="686">
        <v>0</v>
      </c>
      <c r="Q198" s="688">
        <v>0</v>
      </c>
      <c r="R198" s="686">
        <v>0</v>
      </c>
      <c r="S198" s="676">
        <v>0</v>
      </c>
      <c r="T198" s="676">
        <v>0</v>
      </c>
      <c r="U198" s="676">
        <v>0</v>
      </c>
      <c r="V198" s="691" t="e">
        <f>18.2*'PTO OC PLIEGO'!#REF!</f>
        <v>#REF!</v>
      </c>
      <c r="W198" s="691" t="e">
        <f>23.58*'PTO OC PLIEGO'!#REF!</f>
        <v>#REF!</v>
      </c>
      <c r="X198" s="691">
        <v>0</v>
      </c>
      <c r="Y198" s="675">
        <v>0</v>
      </c>
      <c r="Z198" s="676">
        <v>0</v>
      </c>
      <c r="AA198" s="676">
        <v>0</v>
      </c>
      <c r="AB198" s="676">
        <v>0</v>
      </c>
      <c r="AC198" s="676">
        <v>0</v>
      </c>
      <c r="AD198" s="676">
        <v>0</v>
      </c>
      <c r="AE198" s="676">
        <v>0</v>
      </c>
      <c r="AF198" s="676">
        <v>0</v>
      </c>
      <c r="AG198" s="682">
        <v>0</v>
      </c>
      <c r="AH198" s="683">
        <v>0</v>
      </c>
      <c r="AI198" s="676">
        <v>0</v>
      </c>
      <c r="AJ198" s="676">
        <v>0</v>
      </c>
      <c r="AK198" s="676">
        <v>0</v>
      </c>
      <c r="AL198" s="676">
        <v>0</v>
      </c>
      <c r="AM198" s="676">
        <v>0</v>
      </c>
      <c r="AN198" s="682">
        <v>0</v>
      </c>
      <c r="AO198" s="683">
        <v>0</v>
      </c>
      <c r="AP198" s="676">
        <v>0</v>
      </c>
      <c r="AQ198" s="676">
        <v>0</v>
      </c>
      <c r="AR198" s="676">
        <v>0</v>
      </c>
      <c r="AS198" s="682">
        <v>0</v>
      </c>
      <c r="AT198" s="674">
        <v>0</v>
      </c>
      <c r="AU198" s="674">
        <v>0</v>
      </c>
      <c r="AV198" s="674">
        <v>0</v>
      </c>
      <c r="AW198" s="684">
        <v>0</v>
      </c>
      <c r="AX198" s="685">
        <v>0</v>
      </c>
    </row>
    <row r="199" spans="1:50" s="609" customFormat="1" ht="30" customHeight="1" x14ac:dyDescent="0.3">
      <c r="A199" s="1604"/>
      <c r="B199" s="1605"/>
      <c r="C199" s="1606"/>
      <c r="D199" s="611" t="s">
        <v>20</v>
      </c>
      <c r="E199" s="1608"/>
      <c r="F199" s="1610"/>
      <c r="G199" s="692">
        <v>0</v>
      </c>
      <c r="H199" s="675">
        <v>0</v>
      </c>
      <c r="I199" s="676">
        <v>0</v>
      </c>
      <c r="J199" s="691">
        <v>0</v>
      </c>
      <c r="K199" s="677">
        <v>0</v>
      </c>
      <c r="L199" s="686">
        <v>0</v>
      </c>
      <c r="M199" s="693">
        <v>0</v>
      </c>
      <c r="N199" s="687">
        <v>0</v>
      </c>
      <c r="O199" s="688">
        <v>0</v>
      </c>
      <c r="P199" s="686">
        <v>0</v>
      </c>
      <c r="Q199" s="688">
        <v>0</v>
      </c>
      <c r="R199" s="686">
        <v>0</v>
      </c>
      <c r="S199" s="676">
        <v>0</v>
      </c>
      <c r="T199" s="676">
        <v>0</v>
      </c>
      <c r="U199" s="676">
        <v>0</v>
      </c>
      <c r="V199" s="691" t="e">
        <f>V198*E198</f>
        <v>#REF!</v>
      </c>
      <c r="W199" s="691" t="e">
        <f>W198*E198</f>
        <v>#REF!</v>
      </c>
      <c r="X199" s="691">
        <v>0</v>
      </c>
      <c r="Y199" s="675">
        <v>0</v>
      </c>
      <c r="Z199" s="676">
        <v>0</v>
      </c>
      <c r="AA199" s="676">
        <v>0</v>
      </c>
      <c r="AB199" s="676">
        <v>0</v>
      </c>
      <c r="AC199" s="676">
        <v>0</v>
      </c>
      <c r="AD199" s="676">
        <v>0</v>
      </c>
      <c r="AE199" s="676">
        <v>0</v>
      </c>
      <c r="AF199" s="676">
        <v>0</v>
      </c>
      <c r="AG199" s="682">
        <v>0</v>
      </c>
      <c r="AH199" s="683">
        <v>0</v>
      </c>
      <c r="AI199" s="676">
        <v>0</v>
      </c>
      <c r="AJ199" s="676">
        <v>0</v>
      </c>
      <c r="AK199" s="676">
        <v>0</v>
      </c>
      <c r="AL199" s="676">
        <v>0</v>
      </c>
      <c r="AM199" s="676">
        <v>0</v>
      </c>
      <c r="AN199" s="682">
        <v>0</v>
      </c>
      <c r="AO199" s="683">
        <v>0</v>
      </c>
      <c r="AP199" s="676">
        <v>0</v>
      </c>
      <c r="AQ199" s="676">
        <v>0</v>
      </c>
      <c r="AR199" s="676">
        <v>0</v>
      </c>
      <c r="AS199" s="682">
        <v>0</v>
      </c>
      <c r="AT199" s="674">
        <v>0</v>
      </c>
      <c r="AU199" s="674">
        <v>0</v>
      </c>
      <c r="AV199" s="674">
        <v>0</v>
      </c>
      <c r="AW199" s="684">
        <v>0</v>
      </c>
      <c r="AX199" s="685">
        <v>0</v>
      </c>
    </row>
    <row r="200" spans="1:50" s="609" customFormat="1" ht="30" customHeight="1" x14ac:dyDescent="0.3">
      <c r="A200" s="1601" t="s">
        <v>447</v>
      </c>
      <c r="B200" s="1602"/>
      <c r="C200" s="1603"/>
      <c r="D200" s="611" t="s">
        <v>399</v>
      </c>
      <c r="E200" s="1607" t="e">
        <f>VLOOKUP(A200,AA_Materiales,16,FALSE)</f>
        <v>#N/A</v>
      </c>
      <c r="F200" s="1609" t="e">
        <f>SUM(G201:AX201)</f>
        <v>#REF!</v>
      </c>
      <c r="G200" s="692">
        <v>0</v>
      </c>
      <c r="H200" s="675">
        <v>0</v>
      </c>
      <c r="I200" s="676">
        <v>0</v>
      </c>
      <c r="J200" s="691">
        <v>0</v>
      </c>
      <c r="K200" s="677">
        <v>0</v>
      </c>
      <c r="L200" s="686">
        <v>0</v>
      </c>
      <c r="M200" s="693">
        <v>0</v>
      </c>
      <c r="N200" s="687">
        <v>0</v>
      </c>
      <c r="O200" s="688">
        <v>0</v>
      </c>
      <c r="P200" s="686">
        <v>0</v>
      </c>
      <c r="Q200" s="688">
        <v>0</v>
      </c>
      <c r="R200" s="686">
        <v>0</v>
      </c>
      <c r="S200" s="676">
        <v>0</v>
      </c>
      <c r="T200" s="676">
        <v>0</v>
      </c>
      <c r="U200" s="676">
        <v>0</v>
      </c>
      <c r="V200" s="691" t="e">
        <f>2.08*'PTO OC PLIEGO'!#REF!</f>
        <v>#REF!</v>
      </c>
      <c r="W200" s="691" t="e">
        <f>2.93*E200</f>
        <v>#N/A</v>
      </c>
      <c r="X200" s="691">
        <v>0</v>
      </c>
      <c r="Y200" s="675">
        <v>0</v>
      </c>
      <c r="Z200" s="676">
        <v>0</v>
      </c>
      <c r="AA200" s="676">
        <v>0</v>
      </c>
      <c r="AB200" s="676">
        <v>0</v>
      </c>
      <c r="AC200" s="676">
        <v>0</v>
      </c>
      <c r="AD200" s="676">
        <v>0</v>
      </c>
      <c r="AE200" s="676">
        <v>0</v>
      </c>
      <c r="AF200" s="676">
        <v>0</v>
      </c>
      <c r="AG200" s="682">
        <v>0</v>
      </c>
      <c r="AH200" s="683">
        <v>0</v>
      </c>
      <c r="AI200" s="676">
        <v>0</v>
      </c>
      <c r="AJ200" s="676">
        <v>0</v>
      </c>
      <c r="AK200" s="676">
        <v>0</v>
      </c>
      <c r="AL200" s="676">
        <v>0</v>
      </c>
      <c r="AM200" s="676">
        <v>0</v>
      </c>
      <c r="AN200" s="682">
        <v>0</v>
      </c>
      <c r="AO200" s="683">
        <v>0</v>
      </c>
      <c r="AP200" s="676">
        <v>0</v>
      </c>
      <c r="AQ200" s="676">
        <v>0</v>
      </c>
      <c r="AR200" s="676">
        <v>0</v>
      </c>
      <c r="AS200" s="682">
        <v>0</v>
      </c>
      <c r="AT200" s="674">
        <v>0</v>
      </c>
      <c r="AU200" s="674">
        <v>0</v>
      </c>
      <c r="AV200" s="674">
        <v>0</v>
      </c>
      <c r="AW200" s="684">
        <v>0</v>
      </c>
      <c r="AX200" s="685">
        <v>0</v>
      </c>
    </row>
    <row r="201" spans="1:50" s="609" customFormat="1" ht="30" customHeight="1" x14ac:dyDescent="0.3">
      <c r="A201" s="1604"/>
      <c r="B201" s="1605"/>
      <c r="C201" s="1606"/>
      <c r="D201" s="611" t="s">
        <v>20</v>
      </c>
      <c r="E201" s="1608"/>
      <c r="F201" s="1610"/>
      <c r="G201" s="692">
        <v>0</v>
      </c>
      <c r="H201" s="675">
        <v>0</v>
      </c>
      <c r="I201" s="676">
        <v>0</v>
      </c>
      <c r="J201" s="691">
        <v>0</v>
      </c>
      <c r="K201" s="677">
        <v>0</v>
      </c>
      <c r="L201" s="686">
        <v>0</v>
      </c>
      <c r="M201" s="693">
        <v>0</v>
      </c>
      <c r="N201" s="687">
        <v>0</v>
      </c>
      <c r="O201" s="688">
        <v>0</v>
      </c>
      <c r="P201" s="686">
        <v>0</v>
      </c>
      <c r="Q201" s="688">
        <v>0</v>
      </c>
      <c r="R201" s="686">
        <v>0</v>
      </c>
      <c r="S201" s="676">
        <v>0</v>
      </c>
      <c r="T201" s="676">
        <v>0</v>
      </c>
      <c r="U201" s="676">
        <v>0</v>
      </c>
      <c r="V201" s="691" t="e">
        <f>+V200*E200</f>
        <v>#REF!</v>
      </c>
      <c r="W201" s="691" t="e">
        <f>W200*E200</f>
        <v>#N/A</v>
      </c>
      <c r="X201" s="691">
        <v>0</v>
      </c>
      <c r="Y201" s="675">
        <v>0</v>
      </c>
      <c r="Z201" s="676">
        <v>0</v>
      </c>
      <c r="AA201" s="676">
        <v>0</v>
      </c>
      <c r="AB201" s="676">
        <v>0</v>
      </c>
      <c r="AC201" s="676">
        <v>0</v>
      </c>
      <c r="AD201" s="676">
        <v>0</v>
      </c>
      <c r="AE201" s="676">
        <v>0</v>
      </c>
      <c r="AF201" s="676">
        <v>0</v>
      </c>
      <c r="AG201" s="682">
        <v>0</v>
      </c>
      <c r="AH201" s="683">
        <v>0</v>
      </c>
      <c r="AI201" s="676">
        <v>0</v>
      </c>
      <c r="AJ201" s="676">
        <v>0</v>
      </c>
      <c r="AK201" s="676">
        <v>0</v>
      </c>
      <c r="AL201" s="676">
        <v>0</v>
      </c>
      <c r="AM201" s="676">
        <v>0</v>
      </c>
      <c r="AN201" s="682">
        <v>0</v>
      </c>
      <c r="AO201" s="683">
        <v>0</v>
      </c>
      <c r="AP201" s="676">
        <v>0</v>
      </c>
      <c r="AQ201" s="676">
        <v>0</v>
      </c>
      <c r="AR201" s="676">
        <v>0</v>
      </c>
      <c r="AS201" s="682">
        <v>0</v>
      </c>
      <c r="AT201" s="674">
        <v>0</v>
      </c>
      <c r="AU201" s="674">
        <v>0</v>
      </c>
      <c r="AV201" s="674">
        <v>0</v>
      </c>
      <c r="AW201" s="684">
        <v>0</v>
      </c>
      <c r="AX201" s="685">
        <v>0</v>
      </c>
    </row>
    <row r="202" spans="1:50" s="609" customFormat="1" ht="30" customHeight="1" x14ac:dyDescent="0.3">
      <c r="A202" s="1601" t="s">
        <v>479</v>
      </c>
      <c r="B202" s="1602"/>
      <c r="C202" s="1603"/>
      <c r="D202" s="611" t="s">
        <v>475</v>
      </c>
      <c r="E202" s="1607" t="e">
        <f>VLOOKUP(A202,AA_Materiales,16,FALSE)</f>
        <v>#N/A</v>
      </c>
      <c r="F202" s="1609" t="e">
        <f>SUM(G203:AX203)</f>
        <v>#REF!</v>
      </c>
      <c r="G202" s="692">
        <v>0</v>
      </c>
      <c r="H202" s="675">
        <v>0</v>
      </c>
      <c r="I202" s="676">
        <v>0</v>
      </c>
      <c r="J202" s="691">
        <v>0</v>
      </c>
      <c r="K202" s="677">
        <v>0</v>
      </c>
      <c r="L202" s="686">
        <v>0</v>
      </c>
      <c r="M202" s="693">
        <v>0</v>
      </c>
      <c r="N202" s="687">
        <v>0</v>
      </c>
      <c r="O202" s="688">
        <v>0</v>
      </c>
      <c r="P202" s="686">
        <v>0</v>
      </c>
      <c r="Q202" s="688">
        <v>0</v>
      </c>
      <c r="R202" s="686">
        <v>0</v>
      </c>
      <c r="S202" s="676">
        <v>0</v>
      </c>
      <c r="T202" s="676">
        <v>0</v>
      </c>
      <c r="U202" s="676">
        <v>0</v>
      </c>
      <c r="V202" s="691">
        <v>0</v>
      </c>
      <c r="W202" s="691">
        <v>0</v>
      </c>
      <c r="X202" s="691">
        <v>0</v>
      </c>
      <c r="Y202" s="675">
        <v>0</v>
      </c>
      <c r="Z202" s="676">
        <v>0</v>
      </c>
      <c r="AA202" s="676">
        <v>0</v>
      </c>
      <c r="AB202" s="676">
        <v>0</v>
      </c>
      <c r="AC202" s="676">
        <v>0</v>
      </c>
      <c r="AD202" s="676">
        <v>0</v>
      </c>
      <c r="AE202" s="676">
        <v>0</v>
      </c>
      <c r="AF202" s="676">
        <v>0</v>
      </c>
      <c r="AG202" s="682">
        <v>0</v>
      </c>
      <c r="AH202" s="702" t="e">
        <f>0.06*'PTO OC PLIEGO'!#REF!</f>
        <v>#REF!</v>
      </c>
      <c r="AI202" s="695" t="e">
        <f>0.06*'PTO OC PLIEGO'!#REF!</f>
        <v>#REF!</v>
      </c>
      <c r="AJ202" s="703" t="e">
        <f>0.08*'PTO OC PLIEGO'!#REF!</f>
        <v>#REF!</v>
      </c>
      <c r="AK202" s="676">
        <v>0</v>
      </c>
      <c r="AL202" s="676">
        <v>0</v>
      </c>
      <c r="AM202" s="676">
        <v>0</v>
      </c>
      <c r="AN202" s="682">
        <v>0</v>
      </c>
      <c r="AO202" s="683">
        <v>0</v>
      </c>
      <c r="AP202" s="676">
        <v>0</v>
      </c>
      <c r="AQ202" s="676">
        <v>0</v>
      </c>
      <c r="AR202" s="676">
        <v>0</v>
      </c>
      <c r="AS202" s="682">
        <v>0</v>
      </c>
      <c r="AT202" s="674">
        <v>0</v>
      </c>
      <c r="AU202" s="674">
        <v>0</v>
      </c>
      <c r="AV202" s="674">
        <v>0</v>
      </c>
      <c r="AW202" s="684">
        <v>0</v>
      </c>
      <c r="AX202" s="685">
        <v>0</v>
      </c>
    </row>
    <row r="203" spans="1:50" s="609" customFormat="1" ht="30" customHeight="1" x14ac:dyDescent="0.3">
      <c r="A203" s="1604"/>
      <c r="B203" s="1605"/>
      <c r="C203" s="1606"/>
      <c r="D203" s="611" t="s">
        <v>20</v>
      </c>
      <c r="E203" s="1608"/>
      <c r="F203" s="1610"/>
      <c r="G203" s="692">
        <v>0</v>
      </c>
      <c r="H203" s="675">
        <v>0</v>
      </c>
      <c r="I203" s="676">
        <v>0</v>
      </c>
      <c r="J203" s="691">
        <v>0</v>
      </c>
      <c r="K203" s="677">
        <v>0</v>
      </c>
      <c r="L203" s="686">
        <v>0</v>
      </c>
      <c r="M203" s="693">
        <v>0</v>
      </c>
      <c r="N203" s="687">
        <v>0</v>
      </c>
      <c r="O203" s="688">
        <v>0</v>
      </c>
      <c r="P203" s="686">
        <v>0</v>
      </c>
      <c r="Q203" s="688">
        <v>0</v>
      </c>
      <c r="R203" s="686">
        <v>0</v>
      </c>
      <c r="S203" s="676">
        <v>0</v>
      </c>
      <c r="T203" s="676">
        <v>0</v>
      </c>
      <c r="U203" s="676">
        <v>0</v>
      </c>
      <c r="V203" s="691">
        <v>0</v>
      </c>
      <c r="W203" s="691">
        <v>0</v>
      </c>
      <c r="X203" s="691">
        <v>0</v>
      </c>
      <c r="Y203" s="675">
        <v>0</v>
      </c>
      <c r="Z203" s="676">
        <v>0</v>
      </c>
      <c r="AA203" s="676">
        <v>0</v>
      </c>
      <c r="AB203" s="676">
        <v>0</v>
      </c>
      <c r="AC203" s="676">
        <v>0</v>
      </c>
      <c r="AD203" s="676">
        <v>0</v>
      </c>
      <c r="AE203" s="676">
        <v>0</v>
      </c>
      <c r="AF203" s="676">
        <v>0</v>
      </c>
      <c r="AG203" s="682">
        <v>0</v>
      </c>
      <c r="AH203" s="702" t="e">
        <f>AH202*E202</f>
        <v>#REF!</v>
      </c>
      <c r="AI203" s="695" t="e">
        <f>AI202*E202</f>
        <v>#REF!</v>
      </c>
      <c r="AJ203" s="703" t="e">
        <f>AJ202*E202</f>
        <v>#REF!</v>
      </c>
      <c r="AK203" s="676">
        <v>0</v>
      </c>
      <c r="AL203" s="676">
        <v>0</v>
      </c>
      <c r="AM203" s="676">
        <v>0</v>
      </c>
      <c r="AN203" s="682">
        <v>0</v>
      </c>
      <c r="AO203" s="683">
        <v>0</v>
      </c>
      <c r="AP203" s="676">
        <v>0</v>
      </c>
      <c r="AQ203" s="676">
        <v>0</v>
      </c>
      <c r="AR203" s="676">
        <v>0</v>
      </c>
      <c r="AS203" s="682">
        <v>0</v>
      </c>
      <c r="AT203" s="674">
        <v>0</v>
      </c>
      <c r="AU203" s="674">
        <v>0</v>
      </c>
      <c r="AV203" s="674">
        <v>0</v>
      </c>
      <c r="AW203" s="684">
        <v>0</v>
      </c>
      <c r="AX203" s="685">
        <v>0</v>
      </c>
    </row>
    <row r="204" spans="1:50" s="609" customFormat="1" ht="30" customHeight="1" x14ac:dyDescent="0.3">
      <c r="A204" s="1601" t="s">
        <v>398</v>
      </c>
      <c r="B204" s="1602"/>
      <c r="C204" s="1603"/>
      <c r="D204" s="611" t="s">
        <v>830</v>
      </c>
      <c r="E204" s="1607" t="e">
        <f>VLOOKUP(A204,AA_Materiales,16,FALSE)</f>
        <v>#N/A</v>
      </c>
      <c r="F204" s="1609" t="e">
        <f>SUM(G205:AX205)</f>
        <v>#REF!</v>
      </c>
      <c r="G204" s="690" t="e">
        <f>1*'PTO OC PLIEGO'!#REF!</f>
        <v>#REF!</v>
      </c>
      <c r="H204" s="675">
        <v>0</v>
      </c>
      <c r="I204" s="676">
        <v>0</v>
      </c>
      <c r="J204" s="691">
        <v>0</v>
      </c>
      <c r="K204" s="677">
        <v>0</v>
      </c>
      <c r="L204" s="686">
        <v>0</v>
      </c>
      <c r="M204" s="693">
        <v>0</v>
      </c>
      <c r="N204" s="687">
        <v>0</v>
      </c>
      <c r="O204" s="688">
        <v>0</v>
      </c>
      <c r="P204" s="686">
        <v>0</v>
      </c>
      <c r="Q204" s="688">
        <v>0</v>
      </c>
      <c r="R204" s="686">
        <v>0</v>
      </c>
      <c r="S204" s="676">
        <v>0</v>
      </c>
      <c r="T204" s="676">
        <v>0</v>
      </c>
      <c r="U204" s="676">
        <v>0</v>
      </c>
      <c r="V204" s="691">
        <v>0</v>
      </c>
      <c r="W204" s="691">
        <v>0</v>
      </c>
      <c r="X204" s="691">
        <v>0</v>
      </c>
      <c r="Y204" s="675">
        <v>0</v>
      </c>
      <c r="Z204" s="676">
        <v>0</v>
      </c>
      <c r="AA204" s="676">
        <v>0</v>
      </c>
      <c r="AB204" s="676">
        <v>0</v>
      </c>
      <c r="AC204" s="676">
        <v>0</v>
      </c>
      <c r="AD204" s="676">
        <v>0</v>
      </c>
      <c r="AE204" s="676">
        <v>0</v>
      </c>
      <c r="AF204" s="676">
        <v>0</v>
      </c>
      <c r="AG204" s="682">
        <v>0</v>
      </c>
      <c r="AH204" s="683">
        <v>0</v>
      </c>
      <c r="AI204" s="676">
        <v>0</v>
      </c>
      <c r="AJ204" s="676">
        <v>0</v>
      </c>
      <c r="AK204" s="676">
        <v>0</v>
      </c>
      <c r="AL204" s="676">
        <v>0</v>
      </c>
      <c r="AM204" s="676">
        <v>0</v>
      </c>
      <c r="AN204" s="682">
        <v>0</v>
      </c>
      <c r="AO204" s="683">
        <v>0</v>
      </c>
      <c r="AP204" s="676">
        <v>0</v>
      </c>
      <c r="AQ204" s="676">
        <v>0</v>
      </c>
      <c r="AR204" s="676">
        <v>0</v>
      </c>
      <c r="AS204" s="682">
        <v>0</v>
      </c>
      <c r="AT204" s="674">
        <v>0</v>
      </c>
      <c r="AU204" s="674">
        <v>0</v>
      </c>
      <c r="AV204" s="674">
        <v>0</v>
      </c>
      <c r="AW204" s="684">
        <v>0</v>
      </c>
      <c r="AX204" s="685">
        <v>0</v>
      </c>
    </row>
    <row r="205" spans="1:50" s="609" customFormat="1" ht="30" customHeight="1" x14ac:dyDescent="0.3">
      <c r="A205" s="1604"/>
      <c r="B205" s="1605"/>
      <c r="C205" s="1606"/>
      <c r="D205" s="611" t="s">
        <v>20</v>
      </c>
      <c r="E205" s="1608"/>
      <c r="F205" s="1610"/>
      <c r="G205" s="690" t="e">
        <f>+$G$204*$E$204</f>
        <v>#REF!</v>
      </c>
      <c r="H205" s="675">
        <v>0</v>
      </c>
      <c r="I205" s="676">
        <v>0</v>
      </c>
      <c r="J205" s="691">
        <v>0</v>
      </c>
      <c r="K205" s="677">
        <v>0</v>
      </c>
      <c r="L205" s="686">
        <v>0</v>
      </c>
      <c r="M205" s="693">
        <v>0</v>
      </c>
      <c r="N205" s="687">
        <v>0</v>
      </c>
      <c r="O205" s="688">
        <v>0</v>
      </c>
      <c r="P205" s="686">
        <v>0</v>
      </c>
      <c r="Q205" s="688">
        <v>0</v>
      </c>
      <c r="R205" s="686">
        <v>0</v>
      </c>
      <c r="S205" s="676">
        <v>0</v>
      </c>
      <c r="T205" s="676">
        <v>0</v>
      </c>
      <c r="U205" s="676">
        <v>0</v>
      </c>
      <c r="V205" s="691">
        <v>0</v>
      </c>
      <c r="W205" s="691">
        <v>0</v>
      </c>
      <c r="X205" s="691">
        <v>0</v>
      </c>
      <c r="Y205" s="675">
        <v>0</v>
      </c>
      <c r="Z205" s="676">
        <v>0</v>
      </c>
      <c r="AA205" s="676">
        <v>0</v>
      </c>
      <c r="AB205" s="676">
        <v>0</v>
      </c>
      <c r="AC205" s="676">
        <v>0</v>
      </c>
      <c r="AD205" s="676">
        <v>0</v>
      </c>
      <c r="AE205" s="676">
        <v>0</v>
      </c>
      <c r="AF205" s="676">
        <v>0</v>
      </c>
      <c r="AG205" s="682">
        <v>0</v>
      </c>
      <c r="AH205" s="683">
        <v>0</v>
      </c>
      <c r="AI205" s="676">
        <v>0</v>
      </c>
      <c r="AJ205" s="676">
        <v>0</v>
      </c>
      <c r="AK205" s="676">
        <v>0</v>
      </c>
      <c r="AL205" s="676">
        <v>0</v>
      </c>
      <c r="AM205" s="676">
        <v>0</v>
      </c>
      <c r="AN205" s="682">
        <v>0</v>
      </c>
      <c r="AO205" s="683">
        <v>0</v>
      </c>
      <c r="AP205" s="676">
        <v>0</v>
      </c>
      <c r="AQ205" s="676">
        <v>0</v>
      </c>
      <c r="AR205" s="676">
        <v>0</v>
      </c>
      <c r="AS205" s="682">
        <v>0</v>
      </c>
      <c r="AT205" s="674">
        <v>0</v>
      </c>
      <c r="AU205" s="674">
        <v>0</v>
      </c>
      <c r="AV205" s="674">
        <v>0</v>
      </c>
      <c r="AW205" s="684">
        <v>0</v>
      </c>
      <c r="AX205" s="685">
        <v>0</v>
      </c>
    </row>
    <row r="206" spans="1:50" s="609" customFormat="1" ht="30" customHeight="1" x14ac:dyDescent="0.3">
      <c r="A206" s="1601" t="s">
        <v>388</v>
      </c>
      <c r="B206" s="1602"/>
      <c r="C206" s="1603"/>
      <c r="D206" s="611" t="s">
        <v>475</v>
      </c>
      <c r="E206" s="1607">
        <f>VLOOKUP(A206,AA_Materiales,16,FALSE)</f>
        <v>0</v>
      </c>
      <c r="F206" s="1609" t="e">
        <f>SUM(G207:AX207)</f>
        <v>#REF!</v>
      </c>
      <c r="G206" s="690" t="e">
        <f>0.01*'PTO OC PLIEGO'!#REF!</f>
        <v>#REF!</v>
      </c>
      <c r="H206" s="675">
        <v>0</v>
      </c>
      <c r="I206" s="676">
        <v>0</v>
      </c>
      <c r="J206" s="691">
        <v>0</v>
      </c>
      <c r="K206" s="677">
        <v>0</v>
      </c>
      <c r="L206" s="686">
        <v>0</v>
      </c>
      <c r="M206" s="693">
        <v>0</v>
      </c>
      <c r="N206" s="687">
        <v>0</v>
      </c>
      <c r="O206" s="688">
        <v>0</v>
      </c>
      <c r="P206" s="686">
        <v>0</v>
      </c>
      <c r="Q206" s="688">
        <v>0</v>
      </c>
      <c r="R206" s="686">
        <v>0</v>
      </c>
      <c r="S206" s="676">
        <v>0</v>
      </c>
      <c r="T206" s="676">
        <v>0</v>
      </c>
      <c r="U206" s="676">
        <v>0</v>
      </c>
      <c r="V206" s="691">
        <v>0</v>
      </c>
      <c r="W206" s="691">
        <v>0</v>
      </c>
      <c r="X206" s="691">
        <v>0</v>
      </c>
      <c r="Y206" s="675">
        <v>0</v>
      </c>
      <c r="Z206" s="676">
        <v>0</v>
      </c>
      <c r="AA206" s="676">
        <v>0</v>
      </c>
      <c r="AB206" s="676">
        <v>0</v>
      </c>
      <c r="AC206" s="676">
        <v>0</v>
      </c>
      <c r="AD206" s="676">
        <v>0</v>
      </c>
      <c r="AE206" s="676">
        <v>0</v>
      </c>
      <c r="AF206" s="676">
        <v>0</v>
      </c>
      <c r="AG206" s="682">
        <v>0</v>
      </c>
      <c r="AH206" s="683">
        <v>0</v>
      </c>
      <c r="AI206" s="676">
        <v>0</v>
      </c>
      <c r="AJ206" s="676">
        <v>0</v>
      </c>
      <c r="AK206" s="676">
        <v>0</v>
      </c>
      <c r="AL206" s="676">
        <v>0</v>
      </c>
      <c r="AM206" s="676">
        <v>0</v>
      </c>
      <c r="AN206" s="682">
        <v>0</v>
      </c>
      <c r="AO206" s="683">
        <v>0</v>
      </c>
      <c r="AP206" s="676">
        <v>0</v>
      </c>
      <c r="AQ206" s="676">
        <v>0</v>
      </c>
      <c r="AR206" s="676">
        <v>0</v>
      </c>
      <c r="AS206" s="682">
        <v>0</v>
      </c>
      <c r="AT206" s="674">
        <v>0</v>
      </c>
      <c r="AU206" s="674">
        <v>0</v>
      </c>
      <c r="AV206" s="674">
        <v>0</v>
      </c>
      <c r="AW206" s="684">
        <v>0</v>
      </c>
      <c r="AX206" s="685">
        <v>0</v>
      </c>
    </row>
    <row r="207" spans="1:50" s="609" customFormat="1" ht="30" customHeight="1" x14ac:dyDescent="0.3">
      <c r="A207" s="1604"/>
      <c r="B207" s="1605"/>
      <c r="C207" s="1606"/>
      <c r="D207" s="611" t="s">
        <v>20</v>
      </c>
      <c r="E207" s="1608"/>
      <c r="F207" s="1610"/>
      <c r="G207" s="690" t="e">
        <f>+$G$206*$E$206</f>
        <v>#REF!</v>
      </c>
      <c r="H207" s="675">
        <v>0</v>
      </c>
      <c r="I207" s="676">
        <v>0</v>
      </c>
      <c r="J207" s="691">
        <v>0</v>
      </c>
      <c r="K207" s="677">
        <v>0</v>
      </c>
      <c r="L207" s="686">
        <v>0</v>
      </c>
      <c r="M207" s="693">
        <v>0</v>
      </c>
      <c r="N207" s="687">
        <v>0</v>
      </c>
      <c r="O207" s="688">
        <v>0</v>
      </c>
      <c r="P207" s="686">
        <v>0</v>
      </c>
      <c r="Q207" s="688">
        <v>0</v>
      </c>
      <c r="R207" s="686">
        <v>0</v>
      </c>
      <c r="S207" s="676">
        <v>0</v>
      </c>
      <c r="T207" s="676">
        <v>0</v>
      </c>
      <c r="U207" s="676">
        <v>0</v>
      </c>
      <c r="V207" s="691">
        <v>0</v>
      </c>
      <c r="W207" s="691">
        <v>0</v>
      </c>
      <c r="X207" s="691">
        <v>0</v>
      </c>
      <c r="Y207" s="675">
        <v>0</v>
      </c>
      <c r="Z207" s="676">
        <v>0</v>
      </c>
      <c r="AA207" s="676">
        <v>0</v>
      </c>
      <c r="AB207" s="676">
        <v>0</v>
      </c>
      <c r="AC207" s="676">
        <v>0</v>
      </c>
      <c r="AD207" s="676">
        <v>0</v>
      </c>
      <c r="AE207" s="676">
        <v>0</v>
      </c>
      <c r="AF207" s="676">
        <v>0</v>
      </c>
      <c r="AG207" s="682">
        <v>0</v>
      </c>
      <c r="AH207" s="683">
        <v>0</v>
      </c>
      <c r="AI207" s="676">
        <v>0</v>
      </c>
      <c r="AJ207" s="676">
        <v>0</v>
      </c>
      <c r="AK207" s="676">
        <v>0</v>
      </c>
      <c r="AL207" s="676">
        <v>0</v>
      </c>
      <c r="AM207" s="676">
        <v>0</v>
      </c>
      <c r="AN207" s="682">
        <v>0</v>
      </c>
      <c r="AO207" s="683">
        <v>0</v>
      </c>
      <c r="AP207" s="676">
        <v>0</v>
      </c>
      <c r="AQ207" s="676">
        <v>0</v>
      </c>
      <c r="AR207" s="676">
        <v>0</v>
      </c>
      <c r="AS207" s="682">
        <v>0</v>
      </c>
      <c r="AT207" s="674">
        <v>0</v>
      </c>
      <c r="AU207" s="674">
        <v>0</v>
      </c>
      <c r="AV207" s="674">
        <v>0</v>
      </c>
      <c r="AW207" s="684">
        <v>0</v>
      </c>
      <c r="AX207" s="685">
        <v>0</v>
      </c>
    </row>
    <row r="208" spans="1:50" s="609" customFormat="1" ht="30" customHeight="1" x14ac:dyDescent="0.3">
      <c r="A208" s="1601" t="s">
        <v>478</v>
      </c>
      <c r="B208" s="1602"/>
      <c r="C208" s="1603"/>
      <c r="D208" s="611" t="s">
        <v>696</v>
      </c>
      <c r="E208" s="1607" t="e">
        <f>VLOOKUP(A208,AA_Materiales,16,FALSE)</f>
        <v>#N/A</v>
      </c>
      <c r="F208" s="1609" t="e">
        <f>SUM(G209:AX209)</f>
        <v>#REF!</v>
      </c>
      <c r="G208" s="692">
        <v>0</v>
      </c>
      <c r="H208" s="675">
        <v>0</v>
      </c>
      <c r="I208" s="676">
        <v>0</v>
      </c>
      <c r="J208" s="691">
        <v>0</v>
      </c>
      <c r="K208" s="677">
        <v>0</v>
      </c>
      <c r="L208" s="686">
        <v>0</v>
      </c>
      <c r="M208" s="693">
        <v>0</v>
      </c>
      <c r="N208" s="687">
        <v>0</v>
      </c>
      <c r="O208" s="688">
        <v>0</v>
      </c>
      <c r="P208" s="686">
        <v>0</v>
      </c>
      <c r="Q208" s="688">
        <v>0</v>
      </c>
      <c r="R208" s="686">
        <v>0</v>
      </c>
      <c r="S208" s="676">
        <v>0</v>
      </c>
      <c r="T208" s="676">
        <v>0</v>
      </c>
      <c r="U208" s="676">
        <v>0</v>
      </c>
      <c r="V208" s="691">
        <v>0</v>
      </c>
      <c r="W208" s="691">
        <v>0</v>
      </c>
      <c r="X208" s="691">
        <v>0</v>
      </c>
      <c r="Y208" s="675">
        <v>0</v>
      </c>
      <c r="Z208" s="676">
        <v>0</v>
      </c>
      <c r="AA208" s="676">
        <v>0</v>
      </c>
      <c r="AB208" s="676">
        <v>0</v>
      </c>
      <c r="AC208" s="676">
        <v>0</v>
      </c>
      <c r="AD208" s="676">
        <v>0</v>
      </c>
      <c r="AE208" s="676">
        <v>0</v>
      </c>
      <c r="AF208" s="676">
        <v>0</v>
      </c>
      <c r="AG208" s="682">
        <v>0</v>
      </c>
      <c r="AH208" s="704" t="e">
        <f>0.06*'PTO OC PLIEGO'!#REF!</f>
        <v>#REF!</v>
      </c>
      <c r="AI208" s="695" t="e">
        <f>0.06*'PTO OC PLIEGO'!#REF!</f>
        <v>#REF!</v>
      </c>
      <c r="AJ208" s="703" t="e">
        <f>0.08*'PTO OC PLIEGO'!#REF!</f>
        <v>#REF!</v>
      </c>
      <c r="AK208" s="676">
        <v>0</v>
      </c>
      <c r="AL208" s="676">
        <v>0</v>
      </c>
      <c r="AM208" s="676">
        <v>0</v>
      </c>
      <c r="AN208" s="682">
        <v>0</v>
      </c>
      <c r="AO208" s="683">
        <v>0</v>
      </c>
      <c r="AP208" s="676">
        <v>0</v>
      </c>
      <c r="AQ208" s="676">
        <v>0</v>
      </c>
      <c r="AR208" s="676">
        <v>0</v>
      </c>
      <c r="AS208" s="682">
        <v>0</v>
      </c>
      <c r="AT208" s="674">
        <v>0</v>
      </c>
      <c r="AU208" s="674">
        <v>0</v>
      </c>
      <c r="AV208" s="674">
        <v>0</v>
      </c>
      <c r="AW208" s="684">
        <v>0</v>
      </c>
      <c r="AX208" s="685">
        <v>0</v>
      </c>
    </row>
    <row r="209" spans="1:64" s="609" customFormat="1" ht="30" customHeight="1" x14ac:dyDescent="0.3">
      <c r="A209" s="1604"/>
      <c r="B209" s="1605"/>
      <c r="C209" s="1606"/>
      <c r="D209" s="611" t="s">
        <v>20</v>
      </c>
      <c r="E209" s="1608"/>
      <c r="F209" s="1610"/>
      <c r="G209" s="692">
        <v>0</v>
      </c>
      <c r="H209" s="675">
        <v>0</v>
      </c>
      <c r="I209" s="676">
        <v>0</v>
      </c>
      <c r="J209" s="691">
        <v>0</v>
      </c>
      <c r="K209" s="677">
        <v>0</v>
      </c>
      <c r="L209" s="686">
        <v>0</v>
      </c>
      <c r="M209" s="693">
        <v>0</v>
      </c>
      <c r="N209" s="687">
        <v>0</v>
      </c>
      <c r="O209" s="688">
        <v>0</v>
      </c>
      <c r="P209" s="686">
        <v>0</v>
      </c>
      <c r="Q209" s="688">
        <v>0</v>
      </c>
      <c r="R209" s="686">
        <v>0</v>
      </c>
      <c r="S209" s="676">
        <v>0</v>
      </c>
      <c r="T209" s="676">
        <v>0</v>
      </c>
      <c r="U209" s="676">
        <v>0</v>
      </c>
      <c r="V209" s="691">
        <v>0</v>
      </c>
      <c r="W209" s="691">
        <v>0</v>
      </c>
      <c r="X209" s="691">
        <v>0</v>
      </c>
      <c r="Y209" s="675">
        <v>0</v>
      </c>
      <c r="Z209" s="676">
        <v>0</v>
      </c>
      <c r="AA209" s="676">
        <v>0</v>
      </c>
      <c r="AB209" s="676">
        <v>0</v>
      </c>
      <c r="AC209" s="676">
        <v>0</v>
      </c>
      <c r="AD209" s="676">
        <v>0</v>
      </c>
      <c r="AE209" s="676">
        <v>0</v>
      </c>
      <c r="AF209" s="676">
        <v>0</v>
      </c>
      <c r="AG209" s="682">
        <v>0</v>
      </c>
      <c r="AH209" s="704" t="e">
        <f>AH208*E208</f>
        <v>#REF!</v>
      </c>
      <c r="AI209" s="695" t="e">
        <f>AI208*E208</f>
        <v>#REF!</v>
      </c>
      <c r="AJ209" s="703" t="e">
        <f>AJ208*E208</f>
        <v>#REF!</v>
      </c>
      <c r="AK209" s="676">
        <v>0</v>
      </c>
      <c r="AL209" s="676">
        <v>0</v>
      </c>
      <c r="AM209" s="676">
        <v>0</v>
      </c>
      <c r="AN209" s="682">
        <v>0</v>
      </c>
      <c r="AO209" s="683">
        <v>0</v>
      </c>
      <c r="AP209" s="676">
        <v>0</v>
      </c>
      <c r="AQ209" s="676">
        <v>0</v>
      </c>
      <c r="AR209" s="676">
        <v>0</v>
      </c>
      <c r="AS209" s="682">
        <v>0</v>
      </c>
      <c r="AT209" s="674">
        <v>0</v>
      </c>
      <c r="AU209" s="674">
        <v>0</v>
      </c>
      <c r="AV209" s="674">
        <v>0</v>
      </c>
      <c r="AW209" s="684">
        <v>0</v>
      </c>
      <c r="AX209" s="685">
        <v>0</v>
      </c>
    </row>
    <row r="210" spans="1:64" s="609" customFormat="1" ht="30" customHeight="1" x14ac:dyDescent="0.3">
      <c r="A210" s="1601" t="s">
        <v>486</v>
      </c>
      <c r="B210" s="1602"/>
      <c r="C210" s="1603"/>
      <c r="D210" s="611" t="s">
        <v>696</v>
      </c>
      <c r="E210" s="1607" t="e">
        <f>VLOOKUP(A210,AA_Materiales,16,FALSE)</f>
        <v>#N/A</v>
      </c>
      <c r="F210" s="1609" t="e">
        <f>SUM(G211:AX211)</f>
        <v>#REF!</v>
      </c>
      <c r="G210" s="692">
        <v>0</v>
      </c>
      <c r="H210" s="675">
        <v>0</v>
      </c>
      <c r="I210" s="676">
        <v>0</v>
      </c>
      <c r="J210" s="691">
        <v>0</v>
      </c>
      <c r="K210" s="677">
        <v>0</v>
      </c>
      <c r="L210" s="686">
        <v>0</v>
      </c>
      <c r="M210" s="693">
        <v>0</v>
      </c>
      <c r="N210" s="687">
        <v>0</v>
      </c>
      <c r="O210" s="688">
        <v>0</v>
      </c>
      <c r="P210" s="686">
        <v>0</v>
      </c>
      <c r="Q210" s="688">
        <v>0</v>
      </c>
      <c r="R210" s="705" t="e">
        <f>1*'PTO OC PLIEGO'!#REF!</f>
        <v>#REF!</v>
      </c>
      <c r="S210" s="676">
        <v>0</v>
      </c>
      <c r="T210" s="676">
        <v>0</v>
      </c>
      <c r="U210" s="676">
        <v>0</v>
      </c>
      <c r="V210" s="691">
        <v>0</v>
      </c>
      <c r="W210" s="691">
        <v>0</v>
      </c>
      <c r="X210" s="691">
        <v>0</v>
      </c>
      <c r="Y210" s="675">
        <v>0</v>
      </c>
      <c r="Z210" s="676">
        <v>0</v>
      </c>
      <c r="AA210" s="676">
        <v>0</v>
      </c>
      <c r="AB210" s="676">
        <v>0</v>
      </c>
      <c r="AC210" s="676">
        <v>0</v>
      </c>
      <c r="AD210" s="676">
        <v>0</v>
      </c>
      <c r="AE210" s="676">
        <v>0</v>
      </c>
      <c r="AF210" s="676">
        <v>0</v>
      </c>
      <c r="AG210" s="682">
        <v>0</v>
      </c>
      <c r="AH210" s="683">
        <v>0</v>
      </c>
      <c r="AI210" s="676">
        <v>0</v>
      </c>
      <c r="AJ210" s="676">
        <v>0</v>
      </c>
      <c r="AK210" s="676">
        <v>0</v>
      </c>
      <c r="AL210" s="676">
        <v>0</v>
      </c>
      <c r="AM210" s="676">
        <v>0</v>
      </c>
      <c r="AN210" s="682">
        <v>0</v>
      </c>
      <c r="AO210" s="683">
        <v>0</v>
      </c>
      <c r="AP210" s="676">
        <v>0</v>
      </c>
      <c r="AQ210" s="676">
        <v>0</v>
      </c>
      <c r="AR210" s="676">
        <v>0</v>
      </c>
      <c r="AS210" s="682">
        <v>0</v>
      </c>
      <c r="AT210" s="674">
        <v>0</v>
      </c>
      <c r="AU210" s="674">
        <v>0</v>
      </c>
      <c r="AV210" s="674">
        <v>0</v>
      </c>
      <c r="AW210" s="684">
        <v>0</v>
      </c>
      <c r="AX210" s="685">
        <v>0</v>
      </c>
      <c r="AY210" s="612"/>
      <c r="AZ210" s="612"/>
      <c r="BA210" s="612"/>
      <c r="BB210" s="612"/>
      <c r="BC210" s="612"/>
      <c r="BD210" s="612"/>
      <c r="BI210" s="612"/>
      <c r="BJ210" s="612"/>
      <c r="BK210" s="612"/>
      <c r="BL210" s="612"/>
    </row>
    <row r="211" spans="1:64" s="609" customFormat="1" ht="30" customHeight="1" x14ac:dyDescent="0.3">
      <c r="A211" s="1604"/>
      <c r="B211" s="1605"/>
      <c r="C211" s="1606"/>
      <c r="D211" s="611" t="s">
        <v>20</v>
      </c>
      <c r="E211" s="1608"/>
      <c r="F211" s="1610"/>
      <c r="G211" s="692">
        <v>0</v>
      </c>
      <c r="H211" s="675">
        <v>0</v>
      </c>
      <c r="I211" s="676">
        <v>0</v>
      </c>
      <c r="J211" s="691">
        <v>0</v>
      </c>
      <c r="K211" s="677">
        <v>0</v>
      </c>
      <c r="L211" s="686">
        <v>0</v>
      </c>
      <c r="M211" s="693">
        <v>0</v>
      </c>
      <c r="N211" s="687">
        <v>0</v>
      </c>
      <c r="O211" s="688">
        <v>0</v>
      </c>
      <c r="P211" s="686">
        <v>0</v>
      </c>
      <c r="Q211" s="688">
        <v>0</v>
      </c>
      <c r="R211" s="705" t="e">
        <f>+R210*E210</f>
        <v>#REF!</v>
      </c>
      <c r="S211" s="676">
        <v>0</v>
      </c>
      <c r="T211" s="676">
        <v>0</v>
      </c>
      <c r="U211" s="676">
        <v>0</v>
      </c>
      <c r="V211" s="691">
        <v>0</v>
      </c>
      <c r="W211" s="691">
        <v>0</v>
      </c>
      <c r="X211" s="691">
        <v>0</v>
      </c>
      <c r="Y211" s="675">
        <v>0</v>
      </c>
      <c r="Z211" s="676">
        <v>0</v>
      </c>
      <c r="AA211" s="676">
        <v>0</v>
      </c>
      <c r="AB211" s="676">
        <v>0</v>
      </c>
      <c r="AC211" s="676">
        <v>0</v>
      </c>
      <c r="AD211" s="676">
        <v>0</v>
      </c>
      <c r="AE211" s="676">
        <v>0</v>
      </c>
      <c r="AF211" s="676">
        <v>0</v>
      </c>
      <c r="AG211" s="682">
        <v>0</v>
      </c>
      <c r="AH211" s="683">
        <v>0</v>
      </c>
      <c r="AI211" s="676">
        <v>0</v>
      </c>
      <c r="AJ211" s="676">
        <v>0</v>
      </c>
      <c r="AK211" s="676">
        <v>0</v>
      </c>
      <c r="AL211" s="676">
        <v>0</v>
      </c>
      <c r="AM211" s="676">
        <v>0</v>
      </c>
      <c r="AN211" s="682">
        <v>0</v>
      </c>
      <c r="AO211" s="683">
        <v>0</v>
      </c>
      <c r="AP211" s="676">
        <v>0</v>
      </c>
      <c r="AQ211" s="676">
        <v>0</v>
      </c>
      <c r="AR211" s="676">
        <v>0</v>
      </c>
      <c r="AS211" s="682">
        <v>0</v>
      </c>
      <c r="AT211" s="674">
        <v>0</v>
      </c>
      <c r="AU211" s="674">
        <v>0</v>
      </c>
      <c r="AV211" s="674">
        <v>0</v>
      </c>
      <c r="AW211" s="684">
        <v>0</v>
      </c>
      <c r="AX211" s="685">
        <v>0</v>
      </c>
      <c r="AY211" s="612"/>
      <c r="AZ211" s="612"/>
      <c r="BA211" s="612"/>
      <c r="BB211" s="612"/>
      <c r="BC211" s="612"/>
      <c r="BD211" s="612"/>
      <c r="BI211" s="612"/>
      <c r="BJ211" s="612"/>
      <c r="BK211" s="612"/>
      <c r="BL211" s="612"/>
    </row>
    <row r="212" spans="1:64" s="609" customFormat="1" ht="30" customHeight="1" x14ac:dyDescent="0.3">
      <c r="A212" s="1601" t="s">
        <v>487</v>
      </c>
      <c r="B212" s="1602"/>
      <c r="C212" s="1603"/>
      <c r="D212" s="611" t="s">
        <v>696</v>
      </c>
      <c r="E212" s="1607" t="e">
        <f>VLOOKUP(A212,AA_Materiales,16,FALSE)</f>
        <v>#N/A</v>
      </c>
      <c r="F212" s="1609" t="e">
        <f>SUM(G213:AX213)</f>
        <v>#REF!</v>
      </c>
      <c r="G212" s="692">
        <v>0</v>
      </c>
      <c r="H212" s="675">
        <v>0</v>
      </c>
      <c r="I212" s="676">
        <v>0</v>
      </c>
      <c r="J212" s="691">
        <v>0</v>
      </c>
      <c r="K212" s="677">
        <v>0</v>
      </c>
      <c r="L212" s="686">
        <v>0</v>
      </c>
      <c r="M212" s="693">
        <v>0</v>
      </c>
      <c r="N212" s="687">
        <v>0</v>
      </c>
      <c r="O212" s="688">
        <v>0</v>
      </c>
      <c r="P212" s="686">
        <v>0</v>
      </c>
      <c r="Q212" s="688">
        <v>0</v>
      </c>
      <c r="R212" s="686">
        <v>0</v>
      </c>
      <c r="S212" s="691" t="e">
        <f>1*'PTO OC PLIEGO'!#REF!</f>
        <v>#REF!</v>
      </c>
      <c r="T212" s="676">
        <v>0</v>
      </c>
      <c r="U212" s="676">
        <v>0</v>
      </c>
      <c r="V212" s="691">
        <v>0</v>
      </c>
      <c r="W212" s="691">
        <v>0</v>
      </c>
      <c r="X212" s="691">
        <v>0</v>
      </c>
      <c r="Y212" s="675">
        <v>0</v>
      </c>
      <c r="Z212" s="676">
        <v>0</v>
      </c>
      <c r="AA212" s="676">
        <v>0</v>
      </c>
      <c r="AB212" s="676">
        <v>0</v>
      </c>
      <c r="AC212" s="676">
        <v>0</v>
      </c>
      <c r="AD212" s="676">
        <v>0</v>
      </c>
      <c r="AE212" s="676">
        <v>0</v>
      </c>
      <c r="AF212" s="676">
        <v>0</v>
      </c>
      <c r="AG212" s="682">
        <v>0</v>
      </c>
      <c r="AH212" s="683">
        <v>0</v>
      </c>
      <c r="AI212" s="676">
        <v>0</v>
      </c>
      <c r="AJ212" s="676">
        <v>0</v>
      </c>
      <c r="AK212" s="676">
        <v>0</v>
      </c>
      <c r="AL212" s="676">
        <v>0</v>
      </c>
      <c r="AM212" s="676">
        <v>0</v>
      </c>
      <c r="AN212" s="682">
        <v>0</v>
      </c>
      <c r="AO212" s="683">
        <v>0</v>
      </c>
      <c r="AP212" s="676">
        <v>0</v>
      </c>
      <c r="AQ212" s="676">
        <v>0</v>
      </c>
      <c r="AR212" s="676">
        <v>0</v>
      </c>
      <c r="AS212" s="682">
        <v>0</v>
      </c>
      <c r="AT212" s="674">
        <v>0</v>
      </c>
      <c r="AU212" s="674">
        <v>0</v>
      </c>
      <c r="AV212" s="674">
        <v>0</v>
      </c>
      <c r="AW212" s="684">
        <v>0</v>
      </c>
      <c r="AX212" s="685">
        <v>0</v>
      </c>
      <c r="AY212" s="612"/>
      <c r="AZ212" s="612"/>
      <c r="BA212" s="612"/>
      <c r="BB212" s="612"/>
      <c r="BC212" s="612"/>
      <c r="BD212" s="612"/>
      <c r="BI212" s="612"/>
      <c r="BJ212" s="612"/>
      <c r="BK212" s="612"/>
      <c r="BL212" s="612"/>
    </row>
    <row r="213" spans="1:64" s="609" customFormat="1" ht="30" customHeight="1" x14ac:dyDescent="0.3">
      <c r="A213" s="1604"/>
      <c r="B213" s="1605"/>
      <c r="C213" s="1606"/>
      <c r="D213" s="611" t="s">
        <v>20</v>
      </c>
      <c r="E213" s="1608"/>
      <c r="F213" s="1610"/>
      <c r="G213" s="692">
        <v>0</v>
      </c>
      <c r="H213" s="675">
        <v>0</v>
      </c>
      <c r="I213" s="676">
        <v>0</v>
      </c>
      <c r="J213" s="691">
        <v>0</v>
      </c>
      <c r="K213" s="677">
        <v>0</v>
      </c>
      <c r="L213" s="686">
        <v>0</v>
      </c>
      <c r="M213" s="693">
        <v>0</v>
      </c>
      <c r="N213" s="687">
        <v>0</v>
      </c>
      <c r="O213" s="688">
        <v>0</v>
      </c>
      <c r="P213" s="686">
        <v>0</v>
      </c>
      <c r="Q213" s="688">
        <v>0</v>
      </c>
      <c r="R213" s="686">
        <v>0</v>
      </c>
      <c r="S213" s="691" t="e">
        <f>+S212*E212</f>
        <v>#REF!</v>
      </c>
      <c r="T213" s="676">
        <v>0</v>
      </c>
      <c r="U213" s="676">
        <v>0</v>
      </c>
      <c r="V213" s="691">
        <v>0</v>
      </c>
      <c r="W213" s="691">
        <v>0</v>
      </c>
      <c r="X213" s="691">
        <v>0</v>
      </c>
      <c r="Y213" s="675">
        <v>0</v>
      </c>
      <c r="Z213" s="676">
        <v>0</v>
      </c>
      <c r="AA213" s="676">
        <v>0</v>
      </c>
      <c r="AB213" s="676">
        <v>0</v>
      </c>
      <c r="AC213" s="676">
        <v>0</v>
      </c>
      <c r="AD213" s="676">
        <v>0</v>
      </c>
      <c r="AE213" s="676">
        <v>0</v>
      </c>
      <c r="AF213" s="676">
        <v>0</v>
      </c>
      <c r="AG213" s="682">
        <v>0</v>
      </c>
      <c r="AH213" s="683">
        <v>0</v>
      </c>
      <c r="AI213" s="676">
        <v>0</v>
      </c>
      <c r="AJ213" s="676">
        <v>0</v>
      </c>
      <c r="AK213" s="676">
        <v>0</v>
      </c>
      <c r="AL213" s="676">
        <v>0</v>
      </c>
      <c r="AM213" s="676">
        <v>0</v>
      </c>
      <c r="AN213" s="682">
        <v>0</v>
      </c>
      <c r="AO213" s="683">
        <v>0</v>
      </c>
      <c r="AP213" s="676">
        <v>0</v>
      </c>
      <c r="AQ213" s="676">
        <v>0</v>
      </c>
      <c r="AR213" s="676">
        <v>0</v>
      </c>
      <c r="AS213" s="682">
        <v>0</v>
      </c>
      <c r="AT213" s="674">
        <v>0</v>
      </c>
      <c r="AU213" s="674">
        <v>0</v>
      </c>
      <c r="AV213" s="674">
        <v>0</v>
      </c>
      <c r="AW213" s="684">
        <v>0</v>
      </c>
      <c r="AX213" s="685">
        <v>0</v>
      </c>
      <c r="AY213" s="612"/>
      <c r="AZ213" s="612"/>
      <c r="BA213" s="612"/>
      <c r="BB213" s="612"/>
      <c r="BC213" s="612"/>
      <c r="BD213" s="612"/>
      <c r="BI213" s="612"/>
      <c r="BJ213" s="612"/>
      <c r="BK213" s="612"/>
      <c r="BL213" s="612"/>
    </row>
    <row r="214" spans="1:64" s="609" customFormat="1" ht="30" customHeight="1" x14ac:dyDescent="0.3">
      <c r="A214" s="1601" t="s">
        <v>457</v>
      </c>
      <c r="B214" s="1602"/>
      <c r="C214" s="1603"/>
      <c r="D214" s="611" t="s">
        <v>696</v>
      </c>
      <c r="E214" s="1607" t="e">
        <f>VLOOKUP(A214,AA_Materiales,16,FALSE)</f>
        <v>#N/A</v>
      </c>
      <c r="F214" s="1609" t="e">
        <f>SUM(G215:AX215)</f>
        <v>#REF!</v>
      </c>
      <c r="G214" s="692">
        <v>0</v>
      </c>
      <c r="H214" s="675">
        <v>0</v>
      </c>
      <c r="I214" s="676">
        <v>0</v>
      </c>
      <c r="J214" s="691">
        <v>0</v>
      </c>
      <c r="K214" s="677">
        <v>0</v>
      </c>
      <c r="L214" s="686">
        <v>0</v>
      </c>
      <c r="M214" s="693">
        <v>0</v>
      </c>
      <c r="N214" s="687">
        <v>0</v>
      </c>
      <c r="O214" s="688">
        <v>0</v>
      </c>
      <c r="P214" s="686">
        <v>0</v>
      </c>
      <c r="Q214" s="688">
        <v>0</v>
      </c>
      <c r="R214" s="686">
        <v>0</v>
      </c>
      <c r="S214" s="691">
        <v>0</v>
      </c>
      <c r="T214" s="676">
        <v>0</v>
      </c>
      <c r="U214" s="676">
        <v>0</v>
      </c>
      <c r="V214" s="691" t="e">
        <f>3.78*'PTO OC PLIEGO'!#REF!</f>
        <v>#REF!</v>
      </c>
      <c r="W214" s="691" t="e">
        <f>2.93*'PTO OC PLIEGO'!#REF!</f>
        <v>#REF!</v>
      </c>
      <c r="X214" s="691" t="e">
        <f>3.96*'PTO OC PLIEGO'!#REF!</f>
        <v>#REF!</v>
      </c>
      <c r="Y214" s="675">
        <v>0</v>
      </c>
      <c r="Z214" s="676">
        <v>0</v>
      </c>
      <c r="AA214" s="676">
        <v>0</v>
      </c>
      <c r="AB214" s="676">
        <v>0</v>
      </c>
      <c r="AC214" s="676">
        <v>0</v>
      </c>
      <c r="AD214" s="676">
        <v>0</v>
      </c>
      <c r="AE214" s="676">
        <v>0</v>
      </c>
      <c r="AF214" s="676">
        <v>0</v>
      </c>
      <c r="AG214" s="682">
        <v>0</v>
      </c>
      <c r="AH214" s="683">
        <v>0</v>
      </c>
      <c r="AI214" s="676">
        <v>0</v>
      </c>
      <c r="AJ214" s="676">
        <v>0</v>
      </c>
      <c r="AK214" s="676">
        <v>0</v>
      </c>
      <c r="AL214" s="676">
        <v>0</v>
      </c>
      <c r="AM214" s="676">
        <v>0</v>
      </c>
      <c r="AN214" s="682">
        <v>0</v>
      </c>
      <c r="AO214" s="694" t="e">
        <f>5*'PTO OC PLIEGO'!#REF!</f>
        <v>#REF!</v>
      </c>
      <c r="AP214" s="695" t="e">
        <f>12*'PTO OC PLIEGO'!#REF!</f>
        <v>#REF!</v>
      </c>
      <c r="AQ214" s="695" t="e">
        <f>30*'PTO OC PLIEGO'!#REF!</f>
        <v>#REF!</v>
      </c>
      <c r="AR214" s="696" t="e">
        <f>60*'PTO OC PLIEGO'!#REF!</f>
        <v>#REF!</v>
      </c>
      <c r="AS214" s="697" t="e">
        <f>1.31*'PTO OC PLIEGO'!#REF!</f>
        <v>#REF!</v>
      </c>
      <c r="AT214" s="674">
        <v>0</v>
      </c>
      <c r="AU214" s="674">
        <v>0</v>
      </c>
      <c r="AV214" s="674">
        <v>0</v>
      </c>
      <c r="AW214" s="684">
        <v>0</v>
      </c>
      <c r="AX214" s="685">
        <v>0</v>
      </c>
      <c r="AY214" s="612"/>
      <c r="AZ214" s="612"/>
      <c r="BA214" s="612"/>
      <c r="BB214" s="612"/>
      <c r="BC214" s="612"/>
      <c r="BD214" s="612"/>
      <c r="BI214" s="612"/>
      <c r="BJ214" s="612"/>
      <c r="BK214" s="612"/>
      <c r="BL214" s="612"/>
    </row>
    <row r="215" spans="1:64" s="609" customFormat="1" ht="30" customHeight="1" x14ac:dyDescent="0.3">
      <c r="A215" s="1604"/>
      <c r="B215" s="1605"/>
      <c r="C215" s="1606"/>
      <c r="D215" s="611" t="s">
        <v>20</v>
      </c>
      <c r="E215" s="1608"/>
      <c r="F215" s="1610"/>
      <c r="G215" s="692">
        <v>0</v>
      </c>
      <c r="H215" s="675">
        <v>0</v>
      </c>
      <c r="I215" s="676">
        <v>0</v>
      </c>
      <c r="J215" s="691">
        <v>0</v>
      </c>
      <c r="K215" s="677">
        <v>0</v>
      </c>
      <c r="L215" s="686">
        <v>0</v>
      </c>
      <c r="M215" s="693">
        <v>0</v>
      </c>
      <c r="N215" s="687">
        <v>0</v>
      </c>
      <c r="O215" s="688">
        <v>0</v>
      </c>
      <c r="P215" s="686">
        <v>0</v>
      </c>
      <c r="Q215" s="688">
        <v>0</v>
      </c>
      <c r="R215" s="686">
        <v>0</v>
      </c>
      <c r="S215" s="691">
        <v>0</v>
      </c>
      <c r="T215" s="676">
        <v>0</v>
      </c>
      <c r="U215" s="676">
        <v>0</v>
      </c>
      <c r="V215" s="691" t="e">
        <f>+V214*E214</f>
        <v>#REF!</v>
      </c>
      <c r="W215" s="691" t="e">
        <f>W214*E214</f>
        <v>#REF!</v>
      </c>
      <c r="X215" s="691" t="e">
        <f>X214*E214</f>
        <v>#REF!</v>
      </c>
      <c r="Y215" s="675">
        <v>0</v>
      </c>
      <c r="Z215" s="676">
        <v>0</v>
      </c>
      <c r="AA215" s="676">
        <v>0</v>
      </c>
      <c r="AB215" s="676">
        <v>0</v>
      </c>
      <c r="AC215" s="676">
        <v>0</v>
      </c>
      <c r="AD215" s="676">
        <v>0</v>
      </c>
      <c r="AE215" s="676">
        <v>0</v>
      </c>
      <c r="AF215" s="676">
        <v>0</v>
      </c>
      <c r="AG215" s="682">
        <v>0</v>
      </c>
      <c r="AH215" s="683">
        <v>0</v>
      </c>
      <c r="AI215" s="676">
        <v>0</v>
      </c>
      <c r="AJ215" s="676">
        <v>0</v>
      </c>
      <c r="AK215" s="676">
        <v>0</v>
      </c>
      <c r="AL215" s="676">
        <v>0</v>
      </c>
      <c r="AM215" s="676">
        <v>0</v>
      </c>
      <c r="AN215" s="682">
        <v>0</v>
      </c>
      <c r="AO215" s="694" t="e">
        <f>AO214*E214</f>
        <v>#REF!</v>
      </c>
      <c r="AP215" s="695" t="e">
        <f>AP214*E214</f>
        <v>#REF!</v>
      </c>
      <c r="AQ215" s="695" t="e">
        <f>AQ214*E214</f>
        <v>#REF!</v>
      </c>
      <c r="AR215" s="696" t="e">
        <f>AR214*E214</f>
        <v>#REF!</v>
      </c>
      <c r="AS215" s="697" t="e">
        <f>AS214*E214</f>
        <v>#REF!</v>
      </c>
      <c r="AT215" s="674">
        <v>0</v>
      </c>
      <c r="AU215" s="674">
        <v>0</v>
      </c>
      <c r="AV215" s="674">
        <v>0</v>
      </c>
      <c r="AW215" s="684">
        <v>0</v>
      </c>
      <c r="AX215" s="685">
        <v>0</v>
      </c>
      <c r="AY215" s="612"/>
      <c r="AZ215" s="612"/>
      <c r="BA215" s="612"/>
      <c r="BB215" s="612"/>
      <c r="BC215" s="612"/>
      <c r="BD215" s="612"/>
      <c r="BI215" s="612"/>
      <c r="BJ215" s="612"/>
      <c r="BK215" s="612"/>
      <c r="BL215" s="612"/>
    </row>
    <row r="216" spans="1:64" s="609" customFormat="1" ht="30" customHeight="1" x14ac:dyDescent="0.3">
      <c r="A216" s="1601" t="s">
        <v>488</v>
      </c>
      <c r="B216" s="1602"/>
      <c r="C216" s="1603"/>
      <c r="D216" s="611" t="s">
        <v>696</v>
      </c>
      <c r="E216" s="1607" t="e">
        <f>VLOOKUP(A216,AA_Materiales,16,FALSE)</f>
        <v>#N/A</v>
      </c>
      <c r="F216" s="1609" t="e">
        <f>SUM(G217:AX217)</f>
        <v>#REF!</v>
      </c>
      <c r="G216" s="692">
        <v>0</v>
      </c>
      <c r="H216" s="675">
        <v>0</v>
      </c>
      <c r="I216" s="676">
        <v>0</v>
      </c>
      <c r="J216" s="691">
        <v>0</v>
      </c>
      <c r="K216" s="677">
        <v>0</v>
      </c>
      <c r="L216" s="686">
        <v>0</v>
      </c>
      <c r="M216" s="693">
        <v>0</v>
      </c>
      <c r="N216" s="687">
        <v>0</v>
      </c>
      <c r="O216" s="688">
        <v>0</v>
      </c>
      <c r="P216" s="686">
        <v>0</v>
      </c>
      <c r="Q216" s="688">
        <v>0</v>
      </c>
      <c r="R216" s="686">
        <v>0</v>
      </c>
      <c r="S216" s="691">
        <v>0</v>
      </c>
      <c r="T216" s="691" t="e">
        <f>1*'PTO OC PLIEGO'!#REF!</f>
        <v>#REF!</v>
      </c>
      <c r="U216" s="676">
        <v>0</v>
      </c>
      <c r="V216" s="691">
        <v>0</v>
      </c>
      <c r="W216" s="691">
        <v>0</v>
      </c>
      <c r="X216" s="691">
        <v>0</v>
      </c>
      <c r="Y216" s="675">
        <v>0</v>
      </c>
      <c r="Z216" s="676">
        <v>0</v>
      </c>
      <c r="AA216" s="676">
        <v>0</v>
      </c>
      <c r="AB216" s="676">
        <v>0</v>
      </c>
      <c r="AC216" s="676">
        <v>0</v>
      </c>
      <c r="AD216" s="676">
        <v>0</v>
      </c>
      <c r="AE216" s="676">
        <v>0</v>
      </c>
      <c r="AF216" s="676">
        <v>0</v>
      </c>
      <c r="AG216" s="682">
        <v>0</v>
      </c>
      <c r="AH216" s="683">
        <v>0</v>
      </c>
      <c r="AI216" s="676">
        <v>0</v>
      </c>
      <c r="AJ216" s="676">
        <v>0</v>
      </c>
      <c r="AK216" s="676">
        <v>0</v>
      </c>
      <c r="AL216" s="676">
        <v>0</v>
      </c>
      <c r="AM216" s="676">
        <v>0</v>
      </c>
      <c r="AN216" s="682">
        <v>0</v>
      </c>
      <c r="AO216" s="683">
        <v>0</v>
      </c>
      <c r="AP216" s="676">
        <v>0</v>
      </c>
      <c r="AQ216" s="676">
        <v>0</v>
      </c>
      <c r="AR216" s="676">
        <v>0</v>
      </c>
      <c r="AS216" s="682">
        <v>0</v>
      </c>
      <c r="AT216" s="674">
        <v>0</v>
      </c>
      <c r="AU216" s="674">
        <v>0</v>
      </c>
      <c r="AV216" s="674">
        <v>0</v>
      </c>
      <c r="AW216" s="684">
        <v>0</v>
      </c>
      <c r="AX216" s="685">
        <v>0</v>
      </c>
      <c r="AY216" s="612"/>
      <c r="AZ216" s="612"/>
      <c r="BA216" s="612"/>
      <c r="BB216" s="612"/>
      <c r="BC216" s="612"/>
      <c r="BD216" s="612"/>
      <c r="BI216" s="612"/>
      <c r="BJ216" s="612"/>
      <c r="BK216" s="612"/>
      <c r="BL216" s="612"/>
    </row>
    <row r="217" spans="1:64" s="609" customFormat="1" ht="30" customHeight="1" x14ac:dyDescent="0.3">
      <c r="A217" s="1604"/>
      <c r="B217" s="1605"/>
      <c r="C217" s="1606"/>
      <c r="D217" s="611" t="s">
        <v>20</v>
      </c>
      <c r="E217" s="1608"/>
      <c r="F217" s="1610"/>
      <c r="G217" s="692">
        <v>0</v>
      </c>
      <c r="H217" s="675">
        <v>0</v>
      </c>
      <c r="I217" s="676">
        <v>0</v>
      </c>
      <c r="J217" s="691">
        <v>0</v>
      </c>
      <c r="K217" s="677">
        <v>0</v>
      </c>
      <c r="L217" s="686">
        <v>0</v>
      </c>
      <c r="M217" s="693">
        <v>0</v>
      </c>
      <c r="N217" s="687">
        <v>0</v>
      </c>
      <c r="O217" s="688">
        <v>0</v>
      </c>
      <c r="P217" s="686">
        <v>0</v>
      </c>
      <c r="Q217" s="688">
        <v>0</v>
      </c>
      <c r="R217" s="686">
        <v>0</v>
      </c>
      <c r="S217" s="691">
        <v>0</v>
      </c>
      <c r="T217" s="691" t="e">
        <f>+T216*E216</f>
        <v>#REF!</v>
      </c>
      <c r="U217" s="676">
        <v>0</v>
      </c>
      <c r="V217" s="691">
        <v>0</v>
      </c>
      <c r="W217" s="691">
        <v>0</v>
      </c>
      <c r="X217" s="691">
        <v>0</v>
      </c>
      <c r="Y217" s="675">
        <v>0</v>
      </c>
      <c r="Z217" s="676">
        <v>0</v>
      </c>
      <c r="AA217" s="676">
        <v>0</v>
      </c>
      <c r="AB217" s="676">
        <v>0</v>
      </c>
      <c r="AC217" s="676">
        <v>0</v>
      </c>
      <c r="AD217" s="676">
        <v>0</v>
      </c>
      <c r="AE217" s="676">
        <v>0</v>
      </c>
      <c r="AF217" s="676">
        <v>0</v>
      </c>
      <c r="AG217" s="682">
        <v>0</v>
      </c>
      <c r="AH217" s="683">
        <v>0</v>
      </c>
      <c r="AI217" s="676">
        <v>0</v>
      </c>
      <c r="AJ217" s="676">
        <v>0</v>
      </c>
      <c r="AK217" s="676">
        <v>0</v>
      </c>
      <c r="AL217" s="676">
        <v>0</v>
      </c>
      <c r="AM217" s="676">
        <v>0</v>
      </c>
      <c r="AN217" s="682">
        <v>0</v>
      </c>
      <c r="AO217" s="683">
        <v>0</v>
      </c>
      <c r="AP217" s="676">
        <v>0</v>
      </c>
      <c r="AQ217" s="676">
        <v>0</v>
      </c>
      <c r="AR217" s="676">
        <v>0</v>
      </c>
      <c r="AS217" s="682">
        <v>0</v>
      </c>
      <c r="AT217" s="674">
        <v>0</v>
      </c>
      <c r="AU217" s="674">
        <v>0</v>
      </c>
      <c r="AV217" s="674">
        <v>0</v>
      </c>
      <c r="AW217" s="684">
        <v>0</v>
      </c>
      <c r="AX217" s="685">
        <v>0</v>
      </c>
      <c r="AY217" s="612"/>
      <c r="AZ217" s="612"/>
      <c r="BA217" s="612"/>
      <c r="BB217" s="612"/>
      <c r="BC217" s="612"/>
      <c r="BD217" s="612"/>
      <c r="BI217" s="612"/>
      <c r="BJ217" s="612"/>
      <c r="BK217" s="612"/>
      <c r="BL217" s="612"/>
    </row>
    <row r="218" spans="1:64" s="609" customFormat="1" ht="30" customHeight="1" x14ac:dyDescent="0.3">
      <c r="A218" s="1601" t="s">
        <v>489</v>
      </c>
      <c r="B218" s="1602"/>
      <c r="C218" s="1603"/>
      <c r="D218" s="611" t="s">
        <v>696</v>
      </c>
      <c r="E218" s="1607" t="e">
        <f>VLOOKUP(A218,AA_Materiales,16,FALSE)</f>
        <v>#N/A</v>
      </c>
      <c r="F218" s="1609" t="e">
        <f>SUM(G219:AX219)</f>
        <v>#REF!</v>
      </c>
      <c r="G218" s="692">
        <v>0</v>
      </c>
      <c r="H218" s="675">
        <v>0</v>
      </c>
      <c r="I218" s="676">
        <v>0</v>
      </c>
      <c r="J218" s="691">
        <v>0</v>
      </c>
      <c r="K218" s="677">
        <v>0</v>
      </c>
      <c r="L218" s="686">
        <v>0</v>
      </c>
      <c r="M218" s="693">
        <v>0</v>
      </c>
      <c r="N218" s="687">
        <v>0</v>
      </c>
      <c r="O218" s="688">
        <v>0</v>
      </c>
      <c r="P218" s="686">
        <v>0</v>
      </c>
      <c r="Q218" s="688">
        <v>0</v>
      </c>
      <c r="R218" s="686">
        <v>0</v>
      </c>
      <c r="S218" s="691">
        <v>0</v>
      </c>
      <c r="T218" s="691">
        <v>0</v>
      </c>
      <c r="U218" s="691" t="e">
        <f>1*'PTO OC PLIEGO'!#REF!</f>
        <v>#REF!</v>
      </c>
      <c r="V218" s="691">
        <v>0</v>
      </c>
      <c r="W218" s="691">
        <v>0</v>
      </c>
      <c r="X218" s="691">
        <v>0</v>
      </c>
      <c r="Y218" s="675">
        <v>0</v>
      </c>
      <c r="Z218" s="676">
        <v>0</v>
      </c>
      <c r="AA218" s="676">
        <v>0</v>
      </c>
      <c r="AB218" s="676">
        <v>0</v>
      </c>
      <c r="AC218" s="676">
        <v>0</v>
      </c>
      <c r="AD218" s="676">
        <v>0</v>
      </c>
      <c r="AE218" s="676">
        <v>0</v>
      </c>
      <c r="AF218" s="676">
        <v>0</v>
      </c>
      <c r="AG218" s="682">
        <v>0</v>
      </c>
      <c r="AH218" s="683">
        <v>0</v>
      </c>
      <c r="AI218" s="676">
        <v>0</v>
      </c>
      <c r="AJ218" s="676">
        <v>0</v>
      </c>
      <c r="AK218" s="676">
        <v>0</v>
      </c>
      <c r="AL218" s="676">
        <v>0</v>
      </c>
      <c r="AM218" s="676">
        <v>0</v>
      </c>
      <c r="AN218" s="682">
        <v>0</v>
      </c>
      <c r="AO218" s="683">
        <v>0</v>
      </c>
      <c r="AP218" s="676">
        <v>0</v>
      </c>
      <c r="AQ218" s="676">
        <v>0</v>
      </c>
      <c r="AR218" s="676">
        <v>0</v>
      </c>
      <c r="AS218" s="682">
        <v>0</v>
      </c>
      <c r="AT218" s="674">
        <v>0</v>
      </c>
      <c r="AU218" s="674">
        <v>0</v>
      </c>
      <c r="AV218" s="674">
        <v>0</v>
      </c>
      <c r="AW218" s="684">
        <v>0</v>
      </c>
      <c r="AX218" s="685">
        <v>0</v>
      </c>
      <c r="AY218" s="612"/>
      <c r="AZ218" s="612"/>
      <c r="BA218" s="612"/>
      <c r="BB218" s="612"/>
      <c r="BC218" s="612"/>
      <c r="BD218" s="612"/>
      <c r="BI218" s="612"/>
      <c r="BJ218" s="612"/>
      <c r="BK218" s="612"/>
      <c r="BL218" s="612"/>
    </row>
    <row r="219" spans="1:64" s="609" customFormat="1" ht="30" customHeight="1" x14ac:dyDescent="0.3">
      <c r="A219" s="1604"/>
      <c r="B219" s="1605"/>
      <c r="C219" s="1606"/>
      <c r="D219" s="611" t="s">
        <v>20</v>
      </c>
      <c r="E219" s="1608"/>
      <c r="F219" s="1610"/>
      <c r="G219" s="692">
        <v>0</v>
      </c>
      <c r="H219" s="675">
        <v>0</v>
      </c>
      <c r="I219" s="676">
        <v>0</v>
      </c>
      <c r="J219" s="691">
        <v>0</v>
      </c>
      <c r="K219" s="677">
        <v>0</v>
      </c>
      <c r="L219" s="686">
        <v>0</v>
      </c>
      <c r="M219" s="693">
        <v>0</v>
      </c>
      <c r="N219" s="687">
        <v>0</v>
      </c>
      <c r="O219" s="688">
        <v>0</v>
      </c>
      <c r="P219" s="686">
        <v>0</v>
      </c>
      <c r="Q219" s="688">
        <v>0</v>
      </c>
      <c r="R219" s="686">
        <v>0</v>
      </c>
      <c r="S219" s="691">
        <v>0</v>
      </c>
      <c r="T219" s="691">
        <v>0</v>
      </c>
      <c r="U219" s="691" t="e">
        <f>+U218*E218</f>
        <v>#REF!</v>
      </c>
      <c r="V219" s="691">
        <v>0</v>
      </c>
      <c r="W219" s="691">
        <v>0</v>
      </c>
      <c r="X219" s="691">
        <v>0</v>
      </c>
      <c r="Y219" s="675">
        <v>0</v>
      </c>
      <c r="Z219" s="676">
        <v>0</v>
      </c>
      <c r="AA219" s="676">
        <v>0</v>
      </c>
      <c r="AB219" s="676">
        <v>0</v>
      </c>
      <c r="AC219" s="676">
        <v>0</v>
      </c>
      <c r="AD219" s="676">
        <v>0</v>
      </c>
      <c r="AE219" s="676">
        <v>0</v>
      </c>
      <c r="AF219" s="676">
        <v>0</v>
      </c>
      <c r="AG219" s="682">
        <v>0</v>
      </c>
      <c r="AH219" s="683">
        <v>0</v>
      </c>
      <c r="AI219" s="676">
        <v>0</v>
      </c>
      <c r="AJ219" s="676">
        <v>0</v>
      </c>
      <c r="AK219" s="676">
        <v>0</v>
      </c>
      <c r="AL219" s="676">
        <v>0</v>
      </c>
      <c r="AM219" s="676">
        <v>0</v>
      </c>
      <c r="AN219" s="682">
        <v>0</v>
      </c>
      <c r="AO219" s="683">
        <v>0</v>
      </c>
      <c r="AP219" s="676">
        <v>0</v>
      </c>
      <c r="AQ219" s="676">
        <v>0</v>
      </c>
      <c r="AR219" s="676">
        <v>0</v>
      </c>
      <c r="AS219" s="682">
        <v>0</v>
      </c>
      <c r="AT219" s="674">
        <v>0</v>
      </c>
      <c r="AU219" s="674">
        <v>0</v>
      </c>
      <c r="AV219" s="674">
        <v>0</v>
      </c>
      <c r="AW219" s="684">
        <v>0</v>
      </c>
      <c r="AX219" s="685">
        <v>0</v>
      </c>
      <c r="AY219" s="612"/>
      <c r="AZ219" s="612"/>
      <c r="BA219" s="612"/>
      <c r="BB219" s="612"/>
      <c r="BC219" s="612"/>
      <c r="BD219" s="612"/>
      <c r="BI219" s="612"/>
      <c r="BJ219" s="612"/>
      <c r="BK219" s="612"/>
      <c r="BL219" s="612"/>
    </row>
    <row r="220" spans="1:64" s="609" customFormat="1" ht="30" customHeight="1" x14ac:dyDescent="0.3">
      <c r="A220" s="1601" t="s">
        <v>445</v>
      </c>
      <c r="B220" s="1602"/>
      <c r="C220" s="1603"/>
      <c r="D220" s="611" t="s">
        <v>696</v>
      </c>
      <c r="E220" s="1607" t="e">
        <f>VLOOKUP(A220,AA_Materiales,16,FALSE)</f>
        <v>#N/A</v>
      </c>
      <c r="F220" s="1609" t="e">
        <f>SUM(G221:AX221)</f>
        <v>#REF!</v>
      </c>
      <c r="G220" s="692">
        <v>0</v>
      </c>
      <c r="H220" s="675">
        <v>0</v>
      </c>
      <c r="I220" s="676">
        <v>0</v>
      </c>
      <c r="J220" s="691">
        <v>0</v>
      </c>
      <c r="K220" s="677">
        <v>0</v>
      </c>
      <c r="L220" s="686">
        <v>0</v>
      </c>
      <c r="M220" s="693">
        <v>0</v>
      </c>
      <c r="N220" s="687">
        <v>0</v>
      </c>
      <c r="O220" s="688">
        <v>0</v>
      </c>
      <c r="P220" s="686">
        <v>0</v>
      </c>
      <c r="Q220" s="688">
        <v>0</v>
      </c>
      <c r="R220" s="686">
        <v>0</v>
      </c>
      <c r="S220" s="691">
        <v>0</v>
      </c>
      <c r="T220" s="691">
        <v>0</v>
      </c>
      <c r="U220" s="691">
        <v>0</v>
      </c>
      <c r="V220" s="691" t="e">
        <f>146.3*'PTO OC PLIEGO'!#REF!</f>
        <v>#REF!</v>
      </c>
      <c r="W220" s="691" t="e">
        <f>165.46*'PTO OC PLIEGO'!#REF!</f>
        <v>#REF!</v>
      </c>
      <c r="X220" s="691" t="e">
        <f>259*'PTO OC PLIEGO'!#REF!</f>
        <v>#REF!</v>
      </c>
      <c r="Y220" s="675">
        <v>0</v>
      </c>
      <c r="Z220" s="676">
        <v>0</v>
      </c>
      <c r="AA220" s="676">
        <v>0</v>
      </c>
      <c r="AB220" s="676">
        <v>0</v>
      </c>
      <c r="AC220" s="676">
        <v>0</v>
      </c>
      <c r="AD220" s="676">
        <v>0</v>
      </c>
      <c r="AE220" s="676">
        <v>0</v>
      </c>
      <c r="AF220" s="676">
        <v>0</v>
      </c>
      <c r="AG220" s="682">
        <v>0</v>
      </c>
      <c r="AH220" s="683">
        <v>0</v>
      </c>
      <c r="AI220" s="676">
        <v>0</v>
      </c>
      <c r="AJ220" s="676">
        <v>0</v>
      </c>
      <c r="AK220" s="676">
        <v>0</v>
      </c>
      <c r="AL220" s="676">
        <v>0</v>
      </c>
      <c r="AM220" s="676">
        <v>0</v>
      </c>
      <c r="AN220" s="682">
        <v>0</v>
      </c>
      <c r="AO220" s="683">
        <v>0</v>
      </c>
      <c r="AP220" s="676">
        <v>0</v>
      </c>
      <c r="AQ220" s="676">
        <v>0</v>
      </c>
      <c r="AR220" s="676">
        <v>0</v>
      </c>
      <c r="AS220" s="682">
        <v>0</v>
      </c>
      <c r="AT220" s="674">
        <v>0</v>
      </c>
      <c r="AU220" s="674">
        <v>0</v>
      </c>
      <c r="AV220" s="674">
        <v>0</v>
      </c>
      <c r="AW220" s="684">
        <v>0</v>
      </c>
      <c r="AX220" s="685">
        <v>0</v>
      </c>
      <c r="AY220" s="612"/>
      <c r="AZ220" s="612"/>
      <c r="BA220" s="612"/>
      <c r="BB220" s="612"/>
      <c r="BC220" s="612"/>
      <c r="BD220" s="612"/>
      <c r="BI220" s="612"/>
      <c r="BJ220" s="612"/>
      <c r="BK220" s="612"/>
      <c r="BL220" s="612"/>
    </row>
    <row r="221" spans="1:64" s="609" customFormat="1" ht="30" customHeight="1" x14ac:dyDescent="0.3">
      <c r="A221" s="1604"/>
      <c r="B221" s="1605"/>
      <c r="C221" s="1606"/>
      <c r="D221" s="611" t="s">
        <v>20</v>
      </c>
      <c r="E221" s="1608"/>
      <c r="F221" s="1610"/>
      <c r="G221" s="692">
        <v>0</v>
      </c>
      <c r="H221" s="675">
        <v>0</v>
      </c>
      <c r="I221" s="676">
        <v>0</v>
      </c>
      <c r="J221" s="691">
        <v>0</v>
      </c>
      <c r="K221" s="677">
        <v>0</v>
      </c>
      <c r="L221" s="686">
        <v>0</v>
      </c>
      <c r="M221" s="693">
        <v>0</v>
      </c>
      <c r="N221" s="687">
        <v>0</v>
      </c>
      <c r="O221" s="688">
        <v>0</v>
      </c>
      <c r="P221" s="686">
        <v>0</v>
      </c>
      <c r="Q221" s="688">
        <v>0</v>
      </c>
      <c r="R221" s="686">
        <v>0</v>
      </c>
      <c r="S221" s="691">
        <v>0</v>
      </c>
      <c r="T221" s="691">
        <v>0</v>
      </c>
      <c r="U221" s="691">
        <v>0</v>
      </c>
      <c r="V221" s="691" t="e">
        <f>V220*E220</f>
        <v>#REF!</v>
      </c>
      <c r="W221" s="691" t="e">
        <f>W220*E220</f>
        <v>#REF!</v>
      </c>
      <c r="X221" s="691" t="e">
        <f>X220*E220</f>
        <v>#REF!</v>
      </c>
      <c r="Y221" s="675">
        <v>0</v>
      </c>
      <c r="Z221" s="676">
        <v>0</v>
      </c>
      <c r="AA221" s="676">
        <v>0</v>
      </c>
      <c r="AB221" s="676">
        <v>0</v>
      </c>
      <c r="AC221" s="676">
        <v>0</v>
      </c>
      <c r="AD221" s="676">
        <v>0</v>
      </c>
      <c r="AE221" s="676">
        <v>0</v>
      </c>
      <c r="AF221" s="676">
        <v>0</v>
      </c>
      <c r="AG221" s="682">
        <v>0</v>
      </c>
      <c r="AH221" s="683">
        <v>0</v>
      </c>
      <c r="AI221" s="676">
        <v>0</v>
      </c>
      <c r="AJ221" s="676">
        <v>0</v>
      </c>
      <c r="AK221" s="676">
        <v>0</v>
      </c>
      <c r="AL221" s="676">
        <v>0</v>
      </c>
      <c r="AM221" s="676">
        <v>0</v>
      </c>
      <c r="AN221" s="682">
        <v>0</v>
      </c>
      <c r="AO221" s="683">
        <v>0</v>
      </c>
      <c r="AP221" s="676">
        <v>0</v>
      </c>
      <c r="AQ221" s="676">
        <v>0</v>
      </c>
      <c r="AR221" s="676">
        <v>0</v>
      </c>
      <c r="AS221" s="682">
        <v>0</v>
      </c>
      <c r="AT221" s="674">
        <v>0</v>
      </c>
      <c r="AU221" s="674">
        <v>0</v>
      </c>
      <c r="AV221" s="674">
        <v>0</v>
      </c>
      <c r="AW221" s="684">
        <v>0</v>
      </c>
      <c r="AX221" s="685">
        <v>0</v>
      </c>
      <c r="AY221" s="612"/>
      <c r="AZ221" s="612"/>
      <c r="BA221" s="612"/>
      <c r="BB221" s="612"/>
      <c r="BC221" s="612"/>
      <c r="BD221" s="612"/>
      <c r="BI221" s="612"/>
      <c r="BJ221" s="612"/>
      <c r="BK221" s="612"/>
      <c r="BL221" s="612"/>
    </row>
    <row r="222" spans="1:64" s="609" customFormat="1" ht="30" customHeight="1" x14ac:dyDescent="0.3">
      <c r="A222" s="1601" t="s">
        <v>446</v>
      </c>
      <c r="B222" s="1602"/>
      <c r="C222" s="1603"/>
      <c r="D222" s="611" t="s">
        <v>696</v>
      </c>
      <c r="E222" s="1607" t="e">
        <f>VLOOKUP(A222,AA_Materiales,16,FALSE)</f>
        <v>#N/A</v>
      </c>
      <c r="F222" s="1609" t="e">
        <f>SUM(G223:AX223)</f>
        <v>#REF!</v>
      </c>
      <c r="G222" s="692">
        <v>0</v>
      </c>
      <c r="H222" s="675">
        <v>0</v>
      </c>
      <c r="I222" s="676">
        <v>0</v>
      </c>
      <c r="J222" s="691">
        <v>0</v>
      </c>
      <c r="K222" s="677">
        <v>0</v>
      </c>
      <c r="L222" s="686">
        <v>0</v>
      </c>
      <c r="M222" s="693">
        <v>0</v>
      </c>
      <c r="N222" s="687">
        <v>0</v>
      </c>
      <c r="O222" s="688">
        <v>0</v>
      </c>
      <c r="P222" s="686">
        <v>0</v>
      </c>
      <c r="Q222" s="688">
        <v>0</v>
      </c>
      <c r="R222" s="686">
        <v>0</v>
      </c>
      <c r="S222" s="691">
        <v>0</v>
      </c>
      <c r="T222" s="691">
        <v>0</v>
      </c>
      <c r="U222" s="691">
        <v>0</v>
      </c>
      <c r="V222" s="691" t="e">
        <f>2.01*'PTO OC PLIEGO'!#REF!</f>
        <v>#REF!</v>
      </c>
      <c r="W222" s="691" t="e">
        <f>2.19*'PTO OC PLIEGO'!#REF!</f>
        <v>#REF!</v>
      </c>
      <c r="X222" s="691">
        <v>0</v>
      </c>
      <c r="Y222" s="675">
        <v>0</v>
      </c>
      <c r="Z222" s="676">
        <v>0</v>
      </c>
      <c r="AA222" s="676">
        <v>0</v>
      </c>
      <c r="AB222" s="676">
        <v>0</v>
      </c>
      <c r="AC222" s="676">
        <v>0</v>
      </c>
      <c r="AD222" s="676">
        <v>0</v>
      </c>
      <c r="AE222" s="676">
        <v>0</v>
      </c>
      <c r="AF222" s="676">
        <v>0</v>
      </c>
      <c r="AG222" s="682">
        <v>0</v>
      </c>
      <c r="AH222" s="683">
        <v>0</v>
      </c>
      <c r="AI222" s="676">
        <v>0</v>
      </c>
      <c r="AJ222" s="676">
        <v>0</v>
      </c>
      <c r="AK222" s="676">
        <v>0</v>
      </c>
      <c r="AL222" s="676">
        <v>0</v>
      </c>
      <c r="AM222" s="676">
        <v>0</v>
      </c>
      <c r="AN222" s="682">
        <v>0</v>
      </c>
      <c r="AO222" s="683">
        <v>0</v>
      </c>
      <c r="AP222" s="676">
        <v>0</v>
      </c>
      <c r="AQ222" s="676">
        <v>0</v>
      </c>
      <c r="AR222" s="676">
        <v>0</v>
      </c>
      <c r="AS222" s="682">
        <v>0</v>
      </c>
      <c r="AT222" s="674">
        <v>0</v>
      </c>
      <c r="AU222" s="674">
        <v>0</v>
      </c>
      <c r="AV222" s="674">
        <v>0</v>
      </c>
      <c r="AW222" s="684">
        <v>0</v>
      </c>
      <c r="AX222" s="685">
        <v>0</v>
      </c>
      <c r="AY222" s="612"/>
      <c r="AZ222" s="612"/>
      <c r="BA222" s="612"/>
      <c r="BB222" s="612"/>
      <c r="BC222" s="612"/>
      <c r="BD222" s="612"/>
      <c r="BI222" s="612"/>
      <c r="BJ222" s="612"/>
      <c r="BK222" s="612"/>
      <c r="BL222" s="612"/>
    </row>
    <row r="223" spans="1:64" s="609" customFormat="1" ht="30" customHeight="1" x14ac:dyDescent="0.3">
      <c r="A223" s="1604"/>
      <c r="B223" s="1605"/>
      <c r="C223" s="1606"/>
      <c r="D223" s="611" t="s">
        <v>20</v>
      </c>
      <c r="E223" s="1608"/>
      <c r="F223" s="1610"/>
      <c r="G223" s="692">
        <v>0</v>
      </c>
      <c r="H223" s="675">
        <v>0</v>
      </c>
      <c r="I223" s="676">
        <v>0</v>
      </c>
      <c r="J223" s="691">
        <v>0</v>
      </c>
      <c r="K223" s="677">
        <v>0</v>
      </c>
      <c r="L223" s="686">
        <v>0</v>
      </c>
      <c r="M223" s="693">
        <v>0</v>
      </c>
      <c r="N223" s="687">
        <v>0</v>
      </c>
      <c r="O223" s="688">
        <v>0</v>
      </c>
      <c r="P223" s="686">
        <v>0</v>
      </c>
      <c r="Q223" s="688">
        <v>0</v>
      </c>
      <c r="R223" s="686">
        <v>0</v>
      </c>
      <c r="S223" s="691">
        <v>0</v>
      </c>
      <c r="T223" s="691">
        <v>0</v>
      </c>
      <c r="U223" s="691">
        <v>0</v>
      </c>
      <c r="V223" s="691" t="e">
        <f>+V222*E222</f>
        <v>#REF!</v>
      </c>
      <c r="W223" s="691" t="e">
        <f>W222*E222</f>
        <v>#REF!</v>
      </c>
      <c r="X223" s="691">
        <v>0</v>
      </c>
      <c r="Y223" s="675">
        <v>0</v>
      </c>
      <c r="Z223" s="676">
        <v>0</v>
      </c>
      <c r="AA223" s="676">
        <v>0</v>
      </c>
      <c r="AB223" s="676">
        <v>0</v>
      </c>
      <c r="AC223" s="676">
        <v>0</v>
      </c>
      <c r="AD223" s="676">
        <v>0</v>
      </c>
      <c r="AE223" s="676">
        <v>0</v>
      </c>
      <c r="AF223" s="676">
        <v>0</v>
      </c>
      <c r="AG223" s="682">
        <v>0</v>
      </c>
      <c r="AH223" s="683">
        <v>0</v>
      </c>
      <c r="AI223" s="676">
        <v>0</v>
      </c>
      <c r="AJ223" s="676">
        <v>0</v>
      </c>
      <c r="AK223" s="676">
        <v>0</v>
      </c>
      <c r="AL223" s="676">
        <v>0</v>
      </c>
      <c r="AM223" s="676">
        <v>0</v>
      </c>
      <c r="AN223" s="682">
        <v>0</v>
      </c>
      <c r="AO223" s="683">
        <v>0</v>
      </c>
      <c r="AP223" s="676">
        <v>0</v>
      </c>
      <c r="AQ223" s="676">
        <v>0</v>
      </c>
      <c r="AR223" s="676">
        <v>0</v>
      </c>
      <c r="AS223" s="682">
        <v>0</v>
      </c>
      <c r="AT223" s="674">
        <v>0</v>
      </c>
      <c r="AU223" s="674">
        <v>0</v>
      </c>
      <c r="AV223" s="674">
        <v>0</v>
      </c>
      <c r="AW223" s="684">
        <v>0</v>
      </c>
      <c r="AX223" s="685">
        <v>0</v>
      </c>
      <c r="AY223" s="612"/>
      <c r="AZ223" s="612"/>
      <c r="BA223" s="612"/>
      <c r="BB223" s="612"/>
      <c r="BC223" s="612"/>
      <c r="BD223" s="612"/>
      <c r="BI223" s="612"/>
      <c r="BJ223" s="612"/>
      <c r="BK223" s="612"/>
      <c r="BL223" s="612"/>
    </row>
    <row r="224" spans="1:64" s="609" customFormat="1" ht="30" customHeight="1" x14ac:dyDescent="0.3">
      <c r="A224" s="1601" t="s">
        <v>448</v>
      </c>
      <c r="B224" s="1602"/>
      <c r="C224" s="1603"/>
      <c r="D224" s="611" t="s">
        <v>696</v>
      </c>
      <c r="E224" s="1607" t="e">
        <f>VLOOKUP(A224,AA_Materiales,16,FALSE)</f>
        <v>#N/A</v>
      </c>
      <c r="F224" s="1609" t="e">
        <f>SUM(G225:AX225)</f>
        <v>#REF!</v>
      </c>
      <c r="G224" s="692">
        <v>0</v>
      </c>
      <c r="H224" s="675">
        <v>0</v>
      </c>
      <c r="I224" s="676">
        <v>0</v>
      </c>
      <c r="J224" s="691">
        <v>0</v>
      </c>
      <c r="K224" s="677">
        <v>0</v>
      </c>
      <c r="L224" s="686">
        <v>0</v>
      </c>
      <c r="M224" s="693">
        <v>0</v>
      </c>
      <c r="N224" s="687">
        <v>0</v>
      </c>
      <c r="O224" s="688">
        <v>0</v>
      </c>
      <c r="P224" s="686">
        <v>0</v>
      </c>
      <c r="Q224" s="688">
        <v>0</v>
      </c>
      <c r="R224" s="686">
        <v>0</v>
      </c>
      <c r="S224" s="691">
        <v>0</v>
      </c>
      <c r="T224" s="691">
        <v>0</v>
      </c>
      <c r="U224" s="691">
        <v>0</v>
      </c>
      <c r="V224" s="691" t="e">
        <f>4*'PTO OC PLIEGO'!#REF!</f>
        <v>#REF!</v>
      </c>
      <c r="W224" s="691" t="e">
        <f>4*'PTO OC PLIEGO'!#REF!</f>
        <v>#REF!</v>
      </c>
      <c r="X224" s="691">
        <v>0</v>
      </c>
      <c r="Y224" s="675">
        <v>0</v>
      </c>
      <c r="Z224" s="676">
        <v>0</v>
      </c>
      <c r="AA224" s="676">
        <v>0</v>
      </c>
      <c r="AB224" s="676">
        <v>0</v>
      </c>
      <c r="AC224" s="676">
        <v>0</v>
      </c>
      <c r="AD224" s="676">
        <v>0</v>
      </c>
      <c r="AE224" s="676">
        <v>0</v>
      </c>
      <c r="AF224" s="676">
        <v>0</v>
      </c>
      <c r="AG224" s="682">
        <v>0</v>
      </c>
      <c r="AH224" s="683">
        <v>0</v>
      </c>
      <c r="AI224" s="676">
        <v>0</v>
      </c>
      <c r="AJ224" s="676">
        <v>0</v>
      </c>
      <c r="AK224" s="676">
        <v>0</v>
      </c>
      <c r="AL224" s="676">
        <v>0</v>
      </c>
      <c r="AM224" s="676">
        <v>0</v>
      </c>
      <c r="AN224" s="682">
        <v>0</v>
      </c>
      <c r="AO224" s="683">
        <v>0</v>
      </c>
      <c r="AP224" s="676">
        <v>0</v>
      </c>
      <c r="AQ224" s="676">
        <v>0</v>
      </c>
      <c r="AR224" s="676">
        <v>0</v>
      </c>
      <c r="AS224" s="682">
        <v>0</v>
      </c>
      <c r="AT224" s="674">
        <v>0</v>
      </c>
      <c r="AU224" s="674">
        <v>0</v>
      </c>
      <c r="AV224" s="674">
        <v>0</v>
      </c>
      <c r="AW224" s="684">
        <v>0</v>
      </c>
      <c r="AX224" s="685">
        <v>0</v>
      </c>
      <c r="AY224" s="612"/>
      <c r="AZ224" s="612"/>
      <c r="BA224" s="612"/>
      <c r="BB224" s="612"/>
      <c r="BC224" s="612"/>
      <c r="BD224" s="612"/>
      <c r="BI224" s="612"/>
      <c r="BJ224" s="612"/>
      <c r="BK224" s="612"/>
      <c r="BL224" s="612"/>
    </row>
    <row r="225" spans="1:64" s="609" customFormat="1" ht="30" customHeight="1" x14ac:dyDescent="0.3">
      <c r="A225" s="1604"/>
      <c r="B225" s="1605"/>
      <c r="C225" s="1606"/>
      <c r="D225" s="611" t="s">
        <v>20</v>
      </c>
      <c r="E225" s="1608"/>
      <c r="F225" s="1610"/>
      <c r="G225" s="692">
        <v>0</v>
      </c>
      <c r="H225" s="675">
        <v>0</v>
      </c>
      <c r="I225" s="676">
        <v>0</v>
      </c>
      <c r="J225" s="691">
        <v>0</v>
      </c>
      <c r="K225" s="677">
        <v>0</v>
      </c>
      <c r="L225" s="686">
        <v>0</v>
      </c>
      <c r="M225" s="693">
        <v>0</v>
      </c>
      <c r="N225" s="687">
        <v>0</v>
      </c>
      <c r="O225" s="688">
        <v>0</v>
      </c>
      <c r="P225" s="686">
        <v>0</v>
      </c>
      <c r="Q225" s="688">
        <v>0</v>
      </c>
      <c r="R225" s="686">
        <v>0</v>
      </c>
      <c r="S225" s="691">
        <v>0</v>
      </c>
      <c r="T225" s="691">
        <v>0</v>
      </c>
      <c r="U225" s="691">
        <v>0</v>
      </c>
      <c r="V225" s="691" t="e">
        <f>V224*E224</f>
        <v>#REF!</v>
      </c>
      <c r="W225" s="691" t="e">
        <f>W224*E224</f>
        <v>#REF!</v>
      </c>
      <c r="X225" s="691">
        <v>0</v>
      </c>
      <c r="Y225" s="675">
        <v>0</v>
      </c>
      <c r="Z225" s="676">
        <v>0</v>
      </c>
      <c r="AA225" s="676">
        <v>0</v>
      </c>
      <c r="AB225" s="676">
        <v>0</v>
      </c>
      <c r="AC225" s="676">
        <v>0</v>
      </c>
      <c r="AD225" s="676">
        <v>0</v>
      </c>
      <c r="AE225" s="676">
        <v>0</v>
      </c>
      <c r="AF225" s="676">
        <v>0</v>
      </c>
      <c r="AG225" s="682">
        <v>0</v>
      </c>
      <c r="AH225" s="683">
        <v>0</v>
      </c>
      <c r="AI225" s="676">
        <v>0</v>
      </c>
      <c r="AJ225" s="676">
        <v>0</v>
      </c>
      <c r="AK225" s="676">
        <v>0</v>
      </c>
      <c r="AL225" s="676">
        <v>0</v>
      </c>
      <c r="AM225" s="676">
        <v>0</v>
      </c>
      <c r="AN225" s="682">
        <v>0</v>
      </c>
      <c r="AO225" s="683">
        <v>0</v>
      </c>
      <c r="AP225" s="676">
        <v>0</v>
      </c>
      <c r="AQ225" s="676">
        <v>0</v>
      </c>
      <c r="AR225" s="676">
        <v>0</v>
      </c>
      <c r="AS225" s="682">
        <v>0</v>
      </c>
      <c r="AT225" s="674">
        <v>0</v>
      </c>
      <c r="AU225" s="674">
        <v>0</v>
      </c>
      <c r="AV225" s="674">
        <v>0</v>
      </c>
      <c r="AW225" s="684">
        <v>0</v>
      </c>
      <c r="AX225" s="685">
        <v>0</v>
      </c>
      <c r="AY225" s="612"/>
      <c r="AZ225" s="612"/>
      <c r="BA225" s="612"/>
      <c r="BB225" s="612"/>
      <c r="BC225" s="612"/>
      <c r="BD225" s="612"/>
      <c r="BI225" s="612"/>
      <c r="BJ225" s="612"/>
      <c r="BK225" s="612"/>
      <c r="BL225" s="612"/>
    </row>
    <row r="226" spans="1:64" s="609" customFormat="1" ht="30" customHeight="1" x14ac:dyDescent="0.3">
      <c r="A226" s="1601" t="s">
        <v>449</v>
      </c>
      <c r="B226" s="1602"/>
      <c r="C226" s="1603"/>
      <c r="D226" s="611" t="s">
        <v>696</v>
      </c>
      <c r="E226" s="1607" t="e">
        <f>VLOOKUP(A226,AA_Materiales,16,FALSE)</f>
        <v>#N/A</v>
      </c>
      <c r="F226" s="1609" t="e">
        <f>SUM(G227:AX227)</f>
        <v>#REF!</v>
      </c>
      <c r="G226" s="692">
        <v>0</v>
      </c>
      <c r="H226" s="675">
        <v>0</v>
      </c>
      <c r="I226" s="676">
        <v>0</v>
      </c>
      <c r="J226" s="691">
        <v>0</v>
      </c>
      <c r="K226" s="677">
        <v>0</v>
      </c>
      <c r="L226" s="686">
        <v>0</v>
      </c>
      <c r="M226" s="693">
        <v>0</v>
      </c>
      <c r="N226" s="687">
        <v>0</v>
      </c>
      <c r="O226" s="688">
        <v>0</v>
      </c>
      <c r="P226" s="686">
        <v>0</v>
      </c>
      <c r="Q226" s="688">
        <v>0</v>
      </c>
      <c r="R226" s="686">
        <v>0</v>
      </c>
      <c r="S226" s="691">
        <v>0</v>
      </c>
      <c r="T226" s="691">
        <v>0</v>
      </c>
      <c r="U226" s="691">
        <v>0</v>
      </c>
      <c r="V226" s="691" t="e">
        <f>1*'PTO OC PLIEGO'!#REF!</f>
        <v>#REF!</v>
      </c>
      <c r="W226" s="691" t="e">
        <f>1*'PTO OC PLIEGO'!#REF!</f>
        <v>#REF!</v>
      </c>
      <c r="X226" s="691">
        <v>0</v>
      </c>
      <c r="Y226" s="675">
        <v>0</v>
      </c>
      <c r="Z226" s="676">
        <v>0</v>
      </c>
      <c r="AA226" s="676">
        <v>0</v>
      </c>
      <c r="AB226" s="676">
        <v>0</v>
      </c>
      <c r="AC226" s="676">
        <v>0</v>
      </c>
      <c r="AD226" s="676">
        <v>0</v>
      </c>
      <c r="AE226" s="676">
        <v>0</v>
      </c>
      <c r="AF226" s="676">
        <v>0</v>
      </c>
      <c r="AG226" s="682">
        <v>0</v>
      </c>
      <c r="AH226" s="683">
        <v>0</v>
      </c>
      <c r="AI226" s="676">
        <v>0</v>
      </c>
      <c r="AJ226" s="676">
        <v>0</v>
      </c>
      <c r="AK226" s="676">
        <v>0</v>
      </c>
      <c r="AL226" s="676">
        <v>0</v>
      </c>
      <c r="AM226" s="676">
        <v>0</v>
      </c>
      <c r="AN226" s="682">
        <v>0</v>
      </c>
      <c r="AO226" s="683">
        <v>0</v>
      </c>
      <c r="AP226" s="676">
        <v>0</v>
      </c>
      <c r="AQ226" s="676">
        <v>0</v>
      </c>
      <c r="AR226" s="676">
        <v>0</v>
      </c>
      <c r="AS226" s="682">
        <v>0</v>
      </c>
      <c r="AT226" s="674">
        <v>0</v>
      </c>
      <c r="AU226" s="674">
        <v>0</v>
      </c>
      <c r="AV226" s="674">
        <v>0</v>
      </c>
      <c r="AW226" s="684">
        <v>0</v>
      </c>
      <c r="AX226" s="685">
        <v>0</v>
      </c>
      <c r="AY226" s="612"/>
      <c r="AZ226" s="612"/>
      <c r="BA226" s="612"/>
      <c r="BB226" s="612"/>
      <c r="BC226" s="612"/>
      <c r="BD226" s="612"/>
      <c r="BI226" s="612"/>
      <c r="BJ226" s="612"/>
      <c r="BK226" s="612"/>
      <c r="BL226" s="612"/>
    </row>
    <row r="227" spans="1:64" s="609" customFormat="1" ht="30" customHeight="1" x14ac:dyDescent="0.3">
      <c r="A227" s="1604"/>
      <c r="B227" s="1605"/>
      <c r="C227" s="1606"/>
      <c r="D227" s="611" t="s">
        <v>20</v>
      </c>
      <c r="E227" s="1608"/>
      <c r="F227" s="1610"/>
      <c r="G227" s="692">
        <v>0</v>
      </c>
      <c r="H227" s="675">
        <v>0</v>
      </c>
      <c r="I227" s="676">
        <v>0</v>
      </c>
      <c r="J227" s="691">
        <v>0</v>
      </c>
      <c r="K227" s="677">
        <v>0</v>
      </c>
      <c r="L227" s="686">
        <v>0</v>
      </c>
      <c r="M227" s="693">
        <v>0</v>
      </c>
      <c r="N227" s="687">
        <v>0</v>
      </c>
      <c r="O227" s="688">
        <v>0</v>
      </c>
      <c r="P227" s="686">
        <v>0</v>
      </c>
      <c r="Q227" s="688">
        <v>0</v>
      </c>
      <c r="R227" s="686">
        <v>0</v>
      </c>
      <c r="S227" s="691">
        <v>0</v>
      </c>
      <c r="T227" s="691">
        <v>0</v>
      </c>
      <c r="U227" s="691">
        <v>0</v>
      </c>
      <c r="V227" s="691" t="e">
        <f>+V226*E226</f>
        <v>#REF!</v>
      </c>
      <c r="W227" s="691" t="e">
        <f>W226*E226</f>
        <v>#REF!</v>
      </c>
      <c r="X227" s="691">
        <v>0</v>
      </c>
      <c r="Y227" s="675">
        <v>0</v>
      </c>
      <c r="Z227" s="676">
        <v>0</v>
      </c>
      <c r="AA227" s="676">
        <v>0</v>
      </c>
      <c r="AB227" s="676">
        <v>0</v>
      </c>
      <c r="AC227" s="676">
        <v>0</v>
      </c>
      <c r="AD227" s="676">
        <v>0</v>
      </c>
      <c r="AE227" s="676">
        <v>0</v>
      </c>
      <c r="AF227" s="676">
        <v>0</v>
      </c>
      <c r="AG227" s="682">
        <v>0</v>
      </c>
      <c r="AH227" s="683">
        <v>0</v>
      </c>
      <c r="AI227" s="676">
        <v>0</v>
      </c>
      <c r="AJ227" s="676">
        <v>0</v>
      </c>
      <c r="AK227" s="676">
        <v>0</v>
      </c>
      <c r="AL227" s="676">
        <v>0</v>
      </c>
      <c r="AM227" s="676">
        <v>0</v>
      </c>
      <c r="AN227" s="682">
        <v>0</v>
      </c>
      <c r="AO227" s="683">
        <v>0</v>
      </c>
      <c r="AP227" s="676">
        <v>0</v>
      </c>
      <c r="AQ227" s="676">
        <v>0</v>
      </c>
      <c r="AR227" s="676">
        <v>0</v>
      </c>
      <c r="AS227" s="682">
        <v>0</v>
      </c>
      <c r="AT227" s="674">
        <v>0</v>
      </c>
      <c r="AU227" s="674">
        <v>0</v>
      </c>
      <c r="AV227" s="674">
        <v>0</v>
      </c>
      <c r="AW227" s="684">
        <v>0</v>
      </c>
      <c r="AX227" s="685">
        <v>0</v>
      </c>
      <c r="AY227" s="612"/>
      <c r="AZ227" s="612"/>
      <c r="BA227" s="612"/>
      <c r="BB227" s="612"/>
      <c r="BC227" s="612"/>
      <c r="BD227" s="612"/>
      <c r="BI227" s="612"/>
      <c r="BJ227" s="612"/>
      <c r="BK227" s="612"/>
      <c r="BL227" s="612"/>
    </row>
    <row r="228" spans="1:64" s="609" customFormat="1" ht="30" customHeight="1" x14ac:dyDescent="0.3">
      <c r="A228" s="1601" t="s">
        <v>450</v>
      </c>
      <c r="B228" s="1602"/>
      <c r="C228" s="1603"/>
      <c r="D228" s="611" t="s">
        <v>696</v>
      </c>
      <c r="E228" s="1607" t="e">
        <f>VLOOKUP(A228,AA_Materiales,16,FALSE)</f>
        <v>#N/A</v>
      </c>
      <c r="F228" s="1609" t="e">
        <f>SUM(G229:AX229)</f>
        <v>#REF!</v>
      </c>
      <c r="G228" s="692">
        <v>0</v>
      </c>
      <c r="H228" s="675">
        <v>0</v>
      </c>
      <c r="I228" s="676">
        <v>0</v>
      </c>
      <c r="J228" s="691">
        <v>0</v>
      </c>
      <c r="K228" s="677">
        <v>0</v>
      </c>
      <c r="L228" s="686">
        <v>0</v>
      </c>
      <c r="M228" s="693">
        <v>0</v>
      </c>
      <c r="N228" s="687">
        <v>0</v>
      </c>
      <c r="O228" s="688">
        <v>0</v>
      </c>
      <c r="P228" s="686">
        <v>0</v>
      </c>
      <c r="Q228" s="688">
        <v>0</v>
      </c>
      <c r="R228" s="686">
        <v>0</v>
      </c>
      <c r="S228" s="691">
        <v>0</v>
      </c>
      <c r="T228" s="691">
        <v>0</v>
      </c>
      <c r="U228" s="691">
        <v>0</v>
      </c>
      <c r="V228" s="691" t="e">
        <f>1*'PTO OC PLIEGO'!#REF!</f>
        <v>#REF!</v>
      </c>
      <c r="W228" s="691">
        <v>0</v>
      </c>
      <c r="X228" s="691">
        <v>0</v>
      </c>
      <c r="Y228" s="675">
        <v>0</v>
      </c>
      <c r="Z228" s="676">
        <v>0</v>
      </c>
      <c r="AA228" s="676">
        <v>0</v>
      </c>
      <c r="AB228" s="676">
        <v>0</v>
      </c>
      <c r="AC228" s="676">
        <v>0</v>
      </c>
      <c r="AD228" s="676">
        <v>0</v>
      </c>
      <c r="AE228" s="676">
        <v>0</v>
      </c>
      <c r="AF228" s="676">
        <v>0</v>
      </c>
      <c r="AG228" s="682">
        <v>0</v>
      </c>
      <c r="AH228" s="683">
        <v>0</v>
      </c>
      <c r="AI228" s="676">
        <v>0</v>
      </c>
      <c r="AJ228" s="676">
        <v>0</v>
      </c>
      <c r="AK228" s="676">
        <v>0</v>
      </c>
      <c r="AL228" s="676">
        <v>0</v>
      </c>
      <c r="AM228" s="676">
        <v>0</v>
      </c>
      <c r="AN228" s="682">
        <v>0</v>
      </c>
      <c r="AO228" s="683">
        <v>0</v>
      </c>
      <c r="AP228" s="676">
        <v>0</v>
      </c>
      <c r="AQ228" s="676">
        <v>0</v>
      </c>
      <c r="AR228" s="676">
        <v>0</v>
      </c>
      <c r="AS228" s="682">
        <v>0</v>
      </c>
      <c r="AT228" s="674">
        <v>0</v>
      </c>
      <c r="AU228" s="674">
        <v>0</v>
      </c>
      <c r="AV228" s="674">
        <v>0</v>
      </c>
      <c r="AW228" s="684">
        <v>0</v>
      </c>
      <c r="AX228" s="685">
        <v>0</v>
      </c>
      <c r="AY228" s="612"/>
      <c r="AZ228" s="612"/>
      <c r="BA228" s="612"/>
      <c r="BB228" s="612"/>
      <c r="BC228" s="612"/>
      <c r="BD228" s="612"/>
      <c r="BI228" s="612"/>
      <c r="BJ228" s="612"/>
      <c r="BK228" s="612"/>
      <c r="BL228" s="612"/>
    </row>
    <row r="229" spans="1:64" s="609" customFormat="1" ht="30" customHeight="1" x14ac:dyDescent="0.3">
      <c r="A229" s="1604"/>
      <c r="B229" s="1605"/>
      <c r="C229" s="1606"/>
      <c r="D229" s="611" t="s">
        <v>20</v>
      </c>
      <c r="E229" s="1608"/>
      <c r="F229" s="1610"/>
      <c r="G229" s="692">
        <v>0</v>
      </c>
      <c r="H229" s="675">
        <v>0</v>
      </c>
      <c r="I229" s="676">
        <v>0</v>
      </c>
      <c r="J229" s="691">
        <v>0</v>
      </c>
      <c r="K229" s="677">
        <v>0</v>
      </c>
      <c r="L229" s="686">
        <v>0</v>
      </c>
      <c r="M229" s="693">
        <v>0</v>
      </c>
      <c r="N229" s="687">
        <v>0</v>
      </c>
      <c r="O229" s="688">
        <v>0</v>
      </c>
      <c r="P229" s="686">
        <v>0</v>
      </c>
      <c r="Q229" s="688">
        <v>0</v>
      </c>
      <c r="R229" s="686">
        <v>0</v>
      </c>
      <c r="S229" s="691">
        <v>0</v>
      </c>
      <c r="T229" s="691">
        <v>0</v>
      </c>
      <c r="U229" s="691">
        <v>0</v>
      </c>
      <c r="V229" s="691" t="e">
        <f>V228*E228</f>
        <v>#REF!</v>
      </c>
      <c r="W229" s="691">
        <v>0</v>
      </c>
      <c r="X229" s="691">
        <v>0</v>
      </c>
      <c r="Y229" s="675">
        <v>0</v>
      </c>
      <c r="Z229" s="676">
        <v>0</v>
      </c>
      <c r="AA229" s="676">
        <v>0</v>
      </c>
      <c r="AB229" s="676">
        <v>0</v>
      </c>
      <c r="AC229" s="676">
        <v>0</v>
      </c>
      <c r="AD229" s="676">
        <v>0</v>
      </c>
      <c r="AE229" s="676">
        <v>0</v>
      </c>
      <c r="AF229" s="676">
        <v>0</v>
      </c>
      <c r="AG229" s="682">
        <v>0</v>
      </c>
      <c r="AH229" s="683">
        <v>0</v>
      </c>
      <c r="AI229" s="676">
        <v>0</v>
      </c>
      <c r="AJ229" s="676">
        <v>0</v>
      </c>
      <c r="AK229" s="676">
        <v>0</v>
      </c>
      <c r="AL229" s="676">
        <v>0</v>
      </c>
      <c r="AM229" s="676">
        <v>0</v>
      </c>
      <c r="AN229" s="682">
        <v>0</v>
      </c>
      <c r="AO229" s="683">
        <v>0</v>
      </c>
      <c r="AP229" s="676">
        <v>0</v>
      </c>
      <c r="AQ229" s="676">
        <v>0</v>
      </c>
      <c r="AR229" s="676">
        <v>0</v>
      </c>
      <c r="AS229" s="682">
        <v>0</v>
      </c>
      <c r="AT229" s="674">
        <v>0</v>
      </c>
      <c r="AU229" s="674">
        <v>0</v>
      </c>
      <c r="AV229" s="674">
        <v>0</v>
      </c>
      <c r="AW229" s="684">
        <v>0</v>
      </c>
      <c r="AX229" s="685">
        <v>0</v>
      </c>
      <c r="AY229" s="612"/>
      <c r="AZ229" s="612"/>
      <c r="BA229" s="612"/>
      <c r="BB229" s="612"/>
      <c r="BC229" s="612"/>
      <c r="BD229" s="612"/>
      <c r="BI229" s="612"/>
      <c r="BJ229" s="612"/>
      <c r="BK229" s="612"/>
      <c r="BL229" s="612"/>
    </row>
    <row r="230" spans="1:64" s="609" customFormat="1" ht="30" customHeight="1" x14ac:dyDescent="0.3">
      <c r="A230" s="1601" t="s">
        <v>451</v>
      </c>
      <c r="B230" s="1602"/>
      <c r="C230" s="1603"/>
      <c r="D230" s="611" t="s">
        <v>696</v>
      </c>
      <c r="E230" s="1607" t="e">
        <f>VLOOKUP(A230,AA_Materiales,16,FALSE)</f>
        <v>#N/A</v>
      </c>
      <c r="F230" s="1609" t="e">
        <f>SUM(G231:AX231)</f>
        <v>#REF!</v>
      </c>
      <c r="G230" s="692">
        <v>0</v>
      </c>
      <c r="H230" s="675">
        <v>0</v>
      </c>
      <c r="I230" s="676">
        <v>0</v>
      </c>
      <c r="J230" s="691">
        <v>0</v>
      </c>
      <c r="K230" s="677">
        <v>0</v>
      </c>
      <c r="L230" s="686">
        <v>0</v>
      </c>
      <c r="M230" s="693">
        <v>0</v>
      </c>
      <c r="N230" s="687">
        <v>0</v>
      </c>
      <c r="O230" s="688">
        <v>0</v>
      </c>
      <c r="P230" s="686">
        <v>0</v>
      </c>
      <c r="Q230" s="688">
        <v>0</v>
      </c>
      <c r="R230" s="686">
        <v>0</v>
      </c>
      <c r="S230" s="691">
        <v>0</v>
      </c>
      <c r="T230" s="691">
        <v>0</v>
      </c>
      <c r="U230" s="691">
        <v>0</v>
      </c>
      <c r="V230" s="691" t="e">
        <f>1*'PTO OC PLIEGO'!#REF!</f>
        <v>#REF!</v>
      </c>
      <c r="W230" s="691">
        <v>0</v>
      </c>
      <c r="X230" s="691">
        <v>0</v>
      </c>
      <c r="Y230" s="675">
        <v>0</v>
      </c>
      <c r="Z230" s="676">
        <v>0</v>
      </c>
      <c r="AA230" s="676">
        <v>0</v>
      </c>
      <c r="AB230" s="676">
        <v>0</v>
      </c>
      <c r="AC230" s="676">
        <v>0</v>
      </c>
      <c r="AD230" s="676">
        <v>0</v>
      </c>
      <c r="AE230" s="676">
        <v>0</v>
      </c>
      <c r="AF230" s="676">
        <v>0</v>
      </c>
      <c r="AG230" s="682">
        <v>0</v>
      </c>
      <c r="AH230" s="683">
        <v>0</v>
      </c>
      <c r="AI230" s="676">
        <v>0</v>
      </c>
      <c r="AJ230" s="676">
        <v>0</v>
      </c>
      <c r="AK230" s="676">
        <v>0</v>
      </c>
      <c r="AL230" s="676">
        <v>0</v>
      </c>
      <c r="AM230" s="676">
        <v>0</v>
      </c>
      <c r="AN230" s="682">
        <v>0</v>
      </c>
      <c r="AO230" s="683">
        <v>0</v>
      </c>
      <c r="AP230" s="676">
        <v>0</v>
      </c>
      <c r="AQ230" s="676">
        <v>0</v>
      </c>
      <c r="AR230" s="676">
        <v>0</v>
      </c>
      <c r="AS230" s="682">
        <v>0</v>
      </c>
      <c r="AT230" s="674">
        <v>0</v>
      </c>
      <c r="AU230" s="674">
        <v>0</v>
      </c>
      <c r="AV230" s="674">
        <v>0</v>
      </c>
      <c r="AW230" s="684">
        <v>0</v>
      </c>
      <c r="AX230" s="685">
        <v>0</v>
      </c>
      <c r="AY230" s="612"/>
      <c r="AZ230" s="612"/>
      <c r="BA230" s="612"/>
      <c r="BB230" s="612"/>
      <c r="BC230" s="612"/>
      <c r="BD230" s="612"/>
      <c r="BI230" s="612"/>
      <c r="BJ230" s="612"/>
      <c r="BK230" s="612"/>
      <c r="BL230" s="612"/>
    </row>
    <row r="231" spans="1:64" s="609" customFormat="1" ht="30" customHeight="1" x14ac:dyDescent="0.3">
      <c r="A231" s="1604"/>
      <c r="B231" s="1605"/>
      <c r="C231" s="1606"/>
      <c r="D231" s="611" t="s">
        <v>20</v>
      </c>
      <c r="E231" s="1608"/>
      <c r="F231" s="1610"/>
      <c r="G231" s="692">
        <v>0</v>
      </c>
      <c r="H231" s="675">
        <v>0</v>
      </c>
      <c r="I231" s="676">
        <v>0</v>
      </c>
      <c r="J231" s="691">
        <v>0</v>
      </c>
      <c r="K231" s="677">
        <v>0</v>
      </c>
      <c r="L231" s="686">
        <v>0</v>
      </c>
      <c r="M231" s="693">
        <v>0</v>
      </c>
      <c r="N231" s="687">
        <v>0</v>
      </c>
      <c r="O231" s="688">
        <v>0</v>
      </c>
      <c r="P231" s="686">
        <v>0</v>
      </c>
      <c r="Q231" s="688">
        <v>0</v>
      </c>
      <c r="R231" s="686">
        <v>0</v>
      </c>
      <c r="S231" s="691">
        <v>0</v>
      </c>
      <c r="T231" s="691">
        <v>0</v>
      </c>
      <c r="U231" s="691">
        <v>0</v>
      </c>
      <c r="V231" s="691" t="e">
        <f>+V230*E230</f>
        <v>#REF!</v>
      </c>
      <c r="W231" s="691">
        <v>0</v>
      </c>
      <c r="X231" s="691">
        <v>0</v>
      </c>
      <c r="Y231" s="675">
        <v>0</v>
      </c>
      <c r="Z231" s="676">
        <v>0</v>
      </c>
      <c r="AA231" s="676">
        <v>0</v>
      </c>
      <c r="AB231" s="676">
        <v>0</v>
      </c>
      <c r="AC231" s="676">
        <v>0</v>
      </c>
      <c r="AD231" s="676">
        <v>0</v>
      </c>
      <c r="AE231" s="676">
        <v>0</v>
      </c>
      <c r="AF231" s="676">
        <v>0</v>
      </c>
      <c r="AG231" s="682">
        <v>0</v>
      </c>
      <c r="AH231" s="683">
        <v>0</v>
      </c>
      <c r="AI231" s="676">
        <v>0</v>
      </c>
      <c r="AJ231" s="676">
        <v>0</v>
      </c>
      <c r="AK231" s="676">
        <v>0</v>
      </c>
      <c r="AL231" s="676">
        <v>0</v>
      </c>
      <c r="AM231" s="676">
        <v>0</v>
      </c>
      <c r="AN231" s="682">
        <v>0</v>
      </c>
      <c r="AO231" s="683">
        <v>0</v>
      </c>
      <c r="AP231" s="676">
        <v>0</v>
      </c>
      <c r="AQ231" s="676">
        <v>0</v>
      </c>
      <c r="AR231" s="676">
        <v>0</v>
      </c>
      <c r="AS231" s="682">
        <v>0</v>
      </c>
      <c r="AT231" s="674">
        <v>0</v>
      </c>
      <c r="AU231" s="674">
        <v>0</v>
      </c>
      <c r="AV231" s="674">
        <v>0</v>
      </c>
      <c r="AW231" s="684">
        <v>0</v>
      </c>
      <c r="AX231" s="685">
        <v>0</v>
      </c>
      <c r="AY231" s="612"/>
      <c r="AZ231" s="612"/>
      <c r="BA231" s="612"/>
      <c r="BB231" s="612"/>
      <c r="BC231" s="612"/>
      <c r="BD231" s="612"/>
      <c r="BI231" s="612"/>
      <c r="BJ231" s="612"/>
      <c r="BK231" s="612"/>
      <c r="BL231" s="612"/>
    </row>
    <row r="232" spans="1:64" s="609" customFormat="1" ht="30" customHeight="1" x14ac:dyDescent="0.3">
      <c r="A232" s="1601" t="s">
        <v>452</v>
      </c>
      <c r="B232" s="1602"/>
      <c r="C232" s="1603"/>
      <c r="D232" s="611" t="s">
        <v>696</v>
      </c>
      <c r="E232" s="1607" t="e">
        <f>VLOOKUP(A232,AA_Materiales,16,FALSE)</f>
        <v>#N/A</v>
      </c>
      <c r="F232" s="1609" t="e">
        <f>SUM(G233:AX233)</f>
        <v>#REF!</v>
      </c>
      <c r="G232" s="692">
        <v>0</v>
      </c>
      <c r="H232" s="675">
        <v>0</v>
      </c>
      <c r="I232" s="676">
        <v>0</v>
      </c>
      <c r="J232" s="691">
        <v>0</v>
      </c>
      <c r="K232" s="677">
        <v>0</v>
      </c>
      <c r="L232" s="686">
        <v>0</v>
      </c>
      <c r="M232" s="693">
        <v>0</v>
      </c>
      <c r="N232" s="687">
        <v>0</v>
      </c>
      <c r="O232" s="688">
        <v>0</v>
      </c>
      <c r="P232" s="686">
        <v>0</v>
      </c>
      <c r="Q232" s="688">
        <v>0</v>
      </c>
      <c r="R232" s="686">
        <v>0</v>
      </c>
      <c r="S232" s="691">
        <v>0</v>
      </c>
      <c r="T232" s="691">
        <v>0</v>
      </c>
      <c r="U232" s="691">
        <v>0</v>
      </c>
      <c r="V232" s="691" t="e">
        <f>1*'PTO OC PLIEGO'!#REF!</f>
        <v>#REF!</v>
      </c>
      <c r="W232" s="691">
        <v>0</v>
      </c>
      <c r="X232" s="691">
        <v>0</v>
      </c>
      <c r="Y232" s="675">
        <v>0</v>
      </c>
      <c r="Z232" s="676">
        <v>0</v>
      </c>
      <c r="AA232" s="676">
        <v>0</v>
      </c>
      <c r="AB232" s="676">
        <v>0</v>
      </c>
      <c r="AC232" s="676">
        <v>0</v>
      </c>
      <c r="AD232" s="676">
        <v>0</v>
      </c>
      <c r="AE232" s="676">
        <v>0</v>
      </c>
      <c r="AF232" s="676">
        <v>0</v>
      </c>
      <c r="AG232" s="682">
        <v>0</v>
      </c>
      <c r="AH232" s="683">
        <v>0</v>
      </c>
      <c r="AI232" s="676">
        <v>0</v>
      </c>
      <c r="AJ232" s="676">
        <v>0</v>
      </c>
      <c r="AK232" s="676">
        <v>0</v>
      </c>
      <c r="AL232" s="676">
        <v>0</v>
      </c>
      <c r="AM232" s="676">
        <v>0</v>
      </c>
      <c r="AN232" s="682">
        <v>0</v>
      </c>
      <c r="AO232" s="683">
        <v>0</v>
      </c>
      <c r="AP232" s="676">
        <v>0</v>
      </c>
      <c r="AQ232" s="676">
        <v>0</v>
      </c>
      <c r="AR232" s="676">
        <v>0</v>
      </c>
      <c r="AS232" s="682">
        <v>0</v>
      </c>
      <c r="AT232" s="674">
        <v>0</v>
      </c>
      <c r="AU232" s="674">
        <v>0</v>
      </c>
      <c r="AV232" s="674">
        <v>0</v>
      </c>
      <c r="AW232" s="684">
        <v>0</v>
      </c>
      <c r="AX232" s="685">
        <v>0</v>
      </c>
      <c r="AY232" s="612"/>
      <c r="AZ232" s="612"/>
      <c r="BA232" s="612"/>
      <c r="BB232" s="612"/>
      <c r="BC232" s="612"/>
      <c r="BD232" s="612"/>
      <c r="BI232" s="612"/>
      <c r="BJ232" s="612"/>
      <c r="BK232" s="612"/>
      <c r="BL232" s="612"/>
    </row>
    <row r="233" spans="1:64" s="609" customFormat="1" ht="30" customHeight="1" x14ac:dyDescent="0.3">
      <c r="A233" s="1604"/>
      <c r="B233" s="1605"/>
      <c r="C233" s="1606"/>
      <c r="D233" s="611" t="s">
        <v>20</v>
      </c>
      <c r="E233" s="1608"/>
      <c r="F233" s="1610"/>
      <c r="G233" s="692">
        <v>0</v>
      </c>
      <c r="H233" s="675">
        <v>0</v>
      </c>
      <c r="I233" s="676">
        <v>0</v>
      </c>
      <c r="J233" s="691">
        <v>0</v>
      </c>
      <c r="K233" s="677">
        <v>0</v>
      </c>
      <c r="L233" s="686">
        <v>0</v>
      </c>
      <c r="M233" s="693">
        <v>0</v>
      </c>
      <c r="N233" s="687">
        <v>0</v>
      </c>
      <c r="O233" s="688">
        <v>0</v>
      </c>
      <c r="P233" s="686">
        <v>0</v>
      </c>
      <c r="Q233" s="688">
        <v>0</v>
      </c>
      <c r="R233" s="686">
        <v>0</v>
      </c>
      <c r="S233" s="691">
        <v>0</v>
      </c>
      <c r="T233" s="691">
        <v>0</v>
      </c>
      <c r="U233" s="691">
        <v>0</v>
      </c>
      <c r="V233" s="691" t="e">
        <f>V232*E232</f>
        <v>#REF!</v>
      </c>
      <c r="W233" s="691">
        <v>0</v>
      </c>
      <c r="X233" s="691">
        <v>0</v>
      </c>
      <c r="Y233" s="675">
        <v>0</v>
      </c>
      <c r="Z233" s="676">
        <v>0</v>
      </c>
      <c r="AA233" s="676">
        <v>0</v>
      </c>
      <c r="AB233" s="676">
        <v>0</v>
      </c>
      <c r="AC233" s="676">
        <v>0</v>
      </c>
      <c r="AD233" s="676">
        <v>0</v>
      </c>
      <c r="AE233" s="676">
        <v>0</v>
      </c>
      <c r="AF233" s="676">
        <v>0</v>
      </c>
      <c r="AG233" s="682">
        <v>0</v>
      </c>
      <c r="AH233" s="683">
        <v>0</v>
      </c>
      <c r="AI233" s="676">
        <v>0</v>
      </c>
      <c r="AJ233" s="676">
        <v>0</v>
      </c>
      <c r="AK233" s="676">
        <v>0</v>
      </c>
      <c r="AL233" s="676">
        <v>0</v>
      </c>
      <c r="AM233" s="676">
        <v>0</v>
      </c>
      <c r="AN233" s="682">
        <v>0</v>
      </c>
      <c r="AO233" s="683">
        <v>0</v>
      </c>
      <c r="AP233" s="676">
        <v>0</v>
      </c>
      <c r="AQ233" s="676">
        <v>0</v>
      </c>
      <c r="AR233" s="676">
        <v>0</v>
      </c>
      <c r="AS233" s="682">
        <v>0</v>
      </c>
      <c r="AT233" s="674">
        <v>0</v>
      </c>
      <c r="AU233" s="674">
        <v>0</v>
      </c>
      <c r="AV233" s="674">
        <v>0</v>
      </c>
      <c r="AW233" s="684">
        <v>0</v>
      </c>
      <c r="AX233" s="685">
        <v>0</v>
      </c>
      <c r="AY233" s="612"/>
      <c r="AZ233" s="612"/>
      <c r="BA233" s="612"/>
      <c r="BB233" s="612"/>
      <c r="BC233" s="612"/>
      <c r="BD233" s="612"/>
      <c r="BI233" s="612"/>
      <c r="BJ233" s="612"/>
      <c r="BK233" s="612"/>
      <c r="BL233" s="612"/>
    </row>
    <row r="234" spans="1:64" s="609" customFormat="1" ht="30" customHeight="1" x14ac:dyDescent="0.3">
      <c r="A234" s="1601" t="s">
        <v>453</v>
      </c>
      <c r="B234" s="1602"/>
      <c r="C234" s="1603"/>
      <c r="D234" s="611" t="s">
        <v>696</v>
      </c>
      <c r="E234" s="1607" t="e">
        <f>VLOOKUP(A234,AA_Materiales,16,FALSE)</f>
        <v>#N/A</v>
      </c>
      <c r="F234" s="1609" t="e">
        <f>SUM(G235:AX235)</f>
        <v>#REF!</v>
      </c>
      <c r="G234" s="692">
        <v>0</v>
      </c>
      <c r="H234" s="675">
        <v>0</v>
      </c>
      <c r="I234" s="676">
        <v>0</v>
      </c>
      <c r="J234" s="691">
        <v>0</v>
      </c>
      <c r="K234" s="677">
        <v>0</v>
      </c>
      <c r="L234" s="686">
        <v>0</v>
      </c>
      <c r="M234" s="693">
        <v>0</v>
      </c>
      <c r="N234" s="687">
        <v>0</v>
      </c>
      <c r="O234" s="688">
        <v>0</v>
      </c>
      <c r="P234" s="686">
        <v>0</v>
      </c>
      <c r="Q234" s="688">
        <v>0</v>
      </c>
      <c r="R234" s="686">
        <v>0</v>
      </c>
      <c r="S234" s="691">
        <v>0</v>
      </c>
      <c r="T234" s="691">
        <v>0</v>
      </c>
      <c r="U234" s="691">
        <v>0</v>
      </c>
      <c r="V234" s="691" t="e">
        <f>1*'PTO OC PLIEGO'!#REF!</f>
        <v>#REF!</v>
      </c>
      <c r="W234" s="691">
        <v>0</v>
      </c>
      <c r="X234" s="691">
        <v>0</v>
      </c>
      <c r="Y234" s="675">
        <v>0</v>
      </c>
      <c r="Z234" s="676">
        <v>0</v>
      </c>
      <c r="AA234" s="676">
        <v>0</v>
      </c>
      <c r="AB234" s="676">
        <v>0</v>
      </c>
      <c r="AC234" s="676">
        <v>0</v>
      </c>
      <c r="AD234" s="676">
        <v>0</v>
      </c>
      <c r="AE234" s="676">
        <v>0</v>
      </c>
      <c r="AF234" s="676">
        <v>0</v>
      </c>
      <c r="AG234" s="682">
        <v>0</v>
      </c>
      <c r="AH234" s="683">
        <v>0</v>
      </c>
      <c r="AI234" s="676">
        <v>0</v>
      </c>
      <c r="AJ234" s="676">
        <v>0</v>
      </c>
      <c r="AK234" s="676">
        <v>0</v>
      </c>
      <c r="AL234" s="676">
        <v>0</v>
      </c>
      <c r="AM234" s="676">
        <v>0</v>
      </c>
      <c r="AN234" s="682">
        <v>0</v>
      </c>
      <c r="AO234" s="683">
        <v>0</v>
      </c>
      <c r="AP234" s="676">
        <v>0</v>
      </c>
      <c r="AQ234" s="676">
        <v>0</v>
      </c>
      <c r="AR234" s="676">
        <v>0</v>
      </c>
      <c r="AS234" s="682">
        <v>0</v>
      </c>
      <c r="AT234" s="674">
        <v>0</v>
      </c>
      <c r="AU234" s="674">
        <v>0</v>
      </c>
      <c r="AV234" s="674">
        <v>0</v>
      </c>
      <c r="AW234" s="684">
        <v>0</v>
      </c>
      <c r="AX234" s="685">
        <v>0</v>
      </c>
      <c r="AY234" s="612"/>
      <c r="AZ234" s="612"/>
      <c r="BA234" s="612"/>
      <c r="BB234" s="612"/>
      <c r="BC234" s="612"/>
      <c r="BD234" s="612"/>
      <c r="BI234" s="612"/>
      <c r="BJ234" s="612"/>
      <c r="BK234" s="612"/>
      <c r="BL234" s="612"/>
    </row>
    <row r="235" spans="1:64" s="609" customFormat="1" ht="30" customHeight="1" x14ac:dyDescent="0.3">
      <c r="A235" s="1604"/>
      <c r="B235" s="1605"/>
      <c r="C235" s="1606"/>
      <c r="D235" s="611" t="s">
        <v>20</v>
      </c>
      <c r="E235" s="1608"/>
      <c r="F235" s="1610"/>
      <c r="G235" s="692">
        <v>0</v>
      </c>
      <c r="H235" s="675">
        <v>0</v>
      </c>
      <c r="I235" s="676">
        <v>0</v>
      </c>
      <c r="J235" s="691">
        <v>0</v>
      </c>
      <c r="K235" s="677">
        <v>0</v>
      </c>
      <c r="L235" s="686">
        <v>0</v>
      </c>
      <c r="M235" s="693">
        <v>0</v>
      </c>
      <c r="N235" s="687">
        <v>0</v>
      </c>
      <c r="O235" s="688">
        <v>0</v>
      </c>
      <c r="P235" s="686">
        <v>0</v>
      </c>
      <c r="Q235" s="688">
        <v>0</v>
      </c>
      <c r="R235" s="686">
        <v>0</v>
      </c>
      <c r="S235" s="691">
        <v>0</v>
      </c>
      <c r="T235" s="691">
        <v>0</v>
      </c>
      <c r="U235" s="691">
        <v>0</v>
      </c>
      <c r="V235" s="691" t="e">
        <f>V234*E234</f>
        <v>#REF!</v>
      </c>
      <c r="W235" s="691">
        <v>0</v>
      </c>
      <c r="X235" s="691">
        <v>0</v>
      </c>
      <c r="Y235" s="675">
        <v>0</v>
      </c>
      <c r="Z235" s="676">
        <v>0</v>
      </c>
      <c r="AA235" s="676">
        <v>0</v>
      </c>
      <c r="AB235" s="676">
        <v>0</v>
      </c>
      <c r="AC235" s="676">
        <v>0</v>
      </c>
      <c r="AD235" s="676">
        <v>0</v>
      </c>
      <c r="AE235" s="676">
        <v>0</v>
      </c>
      <c r="AF235" s="676">
        <v>0</v>
      </c>
      <c r="AG235" s="682">
        <v>0</v>
      </c>
      <c r="AH235" s="683">
        <v>0</v>
      </c>
      <c r="AI235" s="676">
        <v>0</v>
      </c>
      <c r="AJ235" s="676">
        <v>0</v>
      </c>
      <c r="AK235" s="676">
        <v>0</v>
      </c>
      <c r="AL235" s="676">
        <v>0</v>
      </c>
      <c r="AM235" s="676">
        <v>0</v>
      </c>
      <c r="AN235" s="682">
        <v>0</v>
      </c>
      <c r="AO235" s="683">
        <v>0</v>
      </c>
      <c r="AP235" s="676">
        <v>0</v>
      </c>
      <c r="AQ235" s="676">
        <v>0</v>
      </c>
      <c r="AR235" s="676">
        <v>0</v>
      </c>
      <c r="AS235" s="682">
        <v>0</v>
      </c>
      <c r="AT235" s="674">
        <v>0</v>
      </c>
      <c r="AU235" s="674">
        <v>0</v>
      </c>
      <c r="AV235" s="674">
        <v>0</v>
      </c>
      <c r="AW235" s="684">
        <v>0</v>
      </c>
      <c r="AX235" s="685">
        <v>0</v>
      </c>
      <c r="AY235" s="612"/>
      <c r="AZ235" s="612"/>
      <c r="BA235" s="612"/>
      <c r="BB235" s="612"/>
      <c r="BC235" s="612"/>
      <c r="BD235" s="612"/>
      <c r="BI235" s="612"/>
      <c r="BJ235" s="612"/>
      <c r="BK235" s="612"/>
      <c r="BL235" s="612"/>
    </row>
    <row r="236" spans="1:64" s="609" customFormat="1" ht="30" customHeight="1" x14ac:dyDescent="0.3">
      <c r="A236" s="1601" t="s">
        <v>454</v>
      </c>
      <c r="B236" s="1602"/>
      <c r="C236" s="1603"/>
      <c r="D236" s="611" t="s">
        <v>696</v>
      </c>
      <c r="E236" s="1607" t="e">
        <f>VLOOKUP(A236,AA_Materiales,16,FALSE)</f>
        <v>#N/A</v>
      </c>
      <c r="F236" s="1609" t="e">
        <f>SUM(G237:AX237)</f>
        <v>#REF!</v>
      </c>
      <c r="G236" s="692">
        <v>0</v>
      </c>
      <c r="H236" s="675">
        <v>0</v>
      </c>
      <c r="I236" s="676">
        <v>0</v>
      </c>
      <c r="J236" s="691">
        <v>0</v>
      </c>
      <c r="K236" s="677">
        <v>0</v>
      </c>
      <c r="L236" s="686">
        <v>0</v>
      </c>
      <c r="M236" s="693">
        <v>0</v>
      </c>
      <c r="N236" s="687">
        <v>0</v>
      </c>
      <c r="O236" s="688">
        <v>0</v>
      </c>
      <c r="P236" s="686">
        <v>0</v>
      </c>
      <c r="Q236" s="688">
        <v>0</v>
      </c>
      <c r="R236" s="686">
        <v>0</v>
      </c>
      <c r="S236" s="691">
        <v>0</v>
      </c>
      <c r="T236" s="691">
        <v>0</v>
      </c>
      <c r="U236" s="691">
        <v>0</v>
      </c>
      <c r="V236" s="691" t="e">
        <f>1*'PTO OC PLIEGO'!#REF!</f>
        <v>#REF!</v>
      </c>
      <c r="W236" s="691">
        <v>0</v>
      </c>
      <c r="X236" s="691">
        <v>0</v>
      </c>
      <c r="Y236" s="675">
        <v>0</v>
      </c>
      <c r="Z236" s="676">
        <v>0</v>
      </c>
      <c r="AA236" s="676">
        <v>0</v>
      </c>
      <c r="AB236" s="676">
        <v>0</v>
      </c>
      <c r="AC236" s="676">
        <v>0</v>
      </c>
      <c r="AD236" s="676">
        <v>0</v>
      </c>
      <c r="AE236" s="676">
        <v>0</v>
      </c>
      <c r="AF236" s="676">
        <v>0</v>
      </c>
      <c r="AG236" s="682">
        <v>0</v>
      </c>
      <c r="AH236" s="683">
        <v>0</v>
      </c>
      <c r="AI236" s="676">
        <v>0</v>
      </c>
      <c r="AJ236" s="676">
        <v>0</v>
      </c>
      <c r="AK236" s="676">
        <v>0</v>
      </c>
      <c r="AL236" s="676">
        <v>0</v>
      </c>
      <c r="AM236" s="676">
        <v>0</v>
      </c>
      <c r="AN236" s="682">
        <v>0</v>
      </c>
      <c r="AO236" s="683">
        <v>0</v>
      </c>
      <c r="AP236" s="676">
        <v>0</v>
      </c>
      <c r="AQ236" s="676">
        <v>0</v>
      </c>
      <c r="AR236" s="676">
        <v>0</v>
      </c>
      <c r="AS236" s="682">
        <v>0</v>
      </c>
      <c r="AT236" s="674">
        <v>0</v>
      </c>
      <c r="AU236" s="674">
        <v>0</v>
      </c>
      <c r="AV236" s="674">
        <v>0</v>
      </c>
      <c r="AW236" s="684">
        <v>0</v>
      </c>
      <c r="AX236" s="685">
        <v>0</v>
      </c>
      <c r="AY236" s="612"/>
      <c r="AZ236" s="612"/>
      <c r="BA236" s="612"/>
      <c r="BB236" s="612"/>
      <c r="BC236" s="612"/>
      <c r="BD236" s="612"/>
      <c r="BI236" s="612"/>
      <c r="BJ236" s="612"/>
      <c r="BK236" s="612"/>
      <c r="BL236" s="612"/>
    </row>
    <row r="237" spans="1:64" s="609" customFormat="1" ht="30" customHeight="1" x14ac:dyDescent="0.3">
      <c r="A237" s="1604"/>
      <c r="B237" s="1605"/>
      <c r="C237" s="1606"/>
      <c r="D237" s="611" t="s">
        <v>20</v>
      </c>
      <c r="E237" s="1608"/>
      <c r="F237" s="1610"/>
      <c r="G237" s="692">
        <v>0</v>
      </c>
      <c r="H237" s="675">
        <v>0</v>
      </c>
      <c r="I237" s="676">
        <v>0</v>
      </c>
      <c r="J237" s="691">
        <v>0</v>
      </c>
      <c r="K237" s="677">
        <v>0</v>
      </c>
      <c r="L237" s="686">
        <v>0</v>
      </c>
      <c r="M237" s="693">
        <v>0</v>
      </c>
      <c r="N237" s="687">
        <v>0</v>
      </c>
      <c r="O237" s="688">
        <v>0</v>
      </c>
      <c r="P237" s="686">
        <v>0</v>
      </c>
      <c r="Q237" s="688">
        <v>0</v>
      </c>
      <c r="R237" s="686">
        <v>0</v>
      </c>
      <c r="S237" s="691">
        <v>0</v>
      </c>
      <c r="T237" s="691">
        <v>0</v>
      </c>
      <c r="U237" s="691">
        <v>0</v>
      </c>
      <c r="V237" s="691" t="e">
        <f>V236*E236</f>
        <v>#REF!</v>
      </c>
      <c r="W237" s="691">
        <v>0</v>
      </c>
      <c r="X237" s="691">
        <v>0</v>
      </c>
      <c r="Y237" s="675">
        <v>0</v>
      </c>
      <c r="Z237" s="676">
        <v>0</v>
      </c>
      <c r="AA237" s="676">
        <v>0</v>
      </c>
      <c r="AB237" s="676">
        <v>0</v>
      </c>
      <c r="AC237" s="676">
        <v>0</v>
      </c>
      <c r="AD237" s="676">
        <v>0</v>
      </c>
      <c r="AE237" s="676">
        <v>0</v>
      </c>
      <c r="AF237" s="676">
        <v>0</v>
      </c>
      <c r="AG237" s="682">
        <v>0</v>
      </c>
      <c r="AH237" s="683">
        <v>0</v>
      </c>
      <c r="AI237" s="676">
        <v>0</v>
      </c>
      <c r="AJ237" s="676">
        <v>0</v>
      </c>
      <c r="AK237" s="676">
        <v>0</v>
      </c>
      <c r="AL237" s="676">
        <v>0</v>
      </c>
      <c r="AM237" s="676">
        <v>0</v>
      </c>
      <c r="AN237" s="682">
        <v>0</v>
      </c>
      <c r="AO237" s="683">
        <v>0</v>
      </c>
      <c r="AP237" s="676">
        <v>0</v>
      </c>
      <c r="AQ237" s="676">
        <v>0</v>
      </c>
      <c r="AR237" s="676">
        <v>0</v>
      </c>
      <c r="AS237" s="682">
        <v>0</v>
      </c>
      <c r="AT237" s="674">
        <v>0</v>
      </c>
      <c r="AU237" s="674">
        <v>0</v>
      </c>
      <c r="AV237" s="674">
        <v>0</v>
      </c>
      <c r="AW237" s="684">
        <v>0</v>
      </c>
      <c r="AX237" s="685">
        <v>0</v>
      </c>
      <c r="AY237" s="612"/>
      <c r="AZ237" s="612"/>
      <c r="BA237" s="612"/>
      <c r="BB237" s="612"/>
      <c r="BC237" s="612"/>
      <c r="BD237" s="612"/>
      <c r="BI237" s="612"/>
      <c r="BJ237" s="612"/>
      <c r="BK237" s="612"/>
      <c r="BL237" s="612"/>
    </row>
    <row r="238" spans="1:64" s="609" customFormat="1" ht="30" customHeight="1" x14ac:dyDescent="0.3">
      <c r="A238" s="1601" t="s">
        <v>455</v>
      </c>
      <c r="B238" s="1602"/>
      <c r="C238" s="1603"/>
      <c r="D238" s="611" t="s">
        <v>696</v>
      </c>
      <c r="E238" s="1607" t="e">
        <f>VLOOKUP(A238,AA_Materiales,16,FALSE)</f>
        <v>#N/A</v>
      </c>
      <c r="F238" s="1609" t="e">
        <f>SUM(G239:AX239)</f>
        <v>#REF!</v>
      </c>
      <c r="G238" s="692">
        <v>0</v>
      </c>
      <c r="H238" s="675">
        <v>0</v>
      </c>
      <c r="I238" s="676">
        <v>0</v>
      </c>
      <c r="J238" s="691">
        <v>0</v>
      </c>
      <c r="K238" s="677">
        <v>0</v>
      </c>
      <c r="L238" s="686">
        <v>0</v>
      </c>
      <c r="M238" s="693">
        <v>0</v>
      </c>
      <c r="N238" s="687">
        <v>0</v>
      </c>
      <c r="O238" s="688">
        <v>0</v>
      </c>
      <c r="P238" s="686">
        <v>0</v>
      </c>
      <c r="Q238" s="688">
        <v>0</v>
      </c>
      <c r="R238" s="686">
        <v>0</v>
      </c>
      <c r="S238" s="691">
        <v>0</v>
      </c>
      <c r="T238" s="691">
        <v>0</v>
      </c>
      <c r="U238" s="691">
        <v>0</v>
      </c>
      <c r="V238" s="691" t="e">
        <f>5.8*'PTO OC PLIEGO'!#REF!</f>
        <v>#REF!</v>
      </c>
      <c r="W238" s="691">
        <v>0</v>
      </c>
      <c r="X238" s="691">
        <v>0</v>
      </c>
      <c r="Y238" s="675">
        <v>0</v>
      </c>
      <c r="Z238" s="676">
        <v>0</v>
      </c>
      <c r="AA238" s="676">
        <v>0</v>
      </c>
      <c r="AB238" s="676">
        <v>0</v>
      </c>
      <c r="AC238" s="676">
        <v>0</v>
      </c>
      <c r="AD238" s="676">
        <v>0</v>
      </c>
      <c r="AE238" s="676">
        <v>0</v>
      </c>
      <c r="AF238" s="676">
        <v>0</v>
      </c>
      <c r="AG238" s="682">
        <v>0</v>
      </c>
      <c r="AH238" s="683">
        <v>0</v>
      </c>
      <c r="AI238" s="676">
        <v>0</v>
      </c>
      <c r="AJ238" s="676">
        <v>0</v>
      </c>
      <c r="AK238" s="676">
        <v>0</v>
      </c>
      <c r="AL238" s="676">
        <v>0</v>
      </c>
      <c r="AM238" s="676">
        <v>0</v>
      </c>
      <c r="AN238" s="682">
        <v>0</v>
      </c>
      <c r="AO238" s="683">
        <v>0</v>
      </c>
      <c r="AP238" s="676">
        <v>0</v>
      </c>
      <c r="AQ238" s="676">
        <v>0</v>
      </c>
      <c r="AR238" s="676">
        <v>0</v>
      </c>
      <c r="AS238" s="682">
        <v>0</v>
      </c>
      <c r="AT238" s="674">
        <v>0</v>
      </c>
      <c r="AU238" s="674">
        <v>0</v>
      </c>
      <c r="AV238" s="674">
        <v>0</v>
      </c>
      <c r="AW238" s="684">
        <v>0</v>
      </c>
      <c r="AX238" s="685">
        <v>0</v>
      </c>
      <c r="AY238" s="612"/>
      <c r="AZ238" s="612"/>
      <c r="BA238" s="612"/>
      <c r="BB238" s="612"/>
      <c r="BC238" s="612"/>
      <c r="BD238" s="612"/>
      <c r="BI238" s="612"/>
      <c r="BJ238" s="612"/>
      <c r="BK238" s="612"/>
      <c r="BL238" s="612"/>
    </row>
    <row r="239" spans="1:64" s="609" customFormat="1" ht="30" customHeight="1" x14ac:dyDescent="0.3">
      <c r="A239" s="1604"/>
      <c r="B239" s="1605"/>
      <c r="C239" s="1606"/>
      <c r="D239" s="611" t="s">
        <v>20</v>
      </c>
      <c r="E239" s="1608"/>
      <c r="F239" s="1610"/>
      <c r="G239" s="692">
        <v>0</v>
      </c>
      <c r="H239" s="675">
        <v>0</v>
      </c>
      <c r="I239" s="676">
        <v>0</v>
      </c>
      <c r="J239" s="691">
        <v>0</v>
      </c>
      <c r="K239" s="677">
        <v>0</v>
      </c>
      <c r="L239" s="686">
        <v>0</v>
      </c>
      <c r="M239" s="693">
        <v>0</v>
      </c>
      <c r="N239" s="687">
        <v>0</v>
      </c>
      <c r="O239" s="688">
        <v>0</v>
      </c>
      <c r="P239" s="686">
        <v>0</v>
      </c>
      <c r="Q239" s="688">
        <v>0</v>
      </c>
      <c r="R239" s="686">
        <v>0</v>
      </c>
      <c r="S239" s="691">
        <v>0</v>
      </c>
      <c r="T239" s="691">
        <v>0</v>
      </c>
      <c r="U239" s="691">
        <v>0</v>
      </c>
      <c r="V239" s="691" t="e">
        <f>V238*E238</f>
        <v>#REF!</v>
      </c>
      <c r="W239" s="691">
        <v>0</v>
      </c>
      <c r="X239" s="691">
        <v>0</v>
      </c>
      <c r="Y239" s="675">
        <v>0</v>
      </c>
      <c r="Z239" s="676">
        <v>0</v>
      </c>
      <c r="AA239" s="676">
        <v>0</v>
      </c>
      <c r="AB239" s="676">
        <v>0</v>
      </c>
      <c r="AC239" s="676">
        <v>0</v>
      </c>
      <c r="AD239" s="676">
        <v>0</v>
      </c>
      <c r="AE239" s="676">
        <v>0</v>
      </c>
      <c r="AF239" s="676">
        <v>0</v>
      </c>
      <c r="AG239" s="682">
        <v>0</v>
      </c>
      <c r="AH239" s="683">
        <v>0</v>
      </c>
      <c r="AI239" s="676">
        <v>0</v>
      </c>
      <c r="AJ239" s="676">
        <v>0</v>
      </c>
      <c r="AK239" s="676">
        <v>0</v>
      </c>
      <c r="AL239" s="676">
        <v>0</v>
      </c>
      <c r="AM239" s="676">
        <v>0</v>
      </c>
      <c r="AN239" s="682">
        <v>0</v>
      </c>
      <c r="AO239" s="683">
        <v>0</v>
      </c>
      <c r="AP239" s="676">
        <v>0</v>
      </c>
      <c r="AQ239" s="676">
        <v>0</v>
      </c>
      <c r="AR239" s="676">
        <v>0</v>
      </c>
      <c r="AS239" s="682">
        <v>0</v>
      </c>
      <c r="AT239" s="674">
        <v>0</v>
      </c>
      <c r="AU239" s="674">
        <v>0</v>
      </c>
      <c r="AV239" s="674">
        <v>0</v>
      </c>
      <c r="AW239" s="684">
        <v>0</v>
      </c>
      <c r="AX239" s="685">
        <v>0</v>
      </c>
      <c r="AY239" s="612"/>
      <c r="AZ239" s="612"/>
      <c r="BA239" s="612"/>
      <c r="BB239" s="612"/>
      <c r="BC239" s="612"/>
      <c r="BD239" s="612"/>
      <c r="BI239" s="612"/>
      <c r="BJ239" s="612"/>
      <c r="BK239" s="612"/>
      <c r="BL239" s="612"/>
    </row>
    <row r="240" spans="1:64" s="609" customFormat="1" ht="30" customHeight="1" x14ac:dyDescent="0.3">
      <c r="A240" s="1601" t="s">
        <v>456</v>
      </c>
      <c r="B240" s="1602"/>
      <c r="C240" s="1603"/>
      <c r="D240" s="611" t="s">
        <v>696</v>
      </c>
      <c r="E240" s="1607" t="e">
        <f>VLOOKUP(A240,AA_Materiales,16,FALSE)</f>
        <v>#N/A</v>
      </c>
      <c r="F240" s="1609" t="e">
        <f>SUM(G241:AX241)</f>
        <v>#REF!</v>
      </c>
      <c r="G240" s="692">
        <v>0</v>
      </c>
      <c r="H240" s="675">
        <v>0</v>
      </c>
      <c r="I240" s="676">
        <v>0</v>
      </c>
      <c r="J240" s="691">
        <v>0</v>
      </c>
      <c r="K240" s="677">
        <v>0</v>
      </c>
      <c r="L240" s="686">
        <v>0</v>
      </c>
      <c r="M240" s="693">
        <v>0</v>
      </c>
      <c r="N240" s="687">
        <v>0</v>
      </c>
      <c r="O240" s="688">
        <v>0</v>
      </c>
      <c r="P240" s="686">
        <v>0</v>
      </c>
      <c r="Q240" s="688">
        <v>0</v>
      </c>
      <c r="R240" s="686">
        <v>0</v>
      </c>
      <c r="S240" s="691">
        <v>0</v>
      </c>
      <c r="T240" s="691">
        <v>0</v>
      </c>
      <c r="U240" s="691">
        <v>0</v>
      </c>
      <c r="V240" s="691" t="e">
        <f>1*'PTO OC PLIEGO'!#REF!</f>
        <v>#REF!</v>
      </c>
      <c r="W240" s="691">
        <v>0</v>
      </c>
      <c r="X240" s="691">
        <v>0</v>
      </c>
      <c r="Y240" s="675">
        <v>0</v>
      </c>
      <c r="Z240" s="676">
        <v>0</v>
      </c>
      <c r="AA240" s="676">
        <v>0</v>
      </c>
      <c r="AB240" s="676">
        <v>0</v>
      </c>
      <c r="AC240" s="676">
        <v>0</v>
      </c>
      <c r="AD240" s="676">
        <v>0</v>
      </c>
      <c r="AE240" s="676">
        <v>0</v>
      </c>
      <c r="AF240" s="676">
        <v>0</v>
      </c>
      <c r="AG240" s="682">
        <v>0</v>
      </c>
      <c r="AH240" s="683">
        <v>0</v>
      </c>
      <c r="AI240" s="676">
        <v>0</v>
      </c>
      <c r="AJ240" s="676">
        <v>0</v>
      </c>
      <c r="AK240" s="676">
        <v>0</v>
      </c>
      <c r="AL240" s="676">
        <v>0</v>
      </c>
      <c r="AM240" s="676">
        <v>0</v>
      </c>
      <c r="AN240" s="682">
        <v>0</v>
      </c>
      <c r="AO240" s="683">
        <v>0</v>
      </c>
      <c r="AP240" s="676">
        <v>0</v>
      </c>
      <c r="AQ240" s="676">
        <v>0</v>
      </c>
      <c r="AR240" s="676">
        <v>0</v>
      </c>
      <c r="AS240" s="682">
        <v>0</v>
      </c>
      <c r="AT240" s="674">
        <v>0</v>
      </c>
      <c r="AU240" s="674">
        <v>0</v>
      </c>
      <c r="AV240" s="674">
        <v>0</v>
      </c>
      <c r="AW240" s="684">
        <v>0</v>
      </c>
      <c r="AX240" s="685">
        <v>0</v>
      </c>
      <c r="AY240" s="612"/>
      <c r="AZ240" s="612"/>
      <c r="BA240" s="612"/>
      <c r="BB240" s="612"/>
      <c r="BC240" s="612"/>
      <c r="BD240" s="612"/>
      <c r="BI240" s="612"/>
      <c r="BJ240" s="612"/>
      <c r="BK240" s="612"/>
      <c r="BL240" s="612"/>
    </row>
    <row r="241" spans="1:64" s="609" customFormat="1" ht="30" customHeight="1" x14ac:dyDescent="0.3">
      <c r="A241" s="1604"/>
      <c r="B241" s="1605"/>
      <c r="C241" s="1606"/>
      <c r="D241" s="611" t="s">
        <v>20</v>
      </c>
      <c r="E241" s="1608"/>
      <c r="F241" s="1610"/>
      <c r="G241" s="692">
        <v>0</v>
      </c>
      <c r="H241" s="675">
        <v>0</v>
      </c>
      <c r="I241" s="676">
        <v>0</v>
      </c>
      <c r="J241" s="691">
        <v>0</v>
      </c>
      <c r="K241" s="677">
        <v>0</v>
      </c>
      <c r="L241" s="686">
        <v>0</v>
      </c>
      <c r="M241" s="693">
        <v>0</v>
      </c>
      <c r="N241" s="687">
        <v>0</v>
      </c>
      <c r="O241" s="688">
        <v>0</v>
      </c>
      <c r="P241" s="686">
        <v>0</v>
      </c>
      <c r="Q241" s="688">
        <v>0</v>
      </c>
      <c r="R241" s="686">
        <v>0</v>
      </c>
      <c r="S241" s="691">
        <v>0</v>
      </c>
      <c r="T241" s="691">
        <v>0</v>
      </c>
      <c r="U241" s="691">
        <v>0</v>
      </c>
      <c r="V241" s="691" t="e">
        <f>V240*E240</f>
        <v>#REF!</v>
      </c>
      <c r="W241" s="691">
        <v>0</v>
      </c>
      <c r="X241" s="691">
        <v>0</v>
      </c>
      <c r="Y241" s="675">
        <v>0</v>
      </c>
      <c r="Z241" s="676">
        <v>0</v>
      </c>
      <c r="AA241" s="676">
        <v>0</v>
      </c>
      <c r="AB241" s="676">
        <v>0</v>
      </c>
      <c r="AC241" s="676">
        <v>0</v>
      </c>
      <c r="AD241" s="676">
        <v>0</v>
      </c>
      <c r="AE241" s="676">
        <v>0</v>
      </c>
      <c r="AF241" s="676">
        <v>0</v>
      </c>
      <c r="AG241" s="682">
        <v>0</v>
      </c>
      <c r="AH241" s="683">
        <v>0</v>
      </c>
      <c r="AI241" s="676">
        <v>0</v>
      </c>
      <c r="AJ241" s="676">
        <v>0</v>
      </c>
      <c r="AK241" s="676">
        <v>0</v>
      </c>
      <c r="AL241" s="676">
        <v>0</v>
      </c>
      <c r="AM241" s="676">
        <v>0</v>
      </c>
      <c r="AN241" s="682">
        <v>0</v>
      </c>
      <c r="AO241" s="683">
        <v>0</v>
      </c>
      <c r="AP241" s="676">
        <v>0</v>
      </c>
      <c r="AQ241" s="676">
        <v>0</v>
      </c>
      <c r="AR241" s="676">
        <v>0</v>
      </c>
      <c r="AS241" s="682">
        <v>0</v>
      </c>
      <c r="AT241" s="674">
        <v>0</v>
      </c>
      <c r="AU241" s="674">
        <v>0</v>
      </c>
      <c r="AV241" s="674">
        <v>0</v>
      </c>
      <c r="AW241" s="684">
        <v>0</v>
      </c>
      <c r="AX241" s="685">
        <v>0</v>
      </c>
      <c r="AY241" s="612"/>
      <c r="AZ241" s="612"/>
      <c r="BA241" s="612"/>
      <c r="BB241" s="612"/>
      <c r="BC241" s="612"/>
      <c r="BD241" s="612"/>
      <c r="BI241" s="612"/>
      <c r="BJ241" s="612"/>
      <c r="BK241" s="612"/>
      <c r="BL241" s="612"/>
    </row>
    <row r="242" spans="1:64" s="609" customFormat="1" ht="30" customHeight="1" x14ac:dyDescent="0.3">
      <c r="A242" s="1601" t="s">
        <v>805</v>
      </c>
      <c r="B242" s="1602"/>
      <c r="C242" s="1603"/>
      <c r="D242" s="611" t="s">
        <v>696</v>
      </c>
      <c r="E242" s="1607" t="e">
        <f>VLOOKUP(A242,AA_Materiales,16,FALSE)</f>
        <v>#N/A</v>
      </c>
      <c r="F242" s="1609" t="e">
        <f>SUM(G243:AX243)</f>
        <v>#REF!</v>
      </c>
      <c r="G242" s="692">
        <v>0</v>
      </c>
      <c r="H242" s="675">
        <v>0</v>
      </c>
      <c r="I242" s="676">
        <v>0</v>
      </c>
      <c r="J242" s="691">
        <v>0</v>
      </c>
      <c r="K242" s="677">
        <v>0</v>
      </c>
      <c r="L242" s="686">
        <v>0</v>
      </c>
      <c r="M242" s="693">
        <v>0</v>
      </c>
      <c r="N242" s="687">
        <v>0</v>
      </c>
      <c r="O242" s="688">
        <v>0</v>
      </c>
      <c r="P242" s="686">
        <v>0</v>
      </c>
      <c r="Q242" s="688">
        <v>0</v>
      </c>
      <c r="R242" s="686">
        <v>0</v>
      </c>
      <c r="S242" s="691">
        <v>0</v>
      </c>
      <c r="T242" s="691">
        <v>0</v>
      </c>
      <c r="U242" s="691">
        <v>0</v>
      </c>
      <c r="V242" s="691">
        <v>0</v>
      </c>
      <c r="W242" s="691" t="e">
        <f>1*'PTO OC PLIEGO'!#REF!</f>
        <v>#REF!</v>
      </c>
      <c r="X242" s="691">
        <v>0</v>
      </c>
      <c r="Y242" s="675">
        <v>0</v>
      </c>
      <c r="Z242" s="676">
        <v>0</v>
      </c>
      <c r="AA242" s="676">
        <v>0</v>
      </c>
      <c r="AB242" s="676">
        <v>0</v>
      </c>
      <c r="AC242" s="676">
        <v>0</v>
      </c>
      <c r="AD242" s="676">
        <v>0</v>
      </c>
      <c r="AE242" s="676">
        <v>0</v>
      </c>
      <c r="AF242" s="676">
        <v>0</v>
      </c>
      <c r="AG242" s="682">
        <v>0</v>
      </c>
      <c r="AH242" s="683">
        <v>0</v>
      </c>
      <c r="AI242" s="676">
        <v>0</v>
      </c>
      <c r="AJ242" s="676">
        <v>0</v>
      </c>
      <c r="AK242" s="676">
        <v>0</v>
      </c>
      <c r="AL242" s="676">
        <v>0</v>
      </c>
      <c r="AM242" s="676">
        <v>0</v>
      </c>
      <c r="AN242" s="682">
        <v>0</v>
      </c>
      <c r="AO242" s="683">
        <v>0</v>
      </c>
      <c r="AP242" s="676">
        <v>0</v>
      </c>
      <c r="AQ242" s="676">
        <v>0</v>
      </c>
      <c r="AR242" s="676">
        <v>0</v>
      </c>
      <c r="AS242" s="682">
        <v>0</v>
      </c>
      <c r="AT242" s="674">
        <v>0</v>
      </c>
      <c r="AU242" s="674">
        <v>0</v>
      </c>
      <c r="AV242" s="674">
        <v>0</v>
      </c>
      <c r="AW242" s="684">
        <v>0</v>
      </c>
      <c r="AX242" s="685">
        <v>0</v>
      </c>
      <c r="AY242" s="612"/>
      <c r="AZ242" s="612"/>
      <c r="BA242" s="612"/>
      <c r="BB242" s="612"/>
      <c r="BC242" s="612"/>
      <c r="BD242" s="612"/>
      <c r="BI242" s="612"/>
      <c r="BJ242" s="612"/>
      <c r="BK242" s="612"/>
      <c r="BL242" s="612"/>
    </row>
    <row r="243" spans="1:64" s="609" customFormat="1" ht="30" customHeight="1" x14ac:dyDescent="0.3">
      <c r="A243" s="1604"/>
      <c r="B243" s="1605"/>
      <c r="C243" s="1606"/>
      <c r="D243" s="611" t="s">
        <v>20</v>
      </c>
      <c r="E243" s="1608"/>
      <c r="F243" s="1610"/>
      <c r="G243" s="692">
        <v>0</v>
      </c>
      <c r="H243" s="675">
        <v>0</v>
      </c>
      <c r="I243" s="676">
        <v>0</v>
      </c>
      <c r="J243" s="691">
        <v>0</v>
      </c>
      <c r="K243" s="677">
        <v>0</v>
      </c>
      <c r="L243" s="686">
        <v>0</v>
      </c>
      <c r="M243" s="693">
        <v>0</v>
      </c>
      <c r="N243" s="687">
        <v>0</v>
      </c>
      <c r="O243" s="688">
        <v>0</v>
      </c>
      <c r="P243" s="686">
        <v>0</v>
      </c>
      <c r="Q243" s="688">
        <v>0</v>
      </c>
      <c r="R243" s="686">
        <v>0</v>
      </c>
      <c r="S243" s="691">
        <v>0</v>
      </c>
      <c r="T243" s="691">
        <v>0</v>
      </c>
      <c r="U243" s="691">
        <v>0</v>
      </c>
      <c r="V243" s="691">
        <v>0</v>
      </c>
      <c r="W243" s="691" t="e">
        <f>W242*E242</f>
        <v>#REF!</v>
      </c>
      <c r="X243" s="691">
        <v>0</v>
      </c>
      <c r="Y243" s="675">
        <v>0</v>
      </c>
      <c r="Z243" s="676">
        <v>0</v>
      </c>
      <c r="AA243" s="676">
        <v>0</v>
      </c>
      <c r="AB243" s="676">
        <v>0</v>
      </c>
      <c r="AC243" s="676">
        <v>0</v>
      </c>
      <c r="AD243" s="676">
        <v>0</v>
      </c>
      <c r="AE243" s="676">
        <v>0</v>
      </c>
      <c r="AF243" s="676">
        <v>0</v>
      </c>
      <c r="AG243" s="682">
        <v>0</v>
      </c>
      <c r="AH243" s="683">
        <v>0</v>
      </c>
      <c r="AI243" s="676">
        <v>0</v>
      </c>
      <c r="AJ243" s="676">
        <v>0</v>
      </c>
      <c r="AK243" s="676">
        <v>0</v>
      </c>
      <c r="AL243" s="676">
        <v>0</v>
      </c>
      <c r="AM243" s="676">
        <v>0</v>
      </c>
      <c r="AN243" s="682">
        <v>0</v>
      </c>
      <c r="AO243" s="683">
        <v>0</v>
      </c>
      <c r="AP243" s="676">
        <v>0</v>
      </c>
      <c r="AQ243" s="676">
        <v>0</v>
      </c>
      <c r="AR243" s="676">
        <v>0</v>
      </c>
      <c r="AS243" s="682">
        <v>0</v>
      </c>
      <c r="AT243" s="674">
        <v>0</v>
      </c>
      <c r="AU243" s="674">
        <v>0</v>
      </c>
      <c r="AV243" s="674">
        <v>0</v>
      </c>
      <c r="AW243" s="684">
        <v>0</v>
      </c>
      <c r="AX243" s="685">
        <v>0</v>
      </c>
      <c r="AY243" s="612"/>
      <c r="AZ243" s="612"/>
      <c r="BA243" s="612"/>
      <c r="BB243" s="612"/>
      <c r="BC243" s="612"/>
      <c r="BD243" s="612"/>
      <c r="BI243" s="612"/>
      <c r="BJ243" s="612"/>
      <c r="BK243" s="612"/>
      <c r="BL243" s="612"/>
    </row>
    <row r="244" spans="1:64" s="609" customFormat="1" ht="30" customHeight="1" x14ac:dyDescent="0.3">
      <c r="A244" s="1601" t="s">
        <v>458</v>
      </c>
      <c r="B244" s="1602"/>
      <c r="C244" s="1603"/>
      <c r="D244" s="611" t="s">
        <v>696</v>
      </c>
      <c r="E244" s="1607" t="e">
        <f>VLOOKUP(A244,AA_Materiales,16,FALSE)</f>
        <v>#N/A</v>
      </c>
      <c r="F244" s="1609" t="e">
        <f>SUM(G245:AX245)</f>
        <v>#REF!</v>
      </c>
      <c r="G244" s="692">
        <v>0</v>
      </c>
      <c r="H244" s="675">
        <v>0</v>
      </c>
      <c r="I244" s="676">
        <v>0</v>
      </c>
      <c r="J244" s="691">
        <v>0</v>
      </c>
      <c r="K244" s="677">
        <v>0</v>
      </c>
      <c r="L244" s="686">
        <v>0</v>
      </c>
      <c r="M244" s="693">
        <v>0</v>
      </c>
      <c r="N244" s="687">
        <v>0</v>
      </c>
      <c r="O244" s="688">
        <v>0</v>
      </c>
      <c r="P244" s="686">
        <v>0</v>
      </c>
      <c r="Q244" s="688">
        <v>0</v>
      </c>
      <c r="R244" s="686">
        <v>0</v>
      </c>
      <c r="S244" s="691">
        <v>0</v>
      </c>
      <c r="T244" s="691">
        <v>0</v>
      </c>
      <c r="U244" s="691">
        <v>0</v>
      </c>
      <c r="V244" s="691">
        <v>0</v>
      </c>
      <c r="W244" s="691" t="e">
        <f>1*'PTO OC PLIEGO'!#REF!</f>
        <v>#REF!</v>
      </c>
      <c r="X244" s="691">
        <v>0</v>
      </c>
      <c r="Y244" s="675">
        <v>0</v>
      </c>
      <c r="Z244" s="676">
        <v>0</v>
      </c>
      <c r="AA244" s="676">
        <v>0</v>
      </c>
      <c r="AB244" s="676">
        <v>0</v>
      </c>
      <c r="AC244" s="676">
        <v>0</v>
      </c>
      <c r="AD244" s="676">
        <v>0</v>
      </c>
      <c r="AE244" s="676">
        <v>0</v>
      </c>
      <c r="AF244" s="676">
        <v>0</v>
      </c>
      <c r="AG244" s="682">
        <v>0</v>
      </c>
      <c r="AH244" s="683">
        <v>0</v>
      </c>
      <c r="AI244" s="676">
        <v>0</v>
      </c>
      <c r="AJ244" s="676">
        <v>0</v>
      </c>
      <c r="AK244" s="676">
        <v>0</v>
      </c>
      <c r="AL244" s="676">
        <v>0</v>
      </c>
      <c r="AM244" s="676">
        <v>0</v>
      </c>
      <c r="AN244" s="682">
        <v>0</v>
      </c>
      <c r="AO244" s="683">
        <v>0</v>
      </c>
      <c r="AP244" s="676">
        <v>0</v>
      </c>
      <c r="AQ244" s="676">
        <v>0</v>
      </c>
      <c r="AR244" s="676">
        <v>0</v>
      </c>
      <c r="AS244" s="682">
        <v>0</v>
      </c>
      <c r="AT244" s="674">
        <v>0</v>
      </c>
      <c r="AU244" s="674">
        <v>0</v>
      </c>
      <c r="AV244" s="674">
        <v>0</v>
      </c>
      <c r="AW244" s="684">
        <v>0</v>
      </c>
      <c r="AX244" s="685">
        <v>0</v>
      </c>
      <c r="AY244" s="612"/>
      <c r="AZ244" s="612"/>
      <c r="BA244" s="612"/>
      <c r="BB244" s="612"/>
      <c r="BC244" s="612"/>
      <c r="BD244" s="612"/>
      <c r="BI244" s="612"/>
      <c r="BJ244" s="612"/>
      <c r="BK244" s="612"/>
      <c r="BL244" s="612"/>
    </row>
    <row r="245" spans="1:64" s="609" customFormat="1" ht="30" customHeight="1" x14ac:dyDescent="0.3">
      <c r="A245" s="1604"/>
      <c r="B245" s="1605"/>
      <c r="C245" s="1606"/>
      <c r="D245" s="611" t="s">
        <v>20</v>
      </c>
      <c r="E245" s="1608"/>
      <c r="F245" s="1610"/>
      <c r="G245" s="692">
        <v>0</v>
      </c>
      <c r="H245" s="675">
        <v>0</v>
      </c>
      <c r="I245" s="676">
        <v>0</v>
      </c>
      <c r="J245" s="691">
        <v>0</v>
      </c>
      <c r="K245" s="677">
        <v>0</v>
      </c>
      <c r="L245" s="686">
        <v>0</v>
      </c>
      <c r="M245" s="693">
        <v>0</v>
      </c>
      <c r="N245" s="687">
        <v>0</v>
      </c>
      <c r="O245" s="688">
        <v>0</v>
      </c>
      <c r="P245" s="686">
        <v>0</v>
      </c>
      <c r="Q245" s="688">
        <v>0</v>
      </c>
      <c r="R245" s="686">
        <v>0</v>
      </c>
      <c r="S245" s="691">
        <v>0</v>
      </c>
      <c r="T245" s="691">
        <v>0</v>
      </c>
      <c r="U245" s="691">
        <v>0</v>
      </c>
      <c r="V245" s="691">
        <v>0</v>
      </c>
      <c r="W245" s="691" t="e">
        <f>W244*E244</f>
        <v>#REF!</v>
      </c>
      <c r="X245" s="691">
        <v>0</v>
      </c>
      <c r="Y245" s="675">
        <v>0</v>
      </c>
      <c r="Z245" s="676">
        <v>0</v>
      </c>
      <c r="AA245" s="676">
        <v>0</v>
      </c>
      <c r="AB245" s="676">
        <v>0</v>
      </c>
      <c r="AC245" s="676">
        <v>0</v>
      </c>
      <c r="AD245" s="676">
        <v>0</v>
      </c>
      <c r="AE245" s="676">
        <v>0</v>
      </c>
      <c r="AF245" s="676">
        <v>0</v>
      </c>
      <c r="AG245" s="682">
        <v>0</v>
      </c>
      <c r="AH245" s="683">
        <v>0</v>
      </c>
      <c r="AI245" s="676">
        <v>0</v>
      </c>
      <c r="AJ245" s="676">
        <v>0</v>
      </c>
      <c r="AK245" s="676">
        <v>0</v>
      </c>
      <c r="AL245" s="676">
        <v>0</v>
      </c>
      <c r="AM245" s="676">
        <v>0</v>
      </c>
      <c r="AN245" s="682">
        <v>0</v>
      </c>
      <c r="AO245" s="683">
        <v>0</v>
      </c>
      <c r="AP245" s="676">
        <v>0</v>
      </c>
      <c r="AQ245" s="676">
        <v>0</v>
      </c>
      <c r="AR245" s="676">
        <v>0</v>
      </c>
      <c r="AS245" s="682">
        <v>0</v>
      </c>
      <c r="AT245" s="674">
        <v>0</v>
      </c>
      <c r="AU245" s="674">
        <v>0</v>
      </c>
      <c r="AV245" s="674">
        <v>0</v>
      </c>
      <c r="AW245" s="684">
        <v>0</v>
      </c>
      <c r="AX245" s="685">
        <v>0</v>
      </c>
      <c r="AY245" s="612"/>
      <c r="AZ245" s="612"/>
      <c r="BA245" s="612"/>
      <c r="BB245" s="612"/>
      <c r="BC245" s="612"/>
      <c r="BD245" s="612"/>
      <c r="BI245" s="612"/>
      <c r="BJ245" s="612"/>
      <c r="BK245" s="612"/>
      <c r="BL245" s="612"/>
    </row>
    <row r="246" spans="1:64" s="609" customFormat="1" ht="30" customHeight="1" x14ac:dyDescent="0.3">
      <c r="A246" s="1601" t="s">
        <v>459</v>
      </c>
      <c r="B246" s="1602"/>
      <c r="C246" s="1603"/>
      <c r="D246" s="611" t="s">
        <v>696</v>
      </c>
      <c r="E246" s="1607" t="e">
        <f>VLOOKUP(A246,AA_Materiales,16,FALSE)</f>
        <v>#N/A</v>
      </c>
      <c r="F246" s="1609" t="e">
        <f>SUM(G247:AX247)</f>
        <v>#REF!</v>
      </c>
      <c r="G246" s="692">
        <v>0</v>
      </c>
      <c r="H246" s="675">
        <v>0</v>
      </c>
      <c r="I246" s="676">
        <v>0</v>
      </c>
      <c r="J246" s="691">
        <v>0</v>
      </c>
      <c r="K246" s="677">
        <v>0</v>
      </c>
      <c r="L246" s="686">
        <v>0</v>
      </c>
      <c r="M246" s="693">
        <v>0</v>
      </c>
      <c r="N246" s="687">
        <v>0</v>
      </c>
      <c r="O246" s="688">
        <v>0</v>
      </c>
      <c r="P246" s="686">
        <v>0</v>
      </c>
      <c r="Q246" s="688">
        <v>0</v>
      </c>
      <c r="R246" s="686">
        <v>0</v>
      </c>
      <c r="S246" s="691">
        <v>0</v>
      </c>
      <c r="T246" s="691">
        <v>0</v>
      </c>
      <c r="U246" s="691">
        <v>0</v>
      </c>
      <c r="V246" s="691">
        <v>0</v>
      </c>
      <c r="W246" s="691" t="e">
        <f>1*'PTO OC PLIEGO'!#REF!</f>
        <v>#REF!</v>
      </c>
      <c r="X246" s="691">
        <v>0</v>
      </c>
      <c r="Y246" s="675">
        <v>0</v>
      </c>
      <c r="Z246" s="676">
        <v>0</v>
      </c>
      <c r="AA246" s="676">
        <v>0</v>
      </c>
      <c r="AB246" s="676">
        <v>0</v>
      </c>
      <c r="AC246" s="676">
        <v>0</v>
      </c>
      <c r="AD246" s="676">
        <v>0</v>
      </c>
      <c r="AE246" s="676">
        <v>0</v>
      </c>
      <c r="AF246" s="676">
        <v>0</v>
      </c>
      <c r="AG246" s="682">
        <v>0</v>
      </c>
      <c r="AH246" s="683">
        <v>0</v>
      </c>
      <c r="AI246" s="676">
        <v>0</v>
      </c>
      <c r="AJ246" s="676">
        <v>0</v>
      </c>
      <c r="AK246" s="676">
        <v>0</v>
      </c>
      <c r="AL246" s="676">
        <v>0</v>
      </c>
      <c r="AM246" s="676">
        <v>0</v>
      </c>
      <c r="AN246" s="682">
        <v>0</v>
      </c>
      <c r="AO246" s="683">
        <v>0</v>
      </c>
      <c r="AP246" s="676">
        <v>0</v>
      </c>
      <c r="AQ246" s="676">
        <v>0</v>
      </c>
      <c r="AR246" s="676">
        <v>0</v>
      </c>
      <c r="AS246" s="682">
        <v>0</v>
      </c>
      <c r="AT246" s="674">
        <v>0</v>
      </c>
      <c r="AU246" s="674">
        <v>0</v>
      </c>
      <c r="AV246" s="674">
        <v>0</v>
      </c>
      <c r="AW246" s="684">
        <v>0</v>
      </c>
      <c r="AX246" s="685">
        <v>0</v>
      </c>
      <c r="AY246" s="612"/>
      <c r="AZ246" s="612"/>
      <c r="BA246" s="612"/>
      <c r="BB246" s="612"/>
      <c r="BC246" s="612"/>
      <c r="BD246" s="612"/>
      <c r="BI246" s="612"/>
      <c r="BJ246" s="612"/>
      <c r="BK246" s="612"/>
      <c r="BL246" s="612"/>
    </row>
    <row r="247" spans="1:64" s="609" customFormat="1" ht="30" customHeight="1" x14ac:dyDescent="0.3">
      <c r="A247" s="1604"/>
      <c r="B247" s="1605"/>
      <c r="C247" s="1606"/>
      <c r="D247" s="611" t="s">
        <v>20</v>
      </c>
      <c r="E247" s="1608"/>
      <c r="F247" s="1610"/>
      <c r="G247" s="692">
        <v>0</v>
      </c>
      <c r="H247" s="675">
        <v>0</v>
      </c>
      <c r="I247" s="676">
        <v>0</v>
      </c>
      <c r="J247" s="691">
        <v>0</v>
      </c>
      <c r="K247" s="677">
        <v>0</v>
      </c>
      <c r="L247" s="686">
        <v>0</v>
      </c>
      <c r="M247" s="693">
        <v>0</v>
      </c>
      <c r="N247" s="687">
        <v>0</v>
      </c>
      <c r="O247" s="688">
        <v>0</v>
      </c>
      <c r="P247" s="686">
        <v>0</v>
      </c>
      <c r="Q247" s="688">
        <v>0</v>
      </c>
      <c r="R247" s="686">
        <v>0</v>
      </c>
      <c r="S247" s="691">
        <v>0</v>
      </c>
      <c r="T247" s="691">
        <v>0</v>
      </c>
      <c r="U247" s="691">
        <v>0</v>
      </c>
      <c r="V247" s="691">
        <v>0</v>
      </c>
      <c r="W247" s="691" t="e">
        <f>W246*E246</f>
        <v>#REF!</v>
      </c>
      <c r="X247" s="691">
        <v>0</v>
      </c>
      <c r="Y247" s="675">
        <v>0</v>
      </c>
      <c r="Z247" s="676">
        <v>0</v>
      </c>
      <c r="AA247" s="676">
        <v>0</v>
      </c>
      <c r="AB247" s="676">
        <v>0</v>
      </c>
      <c r="AC247" s="676">
        <v>0</v>
      </c>
      <c r="AD247" s="676">
        <v>0</v>
      </c>
      <c r="AE247" s="676">
        <v>0</v>
      </c>
      <c r="AF247" s="676">
        <v>0</v>
      </c>
      <c r="AG247" s="682">
        <v>0</v>
      </c>
      <c r="AH247" s="683">
        <v>0</v>
      </c>
      <c r="AI247" s="676">
        <v>0</v>
      </c>
      <c r="AJ247" s="676">
        <v>0</v>
      </c>
      <c r="AK247" s="676">
        <v>0</v>
      </c>
      <c r="AL247" s="676">
        <v>0</v>
      </c>
      <c r="AM247" s="676">
        <v>0</v>
      </c>
      <c r="AN247" s="682">
        <v>0</v>
      </c>
      <c r="AO247" s="683">
        <v>0</v>
      </c>
      <c r="AP247" s="676">
        <v>0</v>
      </c>
      <c r="AQ247" s="676">
        <v>0</v>
      </c>
      <c r="AR247" s="676">
        <v>0</v>
      </c>
      <c r="AS247" s="682">
        <v>0</v>
      </c>
      <c r="AT247" s="674">
        <v>0</v>
      </c>
      <c r="AU247" s="674">
        <v>0</v>
      </c>
      <c r="AV247" s="674">
        <v>0</v>
      </c>
      <c r="AW247" s="684">
        <v>0</v>
      </c>
      <c r="AX247" s="685">
        <v>0</v>
      </c>
      <c r="AY247" s="612"/>
      <c r="AZ247" s="612"/>
      <c r="BA247" s="612"/>
      <c r="BB247" s="612"/>
      <c r="BC247" s="612"/>
      <c r="BD247" s="612"/>
      <c r="BI247" s="612"/>
      <c r="BJ247" s="612"/>
      <c r="BK247" s="612"/>
      <c r="BL247" s="612"/>
    </row>
    <row r="248" spans="1:64" s="609" customFormat="1" ht="30" customHeight="1" x14ac:dyDescent="0.3">
      <c r="A248" s="1601" t="s">
        <v>460</v>
      </c>
      <c r="B248" s="1602"/>
      <c r="C248" s="1603"/>
      <c r="D248" s="611" t="s">
        <v>696</v>
      </c>
      <c r="E248" s="1607" t="e">
        <f>VLOOKUP(A248,AA_Materiales,16,FALSE)</f>
        <v>#N/A</v>
      </c>
      <c r="F248" s="1609" t="e">
        <f>SUM(G249:AX249)</f>
        <v>#REF!</v>
      </c>
      <c r="G248" s="692">
        <v>0</v>
      </c>
      <c r="H248" s="675">
        <v>0</v>
      </c>
      <c r="I248" s="676">
        <v>0</v>
      </c>
      <c r="J248" s="691">
        <v>0</v>
      </c>
      <c r="K248" s="677">
        <v>0</v>
      </c>
      <c r="L248" s="686">
        <v>0</v>
      </c>
      <c r="M248" s="693">
        <v>0</v>
      </c>
      <c r="N248" s="687">
        <v>0</v>
      </c>
      <c r="O248" s="688">
        <v>0</v>
      </c>
      <c r="P248" s="686">
        <v>0</v>
      </c>
      <c r="Q248" s="688">
        <v>0</v>
      </c>
      <c r="R248" s="686">
        <v>0</v>
      </c>
      <c r="S248" s="691">
        <v>0</v>
      </c>
      <c r="T248" s="691">
        <v>0</v>
      </c>
      <c r="U248" s="691">
        <v>0</v>
      </c>
      <c r="V248" s="691">
        <v>0</v>
      </c>
      <c r="W248" s="691" t="e">
        <f>1*'PTO OC PLIEGO'!#REF!</f>
        <v>#REF!</v>
      </c>
      <c r="X248" s="691">
        <v>0</v>
      </c>
      <c r="Y248" s="675">
        <v>0</v>
      </c>
      <c r="Z248" s="676">
        <v>0</v>
      </c>
      <c r="AA248" s="676">
        <v>0</v>
      </c>
      <c r="AB248" s="676">
        <v>0</v>
      </c>
      <c r="AC248" s="676">
        <v>0</v>
      </c>
      <c r="AD248" s="676">
        <v>0</v>
      </c>
      <c r="AE248" s="676">
        <v>0</v>
      </c>
      <c r="AF248" s="676">
        <v>0</v>
      </c>
      <c r="AG248" s="682">
        <v>0</v>
      </c>
      <c r="AH248" s="683">
        <v>0</v>
      </c>
      <c r="AI248" s="676">
        <v>0</v>
      </c>
      <c r="AJ248" s="676">
        <v>0</v>
      </c>
      <c r="AK248" s="676">
        <v>0</v>
      </c>
      <c r="AL248" s="676">
        <v>0</v>
      </c>
      <c r="AM248" s="676">
        <v>0</v>
      </c>
      <c r="AN248" s="682">
        <v>0</v>
      </c>
      <c r="AO248" s="683">
        <v>0</v>
      </c>
      <c r="AP248" s="676">
        <v>0</v>
      </c>
      <c r="AQ248" s="676">
        <v>0</v>
      </c>
      <c r="AR248" s="676">
        <v>0</v>
      </c>
      <c r="AS248" s="682">
        <v>0</v>
      </c>
      <c r="AT248" s="674">
        <v>0</v>
      </c>
      <c r="AU248" s="674">
        <v>0</v>
      </c>
      <c r="AV248" s="674">
        <v>0</v>
      </c>
      <c r="AW248" s="684">
        <v>0</v>
      </c>
      <c r="AX248" s="685">
        <v>0</v>
      </c>
      <c r="AY248" s="612"/>
      <c r="AZ248" s="612"/>
      <c r="BA248" s="612"/>
      <c r="BB248" s="612"/>
      <c r="BC248" s="612"/>
      <c r="BD248" s="612"/>
      <c r="BI248" s="612"/>
      <c r="BJ248" s="612"/>
      <c r="BK248" s="612"/>
      <c r="BL248" s="612"/>
    </row>
    <row r="249" spans="1:64" s="609" customFormat="1" ht="30" customHeight="1" x14ac:dyDescent="0.3">
      <c r="A249" s="1604"/>
      <c r="B249" s="1605"/>
      <c r="C249" s="1606"/>
      <c r="D249" s="611" t="s">
        <v>20</v>
      </c>
      <c r="E249" s="1608"/>
      <c r="F249" s="1610"/>
      <c r="G249" s="692">
        <v>0</v>
      </c>
      <c r="H249" s="675">
        <v>0</v>
      </c>
      <c r="I249" s="676">
        <v>0</v>
      </c>
      <c r="J249" s="691">
        <v>0</v>
      </c>
      <c r="K249" s="677">
        <v>0</v>
      </c>
      <c r="L249" s="686">
        <v>0</v>
      </c>
      <c r="M249" s="693">
        <v>0</v>
      </c>
      <c r="N249" s="687">
        <v>0</v>
      </c>
      <c r="O249" s="688">
        <v>0</v>
      </c>
      <c r="P249" s="686">
        <v>0</v>
      </c>
      <c r="Q249" s="688">
        <v>0</v>
      </c>
      <c r="R249" s="686">
        <v>0</v>
      </c>
      <c r="S249" s="691">
        <v>0</v>
      </c>
      <c r="T249" s="691">
        <v>0</v>
      </c>
      <c r="U249" s="691">
        <v>0</v>
      </c>
      <c r="V249" s="691">
        <v>0</v>
      </c>
      <c r="W249" s="691" t="e">
        <f>W248*E248</f>
        <v>#REF!</v>
      </c>
      <c r="X249" s="691">
        <v>0</v>
      </c>
      <c r="Y249" s="675">
        <v>0</v>
      </c>
      <c r="Z249" s="676">
        <v>0</v>
      </c>
      <c r="AA249" s="676">
        <v>0</v>
      </c>
      <c r="AB249" s="676">
        <v>0</v>
      </c>
      <c r="AC249" s="676">
        <v>0</v>
      </c>
      <c r="AD249" s="676">
        <v>0</v>
      </c>
      <c r="AE249" s="676">
        <v>0</v>
      </c>
      <c r="AF249" s="676">
        <v>0</v>
      </c>
      <c r="AG249" s="682">
        <v>0</v>
      </c>
      <c r="AH249" s="683">
        <v>0</v>
      </c>
      <c r="AI249" s="676">
        <v>0</v>
      </c>
      <c r="AJ249" s="676">
        <v>0</v>
      </c>
      <c r="AK249" s="676">
        <v>0</v>
      </c>
      <c r="AL249" s="676">
        <v>0</v>
      </c>
      <c r="AM249" s="676">
        <v>0</v>
      </c>
      <c r="AN249" s="682">
        <v>0</v>
      </c>
      <c r="AO249" s="683">
        <v>0</v>
      </c>
      <c r="AP249" s="676">
        <v>0</v>
      </c>
      <c r="AQ249" s="676">
        <v>0</v>
      </c>
      <c r="AR249" s="676">
        <v>0</v>
      </c>
      <c r="AS249" s="682">
        <v>0</v>
      </c>
      <c r="AT249" s="674">
        <v>0</v>
      </c>
      <c r="AU249" s="674">
        <v>0</v>
      </c>
      <c r="AV249" s="674">
        <v>0</v>
      </c>
      <c r="AW249" s="684">
        <v>0</v>
      </c>
      <c r="AX249" s="685">
        <v>0</v>
      </c>
      <c r="AY249" s="612"/>
      <c r="AZ249" s="612"/>
      <c r="BA249" s="612"/>
      <c r="BB249" s="612"/>
      <c r="BC249" s="612"/>
      <c r="BD249" s="612"/>
      <c r="BI249" s="612"/>
      <c r="BJ249" s="612"/>
      <c r="BK249" s="612"/>
      <c r="BL249" s="612"/>
    </row>
    <row r="250" spans="1:64" s="609" customFormat="1" ht="30" customHeight="1" x14ac:dyDescent="0.3">
      <c r="A250" s="1601" t="s">
        <v>851</v>
      </c>
      <c r="B250" s="1602"/>
      <c r="C250" s="1603"/>
      <c r="D250" s="611" t="s">
        <v>696</v>
      </c>
      <c r="E250" s="1607" t="e">
        <f>VLOOKUP(A250,AA_Materiales,16,FALSE)</f>
        <v>#N/A</v>
      </c>
      <c r="F250" s="1609" t="e">
        <f>SUM(G251:AX251)</f>
        <v>#REF!</v>
      </c>
      <c r="G250" s="692">
        <v>0</v>
      </c>
      <c r="H250" s="675">
        <v>0</v>
      </c>
      <c r="I250" s="676">
        <v>0</v>
      </c>
      <c r="J250" s="691">
        <v>0</v>
      </c>
      <c r="K250" s="677">
        <v>0</v>
      </c>
      <c r="L250" s="686">
        <v>0</v>
      </c>
      <c r="M250" s="693">
        <v>0</v>
      </c>
      <c r="N250" s="687">
        <v>0</v>
      </c>
      <c r="O250" s="688">
        <v>0</v>
      </c>
      <c r="P250" s="686">
        <v>0</v>
      </c>
      <c r="Q250" s="688">
        <v>0</v>
      </c>
      <c r="R250" s="686">
        <v>0</v>
      </c>
      <c r="S250" s="691">
        <v>0</v>
      </c>
      <c r="T250" s="691">
        <v>0</v>
      </c>
      <c r="U250" s="691">
        <v>0</v>
      </c>
      <c r="V250" s="691">
        <v>0</v>
      </c>
      <c r="W250" s="691" t="e">
        <f>1*'PTO OC PLIEGO'!#REF!</f>
        <v>#REF!</v>
      </c>
      <c r="X250" s="691">
        <v>0</v>
      </c>
      <c r="Y250" s="675">
        <v>0</v>
      </c>
      <c r="Z250" s="676">
        <v>0</v>
      </c>
      <c r="AA250" s="676">
        <v>0</v>
      </c>
      <c r="AB250" s="676">
        <v>0</v>
      </c>
      <c r="AC250" s="676">
        <v>0</v>
      </c>
      <c r="AD250" s="676">
        <v>0</v>
      </c>
      <c r="AE250" s="676">
        <v>0</v>
      </c>
      <c r="AF250" s="676">
        <v>0</v>
      </c>
      <c r="AG250" s="682">
        <v>0</v>
      </c>
      <c r="AH250" s="683">
        <v>0</v>
      </c>
      <c r="AI250" s="676">
        <v>0</v>
      </c>
      <c r="AJ250" s="676">
        <v>0</v>
      </c>
      <c r="AK250" s="676">
        <v>0</v>
      </c>
      <c r="AL250" s="676">
        <v>0</v>
      </c>
      <c r="AM250" s="676">
        <v>0</v>
      </c>
      <c r="AN250" s="682">
        <v>0</v>
      </c>
      <c r="AO250" s="683">
        <v>0</v>
      </c>
      <c r="AP250" s="676">
        <v>0</v>
      </c>
      <c r="AQ250" s="676">
        <v>0</v>
      </c>
      <c r="AR250" s="676">
        <v>0</v>
      </c>
      <c r="AS250" s="682">
        <v>0</v>
      </c>
      <c r="AT250" s="674">
        <v>0</v>
      </c>
      <c r="AU250" s="674">
        <v>0</v>
      </c>
      <c r="AV250" s="674">
        <v>0</v>
      </c>
      <c r="AW250" s="684">
        <v>0</v>
      </c>
      <c r="AX250" s="685">
        <v>0</v>
      </c>
      <c r="AY250" s="612"/>
      <c r="AZ250" s="612"/>
      <c r="BA250" s="612"/>
      <c r="BB250" s="612"/>
      <c r="BC250" s="612"/>
      <c r="BD250" s="612"/>
      <c r="BI250" s="612"/>
      <c r="BJ250" s="612"/>
      <c r="BK250" s="612"/>
      <c r="BL250" s="612"/>
    </row>
    <row r="251" spans="1:64" s="609" customFormat="1" ht="30" customHeight="1" x14ac:dyDescent="0.3">
      <c r="A251" s="1604"/>
      <c r="B251" s="1605"/>
      <c r="C251" s="1606"/>
      <c r="D251" s="611" t="s">
        <v>20</v>
      </c>
      <c r="E251" s="1608"/>
      <c r="F251" s="1610"/>
      <c r="G251" s="692">
        <v>0</v>
      </c>
      <c r="H251" s="675">
        <v>0</v>
      </c>
      <c r="I251" s="676">
        <v>0</v>
      </c>
      <c r="J251" s="691">
        <v>0</v>
      </c>
      <c r="K251" s="677">
        <v>0</v>
      </c>
      <c r="L251" s="686">
        <v>0</v>
      </c>
      <c r="M251" s="693">
        <v>0</v>
      </c>
      <c r="N251" s="687">
        <v>0</v>
      </c>
      <c r="O251" s="688">
        <v>0</v>
      </c>
      <c r="P251" s="686">
        <v>0</v>
      </c>
      <c r="Q251" s="688">
        <v>0</v>
      </c>
      <c r="R251" s="686">
        <v>0</v>
      </c>
      <c r="S251" s="691">
        <v>0</v>
      </c>
      <c r="T251" s="691">
        <v>0</v>
      </c>
      <c r="U251" s="691">
        <v>0</v>
      </c>
      <c r="V251" s="691">
        <v>0</v>
      </c>
      <c r="W251" s="691" t="e">
        <f>W250*E250</f>
        <v>#REF!</v>
      </c>
      <c r="X251" s="691">
        <v>0</v>
      </c>
      <c r="Y251" s="675">
        <v>0</v>
      </c>
      <c r="Z251" s="676">
        <v>0</v>
      </c>
      <c r="AA251" s="676">
        <v>0</v>
      </c>
      <c r="AB251" s="676">
        <v>0</v>
      </c>
      <c r="AC251" s="676">
        <v>0</v>
      </c>
      <c r="AD251" s="676">
        <v>0</v>
      </c>
      <c r="AE251" s="676">
        <v>0</v>
      </c>
      <c r="AF251" s="676">
        <v>0</v>
      </c>
      <c r="AG251" s="682">
        <v>0</v>
      </c>
      <c r="AH251" s="683">
        <v>0</v>
      </c>
      <c r="AI251" s="676">
        <v>0</v>
      </c>
      <c r="AJ251" s="676">
        <v>0</v>
      </c>
      <c r="AK251" s="676">
        <v>0</v>
      </c>
      <c r="AL251" s="676">
        <v>0</v>
      </c>
      <c r="AM251" s="676">
        <v>0</v>
      </c>
      <c r="AN251" s="682">
        <v>0</v>
      </c>
      <c r="AO251" s="683">
        <v>0</v>
      </c>
      <c r="AP251" s="676">
        <v>0</v>
      </c>
      <c r="AQ251" s="676">
        <v>0</v>
      </c>
      <c r="AR251" s="676">
        <v>0</v>
      </c>
      <c r="AS251" s="682">
        <v>0</v>
      </c>
      <c r="AT251" s="674">
        <v>0</v>
      </c>
      <c r="AU251" s="674">
        <v>0</v>
      </c>
      <c r="AV251" s="674">
        <v>0</v>
      </c>
      <c r="AW251" s="684">
        <v>0</v>
      </c>
      <c r="AX251" s="685">
        <v>0</v>
      </c>
      <c r="AY251" s="612"/>
      <c r="AZ251" s="612"/>
      <c r="BA251" s="612"/>
      <c r="BB251" s="612"/>
      <c r="BC251" s="612"/>
      <c r="BD251" s="612"/>
      <c r="BI251" s="612"/>
      <c r="BJ251" s="612"/>
      <c r="BK251" s="612"/>
      <c r="BL251" s="612"/>
    </row>
    <row r="252" spans="1:64" s="609" customFormat="1" ht="30" customHeight="1" x14ac:dyDescent="0.3">
      <c r="A252" s="1601" t="s">
        <v>461</v>
      </c>
      <c r="B252" s="1602"/>
      <c r="C252" s="1603"/>
      <c r="D252" s="611" t="s">
        <v>696</v>
      </c>
      <c r="E252" s="1607" t="e">
        <f>VLOOKUP(A252,AA_Materiales,16,FALSE)</f>
        <v>#N/A</v>
      </c>
      <c r="F252" s="1609" t="e">
        <f>SUM(G253:AX253)</f>
        <v>#REF!</v>
      </c>
      <c r="G252" s="692">
        <v>0</v>
      </c>
      <c r="H252" s="675">
        <v>0</v>
      </c>
      <c r="I252" s="676">
        <v>0</v>
      </c>
      <c r="J252" s="691">
        <v>0</v>
      </c>
      <c r="K252" s="677">
        <v>0</v>
      </c>
      <c r="L252" s="686">
        <v>0</v>
      </c>
      <c r="M252" s="693">
        <v>0</v>
      </c>
      <c r="N252" s="687">
        <v>0</v>
      </c>
      <c r="O252" s="688">
        <v>0</v>
      </c>
      <c r="P252" s="686">
        <v>0</v>
      </c>
      <c r="Q252" s="688">
        <v>0</v>
      </c>
      <c r="R252" s="686">
        <v>0</v>
      </c>
      <c r="S252" s="691">
        <v>0</v>
      </c>
      <c r="T252" s="691">
        <v>0</v>
      </c>
      <c r="U252" s="691">
        <v>0</v>
      </c>
      <c r="V252" s="691">
        <v>0</v>
      </c>
      <c r="W252" s="691" t="e">
        <f>1*'PTO OC PLIEGO'!#REF!</f>
        <v>#REF!</v>
      </c>
      <c r="X252" s="691">
        <v>0</v>
      </c>
      <c r="Y252" s="675">
        <v>0</v>
      </c>
      <c r="Z252" s="676">
        <v>0</v>
      </c>
      <c r="AA252" s="676">
        <v>0</v>
      </c>
      <c r="AB252" s="676">
        <v>0</v>
      </c>
      <c r="AC252" s="676">
        <v>0</v>
      </c>
      <c r="AD252" s="676">
        <v>0</v>
      </c>
      <c r="AE252" s="676">
        <v>0</v>
      </c>
      <c r="AF252" s="676">
        <v>0</v>
      </c>
      <c r="AG252" s="682">
        <v>0</v>
      </c>
      <c r="AH252" s="683">
        <v>0</v>
      </c>
      <c r="AI252" s="676">
        <v>0</v>
      </c>
      <c r="AJ252" s="676">
        <v>0</v>
      </c>
      <c r="AK252" s="676">
        <v>0</v>
      </c>
      <c r="AL252" s="676">
        <v>0</v>
      </c>
      <c r="AM252" s="676">
        <v>0</v>
      </c>
      <c r="AN252" s="682">
        <v>0</v>
      </c>
      <c r="AO252" s="683">
        <v>0</v>
      </c>
      <c r="AP252" s="676">
        <v>0</v>
      </c>
      <c r="AQ252" s="676">
        <v>0</v>
      </c>
      <c r="AR252" s="676">
        <v>0</v>
      </c>
      <c r="AS252" s="682">
        <v>0</v>
      </c>
      <c r="AT252" s="674">
        <v>0</v>
      </c>
      <c r="AU252" s="674">
        <v>0</v>
      </c>
      <c r="AV252" s="674">
        <v>0</v>
      </c>
      <c r="AW252" s="684">
        <v>0</v>
      </c>
      <c r="AX252" s="685">
        <v>0</v>
      </c>
      <c r="AY252" s="612"/>
      <c r="AZ252" s="612"/>
      <c r="BA252" s="612"/>
      <c r="BB252" s="612"/>
      <c r="BC252" s="612"/>
      <c r="BD252" s="612"/>
      <c r="BI252" s="612"/>
      <c r="BJ252" s="612"/>
      <c r="BK252" s="612"/>
      <c r="BL252" s="612"/>
    </row>
    <row r="253" spans="1:64" s="609" customFormat="1" ht="30" customHeight="1" x14ac:dyDescent="0.3">
      <c r="A253" s="1604"/>
      <c r="B253" s="1605"/>
      <c r="C253" s="1606"/>
      <c r="D253" s="611" t="s">
        <v>20</v>
      </c>
      <c r="E253" s="1608"/>
      <c r="F253" s="1610"/>
      <c r="G253" s="692">
        <v>0</v>
      </c>
      <c r="H253" s="675">
        <v>0</v>
      </c>
      <c r="I253" s="676">
        <v>0</v>
      </c>
      <c r="J253" s="691">
        <v>0</v>
      </c>
      <c r="K253" s="677">
        <v>0</v>
      </c>
      <c r="L253" s="686">
        <v>0</v>
      </c>
      <c r="M253" s="693">
        <v>0</v>
      </c>
      <c r="N253" s="687">
        <v>0</v>
      </c>
      <c r="O253" s="688">
        <v>0</v>
      </c>
      <c r="P253" s="686">
        <v>0</v>
      </c>
      <c r="Q253" s="688">
        <v>0</v>
      </c>
      <c r="R253" s="686">
        <v>0</v>
      </c>
      <c r="S253" s="691">
        <v>0</v>
      </c>
      <c r="T253" s="691">
        <v>0</v>
      </c>
      <c r="U253" s="691">
        <v>0</v>
      </c>
      <c r="V253" s="691">
        <v>0</v>
      </c>
      <c r="W253" s="691" t="e">
        <f>W252*E252</f>
        <v>#REF!</v>
      </c>
      <c r="X253" s="691">
        <v>0</v>
      </c>
      <c r="Y253" s="675">
        <v>0</v>
      </c>
      <c r="Z253" s="676">
        <v>0</v>
      </c>
      <c r="AA253" s="676">
        <v>0</v>
      </c>
      <c r="AB253" s="676">
        <v>0</v>
      </c>
      <c r="AC253" s="676">
        <v>0</v>
      </c>
      <c r="AD253" s="676">
        <v>0</v>
      </c>
      <c r="AE253" s="676">
        <v>0</v>
      </c>
      <c r="AF253" s="676">
        <v>0</v>
      </c>
      <c r="AG253" s="682">
        <v>0</v>
      </c>
      <c r="AH253" s="683">
        <v>0</v>
      </c>
      <c r="AI253" s="676">
        <v>0</v>
      </c>
      <c r="AJ253" s="676">
        <v>0</v>
      </c>
      <c r="AK253" s="676">
        <v>0</v>
      </c>
      <c r="AL253" s="676">
        <v>0</v>
      </c>
      <c r="AM253" s="676">
        <v>0</v>
      </c>
      <c r="AN253" s="682">
        <v>0</v>
      </c>
      <c r="AO253" s="683">
        <v>0</v>
      </c>
      <c r="AP253" s="676">
        <v>0</v>
      </c>
      <c r="AQ253" s="676">
        <v>0</v>
      </c>
      <c r="AR253" s="676">
        <v>0</v>
      </c>
      <c r="AS253" s="682">
        <v>0</v>
      </c>
      <c r="AT253" s="674">
        <v>0</v>
      </c>
      <c r="AU253" s="674">
        <v>0</v>
      </c>
      <c r="AV253" s="674">
        <v>0</v>
      </c>
      <c r="AW253" s="684">
        <v>0</v>
      </c>
      <c r="AX253" s="685">
        <v>0</v>
      </c>
      <c r="AY253" s="612"/>
      <c r="AZ253" s="612"/>
      <c r="BA253" s="612"/>
      <c r="BB253" s="612"/>
      <c r="BC253" s="612"/>
      <c r="BD253" s="612"/>
      <c r="BI253" s="612"/>
      <c r="BJ253" s="612"/>
      <c r="BK253" s="612"/>
      <c r="BL253" s="612"/>
    </row>
    <row r="254" spans="1:64" s="609" customFormat="1" ht="30" customHeight="1" x14ac:dyDescent="0.3">
      <c r="A254" s="1601" t="s">
        <v>462</v>
      </c>
      <c r="B254" s="1602"/>
      <c r="C254" s="1603"/>
      <c r="D254" s="611" t="s">
        <v>696</v>
      </c>
      <c r="E254" s="1607" t="e">
        <f>VLOOKUP(A254,AA_Materiales,16,FALSE)</f>
        <v>#N/A</v>
      </c>
      <c r="F254" s="1609" t="e">
        <f>SUM(G255:AX255)</f>
        <v>#REF!</v>
      </c>
      <c r="G254" s="692">
        <v>0</v>
      </c>
      <c r="H254" s="675">
        <v>0</v>
      </c>
      <c r="I254" s="676">
        <v>0</v>
      </c>
      <c r="J254" s="691">
        <v>0</v>
      </c>
      <c r="K254" s="677">
        <v>0</v>
      </c>
      <c r="L254" s="686">
        <v>0</v>
      </c>
      <c r="M254" s="693">
        <v>0</v>
      </c>
      <c r="N254" s="687">
        <v>0</v>
      </c>
      <c r="O254" s="688">
        <v>0</v>
      </c>
      <c r="P254" s="686">
        <v>0</v>
      </c>
      <c r="Q254" s="688">
        <v>0</v>
      </c>
      <c r="R254" s="686">
        <v>0</v>
      </c>
      <c r="S254" s="691">
        <v>0</v>
      </c>
      <c r="T254" s="691">
        <v>0</v>
      </c>
      <c r="U254" s="691">
        <v>0</v>
      </c>
      <c r="V254" s="691">
        <v>0</v>
      </c>
      <c r="W254" s="691" t="e">
        <f>12*'PTO OC PLIEGO'!#REF!</f>
        <v>#REF!</v>
      </c>
      <c r="X254" s="691" t="e">
        <f>5*'PTO OC PLIEGO'!#REF!</f>
        <v>#REF!</v>
      </c>
      <c r="Y254" s="675">
        <v>0</v>
      </c>
      <c r="Z254" s="676">
        <v>0</v>
      </c>
      <c r="AA254" s="676">
        <v>0</v>
      </c>
      <c r="AB254" s="676">
        <v>0</v>
      </c>
      <c r="AC254" s="676">
        <v>0</v>
      </c>
      <c r="AD254" s="676">
        <v>0</v>
      </c>
      <c r="AE254" s="676">
        <v>0</v>
      </c>
      <c r="AF254" s="676">
        <v>0</v>
      </c>
      <c r="AG254" s="682">
        <v>0</v>
      </c>
      <c r="AH254" s="683">
        <v>0</v>
      </c>
      <c r="AI254" s="676">
        <v>0</v>
      </c>
      <c r="AJ254" s="676">
        <v>0</v>
      </c>
      <c r="AK254" s="676">
        <v>0</v>
      </c>
      <c r="AL254" s="676">
        <v>0</v>
      </c>
      <c r="AM254" s="676">
        <v>0</v>
      </c>
      <c r="AN254" s="682">
        <v>0</v>
      </c>
      <c r="AO254" s="683">
        <v>0</v>
      </c>
      <c r="AP254" s="676">
        <v>0</v>
      </c>
      <c r="AQ254" s="676">
        <v>0</v>
      </c>
      <c r="AR254" s="676">
        <v>0</v>
      </c>
      <c r="AS254" s="682">
        <v>0</v>
      </c>
      <c r="AT254" s="674">
        <v>0</v>
      </c>
      <c r="AU254" s="674">
        <v>0</v>
      </c>
      <c r="AV254" s="674">
        <v>0</v>
      </c>
      <c r="AW254" s="684">
        <v>0</v>
      </c>
      <c r="AX254" s="685">
        <v>0</v>
      </c>
      <c r="AY254" s="612"/>
      <c r="AZ254" s="612"/>
      <c r="BA254" s="612"/>
      <c r="BB254" s="612"/>
      <c r="BC254" s="612"/>
      <c r="BD254" s="612"/>
      <c r="BI254" s="612"/>
      <c r="BJ254" s="612"/>
      <c r="BK254" s="612"/>
      <c r="BL254" s="612"/>
    </row>
    <row r="255" spans="1:64" s="609" customFormat="1" ht="30" customHeight="1" x14ac:dyDescent="0.3">
      <c r="A255" s="1604"/>
      <c r="B255" s="1605"/>
      <c r="C255" s="1606"/>
      <c r="D255" s="611" t="s">
        <v>20</v>
      </c>
      <c r="E255" s="1608"/>
      <c r="F255" s="1610"/>
      <c r="G255" s="692">
        <v>0</v>
      </c>
      <c r="H255" s="675">
        <v>0</v>
      </c>
      <c r="I255" s="676">
        <v>0</v>
      </c>
      <c r="J255" s="691">
        <v>0</v>
      </c>
      <c r="K255" s="677">
        <v>0</v>
      </c>
      <c r="L255" s="686">
        <v>0</v>
      </c>
      <c r="M255" s="693">
        <v>0</v>
      </c>
      <c r="N255" s="687">
        <v>0</v>
      </c>
      <c r="O255" s="688">
        <v>0</v>
      </c>
      <c r="P255" s="686">
        <v>0</v>
      </c>
      <c r="Q255" s="688">
        <v>0</v>
      </c>
      <c r="R255" s="686">
        <v>0</v>
      </c>
      <c r="S255" s="691">
        <v>0</v>
      </c>
      <c r="T255" s="691">
        <v>0</v>
      </c>
      <c r="U255" s="691">
        <v>0</v>
      </c>
      <c r="V255" s="691">
        <v>0</v>
      </c>
      <c r="W255" s="691" t="e">
        <f>W254*E254</f>
        <v>#REF!</v>
      </c>
      <c r="X255" s="691" t="e">
        <f>X254*E254</f>
        <v>#REF!</v>
      </c>
      <c r="Y255" s="675">
        <v>0</v>
      </c>
      <c r="Z255" s="676">
        <v>0</v>
      </c>
      <c r="AA255" s="676">
        <v>0</v>
      </c>
      <c r="AB255" s="676">
        <v>0</v>
      </c>
      <c r="AC255" s="676">
        <v>0</v>
      </c>
      <c r="AD255" s="676">
        <v>0</v>
      </c>
      <c r="AE255" s="676">
        <v>0</v>
      </c>
      <c r="AF255" s="676">
        <v>0</v>
      </c>
      <c r="AG255" s="682">
        <v>0</v>
      </c>
      <c r="AH255" s="683">
        <v>0</v>
      </c>
      <c r="AI255" s="676">
        <v>0</v>
      </c>
      <c r="AJ255" s="676">
        <v>0</v>
      </c>
      <c r="AK255" s="676">
        <v>0</v>
      </c>
      <c r="AL255" s="676">
        <v>0</v>
      </c>
      <c r="AM255" s="676">
        <v>0</v>
      </c>
      <c r="AN255" s="682">
        <v>0</v>
      </c>
      <c r="AO255" s="683">
        <v>0</v>
      </c>
      <c r="AP255" s="676">
        <v>0</v>
      </c>
      <c r="AQ255" s="676">
        <v>0</v>
      </c>
      <c r="AR255" s="676">
        <v>0</v>
      </c>
      <c r="AS255" s="682">
        <v>0</v>
      </c>
      <c r="AT255" s="674">
        <v>0</v>
      </c>
      <c r="AU255" s="674">
        <v>0</v>
      </c>
      <c r="AV255" s="674">
        <v>0</v>
      </c>
      <c r="AW255" s="684">
        <v>0</v>
      </c>
      <c r="AX255" s="685">
        <v>0</v>
      </c>
      <c r="AY255" s="612"/>
      <c r="AZ255" s="612"/>
      <c r="BA255" s="612"/>
      <c r="BB255" s="612"/>
      <c r="BC255" s="612"/>
      <c r="BD255" s="612"/>
      <c r="BI255" s="612"/>
      <c r="BJ255" s="612"/>
      <c r="BK255" s="612"/>
      <c r="BL255" s="612"/>
    </row>
    <row r="256" spans="1:64" s="609" customFormat="1" ht="30" customHeight="1" x14ac:dyDescent="0.3">
      <c r="A256" s="1601" t="s">
        <v>463</v>
      </c>
      <c r="B256" s="1602"/>
      <c r="C256" s="1603"/>
      <c r="D256" s="611" t="s">
        <v>696</v>
      </c>
      <c r="E256" s="1607" t="e">
        <f>VLOOKUP(A256,AA_Materiales,16,FALSE)</f>
        <v>#N/A</v>
      </c>
      <c r="F256" s="1609" t="e">
        <f>SUM(G257:AX257)</f>
        <v>#REF!</v>
      </c>
      <c r="G256" s="692">
        <v>0</v>
      </c>
      <c r="H256" s="675">
        <v>0</v>
      </c>
      <c r="I256" s="676">
        <v>0</v>
      </c>
      <c r="J256" s="691">
        <v>0</v>
      </c>
      <c r="K256" s="677">
        <v>0</v>
      </c>
      <c r="L256" s="686">
        <v>0</v>
      </c>
      <c r="M256" s="693">
        <v>0</v>
      </c>
      <c r="N256" s="687">
        <v>0</v>
      </c>
      <c r="O256" s="688">
        <v>0</v>
      </c>
      <c r="P256" s="686">
        <v>0</v>
      </c>
      <c r="Q256" s="688">
        <v>0</v>
      </c>
      <c r="R256" s="686">
        <v>0</v>
      </c>
      <c r="S256" s="691">
        <v>0</v>
      </c>
      <c r="T256" s="691">
        <v>0</v>
      </c>
      <c r="U256" s="691">
        <v>0</v>
      </c>
      <c r="V256" s="691">
        <v>0</v>
      </c>
      <c r="W256" s="691" t="e">
        <f>1*'PTO OC PLIEGO'!#REF!</f>
        <v>#REF!</v>
      </c>
      <c r="X256" s="691">
        <v>0</v>
      </c>
      <c r="Y256" s="675">
        <v>0</v>
      </c>
      <c r="Z256" s="676">
        <v>0</v>
      </c>
      <c r="AA256" s="676">
        <v>0</v>
      </c>
      <c r="AB256" s="676">
        <v>0</v>
      </c>
      <c r="AC256" s="676">
        <v>0</v>
      </c>
      <c r="AD256" s="676">
        <v>0</v>
      </c>
      <c r="AE256" s="676">
        <v>0</v>
      </c>
      <c r="AF256" s="676">
        <v>0</v>
      </c>
      <c r="AG256" s="682">
        <v>0</v>
      </c>
      <c r="AH256" s="683">
        <v>0</v>
      </c>
      <c r="AI256" s="676">
        <v>0</v>
      </c>
      <c r="AJ256" s="676">
        <v>0</v>
      </c>
      <c r="AK256" s="676">
        <v>0</v>
      </c>
      <c r="AL256" s="676">
        <v>0</v>
      </c>
      <c r="AM256" s="676">
        <v>0</v>
      </c>
      <c r="AN256" s="682">
        <v>0</v>
      </c>
      <c r="AO256" s="683">
        <v>0</v>
      </c>
      <c r="AP256" s="676">
        <v>0</v>
      </c>
      <c r="AQ256" s="676">
        <v>0</v>
      </c>
      <c r="AR256" s="676">
        <v>0</v>
      </c>
      <c r="AS256" s="682">
        <v>0</v>
      </c>
      <c r="AT256" s="674">
        <v>0</v>
      </c>
      <c r="AU256" s="674">
        <v>0</v>
      </c>
      <c r="AV256" s="674">
        <v>0</v>
      </c>
      <c r="AW256" s="684">
        <v>0</v>
      </c>
      <c r="AX256" s="685">
        <v>0</v>
      </c>
      <c r="AY256" s="612"/>
      <c r="AZ256" s="612"/>
      <c r="BA256" s="612"/>
      <c r="BB256" s="612"/>
      <c r="BC256" s="612"/>
      <c r="BD256" s="612"/>
      <c r="BI256" s="612"/>
      <c r="BJ256" s="612"/>
      <c r="BK256" s="612"/>
      <c r="BL256" s="612"/>
    </row>
    <row r="257" spans="1:64" s="609" customFormat="1" ht="30" customHeight="1" x14ac:dyDescent="0.3">
      <c r="A257" s="1604"/>
      <c r="B257" s="1605"/>
      <c r="C257" s="1606"/>
      <c r="D257" s="611" t="s">
        <v>20</v>
      </c>
      <c r="E257" s="1608"/>
      <c r="F257" s="1610"/>
      <c r="G257" s="692">
        <v>0</v>
      </c>
      <c r="H257" s="675">
        <v>0</v>
      </c>
      <c r="I257" s="676">
        <v>0</v>
      </c>
      <c r="J257" s="691">
        <v>0</v>
      </c>
      <c r="K257" s="677">
        <v>0</v>
      </c>
      <c r="L257" s="686">
        <v>0</v>
      </c>
      <c r="M257" s="693">
        <v>0</v>
      </c>
      <c r="N257" s="687">
        <v>0</v>
      </c>
      <c r="O257" s="688">
        <v>0</v>
      </c>
      <c r="P257" s="686">
        <v>0</v>
      </c>
      <c r="Q257" s="688">
        <v>0</v>
      </c>
      <c r="R257" s="686">
        <v>0</v>
      </c>
      <c r="S257" s="691">
        <v>0</v>
      </c>
      <c r="T257" s="691">
        <v>0</v>
      </c>
      <c r="U257" s="691">
        <v>0</v>
      </c>
      <c r="V257" s="691">
        <v>0</v>
      </c>
      <c r="W257" s="691" t="e">
        <f>W256*E256</f>
        <v>#REF!</v>
      </c>
      <c r="X257" s="691">
        <v>0</v>
      </c>
      <c r="Y257" s="675">
        <v>0</v>
      </c>
      <c r="Z257" s="676">
        <v>0</v>
      </c>
      <c r="AA257" s="676">
        <v>0</v>
      </c>
      <c r="AB257" s="676">
        <v>0</v>
      </c>
      <c r="AC257" s="676">
        <v>0</v>
      </c>
      <c r="AD257" s="676">
        <v>0</v>
      </c>
      <c r="AE257" s="676">
        <v>0</v>
      </c>
      <c r="AF257" s="676">
        <v>0</v>
      </c>
      <c r="AG257" s="682">
        <v>0</v>
      </c>
      <c r="AH257" s="683">
        <v>0</v>
      </c>
      <c r="AI257" s="676">
        <v>0</v>
      </c>
      <c r="AJ257" s="676">
        <v>0</v>
      </c>
      <c r="AK257" s="676">
        <v>0</v>
      </c>
      <c r="AL257" s="676">
        <v>0</v>
      </c>
      <c r="AM257" s="676">
        <v>0</v>
      </c>
      <c r="AN257" s="682">
        <v>0</v>
      </c>
      <c r="AO257" s="683">
        <v>0</v>
      </c>
      <c r="AP257" s="676">
        <v>0</v>
      </c>
      <c r="AQ257" s="676">
        <v>0</v>
      </c>
      <c r="AR257" s="676">
        <v>0</v>
      </c>
      <c r="AS257" s="682">
        <v>0</v>
      </c>
      <c r="AT257" s="674">
        <v>0</v>
      </c>
      <c r="AU257" s="674">
        <v>0</v>
      </c>
      <c r="AV257" s="674">
        <v>0</v>
      </c>
      <c r="AW257" s="684">
        <v>0</v>
      </c>
      <c r="AX257" s="685">
        <v>0</v>
      </c>
      <c r="AY257" s="612"/>
      <c r="AZ257" s="612"/>
      <c r="BA257" s="612"/>
      <c r="BB257" s="612"/>
      <c r="BC257" s="612"/>
      <c r="BD257" s="612"/>
      <c r="BI257" s="612"/>
      <c r="BJ257" s="612"/>
      <c r="BK257" s="612"/>
      <c r="BL257" s="612"/>
    </row>
    <row r="258" spans="1:64" s="609" customFormat="1" ht="30" customHeight="1" x14ac:dyDescent="0.3">
      <c r="A258" s="1601" t="s">
        <v>464</v>
      </c>
      <c r="B258" s="1602"/>
      <c r="C258" s="1603"/>
      <c r="D258" s="611" t="s">
        <v>696</v>
      </c>
      <c r="E258" s="1607" t="e">
        <f>VLOOKUP(A258,AA_Materiales,16,FALSE)</f>
        <v>#N/A</v>
      </c>
      <c r="F258" s="1609" t="e">
        <f>SUM(G259:AX259)</f>
        <v>#REF!</v>
      </c>
      <c r="G258" s="692">
        <v>0</v>
      </c>
      <c r="H258" s="675">
        <v>0</v>
      </c>
      <c r="I258" s="676">
        <v>0</v>
      </c>
      <c r="J258" s="691">
        <v>0</v>
      </c>
      <c r="K258" s="677">
        <v>0</v>
      </c>
      <c r="L258" s="686">
        <v>0</v>
      </c>
      <c r="M258" s="693">
        <v>0</v>
      </c>
      <c r="N258" s="687">
        <v>0</v>
      </c>
      <c r="O258" s="688">
        <v>0</v>
      </c>
      <c r="P258" s="686">
        <v>0</v>
      </c>
      <c r="Q258" s="688">
        <v>0</v>
      </c>
      <c r="R258" s="686">
        <v>0</v>
      </c>
      <c r="S258" s="691">
        <v>0</v>
      </c>
      <c r="T258" s="691">
        <v>0</v>
      </c>
      <c r="U258" s="691">
        <v>0</v>
      </c>
      <c r="V258" s="691">
        <v>0</v>
      </c>
      <c r="W258" s="691" t="e">
        <f>1*'PTO OC PLIEGO'!#REF!</f>
        <v>#REF!</v>
      </c>
      <c r="X258" s="691" t="e">
        <f>1*'PTO OC PLIEGO'!#REF!</f>
        <v>#REF!</v>
      </c>
      <c r="Y258" s="675">
        <v>0</v>
      </c>
      <c r="Z258" s="676">
        <v>0</v>
      </c>
      <c r="AA258" s="676">
        <v>0</v>
      </c>
      <c r="AB258" s="676">
        <v>0</v>
      </c>
      <c r="AC258" s="676">
        <v>0</v>
      </c>
      <c r="AD258" s="676">
        <v>0</v>
      </c>
      <c r="AE258" s="676">
        <v>0</v>
      </c>
      <c r="AF258" s="676">
        <v>0</v>
      </c>
      <c r="AG258" s="682">
        <v>0</v>
      </c>
      <c r="AH258" s="683">
        <v>0</v>
      </c>
      <c r="AI258" s="676">
        <v>0</v>
      </c>
      <c r="AJ258" s="676">
        <v>0</v>
      </c>
      <c r="AK258" s="676">
        <v>0</v>
      </c>
      <c r="AL258" s="676">
        <v>0</v>
      </c>
      <c r="AM258" s="676">
        <v>0</v>
      </c>
      <c r="AN258" s="682">
        <v>0</v>
      </c>
      <c r="AO258" s="683">
        <v>0</v>
      </c>
      <c r="AP258" s="676">
        <v>0</v>
      </c>
      <c r="AQ258" s="676">
        <v>0</v>
      </c>
      <c r="AR258" s="676">
        <v>0</v>
      </c>
      <c r="AS258" s="682">
        <v>0</v>
      </c>
      <c r="AT258" s="674">
        <v>0</v>
      </c>
      <c r="AU258" s="674">
        <v>0</v>
      </c>
      <c r="AV258" s="674">
        <v>0</v>
      </c>
      <c r="AW258" s="684">
        <v>0</v>
      </c>
      <c r="AX258" s="685">
        <v>0</v>
      </c>
      <c r="AY258" s="612"/>
      <c r="AZ258" s="612"/>
      <c r="BA258" s="612"/>
      <c r="BB258" s="612"/>
      <c r="BC258" s="612"/>
      <c r="BD258" s="612"/>
      <c r="BI258" s="612"/>
      <c r="BJ258" s="612"/>
      <c r="BK258" s="612"/>
      <c r="BL258" s="612"/>
    </row>
    <row r="259" spans="1:64" s="609" customFormat="1" ht="30" customHeight="1" x14ac:dyDescent="0.3">
      <c r="A259" s="1604"/>
      <c r="B259" s="1605"/>
      <c r="C259" s="1606"/>
      <c r="D259" s="611" t="s">
        <v>20</v>
      </c>
      <c r="E259" s="1608"/>
      <c r="F259" s="1610"/>
      <c r="G259" s="692">
        <v>0</v>
      </c>
      <c r="H259" s="675">
        <v>0</v>
      </c>
      <c r="I259" s="676">
        <v>0</v>
      </c>
      <c r="J259" s="691">
        <v>0</v>
      </c>
      <c r="K259" s="677">
        <v>0</v>
      </c>
      <c r="L259" s="686">
        <v>0</v>
      </c>
      <c r="M259" s="693">
        <v>0</v>
      </c>
      <c r="N259" s="687">
        <v>0</v>
      </c>
      <c r="O259" s="688">
        <v>0</v>
      </c>
      <c r="P259" s="686">
        <v>0</v>
      </c>
      <c r="Q259" s="688">
        <v>0</v>
      </c>
      <c r="R259" s="686">
        <v>0</v>
      </c>
      <c r="S259" s="691">
        <v>0</v>
      </c>
      <c r="T259" s="691">
        <v>0</v>
      </c>
      <c r="U259" s="691">
        <v>0</v>
      </c>
      <c r="V259" s="691">
        <v>0</v>
      </c>
      <c r="W259" s="691" t="e">
        <f>W258*E258</f>
        <v>#REF!</v>
      </c>
      <c r="X259" s="691" t="e">
        <f>X258*E258</f>
        <v>#REF!</v>
      </c>
      <c r="Y259" s="675">
        <v>0</v>
      </c>
      <c r="Z259" s="676">
        <v>0</v>
      </c>
      <c r="AA259" s="676">
        <v>0</v>
      </c>
      <c r="AB259" s="676">
        <v>0</v>
      </c>
      <c r="AC259" s="676">
        <v>0</v>
      </c>
      <c r="AD259" s="676">
        <v>0</v>
      </c>
      <c r="AE259" s="676">
        <v>0</v>
      </c>
      <c r="AF259" s="676">
        <v>0</v>
      </c>
      <c r="AG259" s="682">
        <v>0</v>
      </c>
      <c r="AH259" s="683">
        <v>0</v>
      </c>
      <c r="AI259" s="676">
        <v>0</v>
      </c>
      <c r="AJ259" s="676">
        <v>0</v>
      </c>
      <c r="AK259" s="676">
        <v>0</v>
      </c>
      <c r="AL259" s="676">
        <v>0</v>
      </c>
      <c r="AM259" s="676">
        <v>0</v>
      </c>
      <c r="AN259" s="682">
        <v>0</v>
      </c>
      <c r="AO259" s="683">
        <v>0</v>
      </c>
      <c r="AP259" s="676">
        <v>0</v>
      </c>
      <c r="AQ259" s="676">
        <v>0</v>
      </c>
      <c r="AR259" s="676">
        <v>0</v>
      </c>
      <c r="AS259" s="682">
        <v>0</v>
      </c>
      <c r="AT259" s="674">
        <v>0</v>
      </c>
      <c r="AU259" s="674">
        <v>0</v>
      </c>
      <c r="AV259" s="674">
        <v>0</v>
      </c>
      <c r="AW259" s="684">
        <v>0</v>
      </c>
      <c r="AX259" s="685">
        <v>0</v>
      </c>
      <c r="AY259" s="612"/>
      <c r="AZ259" s="612"/>
      <c r="BA259" s="612"/>
      <c r="BB259" s="612"/>
      <c r="BC259" s="612"/>
      <c r="BD259" s="612"/>
      <c r="BI259" s="612"/>
      <c r="BJ259" s="612"/>
      <c r="BK259" s="612"/>
      <c r="BL259" s="612"/>
    </row>
    <row r="260" spans="1:64" s="609" customFormat="1" ht="30" customHeight="1" x14ac:dyDescent="0.3">
      <c r="A260" s="1601" t="s">
        <v>494</v>
      </c>
      <c r="B260" s="1602"/>
      <c r="C260" s="1603"/>
      <c r="D260" s="611" t="s">
        <v>696</v>
      </c>
      <c r="E260" s="1607" t="e">
        <f>VLOOKUP(A260,AA_Materiales,16,FALSE)</f>
        <v>#N/A</v>
      </c>
      <c r="F260" s="1609" t="e">
        <f>SUM(G261:AX261)</f>
        <v>#REF!</v>
      </c>
      <c r="G260" s="692">
        <v>0</v>
      </c>
      <c r="H260" s="675">
        <v>0</v>
      </c>
      <c r="I260" s="676">
        <v>0</v>
      </c>
      <c r="J260" s="691">
        <v>0</v>
      </c>
      <c r="K260" s="677">
        <v>0</v>
      </c>
      <c r="L260" s="686">
        <v>0</v>
      </c>
      <c r="M260" s="693">
        <v>0</v>
      </c>
      <c r="N260" s="687">
        <v>0</v>
      </c>
      <c r="O260" s="688">
        <v>0</v>
      </c>
      <c r="P260" s="686">
        <v>0</v>
      </c>
      <c r="Q260" s="688">
        <v>0</v>
      </c>
      <c r="R260" s="686">
        <v>0</v>
      </c>
      <c r="S260" s="691">
        <v>0</v>
      </c>
      <c r="T260" s="691">
        <v>0</v>
      </c>
      <c r="U260" s="691">
        <v>0</v>
      </c>
      <c r="V260" s="691">
        <v>0</v>
      </c>
      <c r="W260" s="691">
        <v>0</v>
      </c>
      <c r="X260" s="691" t="e">
        <f>1*'PTO OC PLIEGO'!#REF!</f>
        <v>#REF!</v>
      </c>
      <c r="Y260" s="675">
        <v>0</v>
      </c>
      <c r="Z260" s="676">
        <v>0</v>
      </c>
      <c r="AA260" s="676">
        <v>0</v>
      </c>
      <c r="AB260" s="676">
        <v>0</v>
      </c>
      <c r="AC260" s="676">
        <v>0</v>
      </c>
      <c r="AD260" s="676">
        <v>0</v>
      </c>
      <c r="AE260" s="676">
        <v>0</v>
      </c>
      <c r="AF260" s="676">
        <v>0</v>
      </c>
      <c r="AG260" s="682">
        <v>0</v>
      </c>
      <c r="AH260" s="683">
        <v>0</v>
      </c>
      <c r="AI260" s="676">
        <v>0</v>
      </c>
      <c r="AJ260" s="676">
        <v>0</v>
      </c>
      <c r="AK260" s="676">
        <v>0</v>
      </c>
      <c r="AL260" s="676">
        <v>0</v>
      </c>
      <c r="AM260" s="676">
        <v>0</v>
      </c>
      <c r="AN260" s="682">
        <v>0</v>
      </c>
      <c r="AO260" s="683">
        <v>0</v>
      </c>
      <c r="AP260" s="676">
        <v>0</v>
      </c>
      <c r="AQ260" s="676">
        <v>0</v>
      </c>
      <c r="AR260" s="676">
        <v>0</v>
      </c>
      <c r="AS260" s="682">
        <v>0</v>
      </c>
      <c r="AT260" s="674">
        <v>0</v>
      </c>
      <c r="AU260" s="674">
        <v>0</v>
      </c>
      <c r="AV260" s="674">
        <v>0</v>
      </c>
      <c r="AW260" s="684">
        <v>0</v>
      </c>
      <c r="AX260" s="685">
        <v>0</v>
      </c>
      <c r="AY260" s="612"/>
      <c r="AZ260" s="612"/>
      <c r="BA260" s="612"/>
      <c r="BB260" s="612"/>
      <c r="BC260" s="612"/>
      <c r="BD260" s="612"/>
      <c r="BI260" s="612"/>
      <c r="BJ260" s="612"/>
      <c r="BK260" s="612"/>
      <c r="BL260" s="612"/>
    </row>
    <row r="261" spans="1:64" s="609" customFormat="1" ht="30" customHeight="1" x14ac:dyDescent="0.3">
      <c r="A261" s="1604"/>
      <c r="B261" s="1605"/>
      <c r="C261" s="1606"/>
      <c r="D261" s="611" t="s">
        <v>20</v>
      </c>
      <c r="E261" s="1608"/>
      <c r="F261" s="1610"/>
      <c r="G261" s="692">
        <v>0</v>
      </c>
      <c r="H261" s="675">
        <v>0</v>
      </c>
      <c r="I261" s="676">
        <v>0</v>
      </c>
      <c r="J261" s="691">
        <v>0</v>
      </c>
      <c r="K261" s="677">
        <v>0</v>
      </c>
      <c r="L261" s="686">
        <v>0</v>
      </c>
      <c r="M261" s="693">
        <v>0</v>
      </c>
      <c r="N261" s="687">
        <v>0</v>
      </c>
      <c r="O261" s="688">
        <v>0</v>
      </c>
      <c r="P261" s="686">
        <v>0</v>
      </c>
      <c r="Q261" s="688">
        <v>0</v>
      </c>
      <c r="R261" s="686">
        <v>0</v>
      </c>
      <c r="S261" s="691">
        <v>0</v>
      </c>
      <c r="T261" s="691">
        <v>0</v>
      </c>
      <c r="U261" s="691">
        <v>0</v>
      </c>
      <c r="V261" s="691">
        <v>0</v>
      </c>
      <c r="W261" s="691">
        <v>0</v>
      </c>
      <c r="X261" s="691" t="e">
        <f>X260*E260</f>
        <v>#REF!</v>
      </c>
      <c r="Y261" s="675">
        <v>0</v>
      </c>
      <c r="Z261" s="676">
        <v>0</v>
      </c>
      <c r="AA261" s="676">
        <v>0</v>
      </c>
      <c r="AB261" s="676">
        <v>0</v>
      </c>
      <c r="AC261" s="676">
        <v>0</v>
      </c>
      <c r="AD261" s="676">
        <v>0</v>
      </c>
      <c r="AE261" s="676">
        <v>0</v>
      </c>
      <c r="AF261" s="676">
        <v>0</v>
      </c>
      <c r="AG261" s="682">
        <v>0</v>
      </c>
      <c r="AH261" s="683">
        <v>0</v>
      </c>
      <c r="AI261" s="676">
        <v>0</v>
      </c>
      <c r="AJ261" s="676">
        <v>0</v>
      </c>
      <c r="AK261" s="676">
        <v>0</v>
      </c>
      <c r="AL261" s="676">
        <v>0</v>
      </c>
      <c r="AM261" s="676">
        <v>0</v>
      </c>
      <c r="AN261" s="682">
        <v>0</v>
      </c>
      <c r="AO261" s="683">
        <v>0</v>
      </c>
      <c r="AP261" s="676">
        <v>0</v>
      </c>
      <c r="AQ261" s="676">
        <v>0</v>
      </c>
      <c r="AR261" s="676">
        <v>0</v>
      </c>
      <c r="AS261" s="682">
        <v>0</v>
      </c>
      <c r="AT261" s="674">
        <v>0</v>
      </c>
      <c r="AU261" s="674">
        <v>0</v>
      </c>
      <c r="AV261" s="674">
        <v>0</v>
      </c>
      <c r="AW261" s="684">
        <v>0</v>
      </c>
      <c r="AX261" s="685">
        <v>0</v>
      </c>
      <c r="AY261" s="612"/>
      <c r="AZ261" s="612"/>
      <c r="BA261" s="612"/>
      <c r="BB261" s="612"/>
      <c r="BC261" s="612"/>
      <c r="BD261" s="612"/>
      <c r="BI261" s="612"/>
      <c r="BJ261" s="612"/>
      <c r="BK261" s="612"/>
      <c r="BL261" s="612"/>
    </row>
    <row r="262" spans="1:64" s="609" customFormat="1" ht="30" customHeight="1" x14ac:dyDescent="0.3">
      <c r="A262" s="1601" t="s">
        <v>435</v>
      </c>
      <c r="B262" s="1602"/>
      <c r="C262" s="1603"/>
      <c r="D262" s="611" t="s">
        <v>696</v>
      </c>
      <c r="E262" s="1607" t="e">
        <f>VLOOKUP(A262,AA_Materiales,16,FALSE)</f>
        <v>#N/A</v>
      </c>
      <c r="F262" s="1609" t="e">
        <f>SUM(G263:AX263)</f>
        <v>#REF!</v>
      </c>
      <c r="G262" s="692">
        <v>0</v>
      </c>
      <c r="H262" s="675">
        <v>0</v>
      </c>
      <c r="I262" s="676">
        <v>0</v>
      </c>
      <c r="J262" s="691">
        <v>0</v>
      </c>
      <c r="K262" s="677">
        <v>0</v>
      </c>
      <c r="L262" s="686">
        <v>0</v>
      </c>
      <c r="M262" s="693">
        <v>0</v>
      </c>
      <c r="N262" s="687">
        <v>0</v>
      </c>
      <c r="O262" s="688">
        <v>0</v>
      </c>
      <c r="P262" s="686">
        <v>0</v>
      </c>
      <c r="Q262" s="688">
        <v>0</v>
      </c>
      <c r="R262" s="686">
        <v>0</v>
      </c>
      <c r="S262" s="691">
        <v>0</v>
      </c>
      <c r="T262" s="691">
        <v>0</v>
      </c>
      <c r="U262" s="691">
        <v>0</v>
      </c>
      <c r="V262" s="691">
        <v>0</v>
      </c>
      <c r="W262" s="691">
        <v>0</v>
      </c>
      <c r="X262" s="691" t="e">
        <f>1*'PTO OC PLIEGO'!#REF!</f>
        <v>#REF!</v>
      </c>
      <c r="Y262" s="675">
        <v>0</v>
      </c>
      <c r="Z262" s="676">
        <v>0</v>
      </c>
      <c r="AA262" s="676">
        <v>0</v>
      </c>
      <c r="AB262" s="676">
        <v>0</v>
      </c>
      <c r="AC262" s="676">
        <v>0</v>
      </c>
      <c r="AD262" s="676">
        <v>0</v>
      </c>
      <c r="AE262" s="676">
        <v>0</v>
      </c>
      <c r="AF262" s="676">
        <v>0</v>
      </c>
      <c r="AG262" s="682">
        <v>0</v>
      </c>
      <c r="AH262" s="683">
        <v>0</v>
      </c>
      <c r="AI262" s="676">
        <v>0</v>
      </c>
      <c r="AJ262" s="676">
        <v>0</v>
      </c>
      <c r="AK262" s="676">
        <v>0</v>
      </c>
      <c r="AL262" s="676">
        <v>0</v>
      </c>
      <c r="AM262" s="676">
        <v>0</v>
      </c>
      <c r="AN262" s="682">
        <v>0</v>
      </c>
      <c r="AO262" s="683">
        <v>0</v>
      </c>
      <c r="AP262" s="676">
        <v>0</v>
      </c>
      <c r="AQ262" s="676">
        <v>0</v>
      </c>
      <c r="AR262" s="676">
        <v>0</v>
      </c>
      <c r="AS262" s="682">
        <v>0</v>
      </c>
      <c r="AT262" s="674">
        <v>0</v>
      </c>
      <c r="AU262" s="674">
        <v>0</v>
      </c>
      <c r="AV262" s="674">
        <v>0</v>
      </c>
      <c r="AW262" s="684">
        <v>0</v>
      </c>
      <c r="AX262" s="685">
        <v>0</v>
      </c>
      <c r="AY262" s="612"/>
      <c r="AZ262" s="612"/>
      <c r="BA262" s="612"/>
      <c r="BB262" s="612"/>
      <c r="BC262" s="612"/>
      <c r="BD262" s="612"/>
      <c r="BI262" s="612"/>
      <c r="BJ262" s="612"/>
      <c r="BK262" s="612"/>
      <c r="BL262" s="612"/>
    </row>
    <row r="263" spans="1:64" s="609" customFormat="1" ht="30" customHeight="1" x14ac:dyDescent="0.3">
      <c r="A263" s="1604"/>
      <c r="B263" s="1605"/>
      <c r="C263" s="1606"/>
      <c r="D263" s="611" t="s">
        <v>20</v>
      </c>
      <c r="E263" s="1608"/>
      <c r="F263" s="1610"/>
      <c r="G263" s="692">
        <v>0</v>
      </c>
      <c r="H263" s="675">
        <v>0</v>
      </c>
      <c r="I263" s="676">
        <v>0</v>
      </c>
      <c r="J263" s="691">
        <v>0</v>
      </c>
      <c r="K263" s="677">
        <v>0</v>
      </c>
      <c r="L263" s="686">
        <v>0</v>
      </c>
      <c r="M263" s="693">
        <v>0</v>
      </c>
      <c r="N263" s="687">
        <v>0</v>
      </c>
      <c r="O263" s="688">
        <v>0</v>
      </c>
      <c r="P263" s="686">
        <v>0</v>
      </c>
      <c r="Q263" s="688">
        <v>0</v>
      </c>
      <c r="R263" s="686">
        <v>0</v>
      </c>
      <c r="S263" s="691">
        <v>0</v>
      </c>
      <c r="T263" s="691">
        <v>0</v>
      </c>
      <c r="U263" s="691">
        <v>0</v>
      </c>
      <c r="V263" s="691">
        <v>0</v>
      </c>
      <c r="W263" s="691">
        <v>0</v>
      </c>
      <c r="X263" s="691" t="e">
        <f>X262*E262</f>
        <v>#REF!</v>
      </c>
      <c r="Y263" s="675">
        <v>0</v>
      </c>
      <c r="Z263" s="676">
        <v>0</v>
      </c>
      <c r="AA263" s="676">
        <v>0</v>
      </c>
      <c r="AB263" s="676">
        <v>0</v>
      </c>
      <c r="AC263" s="676">
        <v>0</v>
      </c>
      <c r="AD263" s="676">
        <v>0</v>
      </c>
      <c r="AE263" s="676">
        <v>0</v>
      </c>
      <c r="AF263" s="676">
        <v>0</v>
      </c>
      <c r="AG263" s="682">
        <v>0</v>
      </c>
      <c r="AH263" s="683">
        <v>0</v>
      </c>
      <c r="AI263" s="676">
        <v>0</v>
      </c>
      <c r="AJ263" s="676">
        <v>0</v>
      </c>
      <c r="AK263" s="676">
        <v>0</v>
      </c>
      <c r="AL263" s="676">
        <v>0</v>
      </c>
      <c r="AM263" s="676">
        <v>0</v>
      </c>
      <c r="AN263" s="682">
        <v>0</v>
      </c>
      <c r="AO263" s="683">
        <v>0</v>
      </c>
      <c r="AP263" s="676">
        <v>0</v>
      </c>
      <c r="AQ263" s="676">
        <v>0</v>
      </c>
      <c r="AR263" s="676">
        <v>0</v>
      </c>
      <c r="AS263" s="682">
        <v>0</v>
      </c>
      <c r="AT263" s="674">
        <v>0</v>
      </c>
      <c r="AU263" s="674">
        <v>0</v>
      </c>
      <c r="AV263" s="674">
        <v>0</v>
      </c>
      <c r="AW263" s="684">
        <v>0</v>
      </c>
      <c r="AX263" s="685">
        <v>0</v>
      </c>
      <c r="AY263" s="612"/>
      <c r="AZ263" s="612"/>
      <c r="BA263" s="612"/>
      <c r="BB263" s="612"/>
      <c r="BC263" s="612"/>
      <c r="BD263" s="612"/>
      <c r="BI263" s="612"/>
      <c r="BJ263" s="612"/>
      <c r="BK263" s="612"/>
      <c r="BL263" s="612"/>
    </row>
    <row r="264" spans="1:64" s="609" customFormat="1" ht="30" customHeight="1" x14ac:dyDescent="0.3">
      <c r="A264" s="1601" t="s">
        <v>492</v>
      </c>
      <c r="B264" s="1602"/>
      <c r="C264" s="1603"/>
      <c r="D264" s="611" t="s">
        <v>696</v>
      </c>
      <c r="E264" s="1607" t="e">
        <f>VLOOKUP(A264,AA_Materiales,16,FALSE)</f>
        <v>#N/A</v>
      </c>
      <c r="F264" s="1609" t="e">
        <f>SUM(G265:AX265)</f>
        <v>#REF!</v>
      </c>
      <c r="G264" s="692">
        <v>0</v>
      </c>
      <c r="H264" s="675">
        <v>0</v>
      </c>
      <c r="I264" s="676">
        <v>0</v>
      </c>
      <c r="J264" s="691">
        <v>0</v>
      </c>
      <c r="K264" s="677">
        <v>0</v>
      </c>
      <c r="L264" s="686">
        <v>0</v>
      </c>
      <c r="M264" s="693">
        <v>0</v>
      </c>
      <c r="N264" s="687">
        <v>0</v>
      </c>
      <c r="O264" s="688">
        <v>0</v>
      </c>
      <c r="P264" s="686">
        <v>0</v>
      </c>
      <c r="Q264" s="688">
        <v>0</v>
      </c>
      <c r="R264" s="686">
        <v>0</v>
      </c>
      <c r="S264" s="691">
        <v>0</v>
      </c>
      <c r="T264" s="691">
        <v>0</v>
      </c>
      <c r="U264" s="691">
        <v>0</v>
      </c>
      <c r="V264" s="691">
        <v>0</v>
      </c>
      <c r="W264" s="691">
        <v>0</v>
      </c>
      <c r="X264" s="691" t="e">
        <f>6.16*'PTO OC PLIEGO'!#REF!</f>
        <v>#REF!</v>
      </c>
      <c r="Y264" s="675">
        <v>0</v>
      </c>
      <c r="Z264" s="676">
        <v>0</v>
      </c>
      <c r="AA264" s="676">
        <v>0</v>
      </c>
      <c r="AB264" s="676">
        <v>0</v>
      </c>
      <c r="AC264" s="676">
        <v>0</v>
      </c>
      <c r="AD264" s="676">
        <v>0</v>
      </c>
      <c r="AE264" s="676">
        <v>0</v>
      </c>
      <c r="AF264" s="676">
        <v>0</v>
      </c>
      <c r="AG264" s="682">
        <v>0</v>
      </c>
      <c r="AH264" s="683">
        <v>0</v>
      </c>
      <c r="AI264" s="676">
        <v>0</v>
      </c>
      <c r="AJ264" s="676">
        <v>0</v>
      </c>
      <c r="AK264" s="676">
        <v>0</v>
      </c>
      <c r="AL264" s="676">
        <v>0</v>
      </c>
      <c r="AM264" s="676">
        <v>0</v>
      </c>
      <c r="AN264" s="682">
        <v>0</v>
      </c>
      <c r="AO264" s="683">
        <v>0</v>
      </c>
      <c r="AP264" s="676">
        <v>0</v>
      </c>
      <c r="AQ264" s="676">
        <v>0</v>
      </c>
      <c r="AR264" s="676">
        <v>0</v>
      </c>
      <c r="AS264" s="682">
        <v>0</v>
      </c>
      <c r="AT264" s="674">
        <v>0</v>
      </c>
      <c r="AU264" s="674">
        <v>0</v>
      </c>
      <c r="AV264" s="674">
        <v>0</v>
      </c>
      <c r="AW264" s="684">
        <v>0</v>
      </c>
      <c r="AX264" s="685">
        <v>0</v>
      </c>
      <c r="AY264" s="612"/>
      <c r="AZ264" s="612"/>
      <c r="BA264" s="612"/>
      <c r="BB264" s="612"/>
      <c r="BC264" s="612"/>
      <c r="BD264" s="612"/>
      <c r="BI264" s="612"/>
      <c r="BJ264" s="612"/>
      <c r="BK264" s="612"/>
      <c r="BL264" s="612"/>
    </row>
    <row r="265" spans="1:64" s="609" customFormat="1" ht="30" customHeight="1" x14ac:dyDescent="0.3">
      <c r="A265" s="1604"/>
      <c r="B265" s="1605"/>
      <c r="C265" s="1606"/>
      <c r="D265" s="611" t="s">
        <v>20</v>
      </c>
      <c r="E265" s="1608"/>
      <c r="F265" s="1610"/>
      <c r="G265" s="692">
        <v>0</v>
      </c>
      <c r="H265" s="675">
        <v>0</v>
      </c>
      <c r="I265" s="676">
        <v>0</v>
      </c>
      <c r="J265" s="691">
        <v>0</v>
      </c>
      <c r="K265" s="677">
        <v>0</v>
      </c>
      <c r="L265" s="686">
        <v>0</v>
      </c>
      <c r="M265" s="693">
        <v>0</v>
      </c>
      <c r="N265" s="687">
        <v>0</v>
      </c>
      <c r="O265" s="688">
        <v>0</v>
      </c>
      <c r="P265" s="686">
        <v>0</v>
      </c>
      <c r="Q265" s="688">
        <v>0</v>
      </c>
      <c r="R265" s="686">
        <v>0</v>
      </c>
      <c r="S265" s="691">
        <v>0</v>
      </c>
      <c r="T265" s="691">
        <v>0</v>
      </c>
      <c r="U265" s="691">
        <v>0</v>
      </c>
      <c r="V265" s="691">
        <v>0</v>
      </c>
      <c r="W265" s="691">
        <v>0</v>
      </c>
      <c r="X265" s="691" t="e">
        <f>X264*E264</f>
        <v>#REF!</v>
      </c>
      <c r="Y265" s="675">
        <v>0</v>
      </c>
      <c r="Z265" s="676">
        <v>0</v>
      </c>
      <c r="AA265" s="676">
        <v>0</v>
      </c>
      <c r="AB265" s="676">
        <v>0</v>
      </c>
      <c r="AC265" s="676">
        <v>0</v>
      </c>
      <c r="AD265" s="676">
        <v>0</v>
      </c>
      <c r="AE265" s="676">
        <v>0</v>
      </c>
      <c r="AF265" s="676">
        <v>0</v>
      </c>
      <c r="AG265" s="682">
        <v>0</v>
      </c>
      <c r="AH265" s="683">
        <v>0</v>
      </c>
      <c r="AI265" s="676">
        <v>0</v>
      </c>
      <c r="AJ265" s="676">
        <v>0</v>
      </c>
      <c r="AK265" s="676">
        <v>0</v>
      </c>
      <c r="AL265" s="676">
        <v>0</v>
      </c>
      <c r="AM265" s="676">
        <v>0</v>
      </c>
      <c r="AN265" s="682">
        <v>0</v>
      </c>
      <c r="AO265" s="683">
        <v>0</v>
      </c>
      <c r="AP265" s="676">
        <v>0</v>
      </c>
      <c r="AQ265" s="676">
        <v>0</v>
      </c>
      <c r="AR265" s="676">
        <v>0</v>
      </c>
      <c r="AS265" s="682">
        <v>0</v>
      </c>
      <c r="AT265" s="674">
        <v>0</v>
      </c>
      <c r="AU265" s="674">
        <v>0</v>
      </c>
      <c r="AV265" s="674">
        <v>0</v>
      </c>
      <c r="AW265" s="684">
        <v>0</v>
      </c>
      <c r="AX265" s="685">
        <v>0</v>
      </c>
      <c r="AY265" s="612"/>
      <c r="AZ265" s="612"/>
      <c r="BA265" s="612"/>
      <c r="BB265" s="612"/>
      <c r="BC265" s="612"/>
      <c r="BD265" s="612"/>
      <c r="BI265" s="612"/>
      <c r="BJ265" s="612"/>
      <c r="BK265" s="612"/>
      <c r="BL265" s="612"/>
    </row>
    <row r="266" spans="1:64" s="609" customFormat="1" ht="30" customHeight="1" x14ac:dyDescent="0.3">
      <c r="A266" s="1601" t="s">
        <v>468</v>
      </c>
      <c r="B266" s="1602"/>
      <c r="C266" s="1603"/>
      <c r="D266" s="611" t="s">
        <v>696</v>
      </c>
      <c r="E266" s="1607" t="e">
        <f>VLOOKUP(A266,AA_Materiales,16,FALSE)</f>
        <v>#N/A</v>
      </c>
      <c r="F266" s="1609" t="e">
        <f>SUM(G267:AX267)</f>
        <v>#REF!</v>
      </c>
      <c r="G266" s="692">
        <v>0</v>
      </c>
      <c r="H266" s="675">
        <v>0</v>
      </c>
      <c r="I266" s="676">
        <v>0</v>
      </c>
      <c r="J266" s="691">
        <v>0</v>
      </c>
      <c r="K266" s="677">
        <v>0</v>
      </c>
      <c r="L266" s="686">
        <v>0</v>
      </c>
      <c r="M266" s="693">
        <v>0</v>
      </c>
      <c r="N266" s="687">
        <v>0</v>
      </c>
      <c r="O266" s="688">
        <v>0</v>
      </c>
      <c r="P266" s="686">
        <v>0</v>
      </c>
      <c r="Q266" s="688">
        <v>0</v>
      </c>
      <c r="R266" s="686">
        <v>0</v>
      </c>
      <c r="S266" s="691">
        <v>0</v>
      </c>
      <c r="T266" s="691">
        <v>0</v>
      </c>
      <c r="U266" s="691">
        <v>0</v>
      </c>
      <c r="V266" s="691">
        <v>0</v>
      </c>
      <c r="W266" s="691">
        <v>0</v>
      </c>
      <c r="X266" s="691">
        <v>0</v>
      </c>
      <c r="Y266" s="675">
        <v>0</v>
      </c>
      <c r="Z266" s="676">
        <v>0</v>
      </c>
      <c r="AA266" s="676">
        <v>0</v>
      </c>
      <c r="AB266" s="676">
        <v>0</v>
      </c>
      <c r="AC266" s="676">
        <v>0</v>
      </c>
      <c r="AD266" s="676">
        <v>0</v>
      </c>
      <c r="AE266" s="676">
        <v>0</v>
      </c>
      <c r="AF266" s="676">
        <v>0</v>
      </c>
      <c r="AG266" s="682">
        <v>0</v>
      </c>
      <c r="AH266" s="683">
        <v>0</v>
      </c>
      <c r="AI266" s="676">
        <v>0</v>
      </c>
      <c r="AJ266" s="676">
        <v>0</v>
      </c>
      <c r="AK266" s="676">
        <v>0</v>
      </c>
      <c r="AL266" s="676">
        <v>0</v>
      </c>
      <c r="AM266" s="676">
        <v>0</v>
      </c>
      <c r="AN266" s="682">
        <v>0</v>
      </c>
      <c r="AO266" s="683">
        <v>0</v>
      </c>
      <c r="AP266" s="706" t="e">
        <f>5.86*'PTO OC PLIEGO'!#REF!</f>
        <v>#REF!</v>
      </c>
      <c r="AQ266" s="695" t="e">
        <f>14.66*'PTO OC PLIEGO'!#REF!</f>
        <v>#REF!</v>
      </c>
      <c r="AR266" s="696" t="e">
        <f>29.32*'PTO OC PLIEGO'!#REF!</f>
        <v>#REF!</v>
      </c>
      <c r="AS266" s="697" t="e">
        <f>52.77*'PTO OC PLIEGO'!#REF!</f>
        <v>#REF!</v>
      </c>
      <c r="AT266" s="674">
        <v>0</v>
      </c>
      <c r="AU266" s="674">
        <v>0</v>
      </c>
      <c r="AV266" s="674">
        <v>0</v>
      </c>
      <c r="AW266" s="684">
        <v>0</v>
      </c>
      <c r="AX266" s="685">
        <v>0</v>
      </c>
      <c r="AY266" s="612"/>
      <c r="AZ266" s="612"/>
      <c r="BA266" s="612"/>
      <c r="BB266" s="612"/>
      <c r="BC266" s="612"/>
      <c r="BD266" s="612"/>
      <c r="BI266" s="612"/>
      <c r="BJ266" s="612"/>
      <c r="BK266" s="612"/>
      <c r="BL266" s="612"/>
    </row>
    <row r="267" spans="1:64" s="609" customFormat="1" ht="30" customHeight="1" x14ac:dyDescent="0.3">
      <c r="A267" s="1604"/>
      <c r="B267" s="1605"/>
      <c r="C267" s="1606"/>
      <c r="D267" s="611" t="s">
        <v>20</v>
      </c>
      <c r="E267" s="1608"/>
      <c r="F267" s="1610"/>
      <c r="G267" s="692">
        <v>0</v>
      </c>
      <c r="H267" s="675">
        <v>0</v>
      </c>
      <c r="I267" s="676">
        <v>0</v>
      </c>
      <c r="J267" s="691">
        <v>0</v>
      </c>
      <c r="K267" s="677">
        <v>0</v>
      </c>
      <c r="L267" s="686">
        <v>0</v>
      </c>
      <c r="M267" s="693">
        <v>0</v>
      </c>
      <c r="N267" s="687">
        <v>0</v>
      </c>
      <c r="O267" s="688">
        <v>0</v>
      </c>
      <c r="P267" s="686">
        <v>0</v>
      </c>
      <c r="Q267" s="688">
        <v>0</v>
      </c>
      <c r="R267" s="686">
        <v>0</v>
      </c>
      <c r="S267" s="691">
        <v>0</v>
      </c>
      <c r="T267" s="691">
        <v>0</v>
      </c>
      <c r="U267" s="691">
        <v>0</v>
      </c>
      <c r="V267" s="691">
        <v>0</v>
      </c>
      <c r="W267" s="691">
        <v>0</v>
      </c>
      <c r="X267" s="691">
        <v>0</v>
      </c>
      <c r="Y267" s="675">
        <v>0</v>
      </c>
      <c r="Z267" s="676">
        <v>0</v>
      </c>
      <c r="AA267" s="676">
        <v>0</v>
      </c>
      <c r="AB267" s="676">
        <v>0</v>
      </c>
      <c r="AC267" s="676">
        <v>0</v>
      </c>
      <c r="AD267" s="676">
        <v>0</v>
      </c>
      <c r="AE267" s="676">
        <v>0</v>
      </c>
      <c r="AF267" s="676">
        <v>0</v>
      </c>
      <c r="AG267" s="682">
        <v>0</v>
      </c>
      <c r="AH267" s="683">
        <v>0</v>
      </c>
      <c r="AI267" s="676">
        <v>0</v>
      </c>
      <c r="AJ267" s="676">
        <v>0</v>
      </c>
      <c r="AK267" s="676">
        <v>0</v>
      </c>
      <c r="AL267" s="676">
        <v>0</v>
      </c>
      <c r="AM267" s="676">
        <v>0</v>
      </c>
      <c r="AN267" s="682">
        <v>0</v>
      </c>
      <c r="AO267" s="683">
        <v>0</v>
      </c>
      <c r="AP267" s="706" t="e">
        <f>AP266*E266</f>
        <v>#REF!</v>
      </c>
      <c r="AQ267" s="695" t="e">
        <f>AQ266*E266</f>
        <v>#REF!</v>
      </c>
      <c r="AR267" s="696" t="e">
        <f>AR266*E266</f>
        <v>#REF!</v>
      </c>
      <c r="AS267" s="697" t="e">
        <f>AS266*E266</f>
        <v>#REF!</v>
      </c>
      <c r="AT267" s="674">
        <v>0</v>
      </c>
      <c r="AU267" s="674">
        <v>0</v>
      </c>
      <c r="AV267" s="674">
        <v>0</v>
      </c>
      <c r="AW267" s="684">
        <v>0</v>
      </c>
      <c r="AX267" s="685">
        <v>0</v>
      </c>
      <c r="AY267" s="612"/>
      <c r="AZ267" s="612"/>
      <c r="BA267" s="612"/>
      <c r="BB267" s="612"/>
      <c r="BC267" s="612"/>
      <c r="BD267" s="612"/>
      <c r="BI267" s="612"/>
      <c r="BJ267" s="612"/>
      <c r="BK267" s="612"/>
      <c r="BL267" s="612"/>
    </row>
    <row r="268" spans="1:64" s="609" customFormat="1" ht="30" customHeight="1" x14ac:dyDescent="0.3">
      <c r="A268" s="1601" t="s">
        <v>469</v>
      </c>
      <c r="B268" s="1602"/>
      <c r="C268" s="1603"/>
      <c r="D268" s="611" t="s">
        <v>696</v>
      </c>
      <c r="E268" s="1607" t="e">
        <f>VLOOKUP(A268,AA_Materiales,16,FALSE)</f>
        <v>#N/A</v>
      </c>
      <c r="F268" s="1609" t="e">
        <f>SUM(G269:AX269)</f>
        <v>#REF!</v>
      </c>
      <c r="G268" s="692">
        <v>0</v>
      </c>
      <c r="H268" s="675">
        <v>0</v>
      </c>
      <c r="I268" s="676">
        <v>0</v>
      </c>
      <c r="J268" s="691">
        <v>0</v>
      </c>
      <c r="K268" s="677">
        <v>0</v>
      </c>
      <c r="L268" s="686">
        <v>0</v>
      </c>
      <c r="M268" s="693">
        <v>0</v>
      </c>
      <c r="N268" s="687">
        <v>0</v>
      </c>
      <c r="O268" s="688">
        <v>0</v>
      </c>
      <c r="P268" s="686">
        <v>0</v>
      </c>
      <c r="Q268" s="688">
        <v>0</v>
      </c>
      <c r="R268" s="686">
        <v>0</v>
      </c>
      <c r="S268" s="691">
        <v>0</v>
      </c>
      <c r="T268" s="691">
        <v>0</v>
      </c>
      <c r="U268" s="691">
        <v>0</v>
      </c>
      <c r="V268" s="691">
        <v>0</v>
      </c>
      <c r="W268" s="691">
        <v>0</v>
      </c>
      <c r="X268" s="691">
        <v>0</v>
      </c>
      <c r="Y268" s="675">
        <v>0</v>
      </c>
      <c r="Z268" s="676">
        <v>0</v>
      </c>
      <c r="AA268" s="676">
        <v>0</v>
      </c>
      <c r="AB268" s="676">
        <v>0</v>
      </c>
      <c r="AC268" s="676">
        <v>0</v>
      </c>
      <c r="AD268" s="676">
        <v>0</v>
      </c>
      <c r="AE268" s="676">
        <v>0</v>
      </c>
      <c r="AF268" s="676">
        <v>0</v>
      </c>
      <c r="AG268" s="682">
        <v>0</v>
      </c>
      <c r="AH268" s="683">
        <v>0</v>
      </c>
      <c r="AI268" s="676">
        <v>0</v>
      </c>
      <c r="AJ268" s="676">
        <v>0</v>
      </c>
      <c r="AK268" s="676">
        <v>0</v>
      </c>
      <c r="AL268" s="676">
        <v>0</v>
      </c>
      <c r="AM268" s="676">
        <v>0</v>
      </c>
      <c r="AN268" s="682">
        <v>0</v>
      </c>
      <c r="AO268" s="683">
        <v>0</v>
      </c>
      <c r="AP268" s="706" t="e">
        <f>402*'PTO OC PLIEGO'!#REF!</f>
        <v>#REF!</v>
      </c>
      <c r="AQ268" s="695" t="e">
        <f>1005*'PTO OC PLIEGO'!#REF!</f>
        <v>#REF!</v>
      </c>
      <c r="AR268" s="696" t="e">
        <f>2010*'PTO OC PLIEGO'!#REF!</f>
        <v>#REF!</v>
      </c>
      <c r="AS268" s="697" t="e">
        <f>3618*'PTO OC PLIEGO'!#REF!</f>
        <v>#REF!</v>
      </c>
      <c r="AT268" s="674">
        <v>0</v>
      </c>
      <c r="AU268" s="674">
        <v>0</v>
      </c>
      <c r="AV268" s="674">
        <v>0</v>
      </c>
      <c r="AW268" s="684">
        <v>0</v>
      </c>
      <c r="AX268" s="685">
        <v>0</v>
      </c>
      <c r="AY268" s="612"/>
      <c r="AZ268" s="612"/>
      <c r="BA268" s="612"/>
      <c r="BB268" s="612"/>
      <c r="BC268" s="612"/>
      <c r="BD268" s="612"/>
      <c r="BI268" s="612"/>
      <c r="BJ268" s="612"/>
      <c r="BK268" s="612"/>
      <c r="BL268" s="612"/>
    </row>
    <row r="269" spans="1:64" s="609" customFormat="1" ht="30" customHeight="1" x14ac:dyDescent="0.3">
      <c r="A269" s="1604"/>
      <c r="B269" s="1605"/>
      <c r="C269" s="1606"/>
      <c r="D269" s="611" t="s">
        <v>20</v>
      </c>
      <c r="E269" s="1608"/>
      <c r="F269" s="1610"/>
      <c r="G269" s="692">
        <v>0</v>
      </c>
      <c r="H269" s="675">
        <v>0</v>
      </c>
      <c r="I269" s="676">
        <v>0</v>
      </c>
      <c r="J269" s="691">
        <v>0</v>
      </c>
      <c r="K269" s="677">
        <v>0</v>
      </c>
      <c r="L269" s="686">
        <v>0</v>
      </c>
      <c r="M269" s="693">
        <v>0</v>
      </c>
      <c r="N269" s="687">
        <v>0</v>
      </c>
      <c r="O269" s="688">
        <v>0</v>
      </c>
      <c r="P269" s="686">
        <v>0</v>
      </c>
      <c r="Q269" s="688">
        <v>0</v>
      </c>
      <c r="R269" s="686">
        <v>0</v>
      </c>
      <c r="S269" s="691">
        <v>0</v>
      </c>
      <c r="T269" s="691">
        <v>0</v>
      </c>
      <c r="U269" s="691">
        <v>0</v>
      </c>
      <c r="V269" s="691">
        <v>0</v>
      </c>
      <c r="W269" s="691">
        <v>0</v>
      </c>
      <c r="X269" s="691">
        <v>0</v>
      </c>
      <c r="Y269" s="675">
        <v>0</v>
      </c>
      <c r="Z269" s="676">
        <v>0</v>
      </c>
      <c r="AA269" s="676">
        <v>0</v>
      </c>
      <c r="AB269" s="676">
        <v>0</v>
      </c>
      <c r="AC269" s="676">
        <v>0</v>
      </c>
      <c r="AD269" s="676">
        <v>0</v>
      </c>
      <c r="AE269" s="676">
        <v>0</v>
      </c>
      <c r="AF269" s="676">
        <v>0</v>
      </c>
      <c r="AG269" s="682">
        <v>0</v>
      </c>
      <c r="AH269" s="683">
        <v>0</v>
      </c>
      <c r="AI269" s="676">
        <v>0</v>
      </c>
      <c r="AJ269" s="676">
        <v>0</v>
      </c>
      <c r="AK269" s="676">
        <v>0</v>
      </c>
      <c r="AL269" s="676">
        <v>0</v>
      </c>
      <c r="AM269" s="676">
        <v>0</v>
      </c>
      <c r="AN269" s="682">
        <v>0</v>
      </c>
      <c r="AO269" s="683">
        <v>0</v>
      </c>
      <c r="AP269" s="706" t="e">
        <f>AP268*E268</f>
        <v>#REF!</v>
      </c>
      <c r="AQ269" s="695" t="e">
        <f>AQ268*E268</f>
        <v>#REF!</v>
      </c>
      <c r="AR269" s="696" t="e">
        <f>AR268*E268</f>
        <v>#REF!</v>
      </c>
      <c r="AS269" s="697" t="e">
        <f>AS268*E268</f>
        <v>#REF!</v>
      </c>
      <c r="AT269" s="674">
        <v>0</v>
      </c>
      <c r="AU269" s="674">
        <v>0</v>
      </c>
      <c r="AV269" s="674">
        <v>0</v>
      </c>
      <c r="AW269" s="684">
        <v>0</v>
      </c>
      <c r="AX269" s="685">
        <v>0</v>
      </c>
      <c r="AY269" s="612"/>
      <c r="AZ269" s="612"/>
      <c r="BA269" s="612"/>
      <c r="BB269" s="612"/>
      <c r="BC269" s="612"/>
      <c r="BD269" s="612"/>
      <c r="BI269" s="612"/>
      <c r="BJ269" s="612"/>
      <c r="BK269" s="612"/>
      <c r="BL269" s="612"/>
    </row>
    <row r="270" spans="1:64" s="609" customFormat="1" ht="30" customHeight="1" x14ac:dyDescent="0.3">
      <c r="A270" s="1601" t="s">
        <v>470</v>
      </c>
      <c r="B270" s="1602"/>
      <c r="C270" s="1603"/>
      <c r="D270" s="611" t="s">
        <v>696</v>
      </c>
      <c r="E270" s="1607" t="e">
        <f>VLOOKUP(A270,AA_Materiales,16,FALSE)</f>
        <v>#N/A</v>
      </c>
      <c r="F270" s="1609" t="e">
        <f>SUM(G271:AX271)</f>
        <v>#REF!</v>
      </c>
      <c r="G270" s="692">
        <v>0</v>
      </c>
      <c r="H270" s="675">
        <v>0</v>
      </c>
      <c r="I270" s="676">
        <v>0</v>
      </c>
      <c r="J270" s="691">
        <v>0</v>
      </c>
      <c r="K270" s="677">
        <v>0</v>
      </c>
      <c r="L270" s="686">
        <v>0</v>
      </c>
      <c r="M270" s="693">
        <v>0</v>
      </c>
      <c r="N270" s="687">
        <v>0</v>
      </c>
      <c r="O270" s="688">
        <v>0</v>
      </c>
      <c r="P270" s="686">
        <v>0</v>
      </c>
      <c r="Q270" s="688">
        <v>0</v>
      </c>
      <c r="R270" s="686">
        <v>0</v>
      </c>
      <c r="S270" s="691">
        <v>0</v>
      </c>
      <c r="T270" s="691">
        <v>0</v>
      </c>
      <c r="U270" s="691">
        <v>0</v>
      </c>
      <c r="V270" s="691">
        <v>0</v>
      </c>
      <c r="W270" s="691">
        <v>0</v>
      </c>
      <c r="X270" s="691">
        <v>0</v>
      </c>
      <c r="Y270" s="675">
        <v>0</v>
      </c>
      <c r="Z270" s="676">
        <v>0</v>
      </c>
      <c r="AA270" s="676">
        <v>0</v>
      </c>
      <c r="AB270" s="676">
        <v>0</v>
      </c>
      <c r="AC270" s="676">
        <v>0</v>
      </c>
      <c r="AD270" s="676">
        <v>0</v>
      </c>
      <c r="AE270" s="676">
        <v>0</v>
      </c>
      <c r="AF270" s="676">
        <v>0</v>
      </c>
      <c r="AG270" s="682">
        <v>0</v>
      </c>
      <c r="AH270" s="683">
        <v>0</v>
      </c>
      <c r="AI270" s="676">
        <v>0</v>
      </c>
      <c r="AJ270" s="676">
        <v>0</v>
      </c>
      <c r="AK270" s="676">
        <v>0</v>
      </c>
      <c r="AL270" s="676">
        <v>0</v>
      </c>
      <c r="AM270" s="676">
        <v>0</v>
      </c>
      <c r="AN270" s="682">
        <v>0</v>
      </c>
      <c r="AO270" s="683">
        <v>0</v>
      </c>
      <c r="AP270" s="706" t="e">
        <f>2*'PTO OC PLIEGO'!#REF!</f>
        <v>#REF!</v>
      </c>
      <c r="AQ270" s="695" t="e">
        <f>5*'PTO OC PLIEGO'!#REF!</f>
        <v>#REF!</v>
      </c>
      <c r="AR270" s="696" t="e">
        <f>10*'PTO OC PLIEGO'!#REF!</f>
        <v>#REF!</v>
      </c>
      <c r="AS270" s="697" t="e">
        <f>18*'PTO OC PLIEGO'!#REF!</f>
        <v>#REF!</v>
      </c>
      <c r="AT270" s="674">
        <v>0</v>
      </c>
      <c r="AU270" s="674">
        <v>0</v>
      </c>
      <c r="AV270" s="674">
        <v>0</v>
      </c>
      <c r="AW270" s="684">
        <v>0</v>
      </c>
      <c r="AX270" s="685">
        <v>0</v>
      </c>
      <c r="AY270" s="612"/>
      <c r="AZ270" s="612"/>
      <c r="BA270" s="612"/>
      <c r="BB270" s="612"/>
      <c r="BC270" s="612"/>
      <c r="BD270" s="612"/>
      <c r="BI270" s="612"/>
      <c r="BJ270" s="612"/>
      <c r="BK270" s="612"/>
      <c r="BL270" s="612"/>
    </row>
    <row r="271" spans="1:64" s="609" customFormat="1" ht="30" customHeight="1" x14ac:dyDescent="0.3">
      <c r="A271" s="1604"/>
      <c r="B271" s="1605"/>
      <c r="C271" s="1606"/>
      <c r="D271" s="611" t="s">
        <v>20</v>
      </c>
      <c r="E271" s="1608"/>
      <c r="F271" s="1610"/>
      <c r="G271" s="692">
        <v>0</v>
      </c>
      <c r="H271" s="675">
        <v>0</v>
      </c>
      <c r="I271" s="676">
        <v>0</v>
      </c>
      <c r="J271" s="691">
        <v>0</v>
      </c>
      <c r="K271" s="677">
        <v>0</v>
      </c>
      <c r="L271" s="686">
        <v>0</v>
      </c>
      <c r="M271" s="693">
        <v>0</v>
      </c>
      <c r="N271" s="687">
        <v>0</v>
      </c>
      <c r="O271" s="688">
        <v>0</v>
      </c>
      <c r="P271" s="686">
        <v>0</v>
      </c>
      <c r="Q271" s="688">
        <v>0</v>
      </c>
      <c r="R271" s="686">
        <v>0</v>
      </c>
      <c r="S271" s="691">
        <v>0</v>
      </c>
      <c r="T271" s="691">
        <v>0</v>
      </c>
      <c r="U271" s="691">
        <v>0</v>
      </c>
      <c r="V271" s="691">
        <v>0</v>
      </c>
      <c r="W271" s="691">
        <v>0</v>
      </c>
      <c r="X271" s="691">
        <v>0</v>
      </c>
      <c r="Y271" s="675">
        <v>0</v>
      </c>
      <c r="Z271" s="676">
        <v>0</v>
      </c>
      <c r="AA271" s="676">
        <v>0</v>
      </c>
      <c r="AB271" s="676">
        <v>0</v>
      </c>
      <c r="AC271" s="676">
        <v>0</v>
      </c>
      <c r="AD271" s="676">
        <v>0</v>
      </c>
      <c r="AE271" s="676">
        <v>0</v>
      </c>
      <c r="AF271" s="676">
        <v>0</v>
      </c>
      <c r="AG271" s="682">
        <v>0</v>
      </c>
      <c r="AH271" s="683">
        <v>0</v>
      </c>
      <c r="AI271" s="676">
        <v>0</v>
      </c>
      <c r="AJ271" s="676">
        <v>0</v>
      </c>
      <c r="AK271" s="676">
        <v>0</v>
      </c>
      <c r="AL271" s="676">
        <v>0</v>
      </c>
      <c r="AM271" s="676">
        <v>0</v>
      </c>
      <c r="AN271" s="682">
        <v>0</v>
      </c>
      <c r="AO271" s="683">
        <v>0</v>
      </c>
      <c r="AP271" s="706" t="e">
        <f>AP270*E270</f>
        <v>#REF!</v>
      </c>
      <c r="AQ271" s="695" t="e">
        <f>AQ270*E270</f>
        <v>#REF!</v>
      </c>
      <c r="AR271" s="696" t="e">
        <f>AR270*E270</f>
        <v>#REF!</v>
      </c>
      <c r="AS271" s="697" t="e">
        <f>AS270*E270</f>
        <v>#REF!</v>
      </c>
      <c r="AT271" s="674">
        <v>0</v>
      </c>
      <c r="AU271" s="674">
        <v>0</v>
      </c>
      <c r="AV271" s="674">
        <v>0</v>
      </c>
      <c r="AW271" s="684">
        <v>0</v>
      </c>
      <c r="AX271" s="685">
        <v>0</v>
      </c>
      <c r="AY271" s="612"/>
      <c r="AZ271" s="612"/>
      <c r="BA271" s="612"/>
      <c r="BB271" s="612"/>
      <c r="BC271" s="612"/>
      <c r="BD271" s="612"/>
      <c r="BI271" s="612"/>
      <c r="BJ271" s="612"/>
      <c r="BK271" s="612"/>
      <c r="BL271" s="612"/>
    </row>
    <row r="272" spans="1:64" s="609" customFormat="1" ht="30" customHeight="1" x14ac:dyDescent="0.3">
      <c r="A272" s="1601" t="s">
        <v>471</v>
      </c>
      <c r="B272" s="1602"/>
      <c r="C272" s="1603"/>
      <c r="D272" s="611" t="s">
        <v>696</v>
      </c>
      <c r="E272" s="1607" t="e">
        <f>VLOOKUP(A272,AA_Materiales,16,FALSE)</f>
        <v>#N/A</v>
      </c>
      <c r="F272" s="1609" t="e">
        <f>SUM(G273:AX273)</f>
        <v>#REF!</v>
      </c>
      <c r="G272" s="692">
        <v>0</v>
      </c>
      <c r="H272" s="675">
        <v>0</v>
      </c>
      <c r="I272" s="676">
        <v>0</v>
      </c>
      <c r="J272" s="691">
        <v>0</v>
      </c>
      <c r="K272" s="677">
        <v>0</v>
      </c>
      <c r="L272" s="686">
        <v>0</v>
      </c>
      <c r="M272" s="693">
        <v>0</v>
      </c>
      <c r="N272" s="687">
        <v>0</v>
      </c>
      <c r="O272" s="688">
        <v>0</v>
      </c>
      <c r="P272" s="686">
        <v>0</v>
      </c>
      <c r="Q272" s="688">
        <v>0</v>
      </c>
      <c r="R272" s="686">
        <v>0</v>
      </c>
      <c r="S272" s="691">
        <v>0</v>
      </c>
      <c r="T272" s="691">
        <v>0</v>
      </c>
      <c r="U272" s="691">
        <v>0</v>
      </c>
      <c r="V272" s="691">
        <v>0</v>
      </c>
      <c r="W272" s="691">
        <v>0</v>
      </c>
      <c r="X272" s="691">
        <v>0</v>
      </c>
      <c r="Y272" s="675">
        <v>0</v>
      </c>
      <c r="Z272" s="676">
        <v>0</v>
      </c>
      <c r="AA272" s="676">
        <v>0</v>
      </c>
      <c r="AB272" s="676">
        <v>0</v>
      </c>
      <c r="AC272" s="676">
        <v>0</v>
      </c>
      <c r="AD272" s="676">
        <v>0</v>
      </c>
      <c r="AE272" s="676">
        <v>0</v>
      </c>
      <c r="AF272" s="676">
        <v>0</v>
      </c>
      <c r="AG272" s="682">
        <v>0</v>
      </c>
      <c r="AH272" s="683">
        <v>0</v>
      </c>
      <c r="AI272" s="676">
        <v>0</v>
      </c>
      <c r="AJ272" s="676">
        <v>0</v>
      </c>
      <c r="AK272" s="676">
        <v>0</v>
      </c>
      <c r="AL272" s="676">
        <v>0</v>
      </c>
      <c r="AM272" s="676">
        <v>0</v>
      </c>
      <c r="AN272" s="682">
        <v>0</v>
      </c>
      <c r="AO272" s="683">
        <v>0</v>
      </c>
      <c r="AP272" s="706" t="e">
        <f>8*'PTO OC PLIEGO'!#REF!</f>
        <v>#REF!</v>
      </c>
      <c r="AQ272" s="695" t="e">
        <f>20*'PTO OC PLIEGO'!#REF!</f>
        <v>#REF!</v>
      </c>
      <c r="AR272" s="696" t="e">
        <f>40*'PTO OC PLIEGO'!#REF!</f>
        <v>#REF!</v>
      </c>
      <c r="AS272" s="697" t="e">
        <f>72*'PTO OC PLIEGO'!#REF!</f>
        <v>#REF!</v>
      </c>
      <c r="AT272" s="674">
        <v>0</v>
      </c>
      <c r="AU272" s="674">
        <v>0</v>
      </c>
      <c r="AV272" s="674">
        <v>0</v>
      </c>
      <c r="AW272" s="684">
        <v>0</v>
      </c>
      <c r="AX272" s="685">
        <v>0</v>
      </c>
      <c r="AY272" s="612"/>
      <c r="AZ272" s="612"/>
      <c r="BA272" s="612"/>
      <c r="BB272" s="612"/>
      <c r="BC272" s="612"/>
      <c r="BD272" s="612"/>
      <c r="BI272" s="612"/>
      <c r="BJ272" s="612"/>
      <c r="BK272" s="612"/>
      <c r="BL272" s="612"/>
    </row>
    <row r="273" spans="1:64" s="609" customFormat="1" ht="30" customHeight="1" x14ac:dyDescent="0.3">
      <c r="A273" s="1604"/>
      <c r="B273" s="1605"/>
      <c r="C273" s="1606"/>
      <c r="D273" s="611" t="s">
        <v>20</v>
      </c>
      <c r="E273" s="1608"/>
      <c r="F273" s="1610"/>
      <c r="G273" s="692">
        <v>0</v>
      </c>
      <c r="H273" s="675">
        <v>0</v>
      </c>
      <c r="I273" s="676">
        <v>0</v>
      </c>
      <c r="J273" s="691">
        <v>0</v>
      </c>
      <c r="K273" s="677">
        <v>0</v>
      </c>
      <c r="L273" s="686">
        <v>0</v>
      </c>
      <c r="M273" s="693">
        <v>0</v>
      </c>
      <c r="N273" s="687">
        <v>0</v>
      </c>
      <c r="O273" s="688">
        <v>0</v>
      </c>
      <c r="P273" s="686">
        <v>0</v>
      </c>
      <c r="Q273" s="688">
        <v>0</v>
      </c>
      <c r="R273" s="686">
        <v>0</v>
      </c>
      <c r="S273" s="691">
        <v>0</v>
      </c>
      <c r="T273" s="691">
        <v>0</v>
      </c>
      <c r="U273" s="691">
        <v>0</v>
      </c>
      <c r="V273" s="691">
        <v>0</v>
      </c>
      <c r="W273" s="691">
        <v>0</v>
      </c>
      <c r="X273" s="691">
        <v>0</v>
      </c>
      <c r="Y273" s="675">
        <v>0</v>
      </c>
      <c r="Z273" s="676">
        <v>0</v>
      </c>
      <c r="AA273" s="676">
        <v>0</v>
      </c>
      <c r="AB273" s="676">
        <v>0</v>
      </c>
      <c r="AC273" s="676">
        <v>0</v>
      </c>
      <c r="AD273" s="676">
        <v>0</v>
      </c>
      <c r="AE273" s="676">
        <v>0</v>
      </c>
      <c r="AF273" s="676">
        <v>0</v>
      </c>
      <c r="AG273" s="682">
        <v>0</v>
      </c>
      <c r="AH273" s="683">
        <v>0</v>
      </c>
      <c r="AI273" s="676">
        <v>0</v>
      </c>
      <c r="AJ273" s="676">
        <v>0</v>
      </c>
      <c r="AK273" s="676">
        <v>0</v>
      </c>
      <c r="AL273" s="676">
        <v>0</v>
      </c>
      <c r="AM273" s="676">
        <v>0</v>
      </c>
      <c r="AN273" s="682">
        <v>0</v>
      </c>
      <c r="AO273" s="683">
        <v>0</v>
      </c>
      <c r="AP273" s="706" t="e">
        <f>AP272*E272</f>
        <v>#REF!</v>
      </c>
      <c r="AQ273" s="695" t="e">
        <f>AQ272*E272</f>
        <v>#REF!</v>
      </c>
      <c r="AR273" s="696" t="e">
        <f>AR272*E272</f>
        <v>#REF!</v>
      </c>
      <c r="AS273" s="697" t="e">
        <f>AS272*E272</f>
        <v>#REF!</v>
      </c>
      <c r="AT273" s="674">
        <v>0</v>
      </c>
      <c r="AU273" s="674">
        <v>0</v>
      </c>
      <c r="AV273" s="674">
        <v>0</v>
      </c>
      <c r="AW273" s="684">
        <v>0</v>
      </c>
      <c r="AX273" s="685">
        <v>0</v>
      </c>
      <c r="AY273" s="612"/>
      <c r="AZ273" s="612"/>
      <c r="BA273" s="612"/>
      <c r="BB273" s="612"/>
      <c r="BC273" s="612"/>
      <c r="BD273" s="612"/>
      <c r="BI273" s="612"/>
      <c r="BJ273" s="612"/>
      <c r="BK273" s="612"/>
      <c r="BL273" s="612"/>
    </row>
    <row r="274" spans="1:64" s="609" customFormat="1" ht="30" customHeight="1" x14ac:dyDescent="0.3">
      <c r="A274" s="1601" t="s">
        <v>472</v>
      </c>
      <c r="B274" s="1602"/>
      <c r="C274" s="1603"/>
      <c r="D274" s="611" t="s">
        <v>696</v>
      </c>
      <c r="E274" s="1607" t="e">
        <f>VLOOKUP(A274,AA_Materiales,16,FALSE)</f>
        <v>#N/A</v>
      </c>
      <c r="F274" s="1609" t="e">
        <f>SUM(G275:AX275)</f>
        <v>#REF!</v>
      </c>
      <c r="G274" s="692">
        <v>0</v>
      </c>
      <c r="H274" s="675">
        <v>0</v>
      </c>
      <c r="I274" s="676">
        <v>0</v>
      </c>
      <c r="J274" s="691">
        <v>0</v>
      </c>
      <c r="K274" s="677">
        <v>0</v>
      </c>
      <c r="L274" s="686">
        <v>0</v>
      </c>
      <c r="M274" s="693">
        <v>0</v>
      </c>
      <c r="N274" s="687">
        <v>0</v>
      </c>
      <c r="O274" s="688">
        <v>0</v>
      </c>
      <c r="P274" s="686">
        <v>0</v>
      </c>
      <c r="Q274" s="688">
        <v>0</v>
      </c>
      <c r="R274" s="686">
        <v>0</v>
      </c>
      <c r="S274" s="691">
        <v>0</v>
      </c>
      <c r="T274" s="691">
        <v>0</v>
      </c>
      <c r="U274" s="691">
        <v>0</v>
      </c>
      <c r="V274" s="691">
        <v>0</v>
      </c>
      <c r="W274" s="691">
        <v>0</v>
      </c>
      <c r="X274" s="691">
        <v>0</v>
      </c>
      <c r="Y274" s="675">
        <v>0</v>
      </c>
      <c r="Z274" s="676">
        <v>0</v>
      </c>
      <c r="AA274" s="676">
        <v>0</v>
      </c>
      <c r="AB274" s="676">
        <v>0</v>
      </c>
      <c r="AC274" s="676">
        <v>0</v>
      </c>
      <c r="AD274" s="676">
        <v>0</v>
      </c>
      <c r="AE274" s="676">
        <v>0</v>
      </c>
      <c r="AF274" s="676">
        <v>0</v>
      </c>
      <c r="AG274" s="682">
        <v>0</v>
      </c>
      <c r="AH274" s="683">
        <v>0</v>
      </c>
      <c r="AI274" s="676">
        <v>0</v>
      </c>
      <c r="AJ274" s="676">
        <v>0</v>
      </c>
      <c r="AK274" s="676">
        <v>0</v>
      </c>
      <c r="AL274" s="676">
        <v>0</v>
      </c>
      <c r="AM274" s="676">
        <v>0</v>
      </c>
      <c r="AN274" s="682">
        <v>0</v>
      </c>
      <c r="AO274" s="683">
        <v>0</v>
      </c>
      <c r="AP274" s="706" t="e">
        <f>4*'PTO OC PLIEGO'!#REF!</f>
        <v>#REF!</v>
      </c>
      <c r="AQ274" s="695" t="e">
        <f>10*'PTO OC PLIEGO'!#REF!</f>
        <v>#REF!</v>
      </c>
      <c r="AR274" s="696" t="e">
        <f>20*'PTO OC PLIEGO'!#REF!</f>
        <v>#REF!</v>
      </c>
      <c r="AS274" s="697" t="e">
        <f>36*'PTO OC PLIEGO'!#REF!</f>
        <v>#REF!</v>
      </c>
      <c r="AT274" s="674">
        <v>0</v>
      </c>
      <c r="AU274" s="674">
        <v>0</v>
      </c>
      <c r="AV274" s="674">
        <v>0</v>
      </c>
      <c r="AW274" s="684">
        <v>0</v>
      </c>
      <c r="AX274" s="685">
        <v>0</v>
      </c>
      <c r="AY274" s="612"/>
      <c r="AZ274" s="612"/>
      <c r="BA274" s="612"/>
      <c r="BB274" s="612"/>
      <c r="BC274" s="612"/>
      <c r="BD274" s="612"/>
      <c r="BI274" s="612"/>
      <c r="BJ274" s="612"/>
      <c r="BK274" s="612"/>
      <c r="BL274" s="612"/>
    </row>
    <row r="275" spans="1:64" s="609" customFormat="1" ht="30" customHeight="1" x14ac:dyDescent="0.3">
      <c r="A275" s="1604"/>
      <c r="B275" s="1605"/>
      <c r="C275" s="1606"/>
      <c r="D275" s="611" t="s">
        <v>20</v>
      </c>
      <c r="E275" s="1608"/>
      <c r="F275" s="1610"/>
      <c r="G275" s="692">
        <v>0</v>
      </c>
      <c r="H275" s="675">
        <v>0</v>
      </c>
      <c r="I275" s="676">
        <v>0</v>
      </c>
      <c r="J275" s="691">
        <v>0</v>
      </c>
      <c r="K275" s="677">
        <v>0</v>
      </c>
      <c r="L275" s="686">
        <v>0</v>
      </c>
      <c r="M275" s="693">
        <v>0</v>
      </c>
      <c r="N275" s="687">
        <v>0</v>
      </c>
      <c r="O275" s="688">
        <v>0</v>
      </c>
      <c r="P275" s="686">
        <v>0</v>
      </c>
      <c r="Q275" s="688">
        <v>0</v>
      </c>
      <c r="R275" s="686">
        <v>0</v>
      </c>
      <c r="S275" s="691">
        <v>0</v>
      </c>
      <c r="T275" s="691">
        <v>0</v>
      </c>
      <c r="U275" s="691">
        <v>0</v>
      </c>
      <c r="V275" s="691">
        <v>0</v>
      </c>
      <c r="W275" s="691">
        <v>0</v>
      </c>
      <c r="X275" s="691">
        <v>0</v>
      </c>
      <c r="Y275" s="675">
        <v>0</v>
      </c>
      <c r="Z275" s="676">
        <v>0</v>
      </c>
      <c r="AA275" s="676">
        <v>0</v>
      </c>
      <c r="AB275" s="676">
        <v>0</v>
      </c>
      <c r="AC275" s="676">
        <v>0</v>
      </c>
      <c r="AD275" s="676">
        <v>0</v>
      </c>
      <c r="AE275" s="676">
        <v>0</v>
      </c>
      <c r="AF275" s="676">
        <v>0</v>
      </c>
      <c r="AG275" s="682">
        <v>0</v>
      </c>
      <c r="AH275" s="683">
        <v>0</v>
      </c>
      <c r="AI275" s="676">
        <v>0</v>
      </c>
      <c r="AJ275" s="676">
        <v>0</v>
      </c>
      <c r="AK275" s="676">
        <v>0</v>
      </c>
      <c r="AL275" s="676">
        <v>0</v>
      </c>
      <c r="AM275" s="676">
        <v>0</v>
      </c>
      <c r="AN275" s="682">
        <v>0</v>
      </c>
      <c r="AO275" s="683">
        <v>0</v>
      </c>
      <c r="AP275" s="706" t="e">
        <f>AP274*E274</f>
        <v>#REF!</v>
      </c>
      <c r="AQ275" s="695" t="e">
        <f>AQ274*E274</f>
        <v>#REF!</v>
      </c>
      <c r="AR275" s="696" t="e">
        <f>AR274*E274</f>
        <v>#REF!</v>
      </c>
      <c r="AS275" s="697" t="e">
        <f>AS274*E274</f>
        <v>#REF!</v>
      </c>
      <c r="AT275" s="674">
        <v>0</v>
      </c>
      <c r="AU275" s="674">
        <v>0</v>
      </c>
      <c r="AV275" s="674">
        <v>0</v>
      </c>
      <c r="AW275" s="684">
        <v>0</v>
      </c>
      <c r="AX275" s="685">
        <v>0</v>
      </c>
      <c r="AY275" s="612"/>
      <c r="AZ275" s="612"/>
      <c r="BA275" s="612"/>
      <c r="BB275" s="612"/>
      <c r="BC275" s="612"/>
      <c r="BD275" s="612"/>
      <c r="BI275" s="612"/>
      <c r="BJ275" s="612"/>
      <c r="BK275" s="612"/>
      <c r="BL275" s="612"/>
    </row>
    <row r="276" spans="1:64" s="609" customFormat="1" ht="30" customHeight="1" x14ac:dyDescent="0.3">
      <c r="A276" s="1601" t="s">
        <v>473</v>
      </c>
      <c r="B276" s="1602"/>
      <c r="C276" s="1603"/>
      <c r="D276" s="611" t="s">
        <v>696</v>
      </c>
      <c r="E276" s="1607" t="e">
        <f>VLOOKUP(A276,AA_Materiales,16,FALSE)</f>
        <v>#N/A</v>
      </c>
      <c r="F276" s="1609" t="e">
        <f>SUM(G277:AX277)</f>
        <v>#REF!</v>
      </c>
      <c r="G276" s="692">
        <v>0</v>
      </c>
      <c r="H276" s="675">
        <v>0</v>
      </c>
      <c r="I276" s="676">
        <v>0</v>
      </c>
      <c r="J276" s="691">
        <v>0</v>
      </c>
      <c r="K276" s="677">
        <v>0</v>
      </c>
      <c r="L276" s="686">
        <v>0</v>
      </c>
      <c r="M276" s="693">
        <v>0</v>
      </c>
      <c r="N276" s="687">
        <v>0</v>
      </c>
      <c r="O276" s="688">
        <v>0</v>
      </c>
      <c r="P276" s="686">
        <v>0</v>
      </c>
      <c r="Q276" s="688">
        <v>0</v>
      </c>
      <c r="R276" s="686">
        <v>0</v>
      </c>
      <c r="S276" s="691">
        <v>0</v>
      </c>
      <c r="T276" s="691">
        <v>0</v>
      </c>
      <c r="U276" s="691">
        <v>0</v>
      </c>
      <c r="V276" s="691">
        <v>0</v>
      </c>
      <c r="W276" s="691">
        <v>0</v>
      </c>
      <c r="X276" s="691">
        <v>0</v>
      </c>
      <c r="Y276" s="675">
        <v>0</v>
      </c>
      <c r="Z276" s="676">
        <v>0</v>
      </c>
      <c r="AA276" s="676">
        <v>0</v>
      </c>
      <c r="AB276" s="676">
        <v>0</v>
      </c>
      <c r="AC276" s="676">
        <v>0</v>
      </c>
      <c r="AD276" s="676">
        <v>0</v>
      </c>
      <c r="AE276" s="676">
        <v>0</v>
      </c>
      <c r="AF276" s="676">
        <v>0</v>
      </c>
      <c r="AG276" s="682">
        <v>0</v>
      </c>
      <c r="AH276" s="683">
        <v>0</v>
      </c>
      <c r="AI276" s="676">
        <v>0</v>
      </c>
      <c r="AJ276" s="676">
        <v>0</v>
      </c>
      <c r="AK276" s="676">
        <v>0</v>
      </c>
      <c r="AL276" s="676">
        <v>0</v>
      </c>
      <c r="AM276" s="676">
        <v>0</v>
      </c>
      <c r="AN276" s="682">
        <v>0</v>
      </c>
      <c r="AO276" s="683">
        <v>0</v>
      </c>
      <c r="AP276" s="706" t="e">
        <f>0.1*'PTO OC PLIEGO'!#REF!</f>
        <v>#REF!</v>
      </c>
      <c r="AQ276" s="695" t="e">
        <f>0.25*'PTO OC PLIEGO'!#REF!</f>
        <v>#REF!</v>
      </c>
      <c r="AR276" s="696" t="e">
        <f>0.5*'PTO OC PLIEGO'!#REF!</f>
        <v>#REF!</v>
      </c>
      <c r="AS276" s="697" t="e">
        <f>0.9*'PTO OC PLIEGO'!#REF!</f>
        <v>#REF!</v>
      </c>
      <c r="AT276" s="674">
        <v>0</v>
      </c>
      <c r="AU276" s="674">
        <v>0</v>
      </c>
      <c r="AV276" s="674">
        <v>0</v>
      </c>
      <c r="AW276" s="684">
        <v>0</v>
      </c>
      <c r="AX276" s="685">
        <v>0</v>
      </c>
      <c r="AY276" s="612"/>
      <c r="AZ276" s="612"/>
      <c r="BA276" s="612"/>
      <c r="BB276" s="612"/>
      <c r="BC276" s="612"/>
      <c r="BD276" s="612"/>
      <c r="BI276" s="612"/>
      <c r="BJ276" s="612"/>
      <c r="BK276" s="612"/>
      <c r="BL276" s="612"/>
    </row>
    <row r="277" spans="1:64" s="609" customFormat="1" ht="30" customHeight="1" x14ac:dyDescent="0.3">
      <c r="A277" s="1604"/>
      <c r="B277" s="1605"/>
      <c r="C277" s="1606"/>
      <c r="D277" s="611" t="s">
        <v>20</v>
      </c>
      <c r="E277" s="1608"/>
      <c r="F277" s="1610"/>
      <c r="G277" s="692">
        <v>0</v>
      </c>
      <c r="H277" s="675">
        <v>0</v>
      </c>
      <c r="I277" s="676">
        <v>0</v>
      </c>
      <c r="J277" s="691">
        <v>0</v>
      </c>
      <c r="K277" s="677">
        <v>0</v>
      </c>
      <c r="L277" s="686">
        <v>0</v>
      </c>
      <c r="M277" s="693">
        <v>0</v>
      </c>
      <c r="N277" s="687">
        <v>0</v>
      </c>
      <c r="O277" s="688">
        <v>0</v>
      </c>
      <c r="P277" s="686">
        <v>0</v>
      </c>
      <c r="Q277" s="688">
        <v>0</v>
      </c>
      <c r="R277" s="686">
        <v>0</v>
      </c>
      <c r="S277" s="691">
        <v>0</v>
      </c>
      <c r="T277" s="691">
        <v>0</v>
      </c>
      <c r="U277" s="691">
        <v>0</v>
      </c>
      <c r="V277" s="691">
        <v>0</v>
      </c>
      <c r="W277" s="691">
        <v>0</v>
      </c>
      <c r="X277" s="691">
        <v>0</v>
      </c>
      <c r="Y277" s="675">
        <v>0</v>
      </c>
      <c r="Z277" s="676">
        <v>0</v>
      </c>
      <c r="AA277" s="676">
        <v>0</v>
      </c>
      <c r="AB277" s="676">
        <v>0</v>
      </c>
      <c r="AC277" s="676">
        <v>0</v>
      </c>
      <c r="AD277" s="676">
        <v>0</v>
      </c>
      <c r="AE277" s="676">
        <v>0</v>
      </c>
      <c r="AF277" s="676">
        <v>0</v>
      </c>
      <c r="AG277" s="682">
        <v>0</v>
      </c>
      <c r="AH277" s="683">
        <v>0</v>
      </c>
      <c r="AI277" s="676">
        <v>0</v>
      </c>
      <c r="AJ277" s="676">
        <v>0</v>
      </c>
      <c r="AK277" s="676">
        <v>0</v>
      </c>
      <c r="AL277" s="676">
        <v>0</v>
      </c>
      <c r="AM277" s="676">
        <v>0</v>
      </c>
      <c r="AN277" s="682">
        <v>0</v>
      </c>
      <c r="AO277" s="683">
        <v>0</v>
      </c>
      <c r="AP277" s="706" t="e">
        <f>AP276*E276</f>
        <v>#REF!</v>
      </c>
      <c r="AQ277" s="695" t="e">
        <f>AQ276*E276</f>
        <v>#REF!</v>
      </c>
      <c r="AR277" s="696" t="e">
        <f>AR276*E276</f>
        <v>#REF!</v>
      </c>
      <c r="AS277" s="697" t="e">
        <f>AS276*E276</f>
        <v>#REF!</v>
      </c>
      <c r="AT277" s="674">
        <v>0</v>
      </c>
      <c r="AU277" s="674">
        <v>0</v>
      </c>
      <c r="AV277" s="674">
        <v>0</v>
      </c>
      <c r="AW277" s="684">
        <v>0</v>
      </c>
      <c r="AX277" s="685">
        <v>0</v>
      </c>
      <c r="AY277" s="612"/>
      <c r="AZ277" s="612"/>
      <c r="BA277" s="612"/>
      <c r="BB277" s="612"/>
      <c r="BC277" s="612"/>
      <c r="BD277" s="612"/>
      <c r="BI277" s="612"/>
      <c r="BJ277" s="612"/>
      <c r="BK277" s="612"/>
      <c r="BL277" s="612"/>
    </row>
    <row r="278" spans="1:64" s="609" customFormat="1" ht="30" customHeight="1" x14ac:dyDescent="0.3">
      <c r="A278" s="1667" t="s">
        <v>70</v>
      </c>
      <c r="B278" s="1668"/>
      <c r="C278" s="1668"/>
      <c r="D278" s="1668"/>
      <c r="E278" s="1669"/>
      <c r="F278" s="698" t="e">
        <f>+SUM(F279:F290)</f>
        <v>#REF!</v>
      </c>
      <c r="G278" s="692">
        <v>0</v>
      </c>
      <c r="H278" s="675">
        <v>0</v>
      </c>
      <c r="I278" s="676">
        <v>0</v>
      </c>
      <c r="J278" s="691">
        <v>0</v>
      </c>
      <c r="K278" s="677">
        <v>0</v>
      </c>
      <c r="L278" s="686">
        <v>0</v>
      </c>
      <c r="M278" s="693">
        <v>0</v>
      </c>
      <c r="N278" s="687">
        <v>0</v>
      </c>
      <c r="O278" s="688">
        <v>0</v>
      </c>
      <c r="P278" s="686">
        <v>0</v>
      </c>
      <c r="Q278" s="688">
        <v>0</v>
      </c>
      <c r="R278" s="686">
        <v>0</v>
      </c>
      <c r="S278" s="691">
        <v>0</v>
      </c>
      <c r="T278" s="691">
        <v>0</v>
      </c>
      <c r="U278" s="691">
        <v>0</v>
      </c>
      <c r="V278" s="691">
        <v>0</v>
      </c>
      <c r="W278" s="691">
        <v>0</v>
      </c>
      <c r="X278" s="691">
        <v>0</v>
      </c>
      <c r="Y278" s="675">
        <v>0</v>
      </c>
      <c r="Z278" s="676">
        <v>0</v>
      </c>
      <c r="AA278" s="676">
        <v>0</v>
      </c>
      <c r="AB278" s="676">
        <v>0</v>
      </c>
      <c r="AC278" s="676">
        <v>0</v>
      </c>
      <c r="AD278" s="676">
        <v>0</v>
      </c>
      <c r="AE278" s="676">
        <v>0</v>
      </c>
      <c r="AF278" s="676">
        <v>0</v>
      </c>
      <c r="AG278" s="682">
        <v>0</v>
      </c>
      <c r="AH278" s="683">
        <v>0</v>
      </c>
      <c r="AI278" s="676">
        <v>0</v>
      </c>
      <c r="AJ278" s="676">
        <v>0</v>
      </c>
      <c r="AK278" s="676">
        <v>0</v>
      </c>
      <c r="AL278" s="676">
        <v>0</v>
      </c>
      <c r="AM278" s="676">
        <v>0</v>
      </c>
      <c r="AN278" s="682">
        <v>0</v>
      </c>
      <c r="AO278" s="683">
        <v>0</v>
      </c>
      <c r="AP278" s="676">
        <v>0</v>
      </c>
      <c r="AQ278" s="676">
        <v>0</v>
      </c>
      <c r="AR278" s="676">
        <v>0</v>
      </c>
      <c r="AS278" s="682">
        <v>0</v>
      </c>
      <c r="AT278" s="674">
        <v>0</v>
      </c>
      <c r="AU278" s="674">
        <v>0</v>
      </c>
      <c r="AV278" s="674">
        <v>0</v>
      </c>
      <c r="AW278" s="684">
        <v>0</v>
      </c>
      <c r="AX278" s="685">
        <v>0</v>
      </c>
    </row>
    <row r="279" spans="1:64" s="609" customFormat="1" ht="30" customHeight="1" x14ac:dyDescent="0.3">
      <c r="A279" s="1601" t="s">
        <v>1404</v>
      </c>
      <c r="B279" s="1602"/>
      <c r="C279" s="1603"/>
      <c r="D279" s="611" t="s">
        <v>696</v>
      </c>
      <c r="E279" s="1607" t="e">
        <f>VLOOKUP(A279,AA_Materiales,16,FALSE)</f>
        <v>#N/A</v>
      </c>
      <c r="F279" s="1609" t="e">
        <f>SUM(G280:AX280)</f>
        <v>#REF!</v>
      </c>
      <c r="G279" s="692">
        <v>0</v>
      </c>
      <c r="H279" s="675">
        <v>0</v>
      </c>
      <c r="I279" s="676">
        <v>0</v>
      </c>
      <c r="J279" s="691">
        <v>0</v>
      </c>
      <c r="K279" s="677">
        <v>0</v>
      </c>
      <c r="L279" s="686">
        <v>0</v>
      </c>
      <c r="M279" s="693">
        <v>0</v>
      </c>
      <c r="N279" s="687">
        <v>0</v>
      </c>
      <c r="O279" s="688">
        <v>0</v>
      </c>
      <c r="P279" s="686">
        <v>0</v>
      </c>
      <c r="Q279" s="688">
        <v>0</v>
      </c>
      <c r="R279" s="686">
        <v>0</v>
      </c>
      <c r="S279" s="691">
        <v>0</v>
      </c>
      <c r="T279" s="691">
        <v>0</v>
      </c>
      <c r="U279" s="691">
        <v>0</v>
      </c>
      <c r="V279" s="691">
        <v>0</v>
      </c>
      <c r="W279" s="691">
        <v>0</v>
      </c>
      <c r="X279" s="691">
        <v>0</v>
      </c>
      <c r="Y279" s="694" t="e">
        <f>1*'PTO OC PLIEGO'!#REF!</f>
        <v>#REF!</v>
      </c>
      <c r="Z279" s="676">
        <v>0</v>
      </c>
      <c r="AA279" s="676">
        <v>0</v>
      </c>
      <c r="AB279" s="676">
        <v>0</v>
      </c>
      <c r="AC279" s="676">
        <v>0</v>
      </c>
      <c r="AD279" s="676">
        <v>0</v>
      </c>
      <c r="AE279" s="676">
        <v>0</v>
      </c>
      <c r="AF279" s="676">
        <v>0</v>
      </c>
      <c r="AG279" s="682">
        <v>0</v>
      </c>
      <c r="AH279" s="683">
        <v>0</v>
      </c>
      <c r="AI279" s="676">
        <v>0</v>
      </c>
      <c r="AJ279" s="676">
        <v>0</v>
      </c>
      <c r="AK279" s="676">
        <v>0</v>
      </c>
      <c r="AL279" s="676">
        <v>0</v>
      </c>
      <c r="AM279" s="676">
        <v>0</v>
      </c>
      <c r="AN279" s="682">
        <v>0</v>
      </c>
      <c r="AO279" s="683">
        <v>0</v>
      </c>
      <c r="AP279" s="676">
        <v>0</v>
      </c>
      <c r="AQ279" s="676">
        <v>0</v>
      </c>
      <c r="AR279" s="676">
        <v>0</v>
      </c>
      <c r="AS279" s="682">
        <v>0</v>
      </c>
      <c r="AT279" s="674">
        <v>0</v>
      </c>
      <c r="AU279" s="674">
        <v>0</v>
      </c>
      <c r="AV279" s="674">
        <v>0</v>
      </c>
      <c r="AW279" s="684">
        <v>0</v>
      </c>
      <c r="AX279" s="685">
        <v>0</v>
      </c>
      <c r="AY279" s="612"/>
      <c r="AZ279" s="612"/>
      <c r="BA279" s="612"/>
      <c r="BB279" s="612"/>
      <c r="BC279" s="612"/>
      <c r="BD279" s="612"/>
      <c r="BI279" s="612"/>
      <c r="BJ279" s="612"/>
      <c r="BK279" s="612"/>
      <c r="BL279" s="612"/>
    </row>
    <row r="280" spans="1:64" s="609" customFormat="1" ht="30" customHeight="1" x14ac:dyDescent="0.3">
      <c r="A280" s="1604"/>
      <c r="B280" s="1605"/>
      <c r="C280" s="1606"/>
      <c r="D280" s="611" t="s">
        <v>20</v>
      </c>
      <c r="E280" s="1608"/>
      <c r="F280" s="1610"/>
      <c r="G280" s="692">
        <v>0</v>
      </c>
      <c r="H280" s="675">
        <v>0</v>
      </c>
      <c r="I280" s="676">
        <v>0</v>
      </c>
      <c r="J280" s="691">
        <v>0</v>
      </c>
      <c r="K280" s="677">
        <v>0</v>
      </c>
      <c r="L280" s="686">
        <v>0</v>
      </c>
      <c r="M280" s="693">
        <v>0</v>
      </c>
      <c r="N280" s="687">
        <v>0</v>
      </c>
      <c r="O280" s="688">
        <v>0</v>
      </c>
      <c r="P280" s="686">
        <v>0</v>
      </c>
      <c r="Q280" s="688">
        <v>0</v>
      </c>
      <c r="R280" s="686">
        <v>0</v>
      </c>
      <c r="S280" s="691">
        <v>0</v>
      </c>
      <c r="T280" s="691">
        <v>0</v>
      </c>
      <c r="U280" s="691">
        <v>0</v>
      </c>
      <c r="V280" s="691">
        <v>0</v>
      </c>
      <c r="W280" s="691">
        <v>0</v>
      </c>
      <c r="X280" s="691">
        <v>0</v>
      </c>
      <c r="Y280" s="694" t="e">
        <f>Y279*E279</f>
        <v>#REF!</v>
      </c>
      <c r="Z280" s="676">
        <v>0</v>
      </c>
      <c r="AA280" s="676">
        <v>0</v>
      </c>
      <c r="AB280" s="676">
        <v>0</v>
      </c>
      <c r="AC280" s="676">
        <v>0</v>
      </c>
      <c r="AD280" s="676">
        <v>0</v>
      </c>
      <c r="AE280" s="676">
        <v>0</v>
      </c>
      <c r="AF280" s="676">
        <v>0</v>
      </c>
      <c r="AG280" s="682">
        <v>0</v>
      </c>
      <c r="AH280" s="683">
        <v>0</v>
      </c>
      <c r="AI280" s="676">
        <v>0</v>
      </c>
      <c r="AJ280" s="676">
        <v>0</v>
      </c>
      <c r="AK280" s="676">
        <v>0</v>
      </c>
      <c r="AL280" s="676">
        <v>0</v>
      </c>
      <c r="AM280" s="676">
        <v>0</v>
      </c>
      <c r="AN280" s="682">
        <v>0</v>
      </c>
      <c r="AO280" s="683">
        <v>0</v>
      </c>
      <c r="AP280" s="676">
        <v>0</v>
      </c>
      <c r="AQ280" s="676">
        <v>0</v>
      </c>
      <c r="AR280" s="676">
        <v>0</v>
      </c>
      <c r="AS280" s="682">
        <v>0</v>
      </c>
      <c r="AT280" s="674">
        <v>0</v>
      </c>
      <c r="AU280" s="674">
        <v>0</v>
      </c>
      <c r="AV280" s="674">
        <v>0</v>
      </c>
      <c r="AW280" s="684">
        <v>0</v>
      </c>
      <c r="AX280" s="685">
        <v>0</v>
      </c>
      <c r="AY280" s="612"/>
      <c r="AZ280" s="612"/>
      <c r="BA280" s="612"/>
      <c r="BB280" s="612"/>
      <c r="BC280" s="612"/>
      <c r="BD280" s="612"/>
      <c r="BI280" s="612"/>
      <c r="BJ280" s="612"/>
      <c r="BK280" s="612"/>
      <c r="BL280" s="612"/>
    </row>
    <row r="281" spans="1:64" s="609" customFormat="1" ht="30" customHeight="1" x14ac:dyDescent="0.3">
      <c r="A281" s="1601" t="s">
        <v>491</v>
      </c>
      <c r="B281" s="1602"/>
      <c r="C281" s="1603"/>
      <c r="D281" s="611" t="s">
        <v>696</v>
      </c>
      <c r="E281" s="1607" t="e">
        <f>VLOOKUP(A281,AA_Materiales,16,FALSE)</f>
        <v>#N/A</v>
      </c>
      <c r="F281" s="1609" t="e">
        <f>SUM(G282:AX282)</f>
        <v>#REF!</v>
      </c>
      <c r="G281" s="692">
        <v>0</v>
      </c>
      <c r="H281" s="675">
        <v>0</v>
      </c>
      <c r="I281" s="676">
        <v>0</v>
      </c>
      <c r="J281" s="691">
        <v>0</v>
      </c>
      <c r="K281" s="677">
        <v>0</v>
      </c>
      <c r="L281" s="686">
        <v>0</v>
      </c>
      <c r="M281" s="693">
        <v>0</v>
      </c>
      <c r="N281" s="687">
        <v>0</v>
      </c>
      <c r="O281" s="688">
        <v>0</v>
      </c>
      <c r="P281" s="686">
        <v>0</v>
      </c>
      <c r="Q281" s="688">
        <v>0</v>
      </c>
      <c r="R281" s="686">
        <v>0</v>
      </c>
      <c r="S281" s="691">
        <v>0</v>
      </c>
      <c r="T281" s="691">
        <v>0</v>
      </c>
      <c r="U281" s="691">
        <v>0</v>
      </c>
      <c r="V281" s="691">
        <v>0</v>
      </c>
      <c r="W281" s="691">
        <v>0</v>
      </c>
      <c r="X281" s="691">
        <v>0</v>
      </c>
      <c r="Y281" s="675">
        <v>0</v>
      </c>
      <c r="Z281" s="676">
        <v>0</v>
      </c>
      <c r="AA281" s="695" t="e">
        <f>1*'PTO OC PLIEGO'!#REF!</f>
        <v>#REF!</v>
      </c>
      <c r="AB281" s="676">
        <v>0</v>
      </c>
      <c r="AC281" s="676">
        <v>0</v>
      </c>
      <c r="AD281" s="676">
        <v>0</v>
      </c>
      <c r="AE281" s="676">
        <v>0</v>
      </c>
      <c r="AF281" s="676">
        <v>0</v>
      </c>
      <c r="AG281" s="682">
        <v>0</v>
      </c>
      <c r="AH281" s="683">
        <v>0</v>
      </c>
      <c r="AI281" s="676">
        <v>0</v>
      </c>
      <c r="AJ281" s="676">
        <v>0</v>
      </c>
      <c r="AK281" s="676">
        <v>0</v>
      </c>
      <c r="AL281" s="676">
        <v>0</v>
      </c>
      <c r="AM281" s="676">
        <v>0</v>
      </c>
      <c r="AN281" s="682">
        <v>0</v>
      </c>
      <c r="AO281" s="683">
        <v>0</v>
      </c>
      <c r="AP281" s="676">
        <v>0</v>
      </c>
      <c r="AQ281" s="676">
        <v>0</v>
      </c>
      <c r="AR281" s="676">
        <v>0</v>
      </c>
      <c r="AS281" s="682">
        <v>0</v>
      </c>
      <c r="AT281" s="674">
        <v>0</v>
      </c>
      <c r="AU281" s="674">
        <v>0</v>
      </c>
      <c r="AV281" s="674">
        <v>0</v>
      </c>
      <c r="AW281" s="684">
        <v>0</v>
      </c>
      <c r="AX281" s="685">
        <v>0</v>
      </c>
      <c r="AY281" s="612"/>
      <c r="AZ281" s="612"/>
      <c r="BA281" s="612"/>
      <c r="BB281" s="612"/>
      <c r="BC281" s="612"/>
      <c r="BD281" s="612"/>
      <c r="BI281" s="612"/>
      <c r="BJ281" s="612"/>
      <c r="BK281" s="612"/>
      <c r="BL281" s="612"/>
    </row>
    <row r="282" spans="1:64" s="609" customFormat="1" ht="30" customHeight="1" x14ac:dyDescent="0.3">
      <c r="A282" s="1604"/>
      <c r="B282" s="1605"/>
      <c r="C282" s="1606"/>
      <c r="D282" s="611" t="s">
        <v>20</v>
      </c>
      <c r="E282" s="1608"/>
      <c r="F282" s="1610"/>
      <c r="G282" s="692">
        <v>0</v>
      </c>
      <c r="H282" s="675">
        <v>0</v>
      </c>
      <c r="I282" s="676">
        <v>0</v>
      </c>
      <c r="J282" s="691">
        <v>0</v>
      </c>
      <c r="K282" s="677">
        <v>0</v>
      </c>
      <c r="L282" s="686">
        <v>0</v>
      </c>
      <c r="M282" s="693">
        <v>0</v>
      </c>
      <c r="N282" s="687">
        <v>0</v>
      </c>
      <c r="O282" s="688">
        <v>0</v>
      </c>
      <c r="P282" s="686">
        <v>0</v>
      </c>
      <c r="Q282" s="688">
        <v>0</v>
      </c>
      <c r="R282" s="686">
        <v>0</v>
      </c>
      <c r="S282" s="691">
        <v>0</v>
      </c>
      <c r="T282" s="691">
        <v>0</v>
      </c>
      <c r="U282" s="691">
        <v>0</v>
      </c>
      <c r="V282" s="691">
        <v>0</v>
      </c>
      <c r="W282" s="691">
        <v>0</v>
      </c>
      <c r="X282" s="691">
        <v>0</v>
      </c>
      <c r="Y282" s="675">
        <v>0</v>
      </c>
      <c r="Z282" s="676">
        <v>0</v>
      </c>
      <c r="AA282" s="695" t="e">
        <f>AA281*E281</f>
        <v>#REF!</v>
      </c>
      <c r="AB282" s="676">
        <v>0</v>
      </c>
      <c r="AC282" s="676">
        <v>0</v>
      </c>
      <c r="AD282" s="676">
        <v>0</v>
      </c>
      <c r="AE282" s="676">
        <v>0</v>
      </c>
      <c r="AF282" s="676">
        <v>0</v>
      </c>
      <c r="AG282" s="682">
        <v>0</v>
      </c>
      <c r="AH282" s="683">
        <v>0</v>
      </c>
      <c r="AI282" s="676">
        <v>0</v>
      </c>
      <c r="AJ282" s="676">
        <v>0</v>
      </c>
      <c r="AK282" s="676">
        <v>0</v>
      </c>
      <c r="AL282" s="676">
        <v>0</v>
      </c>
      <c r="AM282" s="676">
        <v>0</v>
      </c>
      <c r="AN282" s="682">
        <v>0</v>
      </c>
      <c r="AO282" s="683">
        <v>0</v>
      </c>
      <c r="AP282" s="676">
        <v>0</v>
      </c>
      <c r="AQ282" s="676">
        <v>0</v>
      </c>
      <c r="AR282" s="676">
        <v>0</v>
      </c>
      <c r="AS282" s="682">
        <v>0</v>
      </c>
      <c r="AT282" s="674">
        <v>0</v>
      </c>
      <c r="AU282" s="674">
        <v>0</v>
      </c>
      <c r="AV282" s="674">
        <v>0</v>
      </c>
      <c r="AW282" s="684">
        <v>0</v>
      </c>
      <c r="AX282" s="685">
        <v>0</v>
      </c>
      <c r="AY282" s="612"/>
      <c r="AZ282" s="612"/>
      <c r="BA282" s="612"/>
      <c r="BB282" s="612"/>
      <c r="BC282" s="612"/>
      <c r="BD282" s="612"/>
      <c r="BI282" s="612"/>
      <c r="BJ282" s="612"/>
      <c r="BK282" s="612"/>
      <c r="BL282" s="612"/>
    </row>
    <row r="283" spans="1:64" s="609" customFormat="1" ht="30" customHeight="1" x14ac:dyDescent="0.3">
      <c r="A283" s="1601" t="s">
        <v>490</v>
      </c>
      <c r="B283" s="1602"/>
      <c r="C283" s="1603"/>
      <c r="D283" s="611" t="s">
        <v>696</v>
      </c>
      <c r="E283" s="1607" t="e">
        <f>VLOOKUP(A283,AA_Materiales,16,FALSE)</f>
        <v>#N/A</v>
      </c>
      <c r="F283" s="1609" t="e">
        <f>SUM(G284:AX284)</f>
        <v>#REF!</v>
      </c>
      <c r="G283" s="692">
        <v>0</v>
      </c>
      <c r="H283" s="675">
        <v>0</v>
      </c>
      <c r="I283" s="676">
        <v>0</v>
      </c>
      <c r="J283" s="691">
        <v>0</v>
      </c>
      <c r="K283" s="677">
        <v>0</v>
      </c>
      <c r="L283" s="686">
        <v>0</v>
      </c>
      <c r="M283" s="693">
        <v>0</v>
      </c>
      <c r="N283" s="687">
        <v>0</v>
      </c>
      <c r="O283" s="688">
        <v>0</v>
      </c>
      <c r="P283" s="686">
        <v>0</v>
      </c>
      <c r="Q283" s="688">
        <v>0</v>
      </c>
      <c r="R283" s="686">
        <v>0</v>
      </c>
      <c r="S283" s="691">
        <v>0</v>
      </c>
      <c r="T283" s="691">
        <v>0</v>
      </c>
      <c r="U283" s="691">
        <v>0</v>
      </c>
      <c r="V283" s="691">
        <v>0</v>
      </c>
      <c r="W283" s="691">
        <v>0</v>
      </c>
      <c r="X283" s="691">
        <v>0</v>
      </c>
      <c r="Y283" s="675">
        <v>0</v>
      </c>
      <c r="Z283" s="676">
        <v>0</v>
      </c>
      <c r="AA283" s="676">
        <v>0</v>
      </c>
      <c r="AB283" s="676">
        <v>0</v>
      </c>
      <c r="AC283" s="695" t="e">
        <f>1*'PTO OC PLIEGO'!#REF!</f>
        <v>#REF!</v>
      </c>
      <c r="AD283" s="676">
        <v>0</v>
      </c>
      <c r="AE283" s="676">
        <v>0</v>
      </c>
      <c r="AF283" s="676">
        <v>0</v>
      </c>
      <c r="AG283" s="682">
        <v>0</v>
      </c>
      <c r="AH283" s="683">
        <v>0</v>
      </c>
      <c r="AI283" s="676">
        <v>0</v>
      </c>
      <c r="AJ283" s="676">
        <v>0</v>
      </c>
      <c r="AK283" s="676">
        <v>0</v>
      </c>
      <c r="AL283" s="676">
        <v>0</v>
      </c>
      <c r="AM283" s="676">
        <v>0</v>
      </c>
      <c r="AN283" s="682">
        <v>0</v>
      </c>
      <c r="AO283" s="683">
        <v>0</v>
      </c>
      <c r="AP283" s="676">
        <v>0</v>
      </c>
      <c r="AQ283" s="676">
        <v>0</v>
      </c>
      <c r="AR283" s="676">
        <v>0</v>
      </c>
      <c r="AS283" s="682">
        <v>0</v>
      </c>
      <c r="AT283" s="674">
        <v>0</v>
      </c>
      <c r="AU283" s="674">
        <v>0</v>
      </c>
      <c r="AV283" s="674">
        <v>0</v>
      </c>
      <c r="AW283" s="684">
        <v>0</v>
      </c>
      <c r="AX283" s="685">
        <v>0</v>
      </c>
      <c r="AY283" s="612"/>
      <c r="AZ283" s="612"/>
      <c r="BA283" s="612"/>
      <c r="BB283" s="612"/>
      <c r="BC283" s="612"/>
      <c r="BD283" s="612"/>
      <c r="BI283" s="612"/>
      <c r="BJ283" s="612"/>
      <c r="BK283" s="612"/>
      <c r="BL283" s="612"/>
    </row>
    <row r="284" spans="1:64" s="609" customFormat="1" ht="30" customHeight="1" x14ac:dyDescent="0.3">
      <c r="A284" s="1604"/>
      <c r="B284" s="1605"/>
      <c r="C284" s="1606"/>
      <c r="D284" s="611" t="s">
        <v>20</v>
      </c>
      <c r="E284" s="1608"/>
      <c r="F284" s="1610"/>
      <c r="G284" s="692">
        <v>0</v>
      </c>
      <c r="H284" s="675">
        <v>0</v>
      </c>
      <c r="I284" s="676">
        <v>0</v>
      </c>
      <c r="J284" s="691">
        <v>0</v>
      </c>
      <c r="K284" s="677">
        <v>0</v>
      </c>
      <c r="L284" s="686">
        <v>0</v>
      </c>
      <c r="M284" s="693">
        <v>0</v>
      </c>
      <c r="N284" s="687">
        <v>0</v>
      </c>
      <c r="O284" s="688">
        <v>0</v>
      </c>
      <c r="P284" s="686">
        <v>0</v>
      </c>
      <c r="Q284" s="688">
        <v>0</v>
      </c>
      <c r="R284" s="686">
        <v>0</v>
      </c>
      <c r="S284" s="691">
        <v>0</v>
      </c>
      <c r="T284" s="691">
        <v>0</v>
      </c>
      <c r="U284" s="691">
        <v>0</v>
      </c>
      <c r="V284" s="691">
        <v>0</v>
      </c>
      <c r="W284" s="691">
        <v>0</v>
      </c>
      <c r="X284" s="691">
        <v>0</v>
      </c>
      <c r="Y284" s="675">
        <v>0</v>
      </c>
      <c r="Z284" s="676">
        <v>0</v>
      </c>
      <c r="AA284" s="676">
        <v>0</v>
      </c>
      <c r="AB284" s="676">
        <v>0</v>
      </c>
      <c r="AC284" s="695" t="e">
        <f>AC283*E283</f>
        <v>#REF!</v>
      </c>
      <c r="AD284" s="676">
        <v>0</v>
      </c>
      <c r="AE284" s="676">
        <v>0</v>
      </c>
      <c r="AF284" s="676">
        <v>0</v>
      </c>
      <c r="AG284" s="682">
        <v>0</v>
      </c>
      <c r="AH284" s="683">
        <v>0</v>
      </c>
      <c r="AI284" s="676">
        <v>0</v>
      </c>
      <c r="AJ284" s="676">
        <v>0</v>
      </c>
      <c r="AK284" s="676">
        <v>0</v>
      </c>
      <c r="AL284" s="676">
        <v>0</v>
      </c>
      <c r="AM284" s="676">
        <v>0</v>
      </c>
      <c r="AN284" s="682">
        <v>0</v>
      </c>
      <c r="AO284" s="683">
        <v>0</v>
      </c>
      <c r="AP284" s="676">
        <v>0</v>
      </c>
      <c r="AQ284" s="676">
        <v>0</v>
      </c>
      <c r="AR284" s="676">
        <v>0</v>
      </c>
      <c r="AS284" s="682">
        <v>0</v>
      </c>
      <c r="AT284" s="674">
        <v>0</v>
      </c>
      <c r="AU284" s="674">
        <v>0</v>
      </c>
      <c r="AV284" s="674">
        <v>0</v>
      </c>
      <c r="AW284" s="684">
        <v>0</v>
      </c>
      <c r="AX284" s="685">
        <v>0</v>
      </c>
      <c r="AY284" s="612"/>
      <c r="AZ284" s="612"/>
      <c r="BA284" s="612"/>
      <c r="BB284" s="612"/>
      <c r="BC284" s="612"/>
      <c r="BD284" s="612"/>
      <c r="BI284" s="612"/>
      <c r="BJ284" s="612"/>
      <c r="BK284" s="612"/>
      <c r="BL284" s="612"/>
    </row>
    <row r="285" spans="1:64" s="609" customFormat="1" ht="30" customHeight="1" x14ac:dyDescent="0.3">
      <c r="A285" s="1601" t="s">
        <v>1405</v>
      </c>
      <c r="B285" s="1602"/>
      <c r="C285" s="1603"/>
      <c r="D285" s="611" t="s">
        <v>696</v>
      </c>
      <c r="E285" s="1607" t="e">
        <f>VLOOKUP(A285,AA_Materiales,16,FALSE)</f>
        <v>#N/A</v>
      </c>
      <c r="F285" s="1609" t="e">
        <f>SUM(G286:AX286)</f>
        <v>#REF!</v>
      </c>
      <c r="G285" s="692">
        <v>0</v>
      </c>
      <c r="H285" s="675">
        <v>0</v>
      </c>
      <c r="I285" s="676">
        <v>0</v>
      </c>
      <c r="J285" s="691">
        <v>0</v>
      </c>
      <c r="K285" s="677">
        <v>0</v>
      </c>
      <c r="L285" s="686">
        <v>0</v>
      </c>
      <c r="M285" s="693">
        <v>0</v>
      </c>
      <c r="N285" s="687">
        <v>0</v>
      </c>
      <c r="O285" s="688">
        <v>0</v>
      </c>
      <c r="P285" s="686">
        <v>0</v>
      </c>
      <c r="Q285" s="688">
        <v>0</v>
      </c>
      <c r="R285" s="686">
        <v>0</v>
      </c>
      <c r="S285" s="691">
        <v>0</v>
      </c>
      <c r="T285" s="691">
        <v>0</v>
      </c>
      <c r="U285" s="691">
        <v>0</v>
      </c>
      <c r="V285" s="691">
        <v>0</v>
      </c>
      <c r="W285" s="691">
        <v>0</v>
      </c>
      <c r="X285" s="691">
        <v>0</v>
      </c>
      <c r="Y285" s="675">
        <v>0</v>
      </c>
      <c r="Z285" s="676">
        <v>0</v>
      </c>
      <c r="AA285" s="676">
        <v>0</v>
      </c>
      <c r="AB285" s="676">
        <v>0</v>
      </c>
      <c r="AC285" s="676">
        <v>0</v>
      </c>
      <c r="AD285" s="676">
        <v>0</v>
      </c>
      <c r="AE285" s="695" t="e">
        <f>1*'PTO OC PLIEGO'!#REF!</f>
        <v>#REF!</v>
      </c>
      <c r="AF285" s="676">
        <v>0</v>
      </c>
      <c r="AG285" s="682">
        <v>0</v>
      </c>
      <c r="AH285" s="683">
        <v>0</v>
      </c>
      <c r="AI285" s="676">
        <v>0</v>
      </c>
      <c r="AJ285" s="676">
        <v>0</v>
      </c>
      <c r="AK285" s="676">
        <v>0</v>
      </c>
      <c r="AL285" s="676">
        <v>0</v>
      </c>
      <c r="AM285" s="676">
        <v>0</v>
      </c>
      <c r="AN285" s="682">
        <v>0</v>
      </c>
      <c r="AO285" s="683">
        <v>0</v>
      </c>
      <c r="AP285" s="676">
        <v>0</v>
      </c>
      <c r="AQ285" s="676">
        <v>0</v>
      </c>
      <c r="AR285" s="676">
        <v>0</v>
      </c>
      <c r="AS285" s="682">
        <v>0</v>
      </c>
      <c r="AT285" s="674">
        <v>0</v>
      </c>
      <c r="AU285" s="674">
        <v>0</v>
      </c>
      <c r="AV285" s="674">
        <v>0</v>
      </c>
      <c r="AW285" s="684">
        <v>0</v>
      </c>
      <c r="AX285" s="685">
        <v>0</v>
      </c>
      <c r="AY285" s="612"/>
      <c r="AZ285" s="612"/>
      <c r="BA285" s="612"/>
      <c r="BB285" s="612"/>
      <c r="BC285" s="612"/>
      <c r="BD285" s="612"/>
      <c r="BE285" s="612"/>
      <c r="BF285" s="612"/>
      <c r="BG285" s="612"/>
      <c r="BH285" s="612"/>
      <c r="BI285" s="612"/>
      <c r="BJ285" s="612"/>
      <c r="BK285" s="612"/>
      <c r="BL285" s="612"/>
    </row>
    <row r="286" spans="1:64" s="609" customFormat="1" ht="30" customHeight="1" x14ac:dyDescent="0.3">
      <c r="A286" s="1604"/>
      <c r="B286" s="1605"/>
      <c r="C286" s="1606"/>
      <c r="D286" s="611" t="s">
        <v>20</v>
      </c>
      <c r="E286" s="1608"/>
      <c r="F286" s="1610"/>
      <c r="G286" s="692">
        <v>0</v>
      </c>
      <c r="H286" s="675">
        <v>0</v>
      </c>
      <c r="I286" s="676">
        <v>0</v>
      </c>
      <c r="J286" s="691">
        <v>0</v>
      </c>
      <c r="K286" s="677">
        <v>0</v>
      </c>
      <c r="L286" s="686">
        <v>0</v>
      </c>
      <c r="M286" s="693">
        <v>0</v>
      </c>
      <c r="N286" s="687">
        <v>0</v>
      </c>
      <c r="O286" s="688">
        <v>0</v>
      </c>
      <c r="P286" s="686">
        <v>0</v>
      </c>
      <c r="Q286" s="688">
        <v>0</v>
      </c>
      <c r="R286" s="686">
        <v>0</v>
      </c>
      <c r="S286" s="691">
        <v>0</v>
      </c>
      <c r="T286" s="691">
        <v>0</v>
      </c>
      <c r="U286" s="691">
        <v>0</v>
      </c>
      <c r="V286" s="691">
        <v>0</v>
      </c>
      <c r="W286" s="691">
        <v>0</v>
      </c>
      <c r="X286" s="691">
        <v>0</v>
      </c>
      <c r="Y286" s="675">
        <v>0</v>
      </c>
      <c r="Z286" s="676">
        <v>0</v>
      </c>
      <c r="AA286" s="676">
        <v>0</v>
      </c>
      <c r="AB286" s="676">
        <v>0</v>
      </c>
      <c r="AC286" s="676">
        <v>0</v>
      </c>
      <c r="AD286" s="676">
        <v>0</v>
      </c>
      <c r="AE286" s="695" t="e">
        <f>AE285*E285</f>
        <v>#REF!</v>
      </c>
      <c r="AF286" s="676">
        <v>0</v>
      </c>
      <c r="AG286" s="682">
        <v>0</v>
      </c>
      <c r="AH286" s="683">
        <v>0</v>
      </c>
      <c r="AI286" s="676">
        <v>0</v>
      </c>
      <c r="AJ286" s="676">
        <v>0</v>
      </c>
      <c r="AK286" s="676">
        <v>0</v>
      </c>
      <c r="AL286" s="676">
        <v>0</v>
      </c>
      <c r="AM286" s="676">
        <v>0</v>
      </c>
      <c r="AN286" s="682">
        <v>0</v>
      </c>
      <c r="AO286" s="683">
        <v>0</v>
      </c>
      <c r="AP286" s="676">
        <v>0</v>
      </c>
      <c r="AQ286" s="676">
        <v>0</v>
      </c>
      <c r="AR286" s="676">
        <v>0</v>
      </c>
      <c r="AS286" s="682">
        <v>0</v>
      </c>
      <c r="AT286" s="674">
        <v>0</v>
      </c>
      <c r="AU286" s="674">
        <v>0</v>
      </c>
      <c r="AV286" s="674">
        <v>0</v>
      </c>
      <c r="AW286" s="684">
        <v>0</v>
      </c>
      <c r="AX286" s="685">
        <v>0</v>
      </c>
      <c r="AY286" s="612"/>
      <c r="AZ286" s="612"/>
      <c r="BA286" s="612"/>
      <c r="BB286" s="612"/>
      <c r="BC286" s="612"/>
      <c r="BD286" s="612"/>
      <c r="BE286" s="612"/>
      <c r="BF286" s="612"/>
      <c r="BG286" s="612"/>
      <c r="BH286" s="612"/>
      <c r="BI286" s="612"/>
      <c r="BJ286" s="612"/>
      <c r="BK286" s="612"/>
      <c r="BL286" s="612"/>
    </row>
    <row r="287" spans="1:64" s="609" customFormat="1" ht="30" customHeight="1" x14ac:dyDescent="0.3">
      <c r="A287" s="1601" t="s">
        <v>1406</v>
      </c>
      <c r="B287" s="1602"/>
      <c r="C287" s="1603"/>
      <c r="D287" s="611" t="s">
        <v>696</v>
      </c>
      <c r="E287" s="1607" t="e">
        <f>VLOOKUP(A287,AA_Materiales,16,FALSE)</f>
        <v>#N/A</v>
      </c>
      <c r="F287" s="1609" t="e">
        <f>SUM(G288:AX288)</f>
        <v>#REF!</v>
      </c>
      <c r="G287" s="692">
        <v>0</v>
      </c>
      <c r="H287" s="675">
        <v>0</v>
      </c>
      <c r="I287" s="676">
        <v>0</v>
      </c>
      <c r="J287" s="691">
        <v>0</v>
      </c>
      <c r="K287" s="677">
        <v>0</v>
      </c>
      <c r="L287" s="686">
        <v>0</v>
      </c>
      <c r="M287" s="693">
        <v>0</v>
      </c>
      <c r="N287" s="687">
        <v>0</v>
      </c>
      <c r="O287" s="688">
        <v>0</v>
      </c>
      <c r="P287" s="686">
        <v>0</v>
      </c>
      <c r="Q287" s="688">
        <v>0</v>
      </c>
      <c r="R287" s="686">
        <v>0</v>
      </c>
      <c r="S287" s="691">
        <v>0</v>
      </c>
      <c r="T287" s="691">
        <v>0</v>
      </c>
      <c r="U287" s="691">
        <v>0</v>
      </c>
      <c r="V287" s="691">
        <v>0</v>
      </c>
      <c r="W287" s="691">
        <v>0</v>
      </c>
      <c r="X287" s="691">
        <v>0</v>
      </c>
      <c r="Y287" s="675">
        <v>0</v>
      </c>
      <c r="Z287" s="676">
        <v>0</v>
      </c>
      <c r="AA287" s="676">
        <v>0</v>
      </c>
      <c r="AB287" s="676">
        <v>0</v>
      </c>
      <c r="AC287" s="676">
        <v>0</v>
      </c>
      <c r="AD287" s="676">
        <v>0</v>
      </c>
      <c r="AE287" s="676">
        <v>0</v>
      </c>
      <c r="AF287" s="707" t="e">
        <f>1*'PTO OC PLIEGO'!#REF!</f>
        <v>#REF!</v>
      </c>
      <c r="AG287" s="682">
        <v>0</v>
      </c>
      <c r="AH287" s="683">
        <v>0</v>
      </c>
      <c r="AI287" s="676">
        <v>0</v>
      </c>
      <c r="AJ287" s="676">
        <v>0</v>
      </c>
      <c r="AK287" s="676">
        <v>0</v>
      </c>
      <c r="AL287" s="676">
        <v>0</v>
      </c>
      <c r="AM287" s="676">
        <v>0</v>
      </c>
      <c r="AN287" s="682">
        <v>0</v>
      </c>
      <c r="AO287" s="683">
        <v>0</v>
      </c>
      <c r="AP287" s="676">
        <v>0</v>
      </c>
      <c r="AQ287" s="676">
        <v>0</v>
      </c>
      <c r="AR287" s="676">
        <v>0</v>
      </c>
      <c r="AS287" s="682">
        <v>0</v>
      </c>
      <c r="AT287" s="674">
        <v>0</v>
      </c>
      <c r="AU287" s="674">
        <v>0</v>
      </c>
      <c r="AV287" s="674">
        <v>0</v>
      </c>
      <c r="AW287" s="684">
        <v>0</v>
      </c>
      <c r="AX287" s="685">
        <v>0</v>
      </c>
      <c r="AY287" s="612"/>
      <c r="AZ287" s="612"/>
      <c r="BA287" s="612"/>
      <c r="BB287" s="612"/>
      <c r="BC287" s="612"/>
      <c r="BD287" s="612"/>
      <c r="BE287" s="612"/>
      <c r="BF287" s="612"/>
      <c r="BG287" s="612"/>
      <c r="BH287" s="612"/>
      <c r="BI287" s="612"/>
      <c r="BJ287" s="612"/>
      <c r="BK287" s="612"/>
      <c r="BL287" s="612"/>
    </row>
    <row r="288" spans="1:64" s="609" customFormat="1" ht="30" customHeight="1" x14ac:dyDescent="0.3">
      <c r="A288" s="1604"/>
      <c r="B288" s="1605"/>
      <c r="C288" s="1606"/>
      <c r="D288" s="611" t="s">
        <v>20</v>
      </c>
      <c r="E288" s="1608"/>
      <c r="F288" s="1610"/>
      <c r="G288" s="692">
        <v>0</v>
      </c>
      <c r="H288" s="675">
        <v>0</v>
      </c>
      <c r="I288" s="676">
        <v>0</v>
      </c>
      <c r="J288" s="691">
        <v>0</v>
      </c>
      <c r="K288" s="677">
        <v>0</v>
      </c>
      <c r="L288" s="686">
        <v>0</v>
      </c>
      <c r="M288" s="693">
        <v>0</v>
      </c>
      <c r="N288" s="687">
        <v>0</v>
      </c>
      <c r="O288" s="688">
        <v>0</v>
      </c>
      <c r="P288" s="686">
        <v>0</v>
      </c>
      <c r="Q288" s="688">
        <v>0</v>
      </c>
      <c r="R288" s="686">
        <v>0</v>
      </c>
      <c r="S288" s="691">
        <v>0</v>
      </c>
      <c r="T288" s="691">
        <v>0</v>
      </c>
      <c r="U288" s="691">
        <v>0</v>
      </c>
      <c r="V288" s="691">
        <v>0</v>
      </c>
      <c r="W288" s="691">
        <v>0</v>
      </c>
      <c r="X288" s="691">
        <v>0</v>
      </c>
      <c r="Y288" s="675">
        <v>0</v>
      </c>
      <c r="Z288" s="676">
        <v>0</v>
      </c>
      <c r="AA288" s="676">
        <v>0</v>
      </c>
      <c r="AB288" s="676">
        <v>0</v>
      </c>
      <c r="AC288" s="676">
        <v>0</v>
      </c>
      <c r="AD288" s="676">
        <v>0</v>
      </c>
      <c r="AE288" s="676">
        <v>0</v>
      </c>
      <c r="AF288" s="707" t="e">
        <f>AF287*E287</f>
        <v>#REF!</v>
      </c>
      <c r="AG288" s="682">
        <v>0</v>
      </c>
      <c r="AH288" s="683">
        <v>0</v>
      </c>
      <c r="AI288" s="676">
        <v>0</v>
      </c>
      <c r="AJ288" s="676">
        <v>0</v>
      </c>
      <c r="AK288" s="676">
        <v>0</v>
      </c>
      <c r="AL288" s="676">
        <v>0</v>
      </c>
      <c r="AM288" s="676">
        <v>0</v>
      </c>
      <c r="AN288" s="682">
        <v>0</v>
      </c>
      <c r="AO288" s="683">
        <v>0</v>
      </c>
      <c r="AP288" s="676">
        <v>0</v>
      </c>
      <c r="AQ288" s="676">
        <v>0</v>
      </c>
      <c r="AR288" s="676">
        <v>0</v>
      </c>
      <c r="AS288" s="682">
        <v>0</v>
      </c>
      <c r="AT288" s="674">
        <v>0</v>
      </c>
      <c r="AU288" s="674">
        <v>0</v>
      </c>
      <c r="AV288" s="674">
        <v>0</v>
      </c>
      <c r="AW288" s="684">
        <v>0</v>
      </c>
      <c r="AX288" s="685">
        <v>0</v>
      </c>
      <c r="AY288" s="612"/>
      <c r="AZ288" s="612"/>
      <c r="BA288" s="612"/>
      <c r="BB288" s="612"/>
      <c r="BC288" s="612"/>
      <c r="BD288" s="612"/>
      <c r="BE288" s="612"/>
      <c r="BF288" s="612"/>
      <c r="BG288" s="612"/>
      <c r="BH288" s="612"/>
      <c r="BI288" s="612"/>
      <c r="BJ288" s="612"/>
      <c r="BK288" s="612"/>
      <c r="BL288" s="612"/>
    </row>
    <row r="289" spans="1:70" s="609" customFormat="1" ht="30" customHeight="1" x14ac:dyDescent="0.3">
      <c r="A289" s="1601" t="s">
        <v>1407</v>
      </c>
      <c r="B289" s="1602"/>
      <c r="C289" s="1603"/>
      <c r="D289" s="611" t="s">
        <v>696</v>
      </c>
      <c r="E289" s="1607" t="e">
        <f>VLOOKUP(A289,AA_Materiales,16,FALSE)</f>
        <v>#N/A</v>
      </c>
      <c r="F289" s="1609" t="e">
        <f>SUM(G290:AX290)</f>
        <v>#REF!</v>
      </c>
      <c r="G289" s="692">
        <v>0</v>
      </c>
      <c r="H289" s="675">
        <v>0</v>
      </c>
      <c r="I289" s="676">
        <v>0</v>
      </c>
      <c r="J289" s="691">
        <v>0</v>
      </c>
      <c r="K289" s="677">
        <v>0</v>
      </c>
      <c r="L289" s="686">
        <v>0</v>
      </c>
      <c r="M289" s="693">
        <v>0</v>
      </c>
      <c r="N289" s="687">
        <v>0</v>
      </c>
      <c r="O289" s="688">
        <v>0</v>
      </c>
      <c r="P289" s="686">
        <v>0</v>
      </c>
      <c r="Q289" s="688">
        <v>0</v>
      </c>
      <c r="R289" s="686">
        <v>0</v>
      </c>
      <c r="S289" s="691">
        <v>0</v>
      </c>
      <c r="T289" s="691">
        <v>0</v>
      </c>
      <c r="U289" s="691">
        <v>0</v>
      </c>
      <c r="V289" s="691">
        <v>0</v>
      </c>
      <c r="W289" s="691">
        <v>0</v>
      </c>
      <c r="X289" s="691">
        <v>0</v>
      </c>
      <c r="Y289" s="675">
        <v>0</v>
      </c>
      <c r="Z289" s="676">
        <v>0</v>
      </c>
      <c r="AA289" s="676">
        <v>0</v>
      </c>
      <c r="AB289" s="676">
        <v>0</v>
      </c>
      <c r="AC289" s="676">
        <v>0</v>
      </c>
      <c r="AD289" s="676">
        <v>0</v>
      </c>
      <c r="AE289" s="676">
        <v>0</v>
      </c>
      <c r="AF289" s="676">
        <v>0</v>
      </c>
      <c r="AG289" s="708" t="e">
        <f>1*'PTO OC PLIEGO'!#REF!</f>
        <v>#REF!</v>
      </c>
      <c r="AH289" s="683">
        <v>0</v>
      </c>
      <c r="AI289" s="676">
        <v>0</v>
      </c>
      <c r="AJ289" s="676">
        <v>0</v>
      </c>
      <c r="AK289" s="676">
        <v>0</v>
      </c>
      <c r="AL289" s="676">
        <v>0</v>
      </c>
      <c r="AM289" s="676">
        <v>0</v>
      </c>
      <c r="AN289" s="682">
        <v>0</v>
      </c>
      <c r="AO289" s="683">
        <v>0</v>
      </c>
      <c r="AP289" s="676">
        <v>0</v>
      </c>
      <c r="AQ289" s="676">
        <v>0</v>
      </c>
      <c r="AR289" s="676">
        <v>0</v>
      </c>
      <c r="AS289" s="682">
        <v>0</v>
      </c>
      <c r="AT289" s="674">
        <v>0</v>
      </c>
      <c r="AU289" s="674">
        <v>0</v>
      </c>
      <c r="AV289" s="674">
        <v>0</v>
      </c>
      <c r="AW289" s="684">
        <v>0</v>
      </c>
      <c r="AX289" s="685">
        <v>0</v>
      </c>
      <c r="AY289" s="612"/>
      <c r="AZ289" s="612"/>
      <c r="BA289" s="612"/>
      <c r="BB289" s="612"/>
      <c r="BC289" s="612"/>
      <c r="BD289" s="612"/>
      <c r="BE289" s="612"/>
      <c r="BF289" s="612"/>
      <c r="BG289" s="612"/>
      <c r="BH289" s="612"/>
      <c r="BI289" s="612"/>
      <c r="BJ289" s="612"/>
      <c r="BK289" s="612"/>
      <c r="BL289" s="612"/>
    </row>
    <row r="290" spans="1:70" s="609" customFormat="1" ht="30" customHeight="1" thickBot="1" x14ac:dyDescent="0.35">
      <c r="A290" s="1611"/>
      <c r="B290" s="1612"/>
      <c r="C290" s="1613"/>
      <c r="D290" s="636" t="s">
        <v>20</v>
      </c>
      <c r="E290" s="1614"/>
      <c r="F290" s="1615"/>
      <c r="G290" s="709">
        <v>0</v>
      </c>
      <c r="H290" s="710">
        <v>0</v>
      </c>
      <c r="I290" s="711">
        <v>0</v>
      </c>
      <c r="J290" s="712">
        <v>0</v>
      </c>
      <c r="K290" s="713">
        <v>0</v>
      </c>
      <c r="L290" s="714">
        <v>0</v>
      </c>
      <c r="M290" s="715">
        <v>0</v>
      </c>
      <c r="N290" s="716">
        <v>0</v>
      </c>
      <c r="O290" s="717">
        <v>0</v>
      </c>
      <c r="P290" s="714">
        <v>0</v>
      </c>
      <c r="Q290" s="717">
        <v>0</v>
      </c>
      <c r="R290" s="714">
        <v>0</v>
      </c>
      <c r="S290" s="712">
        <v>0</v>
      </c>
      <c r="T290" s="712">
        <v>0</v>
      </c>
      <c r="U290" s="712">
        <v>0</v>
      </c>
      <c r="V290" s="712">
        <v>0</v>
      </c>
      <c r="W290" s="712">
        <v>0</v>
      </c>
      <c r="X290" s="712">
        <v>0</v>
      </c>
      <c r="Y290" s="710">
        <v>0</v>
      </c>
      <c r="Z290" s="711">
        <v>0</v>
      </c>
      <c r="AA290" s="711">
        <v>0</v>
      </c>
      <c r="AB290" s="711">
        <v>0</v>
      </c>
      <c r="AC290" s="711">
        <v>0</v>
      </c>
      <c r="AD290" s="711">
        <v>0</v>
      </c>
      <c r="AE290" s="711">
        <v>0</v>
      </c>
      <c r="AF290" s="711">
        <v>0</v>
      </c>
      <c r="AG290" s="718" t="e">
        <f>AG289*E289</f>
        <v>#REF!</v>
      </c>
      <c r="AH290" s="719">
        <v>0</v>
      </c>
      <c r="AI290" s="711">
        <v>0</v>
      </c>
      <c r="AJ290" s="711">
        <v>0</v>
      </c>
      <c r="AK290" s="711">
        <v>0</v>
      </c>
      <c r="AL290" s="711">
        <v>0</v>
      </c>
      <c r="AM290" s="711">
        <v>0</v>
      </c>
      <c r="AN290" s="720">
        <v>0</v>
      </c>
      <c r="AO290" s="719">
        <v>0</v>
      </c>
      <c r="AP290" s="711">
        <v>0</v>
      </c>
      <c r="AQ290" s="711">
        <v>0</v>
      </c>
      <c r="AR290" s="711">
        <v>0</v>
      </c>
      <c r="AS290" s="720">
        <v>0</v>
      </c>
      <c r="AT290" s="721">
        <v>0</v>
      </c>
      <c r="AU290" s="721">
        <v>0</v>
      </c>
      <c r="AV290" s="721">
        <v>0</v>
      </c>
      <c r="AW290" s="722">
        <v>0</v>
      </c>
      <c r="AX290" s="723">
        <v>0</v>
      </c>
      <c r="AY290" s="612"/>
      <c r="AZ290" s="612"/>
      <c r="BA290" s="612"/>
      <c r="BB290" s="612"/>
      <c r="BC290" s="612"/>
      <c r="BD290" s="612"/>
      <c r="BE290" s="612"/>
      <c r="BF290" s="612"/>
      <c r="BG290" s="612"/>
      <c r="BH290" s="612"/>
      <c r="BI290" s="612"/>
      <c r="BJ290" s="612"/>
      <c r="BK290" s="612"/>
      <c r="BL290" s="612"/>
    </row>
    <row r="291" spans="1:70" ht="19.899999999999999" customHeight="1" x14ac:dyDescent="0.25">
      <c r="A291" s="649"/>
      <c r="B291" s="650"/>
      <c r="C291" s="650"/>
      <c r="D291" s="650"/>
      <c r="E291" s="650"/>
      <c r="F291" s="650"/>
      <c r="G291" s="650"/>
      <c r="H291" s="650"/>
      <c r="I291" s="650"/>
      <c r="J291" s="650"/>
      <c r="K291" s="650"/>
      <c r="L291" s="650"/>
      <c r="M291" s="650"/>
      <c r="N291" s="650"/>
      <c r="O291" s="650"/>
      <c r="P291" s="650"/>
      <c r="Q291" s="650"/>
      <c r="R291" s="650"/>
      <c r="S291" s="650"/>
      <c r="T291" s="650"/>
      <c r="U291" s="650"/>
      <c r="V291" s="650"/>
      <c r="W291" s="650"/>
      <c r="X291" s="650"/>
      <c r="Y291" s="650"/>
      <c r="Z291" s="650"/>
      <c r="AA291" s="650"/>
      <c r="AB291" s="650"/>
      <c r="AC291" s="650"/>
      <c r="AD291" s="650"/>
      <c r="AE291" s="650"/>
      <c r="AF291" s="650"/>
      <c r="AG291" s="650"/>
      <c r="AH291" s="650"/>
      <c r="AI291" s="650"/>
      <c r="AJ291" s="650"/>
      <c r="AK291" s="650"/>
      <c r="AL291" s="650"/>
      <c r="AM291" s="650"/>
      <c r="AN291" s="650"/>
      <c r="AO291" s="650"/>
      <c r="AP291" s="650"/>
      <c r="AQ291" s="650"/>
      <c r="AR291" s="650"/>
      <c r="AS291" s="650"/>
      <c r="AT291" s="650"/>
      <c r="AU291" s="651"/>
      <c r="AV291" s="651"/>
      <c r="AW291" s="651"/>
      <c r="AX291" s="651"/>
      <c r="AY291" s="654"/>
      <c r="AZ291" s="652"/>
      <c r="BA291" s="3"/>
      <c r="BB291" s="3"/>
      <c r="BC291" s="3"/>
      <c r="BD291" s="3"/>
      <c r="BE291" s="3"/>
      <c r="BF291" s="3"/>
      <c r="BG291" s="3"/>
      <c r="BH291" s="3"/>
      <c r="BI291" s="3"/>
      <c r="BJ291" s="3"/>
      <c r="BO291" s="3"/>
      <c r="BP291" s="3"/>
      <c r="BQ291" s="3"/>
      <c r="BR291" s="3"/>
    </row>
    <row r="292" spans="1:70" ht="19.899999999999999" customHeight="1" x14ac:dyDescent="0.25">
      <c r="A292" s="337"/>
      <c r="B292" s="76"/>
      <c r="C292" s="76"/>
      <c r="D292" s="76"/>
      <c r="E292" s="76"/>
      <c r="F292" s="76"/>
      <c r="G292" s="76"/>
      <c r="H292" s="76"/>
      <c r="I292" s="76"/>
      <c r="J292" s="76"/>
      <c r="K292" s="76"/>
      <c r="L292" s="76"/>
      <c r="M292" s="76"/>
      <c r="N292" s="76"/>
      <c r="O292" s="76"/>
      <c r="P292" s="76"/>
      <c r="Q292" s="76"/>
      <c r="R292" s="76"/>
      <c r="S292" s="76"/>
      <c r="T292" s="76"/>
      <c r="U292" s="76"/>
      <c r="V292" s="76"/>
      <c r="W292" s="76"/>
      <c r="X292" s="76"/>
      <c r="Y292" s="76"/>
      <c r="Z292" s="76"/>
      <c r="AA292" s="76"/>
      <c r="AB292" s="76"/>
      <c r="AC292" s="76"/>
      <c r="AD292" s="76"/>
      <c r="AE292" s="76"/>
      <c r="AF292" s="76"/>
      <c r="AG292" s="76"/>
      <c r="AH292" s="76"/>
      <c r="AI292" s="76"/>
      <c r="AJ292" s="76"/>
      <c r="AK292" s="76"/>
      <c r="AL292" s="76"/>
      <c r="AM292" s="76"/>
      <c r="AN292" s="76"/>
      <c r="AO292" s="76"/>
      <c r="AP292" s="76"/>
      <c r="AQ292" s="76"/>
      <c r="AR292" s="76"/>
      <c r="AS292" s="76"/>
      <c r="AT292" s="76"/>
      <c r="AU292" s="652"/>
      <c r="AV292" s="652"/>
      <c r="AW292" s="652"/>
      <c r="AX292" s="652"/>
      <c r="AY292" s="654"/>
      <c r="AZ292" s="652"/>
      <c r="BA292" s="3"/>
      <c r="BB292" s="3"/>
      <c r="BC292" s="3"/>
      <c r="BD292" s="3"/>
      <c r="BE292" s="3"/>
      <c r="BF292" s="3"/>
      <c r="BG292" s="3"/>
      <c r="BH292" s="3"/>
      <c r="BI292" s="3"/>
      <c r="BJ292" s="3"/>
      <c r="BO292" s="3"/>
      <c r="BP292" s="3"/>
      <c r="BQ292" s="3"/>
      <c r="BR292" s="3"/>
    </row>
    <row r="293" spans="1:70" ht="19.899999999999999" customHeight="1" x14ac:dyDescent="0.25">
      <c r="A293" s="337"/>
      <c r="B293" s="76"/>
      <c r="C293" s="76"/>
      <c r="D293" s="76"/>
      <c r="E293" s="76"/>
      <c r="F293" s="76"/>
      <c r="G293" s="76"/>
      <c r="H293" s="76"/>
      <c r="I293" s="76"/>
      <c r="J293" s="76"/>
      <c r="K293" s="76"/>
      <c r="L293" s="76"/>
      <c r="M293" s="76"/>
      <c r="N293" s="76"/>
      <c r="O293" s="76"/>
      <c r="P293" s="76"/>
      <c r="Q293" s="76"/>
      <c r="R293" s="76"/>
      <c r="S293" s="76"/>
      <c r="T293" s="76"/>
      <c r="U293" s="76"/>
      <c r="V293" s="76"/>
      <c r="W293" s="76"/>
      <c r="X293" s="76"/>
      <c r="Y293" s="76"/>
      <c r="Z293" s="76"/>
      <c r="AA293" s="76"/>
      <c r="AB293" s="76"/>
      <c r="AC293" s="76"/>
      <c r="AD293" s="76"/>
      <c r="AE293" s="76"/>
      <c r="AF293" s="76"/>
      <c r="AG293" s="76"/>
      <c r="AH293" s="76"/>
      <c r="AI293" s="76"/>
      <c r="AJ293" s="76"/>
      <c r="AK293" s="76"/>
      <c r="AL293" s="76"/>
      <c r="AM293" s="76"/>
      <c r="AN293" s="76"/>
      <c r="AO293" s="76"/>
      <c r="AP293" s="76"/>
      <c r="AQ293" s="76"/>
      <c r="AR293" s="76"/>
      <c r="AS293" s="76"/>
      <c r="AT293" s="76"/>
      <c r="AU293" s="652"/>
      <c r="AV293" s="652"/>
      <c r="AW293" s="652"/>
      <c r="AX293" s="652"/>
      <c r="AY293" s="654"/>
      <c r="AZ293" s="652"/>
      <c r="BA293" s="3"/>
      <c r="BB293" s="3"/>
      <c r="BC293" s="3"/>
      <c r="BD293" s="3"/>
      <c r="BE293" s="3"/>
      <c r="BF293" s="3"/>
      <c r="BG293" s="3"/>
      <c r="BH293" s="3"/>
      <c r="BI293" s="3"/>
      <c r="BJ293" s="3"/>
      <c r="BO293" s="3"/>
      <c r="BP293" s="3"/>
      <c r="BQ293" s="3"/>
      <c r="BR293" s="3"/>
    </row>
    <row r="294" spans="1:70" ht="19.899999999999999" customHeight="1" x14ac:dyDescent="0.25">
      <c r="A294" s="337"/>
      <c r="B294" s="76"/>
      <c r="C294" s="76"/>
      <c r="D294" s="76"/>
      <c r="E294" s="76"/>
      <c r="F294" s="76"/>
      <c r="G294" s="76"/>
      <c r="H294" s="76"/>
      <c r="I294" s="76"/>
      <c r="J294" s="76"/>
      <c r="K294" s="76"/>
      <c r="L294" s="76"/>
      <c r="M294" s="76"/>
      <c r="N294" s="76"/>
      <c r="O294" s="76"/>
      <c r="P294" s="76"/>
      <c r="Q294" s="76"/>
      <c r="R294" s="76"/>
      <c r="S294" s="76"/>
      <c r="T294" s="76"/>
      <c r="U294" s="76"/>
      <c r="V294" s="76"/>
      <c r="W294" s="76"/>
      <c r="X294" s="76"/>
      <c r="Y294" s="76"/>
      <c r="Z294" s="76"/>
      <c r="AA294" s="76"/>
      <c r="AB294" s="76"/>
      <c r="AC294" s="76"/>
      <c r="AD294" s="76"/>
      <c r="AE294" s="76"/>
      <c r="AF294" s="76"/>
      <c r="AG294" s="76"/>
      <c r="AH294" s="76"/>
      <c r="AI294" s="76"/>
      <c r="AJ294" s="76"/>
      <c r="AK294" s="76"/>
      <c r="AL294" s="76"/>
      <c r="AM294" s="76"/>
      <c r="AN294" s="76"/>
      <c r="AO294" s="76"/>
      <c r="AP294" s="76"/>
      <c r="AQ294" s="76"/>
      <c r="AR294" s="76"/>
      <c r="AS294" s="76"/>
      <c r="AT294" s="76"/>
      <c r="AU294" s="652"/>
      <c r="AV294" s="652"/>
      <c r="AW294" s="652"/>
      <c r="AX294" s="652"/>
      <c r="AY294" s="654"/>
      <c r="AZ294" s="652"/>
      <c r="BA294" s="3"/>
      <c r="BB294" s="3"/>
      <c r="BC294" s="3"/>
      <c r="BD294" s="3"/>
      <c r="BE294" s="3"/>
      <c r="BF294" s="3"/>
      <c r="BG294" s="3"/>
      <c r="BH294" s="3"/>
      <c r="BI294" s="3"/>
      <c r="BJ294" s="3"/>
      <c r="BO294" s="3"/>
      <c r="BP294" s="3"/>
      <c r="BQ294" s="3"/>
      <c r="BR294" s="3"/>
    </row>
    <row r="295" spans="1:70" ht="19.899999999999999" customHeight="1" x14ac:dyDescent="0.25">
      <c r="A295" s="337"/>
      <c r="B295" s="76"/>
      <c r="C295" s="76"/>
      <c r="D295" s="76"/>
      <c r="E295" s="76"/>
      <c r="F295" s="76"/>
      <c r="G295" s="76"/>
      <c r="H295" s="76"/>
      <c r="I295" s="76"/>
      <c r="J295" s="76"/>
      <c r="K295" s="76"/>
      <c r="L295" s="76"/>
      <c r="M295" s="76"/>
      <c r="N295" s="76"/>
      <c r="O295" s="76"/>
      <c r="P295" s="76"/>
      <c r="Q295" s="76"/>
      <c r="R295" s="76"/>
      <c r="S295" s="76"/>
      <c r="T295" s="76"/>
      <c r="U295" s="76"/>
      <c r="V295" s="76"/>
      <c r="W295" s="76"/>
      <c r="X295" s="76"/>
      <c r="Y295" s="76"/>
      <c r="Z295" s="76"/>
      <c r="AA295" s="76"/>
      <c r="AB295" s="76"/>
      <c r="AC295" s="76"/>
      <c r="AD295" s="76"/>
      <c r="AE295" s="76"/>
      <c r="AF295" s="76"/>
      <c r="AG295" s="76"/>
      <c r="AH295" s="76"/>
      <c r="AI295" s="76"/>
      <c r="AJ295" s="76"/>
      <c r="AK295" s="76"/>
      <c r="AL295" s="76"/>
      <c r="AM295" s="76"/>
      <c r="AN295" s="76"/>
      <c r="AO295" s="76"/>
      <c r="AP295" s="76"/>
      <c r="AQ295" s="76"/>
      <c r="AR295" s="76"/>
      <c r="AS295" s="76"/>
      <c r="AT295" s="76"/>
      <c r="AU295" s="652"/>
      <c r="AV295" s="652"/>
      <c r="AW295" s="652"/>
      <c r="AX295" s="652"/>
      <c r="AY295" s="654"/>
      <c r="AZ295" s="652"/>
      <c r="BA295" s="3"/>
      <c r="BB295" s="3"/>
      <c r="BC295" s="3"/>
      <c r="BD295" s="3"/>
      <c r="BE295" s="3"/>
      <c r="BF295" s="3"/>
      <c r="BG295" s="3"/>
      <c r="BH295" s="3"/>
      <c r="BI295" s="3"/>
      <c r="BJ295" s="3"/>
      <c r="BO295" s="3"/>
      <c r="BP295" s="3"/>
      <c r="BQ295" s="3"/>
      <c r="BR295" s="3"/>
    </row>
    <row r="296" spans="1:70" ht="19.899999999999999" customHeight="1" x14ac:dyDescent="0.25">
      <c r="A296" s="337"/>
      <c r="B296" s="76"/>
      <c r="C296" s="76"/>
      <c r="D296" s="76"/>
      <c r="E296" s="76"/>
      <c r="F296" s="76"/>
      <c r="G296" s="76"/>
      <c r="H296" s="76"/>
      <c r="I296" s="76"/>
      <c r="J296" s="76"/>
      <c r="K296" s="76"/>
      <c r="L296" s="76"/>
      <c r="M296" s="76"/>
      <c r="N296" s="76"/>
      <c r="O296" s="76"/>
      <c r="P296" s="76"/>
      <c r="Q296" s="76"/>
      <c r="R296" s="76"/>
      <c r="S296" s="76"/>
      <c r="T296" s="76"/>
      <c r="U296" s="76"/>
      <c r="V296" s="76"/>
      <c r="W296" s="76"/>
      <c r="X296" s="76"/>
      <c r="Y296" s="76"/>
      <c r="Z296" s="76"/>
      <c r="AA296" s="76"/>
      <c r="AB296" s="76"/>
      <c r="AC296" s="76"/>
      <c r="AD296" s="76"/>
      <c r="AE296" s="76"/>
      <c r="AF296" s="76"/>
      <c r="AG296" s="76"/>
      <c r="AH296" s="76"/>
      <c r="AI296" s="76"/>
      <c r="AJ296" s="76"/>
      <c r="AK296" s="76"/>
      <c r="AL296" s="76"/>
      <c r="AM296" s="76"/>
      <c r="AN296" s="76"/>
      <c r="AO296" s="76"/>
      <c r="AP296" s="76"/>
      <c r="AQ296" s="76"/>
      <c r="AR296" s="76"/>
      <c r="AS296" s="76"/>
      <c r="AT296" s="76"/>
      <c r="AU296" s="652"/>
      <c r="AV296" s="652"/>
      <c r="AW296" s="652"/>
      <c r="AX296" s="652"/>
      <c r="AY296" s="654"/>
      <c r="AZ296" s="652"/>
      <c r="BA296" s="3"/>
      <c r="BB296" s="3"/>
      <c r="BC296" s="3"/>
      <c r="BD296" s="3"/>
      <c r="BE296" s="3"/>
      <c r="BF296" s="3"/>
      <c r="BG296" s="3"/>
      <c r="BH296" s="3"/>
      <c r="BI296" s="3"/>
      <c r="BJ296" s="3"/>
      <c r="BO296" s="3"/>
      <c r="BP296" s="3"/>
      <c r="BQ296" s="3"/>
      <c r="BR296" s="3"/>
    </row>
    <row r="297" spans="1:70" ht="19.899999999999999" customHeight="1" x14ac:dyDescent="0.25">
      <c r="A297" s="337"/>
      <c r="B297" s="76"/>
      <c r="C297" s="76"/>
      <c r="D297" s="76"/>
      <c r="E297" s="76"/>
      <c r="F297" s="76"/>
      <c r="G297" s="76"/>
      <c r="H297" s="76"/>
      <c r="I297" s="76"/>
      <c r="J297" s="76"/>
      <c r="K297" s="76"/>
      <c r="L297" s="76"/>
      <c r="M297" s="76"/>
      <c r="N297" s="76"/>
      <c r="O297" s="76"/>
      <c r="P297" s="76"/>
      <c r="Q297" s="76"/>
      <c r="R297" s="76"/>
      <c r="S297" s="76"/>
      <c r="T297" s="76"/>
      <c r="U297" s="76"/>
      <c r="V297" s="76"/>
      <c r="W297" s="76"/>
      <c r="X297" s="76"/>
      <c r="Y297" s="76"/>
      <c r="Z297" s="76"/>
      <c r="AA297" s="76"/>
      <c r="AB297" s="76"/>
      <c r="AC297" s="76"/>
      <c r="AD297" s="76"/>
      <c r="AE297" s="76"/>
      <c r="AF297" s="76"/>
      <c r="AG297" s="76"/>
      <c r="AH297" s="76"/>
      <c r="AI297" s="76"/>
      <c r="AJ297" s="76"/>
      <c r="AK297" s="76"/>
      <c r="AL297" s="76"/>
      <c r="AM297" s="76"/>
      <c r="AN297" s="76"/>
      <c r="AO297" s="76"/>
      <c r="AP297" s="76"/>
      <c r="AQ297" s="76"/>
      <c r="AR297" s="76"/>
      <c r="AS297" s="76"/>
      <c r="AT297" s="76"/>
      <c r="AU297" s="652"/>
      <c r="AV297" s="652"/>
      <c r="AW297" s="652"/>
      <c r="AX297" s="652"/>
      <c r="AY297" s="654"/>
      <c r="AZ297" s="652"/>
      <c r="BA297" s="3"/>
      <c r="BB297" s="3"/>
      <c r="BC297" s="3"/>
      <c r="BD297" s="3"/>
      <c r="BE297" s="3"/>
      <c r="BF297" s="3"/>
      <c r="BG297" s="3"/>
      <c r="BH297" s="3"/>
      <c r="BI297" s="3"/>
      <c r="BJ297" s="3"/>
      <c r="BO297" s="3"/>
      <c r="BP297" s="3"/>
      <c r="BQ297" s="3"/>
      <c r="BR297" s="3"/>
    </row>
    <row r="298" spans="1:70" ht="19.899999999999999" customHeight="1" x14ac:dyDescent="0.25">
      <c r="A298" s="337"/>
      <c r="B298" s="76"/>
      <c r="C298" s="76"/>
      <c r="D298" s="76"/>
      <c r="E298" s="76"/>
      <c r="F298" s="76"/>
      <c r="G298" s="76"/>
      <c r="H298" s="76"/>
      <c r="I298" s="76"/>
      <c r="J298" s="76"/>
      <c r="K298" s="76"/>
      <c r="L298" s="76"/>
      <c r="M298" s="76"/>
      <c r="N298" s="76"/>
      <c r="O298" s="76"/>
      <c r="P298" s="76"/>
      <c r="Q298" s="76"/>
      <c r="R298" s="76"/>
      <c r="S298" s="76"/>
      <c r="T298" s="76"/>
      <c r="U298" s="76"/>
      <c r="V298" s="76"/>
      <c r="W298" s="76"/>
      <c r="X298" s="76"/>
      <c r="Y298" s="76"/>
      <c r="Z298" s="76"/>
      <c r="AA298" s="76"/>
      <c r="AB298" s="76"/>
      <c r="AC298" s="76"/>
      <c r="AD298" s="76"/>
      <c r="AE298" s="76"/>
      <c r="AF298" s="76"/>
      <c r="AG298" s="76"/>
      <c r="AH298" s="76"/>
      <c r="AI298" s="76"/>
      <c r="AJ298" s="76"/>
      <c r="AK298" s="76"/>
      <c r="AL298" s="76"/>
      <c r="AM298" s="76"/>
      <c r="AN298" s="76"/>
      <c r="AO298" s="76"/>
      <c r="AP298" s="76"/>
      <c r="AQ298" s="76"/>
      <c r="AR298" s="76"/>
      <c r="AS298" s="76"/>
      <c r="AT298" s="76"/>
      <c r="AU298" s="652"/>
      <c r="AV298" s="652"/>
      <c r="AW298" s="652"/>
      <c r="AX298" s="652"/>
      <c r="AY298" s="654"/>
      <c r="AZ298" s="652"/>
      <c r="BA298" s="3"/>
      <c r="BB298" s="3"/>
      <c r="BC298" s="3"/>
      <c r="BD298" s="3"/>
      <c r="BE298" s="3"/>
      <c r="BF298" s="3"/>
      <c r="BG298" s="3"/>
      <c r="BH298" s="3"/>
      <c r="BI298" s="3"/>
      <c r="BJ298" s="3"/>
      <c r="BO298" s="3"/>
      <c r="BP298" s="3"/>
      <c r="BQ298" s="3"/>
      <c r="BR298" s="3"/>
    </row>
    <row r="299" spans="1:70" ht="19.899999999999999" customHeight="1" x14ac:dyDescent="0.25">
      <c r="A299" s="337"/>
      <c r="B299" s="76"/>
      <c r="C299" s="76"/>
      <c r="D299" s="76"/>
      <c r="E299" s="76"/>
      <c r="F299" s="76"/>
      <c r="G299" s="76"/>
      <c r="H299" s="76"/>
      <c r="I299" s="76"/>
      <c r="J299" s="76"/>
      <c r="K299" s="76"/>
      <c r="L299" s="76"/>
      <c r="M299" s="76"/>
      <c r="N299" s="76"/>
      <c r="O299" s="76"/>
      <c r="P299" s="76"/>
      <c r="Q299" s="76"/>
      <c r="R299" s="76"/>
      <c r="S299" s="76"/>
      <c r="T299" s="76"/>
      <c r="U299" s="76"/>
      <c r="V299" s="76"/>
      <c r="W299" s="76"/>
      <c r="X299" s="76"/>
      <c r="Y299" s="76"/>
      <c r="Z299" s="76"/>
      <c r="AA299" s="76"/>
      <c r="AB299" s="76"/>
      <c r="AC299" s="76"/>
      <c r="AD299" s="76"/>
      <c r="AE299" s="76"/>
      <c r="AF299" s="76"/>
      <c r="AG299" s="76"/>
      <c r="AH299" s="76"/>
      <c r="AI299" s="76"/>
      <c r="AJ299" s="76"/>
      <c r="AK299" s="76"/>
      <c r="AL299" s="76"/>
      <c r="AM299" s="76"/>
      <c r="AN299" s="76"/>
      <c r="AO299" s="76"/>
      <c r="AP299" s="76"/>
      <c r="AQ299" s="76"/>
      <c r="AR299" s="76"/>
      <c r="AS299" s="76"/>
      <c r="AT299" s="76"/>
      <c r="AU299" s="652"/>
      <c r="AV299" s="652"/>
      <c r="AW299" s="652"/>
      <c r="AX299" s="652"/>
      <c r="AY299" s="654"/>
      <c r="AZ299" s="652"/>
      <c r="BA299" s="3"/>
      <c r="BB299" s="3"/>
      <c r="BC299" s="3"/>
      <c r="BD299" s="3"/>
      <c r="BE299" s="3"/>
      <c r="BF299" s="3"/>
      <c r="BG299" s="3"/>
      <c r="BH299" s="3"/>
      <c r="BI299" s="3"/>
      <c r="BJ299" s="3"/>
      <c r="BO299" s="3"/>
      <c r="BP299" s="3"/>
      <c r="BQ299" s="3"/>
      <c r="BR299" s="3"/>
    </row>
    <row r="300" spans="1:70" ht="19.899999999999999" customHeight="1" x14ac:dyDescent="0.25">
      <c r="A300" s="337"/>
      <c r="B300" s="76"/>
      <c r="C300" s="76"/>
      <c r="D300" s="76"/>
      <c r="E300" s="76"/>
      <c r="F300" s="76"/>
      <c r="G300" s="76"/>
      <c r="H300" s="76"/>
      <c r="I300" s="76"/>
      <c r="J300" s="76"/>
      <c r="K300" s="76"/>
      <c r="L300" s="76"/>
      <c r="M300" s="76"/>
      <c r="N300" s="76"/>
      <c r="O300" s="76"/>
      <c r="P300" s="76"/>
      <c r="Q300" s="76"/>
      <c r="R300" s="76"/>
      <c r="S300" s="76"/>
      <c r="T300" s="76"/>
      <c r="U300" s="76"/>
      <c r="V300" s="76"/>
      <c r="W300" s="76"/>
      <c r="X300" s="76"/>
      <c r="Y300" s="76"/>
      <c r="Z300" s="76"/>
      <c r="AA300" s="76"/>
      <c r="AB300" s="76"/>
      <c r="AC300" s="76"/>
      <c r="AD300" s="76"/>
      <c r="AE300" s="76"/>
      <c r="AF300" s="76"/>
      <c r="AG300" s="76"/>
      <c r="AH300" s="76"/>
      <c r="AI300" s="76"/>
      <c r="AJ300" s="76"/>
      <c r="AK300" s="76"/>
      <c r="AL300" s="76"/>
      <c r="AM300" s="76"/>
      <c r="AN300" s="76"/>
      <c r="AO300" s="76"/>
      <c r="AP300" s="76"/>
      <c r="AQ300" s="76"/>
      <c r="AR300" s="76"/>
      <c r="AS300" s="76"/>
      <c r="AT300" s="76"/>
      <c r="AU300" s="652"/>
      <c r="AV300" s="652"/>
      <c r="AW300" s="652"/>
      <c r="AX300" s="652"/>
      <c r="AY300" s="654"/>
      <c r="AZ300" s="652"/>
      <c r="BA300" s="3"/>
      <c r="BB300" s="3"/>
      <c r="BC300" s="3"/>
      <c r="BD300" s="3"/>
      <c r="BE300" s="3"/>
      <c r="BF300" s="3"/>
      <c r="BG300" s="3"/>
      <c r="BH300" s="3"/>
      <c r="BI300" s="3"/>
      <c r="BJ300" s="3"/>
      <c r="BO300" s="3"/>
      <c r="BP300" s="3"/>
      <c r="BQ300" s="3"/>
      <c r="BR300" s="3"/>
    </row>
    <row r="301" spans="1:70" ht="19.899999999999999" customHeight="1" x14ac:dyDescent="0.25">
      <c r="A301" s="337"/>
      <c r="B301" s="76"/>
      <c r="C301" s="76"/>
      <c r="D301" s="76"/>
      <c r="E301" s="76"/>
      <c r="F301" s="76"/>
      <c r="G301" s="76"/>
      <c r="H301" s="76"/>
      <c r="I301" s="76"/>
      <c r="J301" s="76"/>
      <c r="K301" s="76"/>
      <c r="L301" s="76"/>
      <c r="M301" s="76"/>
      <c r="N301" s="76"/>
      <c r="O301" s="76"/>
      <c r="P301" s="76"/>
      <c r="Q301" s="76"/>
      <c r="R301" s="76"/>
      <c r="S301" s="76"/>
      <c r="T301" s="76"/>
      <c r="U301" s="76"/>
      <c r="V301" s="76"/>
      <c r="W301" s="76"/>
      <c r="X301" s="76"/>
      <c r="Y301" s="76"/>
      <c r="Z301" s="76"/>
      <c r="AA301" s="76"/>
      <c r="AB301" s="76"/>
      <c r="AC301" s="76"/>
      <c r="AD301" s="76"/>
      <c r="AE301" s="76"/>
      <c r="AF301" s="76"/>
      <c r="AG301" s="76"/>
      <c r="AH301" s="76"/>
      <c r="AI301" s="76"/>
      <c r="AJ301" s="76"/>
      <c r="AK301" s="76"/>
      <c r="AL301" s="76"/>
      <c r="AM301" s="76"/>
      <c r="AN301" s="76"/>
      <c r="AO301" s="76"/>
      <c r="AP301" s="76"/>
      <c r="AQ301" s="76"/>
      <c r="AR301" s="76"/>
      <c r="AS301" s="76"/>
      <c r="AT301" s="76"/>
      <c r="AU301" s="652"/>
      <c r="AV301" s="652"/>
      <c r="AW301" s="652"/>
      <c r="AX301" s="652"/>
      <c r="AY301" s="654"/>
      <c r="AZ301" s="652"/>
      <c r="BA301" s="3"/>
      <c r="BB301" s="3"/>
      <c r="BC301" s="3"/>
      <c r="BD301" s="3"/>
      <c r="BE301" s="3"/>
      <c r="BF301" s="3"/>
      <c r="BG301" s="3"/>
      <c r="BH301" s="3"/>
      <c r="BI301" s="3"/>
      <c r="BJ301" s="3"/>
      <c r="BO301" s="3"/>
      <c r="BP301" s="3"/>
      <c r="BQ301" s="3"/>
      <c r="BR301" s="3"/>
    </row>
    <row r="302" spans="1:70" ht="19.899999999999999" customHeight="1" x14ac:dyDescent="0.25">
      <c r="A302" s="337"/>
      <c r="B302" s="76"/>
      <c r="C302" s="76"/>
      <c r="D302" s="76"/>
      <c r="E302" s="76"/>
      <c r="F302" s="76"/>
      <c r="G302" s="76"/>
      <c r="H302" s="76"/>
      <c r="I302" s="76"/>
      <c r="J302" s="76"/>
      <c r="K302" s="76"/>
      <c r="L302" s="76"/>
      <c r="M302" s="76"/>
      <c r="N302" s="76"/>
      <c r="O302" s="76"/>
      <c r="P302" s="76"/>
      <c r="Q302" s="76"/>
      <c r="R302" s="76"/>
      <c r="S302" s="76"/>
      <c r="T302" s="76"/>
      <c r="U302" s="76"/>
      <c r="V302" s="76"/>
      <c r="W302" s="76"/>
      <c r="X302" s="76"/>
      <c r="Y302" s="76"/>
      <c r="Z302" s="76"/>
      <c r="AA302" s="76"/>
      <c r="AB302" s="76"/>
      <c r="AC302" s="76"/>
      <c r="AD302" s="76"/>
      <c r="AE302" s="76"/>
      <c r="AF302" s="76"/>
      <c r="AG302" s="76"/>
      <c r="AH302" s="76"/>
      <c r="AI302" s="76"/>
      <c r="AJ302" s="76"/>
      <c r="AK302" s="76"/>
      <c r="AL302" s="76"/>
      <c r="AM302" s="76"/>
      <c r="AN302" s="76"/>
      <c r="AO302" s="76"/>
      <c r="AP302" s="76"/>
      <c r="AQ302" s="76"/>
      <c r="AR302" s="76"/>
      <c r="AS302" s="76"/>
      <c r="AT302" s="76"/>
      <c r="AU302" s="652"/>
      <c r="AV302" s="652"/>
      <c r="AW302" s="652"/>
      <c r="AX302" s="652"/>
      <c r="AY302" s="654"/>
      <c r="AZ302" s="652"/>
      <c r="BA302" s="3"/>
      <c r="BB302" s="3"/>
      <c r="BC302" s="3"/>
      <c r="BD302" s="3"/>
      <c r="BE302" s="3"/>
      <c r="BF302" s="3"/>
      <c r="BG302" s="3"/>
      <c r="BH302" s="3"/>
      <c r="BI302" s="3"/>
      <c r="BJ302" s="3"/>
      <c r="BO302" s="3"/>
      <c r="BP302" s="3"/>
      <c r="BQ302" s="3"/>
      <c r="BR302" s="3"/>
    </row>
    <row r="303" spans="1:70" ht="19.899999999999999" customHeight="1" x14ac:dyDescent="0.25">
      <c r="A303" s="337"/>
      <c r="B303" s="76"/>
      <c r="C303" s="76"/>
      <c r="D303" s="76"/>
      <c r="E303" s="76"/>
      <c r="F303" s="76"/>
      <c r="G303" s="76"/>
      <c r="H303" s="76"/>
      <c r="I303" s="76"/>
      <c r="J303" s="76"/>
      <c r="K303" s="76"/>
      <c r="L303" s="76"/>
      <c r="M303" s="76"/>
      <c r="N303" s="76"/>
      <c r="O303" s="76"/>
      <c r="P303" s="76"/>
      <c r="Q303" s="76"/>
      <c r="R303" s="76"/>
      <c r="S303" s="76"/>
      <c r="T303" s="76"/>
      <c r="U303" s="76"/>
      <c r="V303" s="76"/>
      <c r="W303" s="76"/>
      <c r="X303" s="76"/>
      <c r="Y303" s="76"/>
      <c r="Z303" s="76"/>
      <c r="AA303" s="76"/>
      <c r="AB303" s="76"/>
      <c r="AC303" s="76"/>
      <c r="AD303" s="76"/>
      <c r="AE303" s="76"/>
      <c r="AF303" s="76"/>
      <c r="AG303" s="76"/>
      <c r="AH303" s="76"/>
      <c r="AI303" s="76"/>
      <c r="AJ303" s="76"/>
      <c r="AK303" s="76"/>
      <c r="AL303" s="76"/>
      <c r="AM303" s="76"/>
      <c r="AN303" s="76"/>
      <c r="AO303" s="76"/>
      <c r="AP303" s="76"/>
      <c r="AQ303" s="76"/>
      <c r="AR303" s="76"/>
      <c r="AS303" s="76"/>
      <c r="AT303" s="76"/>
      <c r="AU303" s="652"/>
      <c r="AV303" s="652"/>
      <c r="AW303" s="652"/>
      <c r="AX303" s="652"/>
      <c r="AY303" s="654"/>
      <c r="AZ303" s="652"/>
      <c r="BA303" s="3"/>
      <c r="BB303" s="3"/>
      <c r="BC303" s="3"/>
      <c r="BD303" s="3"/>
      <c r="BE303" s="3"/>
      <c r="BF303" s="3"/>
      <c r="BG303" s="3"/>
      <c r="BH303" s="3"/>
      <c r="BI303" s="3"/>
      <c r="BJ303" s="3"/>
      <c r="BO303" s="3"/>
      <c r="BP303" s="3"/>
      <c r="BQ303" s="3"/>
      <c r="BR303" s="3"/>
    </row>
    <row r="304" spans="1:70" ht="19.899999999999999" customHeight="1" thickBot="1" x14ac:dyDescent="0.3">
      <c r="A304" s="337"/>
      <c r="B304" s="76"/>
      <c r="C304" s="76"/>
      <c r="D304" s="76"/>
      <c r="E304" s="76"/>
      <c r="F304" s="76"/>
      <c r="G304" s="76"/>
      <c r="H304" s="76"/>
      <c r="I304" s="76"/>
      <c r="J304" s="76"/>
      <c r="K304" s="76"/>
      <c r="L304" s="76"/>
      <c r="M304" s="76"/>
      <c r="N304" s="76"/>
      <c r="O304" s="76"/>
      <c r="P304" s="76"/>
      <c r="Q304" s="76"/>
      <c r="R304" s="76"/>
      <c r="S304" s="76"/>
      <c r="T304" s="76"/>
      <c r="U304" s="76"/>
      <c r="V304" s="76"/>
      <c r="W304" s="76"/>
      <c r="X304" s="76"/>
      <c r="Y304" s="76"/>
      <c r="Z304" s="76"/>
      <c r="AA304" s="76"/>
      <c r="AB304" s="76"/>
      <c r="AC304" s="76"/>
      <c r="AD304" s="76"/>
      <c r="AE304" s="76"/>
      <c r="AF304" s="76"/>
      <c r="AG304" s="76"/>
      <c r="AH304" s="76"/>
      <c r="AI304" s="76"/>
      <c r="AJ304" s="76"/>
      <c r="AK304" s="76"/>
      <c r="AL304" s="76"/>
      <c r="AM304" s="76"/>
      <c r="AN304" s="76"/>
      <c r="AO304" s="76"/>
      <c r="AP304" s="76"/>
      <c r="AQ304" s="76"/>
      <c r="AR304" s="76"/>
      <c r="AS304" s="76"/>
      <c r="AT304" s="76"/>
      <c r="AU304" s="652"/>
      <c r="AV304" s="652"/>
      <c r="AW304" s="652"/>
      <c r="AX304" s="652"/>
      <c r="AY304" s="654"/>
      <c r="AZ304" s="652"/>
      <c r="BA304" s="3"/>
      <c r="BB304" s="3"/>
      <c r="BC304" s="3"/>
      <c r="BD304" s="3"/>
      <c r="BE304" s="3"/>
      <c r="BF304" s="3"/>
      <c r="BG304" s="3"/>
      <c r="BH304" s="3"/>
      <c r="BI304" s="3"/>
      <c r="BJ304" s="3"/>
      <c r="BO304" s="3"/>
      <c r="BP304" s="3"/>
      <c r="BQ304" s="3"/>
      <c r="BR304" s="3"/>
    </row>
    <row r="305" spans="1:70" ht="19.899999999999999" customHeight="1" x14ac:dyDescent="0.25">
      <c r="A305" s="337"/>
      <c r="B305" s="76"/>
      <c r="C305" s="76"/>
      <c r="D305" s="76"/>
      <c r="E305" s="76"/>
      <c r="F305" s="76"/>
      <c r="G305" s="76"/>
      <c r="H305" s="76"/>
      <c r="I305" s="76"/>
      <c r="J305" s="76"/>
      <c r="K305" s="1671" t="s">
        <v>1449</v>
      </c>
      <c r="L305" s="1671"/>
      <c r="M305" s="1671"/>
      <c r="N305" s="1671"/>
      <c r="O305" s="1671"/>
      <c r="P305" s="1671"/>
      <c r="Q305" s="1671"/>
      <c r="R305" s="1671"/>
      <c r="S305" s="1671"/>
      <c r="T305" s="76"/>
      <c r="U305" s="76"/>
      <c r="V305" s="76"/>
      <c r="W305" s="76"/>
      <c r="X305" s="76"/>
      <c r="Y305" s="76"/>
      <c r="Z305" s="1671" t="s">
        <v>865</v>
      </c>
      <c r="AA305" s="1671"/>
      <c r="AB305" s="1671"/>
      <c r="AC305" s="1671"/>
      <c r="AD305" s="1671"/>
      <c r="AE305" s="1671"/>
      <c r="AF305" s="1671"/>
      <c r="AG305" s="76"/>
      <c r="AH305" s="76"/>
      <c r="AI305" s="76"/>
      <c r="AJ305" s="76"/>
      <c r="AK305" s="76"/>
      <c r="AL305" s="76"/>
      <c r="AM305" s="76"/>
      <c r="AN305" s="76"/>
      <c r="AO305" s="76"/>
      <c r="AP305" s="76"/>
      <c r="AQ305" s="76"/>
      <c r="AR305" s="76"/>
      <c r="AS305" s="76"/>
      <c r="AT305" s="76"/>
      <c r="AU305" s="652"/>
      <c r="AV305" s="652"/>
      <c r="AW305" s="652"/>
      <c r="AX305" s="652"/>
      <c r="AY305" s="654"/>
      <c r="AZ305" s="652"/>
      <c r="BA305" s="3"/>
      <c r="BB305" s="3"/>
      <c r="BC305" s="3"/>
      <c r="BD305" s="3"/>
      <c r="BE305" s="3"/>
      <c r="BF305" s="3"/>
      <c r="BG305" s="3"/>
      <c r="BH305" s="3"/>
      <c r="BI305" s="3"/>
      <c r="BJ305" s="3"/>
      <c r="BK305" s="3"/>
      <c r="BL305" s="3"/>
      <c r="BM305" s="3"/>
      <c r="BN305" s="3"/>
      <c r="BO305" s="3"/>
      <c r="BP305" s="3"/>
      <c r="BQ305" s="3"/>
      <c r="BR305" s="3"/>
    </row>
    <row r="306" spans="1:70" ht="19.899999999999999" customHeight="1" x14ac:dyDescent="0.25">
      <c r="A306" s="337"/>
      <c r="B306" s="76"/>
      <c r="C306" s="76"/>
      <c r="D306" s="76"/>
      <c r="E306" s="76"/>
      <c r="F306" s="76"/>
      <c r="G306" s="76"/>
      <c r="H306" s="76"/>
      <c r="I306" s="76"/>
      <c r="J306" s="76"/>
      <c r="K306" s="1673" t="s">
        <v>1450</v>
      </c>
      <c r="L306" s="1673"/>
      <c r="M306" s="1673"/>
      <c r="N306" s="1673"/>
      <c r="O306" s="1673"/>
      <c r="P306" s="1673"/>
      <c r="Q306" s="1673"/>
      <c r="R306" s="1673"/>
      <c r="S306" s="1673"/>
      <c r="T306" s="76"/>
      <c r="U306" s="76"/>
      <c r="V306" s="76"/>
      <c r="W306" s="76"/>
      <c r="X306" s="76"/>
      <c r="Y306" s="76"/>
      <c r="Z306" s="1672" t="s">
        <v>866</v>
      </c>
      <c r="AA306" s="1672"/>
      <c r="AB306" s="1672"/>
      <c r="AC306" s="1672"/>
      <c r="AD306" s="1672"/>
      <c r="AE306" s="1672"/>
      <c r="AF306" s="1672"/>
      <c r="AG306" s="76"/>
      <c r="AH306" s="76"/>
      <c r="AI306" s="76"/>
      <c r="AJ306" s="76"/>
      <c r="AK306" s="76"/>
      <c r="AL306" s="76"/>
      <c r="AM306" s="76"/>
      <c r="AN306" s="76"/>
      <c r="AO306" s="76"/>
      <c r="AP306" s="76"/>
      <c r="AQ306" s="76"/>
      <c r="AR306" s="76"/>
      <c r="AS306" s="76"/>
      <c r="AT306" s="76"/>
      <c r="AU306" s="652"/>
      <c r="AV306" s="652"/>
      <c r="AW306" s="652"/>
      <c r="AX306" s="652"/>
      <c r="AY306" s="654"/>
      <c r="AZ306" s="652"/>
      <c r="BA306" s="3"/>
      <c r="BB306" s="3"/>
      <c r="BC306" s="3"/>
      <c r="BD306" s="3"/>
      <c r="BE306" s="3"/>
      <c r="BF306" s="3"/>
      <c r="BG306" s="3"/>
      <c r="BH306" s="3"/>
      <c r="BI306" s="3"/>
      <c r="BJ306" s="3"/>
      <c r="BK306" s="3"/>
      <c r="BL306" s="3"/>
      <c r="BM306" s="3"/>
      <c r="BN306" s="3"/>
      <c r="BO306" s="3"/>
      <c r="BP306" s="3"/>
      <c r="BQ306" s="3"/>
      <c r="BR306" s="3"/>
    </row>
    <row r="307" spans="1:70" ht="19.899999999999999" customHeight="1" x14ac:dyDescent="0.25">
      <c r="A307" s="337"/>
      <c r="B307" s="76"/>
      <c r="C307" s="76"/>
      <c r="D307" s="76"/>
      <c r="E307" s="76"/>
      <c r="F307" s="76"/>
      <c r="G307" s="76"/>
      <c r="H307" s="76"/>
      <c r="I307" s="76"/>
      <c r="J307" s="76"/>
      <c r="K307" s="76"/>
      <c r="L307" s="76"/>
      <c r="M307" s="76"/>
      <c r="N307" s="76"/>
      <c r="O307" s="76"/>
      <c r="P307" s="76"/>
      <c r="Q307" s="76"/>
      <c r="R307" s="76"/>
      <c r="S307" s="76"/>
      <c r="T307" s="76"/>
      <c r="U307" s="76"/>
      <c r="V307" s="76"/>
      <c r="W307" s="76"/>
      <c r="X307" s="76"/>
      <c r="Y307" s="76"/>
      <c r="Z307" s="1672" t="s">
        <v>867</v>
      </c>
      <c r="AA307" s="1672"/>
      <c r="AB307" s="1672"/>
      <c r="AC307" s="1672"/>
      <c r="AD307" s="1672"/>
      <c r="AE307" s="1672"/>
      <c r="AF307" s="1672"/>
      <c r="AG307" s="76"/>
      <c r="AH307" s="76"/>
      <c r="AI307" s="76"/>
      <c r="AJ307" s="76"/>
      <c r="AK307" s="76"/>
      <c r="AL307" s="76"/>
      <c r="AM307" s="76"/>
      <c r="AN307" s="76"/>
      <c r="AO307" s="76"/>
      <c r="AP307" s="76"/>
      <c r="AQ307" s="76"/>
      <c r="AR307" s="76"/>
      <c r="AS307" s="76"/>
      <c r="AT307" s="76"/>
      <c r="AU307" s="652"/>
      <c r="AV307" s="652"/>
      <c r="AW307" s="652"/>
      <c r="AX307" s="652"/>
      <c r="AY307" s="654"/>
      <c r="AZ307" s="652"/>
      <c r="BA307" s="3"/>
      <c r="BB307" s="3"/>
      <c r="BC307" s="3"/>
      <c r="BD307" s="3"/>
      <c r="BE307" s="3"/>
      <c r="BF307" s="3"/>
      <c r="BG307" s="3"/>
      <c r="BH307" s="3"/>
      <c r="BI307" s="3"/>
      <c r="BJ307" s="3"/>
      <c r="BK307" s="3"/>
      <c r="BL307" s="3"/>
      <c r="BM307" s="3"/>
      <c r="BN307" s="3"/>
      <c r="BO307" s="3"/>
      <c r="BP307" s="3"/>
      <c r="BQ307" s="3"/>
      <c r="BR307" s="3"/>
    </row>
    <row r="308" spans="1:70" ht="19.899999999999999" customHeight="1" x14ac:dyDescent="0.25">
      <c r="A308" s="337"/>
      <c r="B308" s="76"/>
      <c r="C308" s="76"/>
      <c r="D308" s="76"/>
      <c r="E308" s="76"/>
      <c r="F308" s="76"/>
      <c r="G308" s="76"/>
      <c r="H308" s="76"/>
      <c r="I308" s="76"/>
      <c r="J308" s="76"/>
      <c r="K308" s="76"/>
      <c r="L308" s="76"/>
      <c r="M308" s="76"/>
      <c r="N308" s="76"/>
      <c r="O308" s="76"/>
      <c r="P308" s="76"/>
      <c r="Q308" s="76"/>
      <c r="R308" s="76"/>
      <c r="S308" s="76"/>
      <c r="T308" s="76"/>
      <c r="U308" s="76"/>
      <c r="V308" s="76"/>
      <c r="W308" s="76"/>
      <c r="X308" s="76"/>
      <c r="Y308" s="76"/>
      <c r="Z308" s="76"/>
      <c r="AA308" s="76"/>
      <c r="AB308" s="76"/>
      <c r="AC308" s="76"/>
      <c r="AD308" s="76"/>
      <c r="AE308" s="76"/>
      <c r="AF308" s="76"/>
      <c r="AG308" s="76"/>
      <c r="AH308" s="76"/>
      <c r="AI308" s="76"/>
      <c r="AJ308" s="76"/>
      <c r="AK308" s="76"/>
      <c r="AL308" s="76"/>
      <c r="AM308" s="76"/>
      <c r="AN308" s="76"/>
      <c r="AO308" s="76"/>
      <c r="AP308" s="76"/>
      <c r="AQ308" s="76"/>
      <c r="AR308" s="76"/>
      <c r="AS308" s="76"/>
      <c r="AT308" s="76"/>
      <c r="AU308" s="652"/>
      <c r="AV308" s="652"/>
      <c r="AW308" s="652"/>
      <c r="AX308" s="652"/>
      <c r="AY308" s="654"/>
      <c r="AZ308" s="652"/>
      <c r="BA308" s="3"/>
      <c r="BB308" s="3"/>
      <c r="BC308" s="3"/>
      <c r="BD308" s="3"/>
      <c r="BE308" s="3"/>
      <c r="BF308" s="3"/>
      <c r="BG308" s="3"/>
      <c r="BH308" s="3"/>
      <c r="BI308" s="3"/>
      <c r="BJ308" s="3"/>
      <c r="BK308" s="3"/>
      <c r="BL308" s="3"/>
      <c r="BM308" s="3"/>
      <c r="BN308" s="3"/>
      <c r="BO308" s="3"/>
      <c r="BP308" s="3"/>
      <c r="BQ308" s="3"/>
      <c r="BR308" s="3"/>
    </row>
    <row r="309" spans="1:70" ht="19.899999999999999" customHeight="1" x14ac:dyDescent="0.25">
      <c r="A309" s="337"/>
      <c r="B309" s="76"/>
      <c r="C309" s="76"/>
      <c r="D309" s="76"/>
      <c r="E309" s="76"/>
      <c r="F309" s="76"/>
      <c r="G309" s="76"/>
      <c r="H309" s="76"/>
      <c r="I309" s="76"/>
      <c r="J309" s="76"/>
      <c r="K309" s="76"/>
      <c r="L309" s="76"/>
      <c r="M309" s="76"/>
      <c r="N309" s="76"/>
      <c r="O309" s="76"/>
      <c r="P309" s="76"/>
      <c r="Q309" s="76"/>
      <c r="R309" s="76"/>
      <c r="S309" s="76"/>
      <c r="T309" s="76"/>
      <c r="U309" s="76"/>
      <c r="V309" s="76"/>
      <c r="W309" s="76"/>
      <c r="X309" s="76"/>
      <c r="Y309" s="76"/>
      <c r="Z309" s="76"/>
      <c r="AA309" s="76"/>
      <c r="AB309" s="76"/>
      <c r="AC309" s="76"/>
      <c r="AD309" s="76"/>
      <c r="AE309" s="76"/>
      <c r="AF309" s="76"/>
      <c r="AG309" s="76"/>
      <c r="AH309" s="76"/>
      <c r="AI309" s="76"/>
      <c r="AJ309" s="76"/>
      <c r="AK309" s="76"/>
      <c r="AL309" s="76"/>
      <c r="AM309" s="76"/>
      <c r="AN309" s="76"/>
      <c r="AO309" s="76"/>
      <c r="AP309" s="76"/>
      <c r="AQ309" s="76"/>
      <c r="AR309" s="76"/>
      <c r="AS309" s="76"/>
      <c r="AT309" s="76"/>
      <c r="AU309" s="652"/>
      <c r="AV309" s="652"/>
      <c r="AW309" s="652"/>
      <c r="AX309" s="652"/>
      <c r="AY309" s="654"/>
      <c r="AZ309" s="652"/>
      <c r="BA309" s="3"/>
      <c r="BB309" s="3"/>
      <c r="BC309" s="3"/>
      <c r="BD309" s="3"/>
      <c r="BE309" s="3"/>
      <c r="BF309" s="3"/>
      <c r="BG309" s="3"/>
      <c r="BH309" s="3"/>
      <c r="BI309" s="3"/>
      <c r="BJ309" s="3"/>
      <c r="BK309" s="3"/>
      <c r="BL309" s="3"/>
      <c r="BM309" s="3"/>
      <c r="BN309" s="3"/>
      <c r="BO309" s="3"/>
      <c r="BP309" s="3"/>
      <c r="BQ309" s="3"/>
      <c r="BR309" s="3"/>
    </row>
    <row r="310" spans="1:70" ht="19.899999999999999" customHeight="1" x14ac:dyDescent="0.25">
      <c r="A310" s="337"/>
      <c r="B310" s="76"/>
      <c r="C310" s="76"/>
      <c r="D310" s="76"/>
      <c r="E310" s="76"/>
      <c r="F310" s="76"/>
      <c r="G310" s="76"/>
      <c r="H310" s="76"/>
      <c r="I310" s="76"/>
      <c r="J310" s="76"/>
      <c r="K310" s="76"/>
      <c r="L310" s="76"/>
      <c r="M310" s="76"/>
      <c r="N310" s="76"/>
      <c r="O310" s="76"/>
      <c r="P310" s="76"/>
      <c r="Q310" s="76"/>
      <c r="R310" s="76"/>
      <c r="S310" s="76"/>
      <c r="T310" s="76"/>
      <c r="U310" s="76"/>
      <c r="V310" s="76"/>
      <c r="W310" s="76"/>
      <c r="X310" s="76"/>
      <c r="Y310" s="76"/>
      <c r="Z310" s="76"/>
      <c r="AA310" s="76"/>
      <c r="AB310" s="76"/>
      <c r="AC310" s="76"/>
      <c r="AD310" s="76"/>
      <c r="AE310" s="76"/>
      <c r="AF310" s="76"/>
      <c r="AG310" s="76"/>
      <c r="AH310" s="76"/>
      <c r="AI310" s="76"/>
      <c r="AJ310" s="76"/>
      <c r="AK310" s="76"/>
      <c r="AL310" s="76"/>
      <c r="AM310" s="76"/>
      <c r="AN310" s="76"/>
      <c r="AO310" s="76"/>
      <c r="AP310" s="76"/>
      <c r="AQ310" s="76"/>
      <c r="AR310" s="76"/>
      <c r="AS310" s="76"/>
      <c r="AT310" s="76"/>
      <c r="AU310" s="652"/>
      <c r="AV310" s="652"/>
      <c r="AW310" s="652"/>
      <c r="AX310" s="652"/>
      <c r="AY310" s="654"/>
      <c r="AZ310" s="652"/>
      <c r="BA310" s="3"/>
      <c r="BB310" s="3"/>
      <c r="BC310" s="3"/>
      <c r="BD310" s="3"/>
      <c r="BE310" s="3"/>
      <c r="BF310" s="3"/>
      <c r="BG310" s="3"/>
      <c r="BH310" s="3"/>
      <c r="BI310" s="3"/>
      <c r="BJ310" s="3"/>
      <c r="BK310" s="3"/>
      <c r="BL310" s="3"/>
      <c r="BM310" s="3"/>
      <c r="BN310" s="3"/>
      <c r="BO310" s="3"/>
      <c r="BP310" s="3"/>
      <c r="BQ310" s="3"/>
      <c r="BR310" s="3"/>
    </row>
    <row r="311" spans="1:70" ht="19.899999999999999" customHeight="1" thickBot="1" x14ac:dyDescent="0.3">
      <c r="A311" s="341"/>
      <c r="B311" s="342"/>
      <c r="C311" s="342"/>
      <c r="D311" s="342"/>
      <c r="E311" s="342"/>
      <c r="F311" s="342"/>
      <c r="G311" s="342"/>
      <c r="H311" s="342"/>
      <c r="I311" s="342"/>
      <c r="J311" s="342"/>
      <c r="K311" s="342"/>
      <c r="L311" s="342"/>
      <c r="M311" s="342"/>
      <c r="N311" s="342"/>
      <c r="O311" s="342"/>
      <c r="P311" s="342"/>
      <c r="Q311" s="342"/>
      <c r="R311" s="342"/>
      <c r="S311" s="342"/>
      <c r="T311" s="342"/>
      <c r="U311" s="342"/>
      <c r="V311" s="342"/>
      <c r="W311" s="342"/>
      <c r="X311" s="342"/>
      <c r="Y311" s="342"/>
      <c r="Z311" s="342"/>
      <c r="AA311" s="342"/>
      <c r="AB311" s="342"/>
      <c r="AC311" s="342"/>
      <c r="AD311" s="342"/>
      <c r="AE311" s="342"/>
      <c r="AF311" s="342"/>
      <c r="AG311" s="342"/>
      <c r="AH311" s="342"/>
      <c r="AI311" s="342"/>
      <c r="AJ311" s="342"/>
      <c r="AK311" s="342"/>
      <c r="AL311" s="342"/>
      <c r="AM311" s="342"/>
      <c r="AN311" s="342"/>
      <c r="AO311" s="342"/>
      <c r="AP311" s="342"/>
      <c r="AQ311" s="342"/>
      <c r="AR311" s="342"/>
      <c r="AS311" s="342"/>
      <c r="AT311" s="342"/>
      <c r="AU311" s="653"/>
      <c r="AV311" s="653"/>
      <c r="AW311" s="653"/>
      <c r="AX311" s="653"/>
      <c r="AY311" s="654"/>
      <c r="AZ311" s="652"/>
      <c r="BA311" s="3"/>
      <c r="BB311" s="3"/>
      <c r="BC311" s="3"/>
      <c r="BD311" s="3"/>
      <c r="BE311" s="3"/>
      <c r="BF311" s="3"/>
      <c r="BG311" s="3"/>
      <c r="BH311" s="3"/>
      <c r="BI311" s="3"/>
      <c r="BJ311" s="3"/>
      <c r="BK311" s="3"/>
      <c r="BL311" s="3"/>
      <c r="BM311" s="3"/>
      <c r="BN311" s="3"/>
      <c r="BO311" s="3"/>
      <c r="BP311" s="3"/>
      <c r="BQ311" s="3"/>
      <c r="BR311" s="3"/>
    </row>
    <row r="312" spans="1:70" ht="12.75" customHeight="1" x14ac:dyDescent="0.25">
      <c r="AU312" s="61"/>
      <c r="AV312" s="61"/>
      <c r="AW312" s="61"/>
      <c r="AX312" s="61"/>
      <c r="AY312" s="61"/>
      <c r="AZ312" s="61"/>
      <c r="BA312" s="3"/>
      <c r="BB312" s="3"/>
      <c r="BC312" s="3"/>
      <c r="BD312" s="3"/>
      <c r="BE312" s="3"/>
      <c r="BF312" s="3"/>
      <c r="BG312" s="3"/>
      <c r="BH312" s="3"/>
      <c r="BI312" s="3"/>
      <c r="BJ312" s="3"/>
      <c r="BK312" s="3"/>
      <c r="BL312" s="3"/>
      <c r="BM312" s="3"/>
      <c r="BN312" s="3"/>
      <c r="BO312" s="3"/>
      <c r="BP312" s="3"/>
      <c r="BQ312" s="3"/>
      <c r="BR312" s="3"/>
    </row>
    <row r="313" spans="1:70" ht="12.75" customHeight="1" x14ac:dyDescent="0.25">
      <c r="AU313" s="61"/>
      <c r="AV313" s="61"/>
      <c r="AW313" s="61"/>
      <c r="AX313" s="61"/>
      <c r="AY313" s="61"/>
      <c r="AZ313" s="61"/>
      <c r="BA313" s="3"/>
      <c r="BB313" s="3"/>
      <c r="BC313" s="3"/>
      <c r="BD313" s="3"/>
      <c r="BE313" s="3"/>
      <c r="BF313" s="3"/>
      <c r="BG313" s="3"/>
      <c r="BH313" s="3"/>
      <c r="BI313" s="3"/>
      <c r="BJ313" s="3"/>
      <c r="BK313" s="3"/>
      <c r="BL313" s="3"/>
      <c r="BM313" s="3"/>
      <c r="BN313" s="3"/>
      <c r="BO313" s="3"/>
      <c r="BP313" s="3"/>
      <c r="BQ313" s="3"/>
      <c r="BR313" s="3"/>
    </row>
    <row r="314" spans="1:70" ht="12.75" customHeight="1" x14ac:dyDescent="0.25">
      <c r="AU314" s="61"/>
      <c r="AV314" s="61"/>
      <c r="AW314" s="61"/>
      <c r="AX314" s="61"/>
      <c r="AY314" s="61"/>
      <c r="AZ314" s="61"/>
      <c r="BA314" s="3"/>
      <c r="BB314" s="3"/>
      <c r="BC314" s="3"/>
      <c r="BD314" s="3"/>
      <c r="BE314" s="3"/>
      <c r="BF314" s="3"/>
      <c r="BG314" s="3"/>
      <c r="BH314" s="3"/>
      <c r="BI314" s="3"/>
      <c r="BJ314" s="3"/>
      <c r="BK314" s="3"/>
      <c r="BL314" s="3"/>
      <c r="BM314" s="3"/>
      <c r="BN314" s="3"/>
      <c r="BO314" s="3"/>
      <c r="BP314" s="3"/>
      <c r="BQ314" s="3"/>
      <c r="BR314" s="3"/>
    </row>
    <row r="315" spans="1:70" ht="12.75" customHeight="1" x14ac:dyDescent="0.25">
      <c r="AU315" s="61"/>
      <c r="AV315" s="61"/>
      <c r="AW315" s="61"/>
      <c r="AX315" s="61"/>
      <c r="AY315" s="61"/>
      <c r="AZ315" s="61"/>
      <c r="BA315" s="3"/>
      <c r="BB315" s="3"/>
      <c r="BC315" s="3"/>
      <c r="BD315" s="3"/>
      <c r="BE315" s="3"/>
      <c r="BF315" s="3"/>
      <c r="BG315" s="3"/>
      <c r="BH315" s="3"/>
      <c r="BI315" s="3"/>
      <c r="BJ315" s="3"/>
      <c r="BK315" s="3"/>
      <c r="BL315" s="3"/>
      <c r="BM315" s="3"/>
      <c r="BN315" s="3"/>
      <c r="BO315" s="3"/>
      <c r="BP315" s="3"/>
      <c r="BQ315" s="3"/>
      <c r="BR315" s="3"/>
    </row>
    <row r="316" spans="1:70" ht="12.75" customHeight="1" x14ac:dyDescent="0.25">
      <c r="AU316" s="61"/>
      <c r="AV316" s="61"/>
      <c r="AW316" s="61"/>
      <c r="AX316" s="61"/>
      <c r="AY316" s="61"/>
      <c r="AZ316" s="61"/>
      <c r="BA316" s="3"/>
      <c r="BB316" s="3"/>
      <c r="BC316" s="3"/>
      <c r="BD316" s="3"/>
      <c r="BE316" s="3"/>
      <c r="BF316" s="3"/>
      <c r="BG316" s="3"/>
      <c r="BH316" s="3"/>
      <c r="BI316" s="3"/>
      <c r="BJ316" s="3"/>
      <c r="BK316" s="3"/>
      <c r="BL316" s="3"/>
      <c r="BM316" s="3"/>
      <c r="BN316" s="3"/>
      <c r="BO316" s="3"/>
      <c r="BP316" s="3"/>
      <c r="BQ316" s="3"/>
      <c r="BR316" s="3"/>
    </row>
    <row r="317" spans="1:70" ht="12.75" customHeight="1" x14ac:dyDescent="0.25">
      <c r="AU317" s="61"/>
      <c r="AV317" s="61"/>
      <c r="AW317" s="61"/>
      <c r="AX317" s="61"/>
      <c r="AY317" s="61"/>
      <c r="AZ317" s="61"/>
      <c r="BA317" s="3"/>
      <c r="BB317" s="3"/>
      <c r="BC317" s="3"/>
      <c r="BD317" s="3"/>
      <c r="BE317" s="3"/>
      <c r="BF317" s="3"/>
      <c r="BG317" s="3"/>
      <c r="BH317" s="3"/>
      <c r="BI317" s="3"/>
      <c r="BJ317" s="3"/>
      <c r="BK317" s="3"/>
      <c r="BL317" s="3"/>
      <c r="BM317" s="3"/>
      <c r="BN317" s="3"/>
      <c r="BO317" s="3"/>
      <c r="BP317" s="3"/>
      <c r="BQ317" s="3"/>
      <c r="BR317" s="3"/>
    </row>
    <row r="318" spans="1:70" ht="12.75" customHeight="1" x14ac:dyDescent="0.25">
      <c r="AU318" s="61"/>
      <c r="AV318" s="61"/>
      <c r="AW318" s="61"/>
      <c r="AX318" s="61"/>
      <c r="AY318" s="61"/>
      <c r="AZ318" s="61"/>
      <c r="BA318" s="3"/>
      <c r="BB318" s="3"/>
      <c r="BC318" s="3"/>
      <c r="BD318" s="3"/>
      <c r="BE318" s="3"/>
      <c r="BF318" s="3"/>
      <c r="BG318" s="3"/>
      <c r="BH318" s="3"/>
      <c r="BI318" s="3"/>
      <c r="BJ318" s="3"/>
      <c r="BK318" s="3"/>
      <c r="BL318" s="3"/>
      <c r="BM318" s="3"/>
      <c r="BN318" s="3"/>
      <c r="BO318" s="3"/>
      <c r="BP318" s="3"/>
      <c r="BQ318" s="3"/>
      <c r="BR318" s="3"/>
    </row>
    <row r="319" spans="1:70" ht="12.75" customHeight="1" x14ac:dyDescent="0.25">
      <c r="AU319" s="61"/>
      <c r="AV319" s="61"/>
      <c r="AW319" s="61"/>
      <c r="AX319" s="61"/>
      <c r="AY319" s="61"/>
      <c r="AZ319" s="61"/>
      <c r="BA319" s="3"/>
      <c r="BB319" s="3"/>
      <c r="BC319" s="3"/>
      <c r="BD319" s="3"/>
      <c r="BE319" s="3"/>
      <c r="BF319" s="3"/>
      <c r="BG319" s="3"/>
      <c r="BH319" s="3"/>
      <c r="BI319" s="3"/>
      <c r="BJ319" s="3"/>
      <c r="BK319" s="3"/>
      <c r="BL319" s="3"/>
      <c r="BM319" s="3"/>
      <c r="BN319" s="3"/>
      <c r="BO319" s="3"/>
      <c r="BP319" s="3"/>
      <c r="BQ319" s="3"/>
      <c r="BR319" s="3"/>
    </row>
    <row r="320" spans="1:70" ht="12.75" customHeight="1" x14ac:dyDescent="0.25">
      <c r="AU320" s="61"/>
      <c r="AV320" s="61"/>
      <c r="AW320" s="61"/>
      <c r="AX320" s="61"/>
      <c r="AY320" s="61"/>
      <c r="AZ320" s="61"/>
      <c r="BA320" s="3"/>
      <c r="BB320" s="3"/>
      <c r="BC320" s="3"/>
      <c r="BD320" s="3"/>
      <c r="BE320" s="3"/>
      <c r="BF320" s="3"/>
      <c r="BG320" s="3"/>
      <c r="BH320" s="3"/>
      <c r="BI320" s="3"/>
      <c r="BJ320" s="3"/>
      <c r="BK320" s="3"/>
      <c r="BL320" s="3"/>
      <c r="BM320" s="3"/>
      <c r="BN320" s="3"/>
      <c r="BO320" s="3"/>
      <c r="BP320" s="3"/>
      <c r="BQ320" s="3"/>
      <c r="BR320" s="3"/>
    </row>
    <row r="321" spans="1:70" ht="12.75" customHeight="1" x14ac:dyDescent="0.25">
      <c r="AU321" s="61"/>
      <c r="AV321" s="61"/>
      <c r="AW321" s="61"/>
      <c r="AX321" s="61"/>
      <c r="AY321" s="61"/>
      <c r="AZ321" s="61"/>
      <c r="BA321" s="3"/>
      <c r="BB321" s="3"/>
      <c r="BC321" s="3"/>
      <c r="BD321" s="3"/>
      <c r="BE321" s="3"/>
      <c r="BF321" s="3"/>
      <c r="BG321" s="3"/>
      <c r="BH321" s="3"/>
      <c r="BI321" s="3"/>
      <c r="BJ321" s="3"/>
      <c r="BK321" s="3"/>
      <c r="BL321" s="3"/>
      <c r="BM321" s="3"/>
      <c r="BN321" s="3"/>
      <c r="BO321" s="3"/>
      <c r="BP321" s="3"/>
      <c r="BQ321" s="3"/>
      <c r="BR321" s="3"/>
    </row>
    <row r="322" spans="1:70" ht="12.75" customHeight="1" x14ac:dyDescent="0.25">
      <c r="AU322" s="61"/>
      <c r="AV322" s="61"/>
      <c r="AW322" s="61"/>
      <c r="AX322" s="61"/>
      <c r="AY322" s="61"/>
      <c r="AZ322" s="61"/>
      <c r="BA322" s="3"/>
      <c r="BB322" s="3"/>
      <c r="BC322" s="3"/>
      <c r="BD322" s="3"/>
      <c r="BE322" s="3"/>
      <c r="BF322" s="3"/>
      <c r="BG322" s="3"/>
      <c r="BH322" s="3"/>
      <c r="BI322" s="3"/>
      <c r="BJ322" s="3"/>
      <c r="BK322" s="3"/>
      <c r="BL322" s="3"/>
      <c r="BM322" s="3"/>
      <c r="BN322" s="3"/>
      <c r="BO322" s="3"/>
      <c r="BP322" s="3"/>
      <c r="BQ322" s="3"/>
      <c r="BR322" s="3"/>
    </row>
    <row r="323" spans="1:70" ht="12.75" customHeight="1" x14ac:dyDescent="0.25">
      <c r="AU323" s="61"/>
      <c r="AV323" s="61"/>
      <c r="AW323" s="61"/>
      <c r="AX323" s="61"/>
      <c r="AY323" s="61"/>
      <c r="AZ323" s="61"/>
      <c r="BA323" s="3"/>
      <c r="BB323" s="3"/>
      <c r="BC323" s="3"/>
      <c r="BD323" s="3"/>
      <c r="BE323" s="3"/>
      <c r="BF323" s="3"/>
      <c r="BG323" s="3"/>
      <c r="BH323" s="3"/>
      <c r="BI323" s="3"/>
      <c r="BJ323" s="3"/>
      <c r="BK323" s="3"/>
      <c r="BL323" s="3"/>
      <c r="BM323" s="3"/>
      <c r="BN323" s="3"/>
      <c r="BO323" s="3"/>
      <c r="BP323" s="3"/>
      <c r="BQ323" s="3"/>
      <c r="BR323" s="3"/>
    </row>
    <row r="324" spans="1:70" ht="12.75" customHeight="1" x14ac:dyDescent="0.25">
      <c r="AU324" s="61"/>
      <c r="AV324" s="61"/>
      <c r="AW324" s="61"/>
      <c r="AX324" s="61"/>
      <c r="AY324" s="61"/>
      <c r="AZ324" s="61"/>
      <c r="BA324" s="3"/>
      <c r="BB324" s="3"/>
      <c r="BC324" s="3"/>
      <c r="BD324" s="3"/>
      <c r="BE324" s="3"/>
      <c r="BF324" s="3"/>
      <c r="BG324" s="3"/>
      <c r="BH324" s="3"/>
      <c r="BI324" s="3"/>
      <c r="BJ324" s="3"/>
      <c r="BK324" s="3"/>
      <c r="BL324" s="3"/>
      <c r="BM324" s="3"/>
      <c r="BN324" s="3"/>
      <c r="BO324" s="3"/>
      <c r="BP324" s="3"/>
      <c r="BQ324" s="3"/>
      <c r="BR324" s="3"/>
    </row>
    <row r="325" spans="1:70" ht="12.75" customHeight="1" x14ac:dyDescent="0.25">
      <c r="AU325" s="61"/>
      <c r="AV325" s="61"/>
      <c r="AW325" s="61"/>
      <c r="AX325" s="61"/>
      <c r="AY325" s="61"/>
      <c r="AZ325" s="61"/>
      <c r="BA325" s="3"/>
      <c r="BB325" s="3"/>
      <c r="BC325" s="3"/>
      <c r="BD325" s="3"/>
      <c r="BE325" s="3"/>
      <c r="BF325" s="3"/>
      <c r="BG325" s="3"/>
      <c r="BH325" s="3"/>
      <c r="BI325" s="3"/>
      <c r="BJ325" s="3"/>
      <c r="BK325" s="3"/>
      <c r="BL325" s="3"/>
      <c r="BM325" s="3"/>
      <c r="BN325" s="3"/>
      <c r="BO325" s="3"/>
      <c r="BP325" s="3"/>
      <c r="BQ325" s="3"/>
      <c r="BR325" s="3"/>
    </row>
    <row r="326" spans="1:70" ht="12.75" customHeight="1" x14ac:dyDescent="0.25">
      <c r="AU326" s="61"/>
      <c r="AV326" s="61"/>
      <c r="AW326" s="61"/>
      <c r="AX326" s="61"/>
      <c r="AY326" s="61"/>
      <c r="AZ326" s="61"/>
      <c r="BA326" s="3"/>
      <c r="BB326" s="3"/>
      <c r="BC326" s="3"/>
      <c r="BD326" s="3"/>
      <c r="BE326" s="3"/>
      <c r="BF326" s="3"/>
      <c r="BG326" s="3"/>
      <c r="BH326" s="3"/>
      <c r="BI326" s="3"/>
      <c r="BJ326" s="3"/>
      <c r="BK326" s="3"/>
      <c r="BL326" s="3"/>
      <c r="BM326" s="3"/>
      <c r="BN326" s="3"/>
      <c r="BO326" s="3"/>
      <c r="BP326" s="3"/>
      <c r="BQ326" s="3"/>
      <c r="BR326" s="3"/>
    </row>
    <row r="327" spans="1:70" ht="12.75" customHeight="1" x14ac:dyDescent="0.25">
      <c r="AU327" s="61"/>
      <c r="AV327" s="61"/>
      <c r="AW327" s="61"/>
      <c r="AX327" s="61"/>
      <c r="AY327" s="61"/>
      <c r="AZ327" s="61"/>
      <c r="BA327" s="3"/>
      <c r="BB327" s="3"/>
      <c r="BC327" s="3"/>
      <c r="BD327" s="3"/>
      <c r="BE327" s="3"/>
      <c r="BF327" s="3"/>
      <c r="BG327" s="3"/>
      <c r="BH327" s="3"/>
      <c r="BI327" s="3"/>
      <c r="BJ327" s="3"/>
      <c r="BK327" s="3"/>
      <c r="BL327" s="3"/>
      <c r="BM327" s="3"/>
      <c r="BN327" s="3"/>
      <c r="BO327" s="3"/>
      <c r="BP327" s="3"/>
      <c r="BQ327" s="3"/>
      <c r="BR327" s="3"/>
    </row>
    <row r="328" spans="1:70" ht="12.75" customHeight="1" x14ac:dyDescent="0.25">
      <c r="AU328" s="61"/>
      <c r="AV328" s="61"/>
      <c r="AW328" s="61"/>
      <c r="AX328" s="61"/>
      <c r="AY328" s="61"/>
      <c r="AZ328" s="61"/>
      <c r="BA328" s="3"/>
      <c r="BB328" s="3"/>
      <c r="BC328" s="3"/>
      <c r="BD328" s="3"/>
      <c r="BE328" s="3"/>
      <c r="BF328" s="3"/>
      <c r="BG328" s="3"/>
      <c r="BH328" s="3"/>
      <c r="BI328" s="3"/>
      <c r="BJ328" s="3"/>
      <c r="BK328" s="3"/>
      <c r="BL328" s="3"/>
      <c r="BM328" s="3"/>
      <c r="BN328" s="3"/>
      <c r="BO328" s="3"/>
      <c r="BP328" s="3"/>
      <c r="BQ328" s="3"/>
      <c r="BR328" s="3"/>
    </row>
    <row r="329" spans="1:70" ht="12.75" customHeight="1" x14ac:dyDescent="0.25">
      <c r="AU329" s="61"/>
      <c r="AV329" s="61"/>
      <c r="AW329" s="61"/>
      <c r="AX329" s="61"/>
      <c r="AY329" s="61"/>
      <c r="AZ329" s="61"/>
      <c r="BA329" s="3"/>
      <c r="BB329" s="3"/>
      <c r="BC329" s="3"/>
      <c r="BD329" s="3"/>
      <c r="BE329" s="3"/>
      <c r="BF329" s="3"/>
      <c r="BG329" s="3"/>
      <c r="BH329" s="3"/>
      <c r="BI329" s="3"/>
      <c r="BJ329" s="3"/>
      <c r="BK329" s="3"/>
      <c r="BL329" s="3"/>
      <c r="BM329" s="3"/>
      <c r="BN329" s="3"/>
      <c r="BO329" s="3"/>
      <c r="BP329" s="3"/>
      <c r="BQ329" s="3"/>
      <c r="BR329" s="3"/>
    </row>
    <row r="330" spans="1:70" ht="12.75" customHeight="1" x14ac:dyDescent="0.25">
      <c r="AU330" s="61"/>
      <c r="AV330" s="61"/>
      <c r="AW330" s="61"/>
      <c r="AX330" s="61"/>
      <c r="AY330" s="61"/>
      <c r="AZ330" s="61"/>
      <c r="BA330" s="3"/>
      <c r="BB330" s="3"/>
      <c r="BC330" s="3"/>
      <c r="BD330" s="3"/>
      <c r="BE330" s="3"/>
      <c r="BF330" s="3"/>
      <c r="BG330" s="3"/>
      <c r="BH330" s="3"/>
      <c r="BI330" s="3"/>
      <c r="BJ330" s="3"/>
      <c r="BK330" s="3"/>
      <c r="BL330" s="3"/>
      <c r="BM330" s="3"/>
      <c r="BN330" s="3"/>
      <c r="BO330" s="3"/>
      <c r="BP330" s="3"/>
      <c r="BQ330" s="3"/>
      <c r="BR330" s="3"/>
    </row>
    <row r="331" spans="1:70" ht="12.75" customHeight="1" x14ac:dyDescent="0.25">
      <c r="A331" s="61"/>
      <c r="B331" s="61"/>
      <c r="C331" s="61"/>
      <c r="D331" s="61"/>
      <c r="E331" s="61"/>
      <c r="F331" s="61"/>
      <c r="G331" s="3"/>
      <c r="H331" s="3"/>
      <c r="I331" s="3"/>
      <c r="J331" s="3"/>
      <c r="K331" s="3"/>
      <c r="L331" s="3"/>
      <c r="M331" s="3"/>
      <c r="N331" s="3"/>
      <c r="O331" s="3"/>
      <c r="P331" s="3"/>
      <c r="Q331" s="3"/>
      <c r="R331" s="3"/>
      <c r="S331" s="3"/>
      <c r="T331" s="3"/>
      <c r="U331" s="3"/>
      <c r="V331" s="3"/>
      <c r="W331" s="3"/>
      <c r="X331" s="3"/>
      <c r="Y331" s="3"/>
      <c r="Z331" s="3"/>
      <c r="AA331" s="3"/>
      <c r="AB331" s="3"/>
    </row>
    <row r="332" spans="1:70" ht="12.75" customHeight="1" x14ac:dyDescent="0.25">
      <c r="A332" s="61"/>
      <c r="B332" s="61"/>
      <c r="C332" s="61"/>
      <c r="D332" s="61"/>
      <c r="E332" s="61"/>
      <c r="F332" s="61"/>
      <c r="G332" s="3"/>
      <c r="H332" s="3"/>
      <c r="I332" s="3"/>
      <c r="J332" s="3"/>
      <c r="K332" s="3"/>
      <c r="L332" s="3"/>
      <c r="M332" s="3"/>
      <c r="N332" s="3"/>
      <c r="O332" s="3"/>
      <c r="P332" s="3"/>
      <c r="Q332" s="3"/>
      <c r="R332" s="3"/>
      <c r="S332" s="3"/>
      <c r="T332" s="3"/>
      <c r="U332" s="3"/>
      <c r="V332" s="3"/>
      <c r="W332" s="3"/>
      <c r="X332" s="3"/>
      <c r="Y332" s="3"/>
      <c r="Z332" s="3"/>
      <c r="AA332" s="3"/>
      <c r="AB332" s="3"/>
    </row>
    <row r="333" spans="1:70" ht="12.75" customHeight="1" x14ac:dyDescent="0.25">
      <c r="A333" s="61"/>
      <c r="B333" s="61"/>
      <c r="C333" s="61"/>
      <c r="D333" s="61"/>
      <c r="E333" s="61"/>
      <c r="F333" s="61"/>
      <c r="G333" s="3"/>
      <c r="H333" s="3"/>
      <c r="I333" s="3"/>
      <c r="J333" s="3"/>
      <c r="K333" s="3"/>
      <c r="L333" s="3"/>
      <c r="M333" s="3"/>
      <c r="N333" s="3"/>
      <c r="O333" s="3"/>
      <c r="P333" s="3"/>
      <c r="Q333" s="3"/>
      <c r="R333" s="3"/>
      <c r="S333" s="3"/>
      <c r="T333" s="3"/>
      <c r="U333" s="3"/>
      <c r="V333" s="3"/>
      <c r="W333" s="3"/>
      <c r="X333" s="3"/>
      <c r="Y333" s="3"/>
      <c r="Z333" s="3"/>
      <c r="AA333" s="3"/>
      <c r="AB333" s="3"/>
    </row>
    <row r="334" spans="1:70" ht="12.75" customHeight="1" x14ac:dyDescent="0.25">
      <c r="A334" s="61"/>
      <c r="B334" s="61"/>
      <c r="C334" s="61"/>
      <c r="D334" s="61"/>
      <c r="E334" s="61"/>
      <c r="F334" s="61"/>
      <c r="G334" s="3"/>
      <c r="H334" s="3"/>
      <c r="I334" s="3"/>
      <c r="J334" s="3"/>
      <c r="K334" s="3"/>
      <c r="L334" s="3"/>
      <c r="M334" s="3"/>
      <c r="N334" s="3"/>
      <c r="O334" s="3"/>
      <c r="P334" s="3"/>
      <c r="Q334" s="3"/>
      <c r="R334" s="3"/>
      <c r="S334" s="3"/>
      <c r="T334" s="3"/>
      <c r="U334" s="3"/>
      <c r="V334" s="3"/>
      <c r="W334" s="3"/>
      <c r="X334" s="3"/>
      <c r="Y334" s="3"/>
      <c r="Z334" s="3"/>
      <c r="AA334" s="3"/>
      <c r="AB334" s="3"/>
    </row>
    <row r="335" spans="1:70" ht="12.75" customHeight="1" x14ac:dyDescent="0.25">
      <c r="A335" s="61"/>
      <c r="B335" s="61"/>
      <c r="C335" s="61"/>
      <c r="D335" s="61"/>
      <c r="E335" s="61"/>
      <c r="F335" s="61"/>
      <c r="G335" s="3"/>
      <c r="H335" s="3"/>
      <c r="I335" s="3"/>
      <c r="J335" s="3"/>
      <c r="K335" s="3"/>
      <c r="L335" s="3"/>
      <c r="M335" s="3"/>
      <c r="N335" s="3"/>
      <c r="O335" s="3"/>
      <c r="P335" s="3"/>
      <c r="Q335" s="3"/>
      <c r="R335" s="3"/>
      <c r="S335" s="3"/>
      <c r="T335" s="3"/>
      <c r="U335" s="3"/>
      <c r="V335" s="3"/>
      <c r="W335" s="3"/>
      <c r="X335" s="3"/>
      <c r="Y335" s="3"/>
      <c r="Z335" s="3"/>
      <c r="AA335" s="3"/>
      <c r="AB335" s="3"/>
    </row>
    <row r="336" spans="1:70" ht="12.75" customHeight="1" x14ac:dyDescent="0.25">
      <c r="A336" s="61"/>
      <c r="B336" s="61"/>
      <c r="C336" s="61"/>
      <c r="D336" s="61"/>
      <c r="E336" s="61"/>
      <c r="F336" s="61"/>
      <c r="G336" s="3"/>
      <c r="H336" s="3"/>
      <c r="I336" s="3"/>
      <c r="J336" s="3"/>
      <c r="K336" s="3"/>
      <c r="L336" s="3"/>
      <c r="M336" s="3"/>
      <c r="N336" s="3"/>
      <c r="O336" s="3"/>
      <c r="P336" s="3"/>
      <c r="Q336" s="3"/>
      <c r="R336" s="3"/>
      <c r="S336" s="3"/>
      <c r="T336" s="3"/>
      <c r="U336" s="3"/>
      <c r="V336" s="3"/>
      <c r="W336" s="3"/>
      <c r="X336" s="3"/>
      <c r="Y336" s="3"/>
      <c r="Z336" s="3"/>
      <c r="AA336" s="3"/>
      <c r="AB336" s="3"/>
    </row>
    <row r="337" spans="1:28" ht="12.75" customHeight="1" x14ac:dyDescent="0.25">
      <c r="A337" s="61"/>
      <c r="B337" s="61"/>
      <c r="C337" s="61"/>
      <c r="D337" s="61"/>
      <c r="E337" s="61"/>
      <c r="F337" s="61"/>
      <c r="G337" s="3"/>
      <c r="H337" s="3"/>
      <c r="I337" s="3"/>
      <c r="J337" s="3"/>
      <c r="K337" s="3"/>
      <c r="L337" s="3"/>
      <c r="M337" s="3"/>
      <c r="N337" s="3"/>
      <c r="O337" s="3"/>
      <c r="P337" s="3"/>
      <c r="Q337" s="3"/>
      <c r="R337" s="3"/>
      <c r="S337" s="3"/>
      <c r="T337" s="3"/>
      <c r="U337" s="3"/>
      <c r="V337" s="3"/>
      <c r="W337" s="3"/>
      <c r="X337" s="3"/>
      <c r="Y337" s="3"/>
      <c r="Z337" s="3"/>
      <c r="AA337" s="3"/>
      <c r="AB337" s="3"/>
    </row>
    <row r="338" spans="1:28" ht="12.75" customHeight="1" x14ac:dyDescent="0.25">
      <c r="A338" s="61"/>
      <c r="B338" s="61"/>
      <c r="C338" s="61"/>
      <c r="D338" s="61"/>
      <c r="E338" s="61"/>
      <c r="F338" s="61"/>
      <c r="G338" s="3"/>
      <c r="H338" s="3"/>
      <c r="I338" s="3"/>
      <c r="J338" s="3"/>
      <c r="K338" s="3"/>
      <c r="L338" s="3"/>
      <c r="M338" s="3"/>
      <c r="N338" s="3"/>
      <c r="O338" s="3"/>
      <c r="P338" s="3"/>
      <c r="Q338" s="3"/>
      <c r="R338" s="3"/>
      <c r="S338" s="3"/>
      <c r="T338" s="3"/>
      <c r="U338" s="3"/>
      <c r="V338" s="3"/>
      <c r="W338" s="3"/>
      <c r="X338" s="3"/>
      <c r="Y338" s="3"/>
      <c r="Z338" s="3"/>
      <c r="AA338" s="3"/>
      <c r="AB338" s="3"/>
    </row>
    <row r="339" spans="1:28" ht="12.75" customHeight="1" x14ac:dyDescent="0.25">
      <c r="A339" s="61"/>
      <c r="B339" s="61"/>
      <c r="C339" s="61"/>
      <c r="D339" s="61"/>
      <c r="E339" s="61"/>
      <c r="F339" s="61"/>
      <c r="G339" s="3"/>
      <c r="H339" s="3"/>
      <c r="I339" s="3"/>
      <c r="J339" s="3"/>
      <c r="K339" s="3"/>
      <c r="L339" s="3"/>
      <c r="M339" s="3"/>
      <c r="N339" s="3"/>
      <c r="O339" s="3"/>
      <c r="P339" s="3"/>
      <c r="Q339" s="3"/>
      <c r="R339" s="3"/>
      <c r="S339" s="3"/>
      <c r="T339" s="3"/>
      <c r="U339" s="3"/>
      <c r="V339" s="3"/>
      <c r="W339" s="3"/>
      <c r="X339" s="3"/>
      <c r="Y339" s="3"/>
      <c r="Z339" s="3"/>
      <c r="AA339" s="3"/>
      <c r="AB339" s="3"/>
    </row>
    <row r="340" spans="1:28" ht="12.75" customHeight="1" x14ac:dyDescent="0.25">
      <c r="A340" s="61"/>
      <c r="B340" s="61"/>
      <c r="C340" s="61"/>
      <c r="D340" s="61"/>
      <c r="E340" s="61"/>
      <c r="F340" s="61"/>
      <c r="G340" s="3"/>
      <c r="H340" s="3"/>
      <c r="I340" s="3"/>
      <c r="J340" s="3"/>
      <c r="K340" s="3"/>
      <c r="L340" s="3"/>
      <c r="M340" s="3"/>
      <c r="N340" s="3"/>
      <c r="O340" s="3"/>
      <c r="P340" s="3"/>
      <c r="Q340" s="3"/>
      <c r="R340" s="3"/>
      <c r="S340" s="3"/>
      <c r="T340" s="3"/>
      <c r="U340" s="3"/>
      <c r="V340" s="3"/>
      <c r="W340" s="3"/>
      <c r="X340" s="3"/>
      <c r="Y340" s="3"/>
      <c r="Z340" s="3"/>
      <c r="AA340" s="3"/>
      <c r="AB340" s="3"/>
    </row>
    <row r="341" spans="1:28" ht="12.75" customHeight="1" x14ac:dyDescent="0.25">
      <c r="A341" s="61"/>
      <c r="B341" s="61"/>
      <c r="C341" s="61"/>
      <c r="D341" s="61"/>
      <c r="E341" s="61"/>
      <c r="F341" s="61"/>
      <c r="G341" s="3"/>
      <c r="H341" s="3"/>
      <c r="I341" s="3"/>
      <c r="J341" s="3"/>
      <c r="K341" s="3"/>
      <c r="L341" s="3"/>
      <c r="M341" s="3"/>
      <c r="N341" s="3"/>
      <c r="O341" s="3"/>
      <c r="P341" s="3"/>
      <c r="Q341" s="3"/>
      <c r="R341" s="3"/>
      <c r="S341" s="3"/>
      <c r="T341" s="3"/>
      <c r="U341" s="3"/>
      <c r="V341" s="3"/>
      <c r="W341" s="3"/>
      <c r="X341" s="3"/>
      <c r="Y341" s="3"/>
      <c r="Z341" s="3"/>
      <c r="AA341" s="3"/>
      <c r="AB341" s="3"/>
    </row>
    <row r="342" spans="1:28" ht="12.75" customHeight="1" x14ac:dyDescent="0.25">
      <c r="A342" s="61"/>
      <c r="B342" s="61"/>
      <c r="C342" s="61"/>
      <c r="D342" s="61"/>
      <c r="E342" s="61"/>
      <c r="F342" s="61"/>
      <c r="G342" s="3"/>
      <c r="H342" s="3"/>
      <c r="I342" s="3"/>
      <c r="J342" s="3"/>
      <c r="K342" s="3"/>
      <c r="L342" s="3"/>
      <c r="M342" s="3"/>
      <c r="N342" s="3"/>
      <c r="O342" s="3"/>
      <c r="P342" s="3"/>
      <c r="Q342" s="3"/>
      <c r="R342" s="3"/>
      <c r="S342" s="3"/>
      <c r="T342" s="3"/>
      <c r="U342" s="3"/>
      <c r="V342" s="3"/>
      <c r="W342" s="3"/>
      <c r="X342" s="3"/>
      <c r="Y342" s="3"/>
      <c r="Z342" s="3"/>
      <c r="AA342" s="3"/>
      <c r="AB342" s="3"/>
    </row>
    <row r="343" spans="1:28" ht="12.75" customHeight="1" x14ac:dyDescent="0.25">
      <c r="A343" s="61"/>
      <c r="B343" s="61"/>
      <c r="C343" s="61"/>
      <c r="D343" s="61"/>
      <c r="E343" s="61"/>
      <c r="F343" s="61"/>
      <c r="G343" s="3"/>
      <c r="H343" s="3"/>
      <c r="I343" s="3"/>
      <c r="J343" s="3"/>
      <c r="K343" s="3"/>
      <c r="L343" s="3"/>
      <c r="M343" s="3"/>
      <c r="N343" s="3"/>
      <c r="O343" s="3"/>
      <c r="P343" s="3"/>
      <c r="Q343" s="3"/>
      <c r="R343" s="3"/>
      <c r="S343" s="3"/>
      <c r="T343" s="3"/>
      <c r="U343" s="3"/>
      <c r="V343" s="3"/>
      <c r="W343" s="3"/>
      <c r="X343" s="3"/>
      <c r="Y343" s="3"/>
      <c r="Z343" s="3"/>
      <c r="AA343" s="3"/>
      <c r="AB343" s="3"/>
    </row>
    <row r="344" spans="1:28" ht="12.75" customHeight="1" x14ac:dyDescent="0.25">
      <c r="A344" s="61"/>
      <c r="B344" s="61"/>
      <c r="C344" s="61"/>
      <c r="D344" s="61"/>
      <c r="E344" s="61"/>
      <c r="F344" s="61"/>
      <c r="G344" s="3"/>
      <c r="H344" s="3"/>
      <c r="I344" s="3"/>
      <c r="J344" s="3"/>
      <c r="K344" s="3"/>
      <c r="L344" s="3"/>
      <c r="M344" s="3"/>
      <c r="N344" s="3"/>
      <c r="O344" s="3"/>
      <c r="P344" s="3"/>
      <c r="Q344" s="3"/>
      <c r="R344" s="3"/>
      <c r="S344" s="3"/>
      <c r="T344" s="3"/>
      <c r="U344" s="3"/>
      <c r="V344" s="3"/>
      <c r="W344" s="3"/>
      <c r="X344" s="3"/>
      <c r="Y344" s="3"/>
      <c r="Z344" s="3"/>
      <c r="AA344" s="3"/>
      <c r="AB344" s="3"/>
    </row>
    <row r="345" spans="1:28" ht="12.75" customHeight="1" x14ac:dyDescent="0.25">
      <c r="A345" s="61"/>
      <c r="B345" s="61"/>
      <c r="C345" s="61"/>
      <c r="D345" s="61"/>
      <c r="E345" s="61"/>
      <c r="F345" s="61"/>
      <c r="G345" s="3"/>
      <c r="H345" s="3"/>
      <c r="I345" s="3"/>
      <c r="J345" s="3"/>
      <c r="K345" s="3"/>
      <c r="L345" s="3"/>
      <c r="M345" s="3"/>
      <c r="N345" s="3"/>
      <c r="O345" s="3"/>
      <c r="P345" s="3"/>
      <c r="Q345" s="3"/>
      <c r="R345" s="3"/>
      <c r="S345" s="3"/>
      <c r="T345" s="3"/>
      <c r="U345" s="3"/>
      <c r="V345" s="3"/>
      <c r="W345" s="3"/>
      <c r="X345" s="3"/>
      <c r="Y345" s="3"/>
      <c r="Z345" s="3"/>
      <c r="AA345" s="3"/>
      <c r="AB345" s="3"/>
    </row>
    <row r="346" spans="1:28" ht="12.75" customHeight="1" x14ac:dyDescent="0.25">
      <c r="A346" s="61"/>
      <c r="B346" s="61"/>
      <c r="C346" s="61"/>
      <c r="D346" s="61"/>
      <c r="E346" s="61"/>
      <c r="F346" s="61"/>
      <c r="G346" s="3"/>
      <c r="H346" s="3"/>
      <c r="I346" s="3"/>
      <c r="J346" s="3"/>
      <c r="K346" s="3"/>
      <c r="L346" s="3"/>
      <c r="M346" s="3"/>
      <c r="N346" s="3"/>
      <c r="O346" s="3"/>
      <c r="P346" s="3"/>
      <c r="Q346" s="3"/>
      <c r="R346" s="3"/>
      <c r="S346" s="3"/>
      <c r="T346" s="3"/>
      <c r="U346" s="3"/>
      <c r="V346" s="3"/>
      <c r="W346" s="3"/>
      <c r="X346" s="3"/>
      <c r="Y346" s="3"/>
      <c r="Z346" s="3"/>
      <c r="AA346" s="3"/>
      <c r="AB346" s="3"/>
    </row>
    <row r="347" spans="1:28" ht="12.75" customHeight="1" x14ac:dyDescent="0.25">
      <c r="A347" s="61"/>
      <c r="B347" s="61"/>
      <c r="C347" s="61"/>
      <c r="D347" s="61"/>
      <c r="E347" s="61"/>
      <c r="F347" s="61"/>
      <c r="G347" s="3"/>
      <c r="H347" s="3"/>
      <c r="I347" s="3"/>
      <c r="J347" s="3"/>
      <c r="K347" s="3"/>
      <c r="L347" s="3"/>
      <c r="M347" s="3"/>
      <c r="N347" s="3"/>
      <c r="O347" s="3"/>
      <c r="P347" s="3"/>
      <c r="Q347" s="3"/>
      <c r="R347" s="3"/>
      <c r="S347" s="3"/>
      <c r="T347" s="3"/>
      <c r="U347" s="3"/>
      <c r="V347" s="3"/>
      <c r="W347" s="3"/>
      <c r="X347" s="3"/>
      <c r="Y347" s="3"/>
      <c r="Z347" s="3"/>
      <c r="AA347" s="3"/>
      <c r="AB347" s="3"/>
    </row>
    <row r="348" spans="1:28" ht="12.75" customHeight="1" x14ac:dyDescent="0.25">
      <c r="A348" s="61"/>
      <c r="B348" s="61"/>
      <c r="C348" s="61"/>
      <c r="D348" s="61"/>
      <c r="E348" s="61"/>
      <c r="F348" s="61"/>
      <c r="G348" s="3"/>
      <c r="H348" s="3"/>
      <c r="I348" s="3"/>
      <c r="J348" s="3"/>
      <c r="K348" s="3"/>
      <c r="L348" s="3"/>
      <c r="M348" s="3"/>
      <c r="N348" s="3"/>
      <c r="O348" s="3"/>
      <c r="P348" s="3"/>
      <c r="Q348" s="3"/>
      <c r="R348" s="3"/>
      <c r="S348" s="3"/>
      <c r="T348" s="3"/>
      <c r="U348" s="3"/>
      <c r="V348" s="3"/>
      <c r="W348" s="3"/>
      <c r="X348" s="3"/>
      <c r="Y348" s="3"/>
      <c r="Z348" s="3"/>
      <c r="AA348" s="3"/>
      <c r="AB348" s="3"/>
    </row>
    <row r="349" spans="1:28" ht="12.75" customHeight="1" x14ac:dyDescent="0.25">
      <c r="A349" s="61"/>
      <c r="B349" s="61"/>
      <c r="C349" s="61"/>
      <c r="D349" s="61"/>
      <c r="E349" s="61"/>
      <c r="F349" s="61"/>
      <c r="G349" s="3"/>
      <c r="H349" s="3"/>
      <c r="I349" s="3"/>
      <c r="J349" s="3"/>
      <c r="K349" s="3"/>
      <c r="L349" s="3"/>
      <c r="M349" s="3"/>
      <c r="N349" s="3"/>
      <c r="O349" s="3"/>
      <c r="P349" s="3"/>
      <c r="Q349" s="3"/>
      <c r="R349" s="3"/>
      <c r="S349" s="3"/>
      <c r="T349" s="3"/>
      <c r="U349" s="3"/>
      <c r="V349" s="3"/>
      <c r="W349" s="3"/>
      <c r="X349" s="3"/>
      <c r="Y349" s="3"/>
      <c r="Z349" s="3"/>
      <c r="AA349" s="3"/>
      <c r="AB349" s="3"/>
    </row>
    <row r="350" spans="1:28" ht="12.75" customHeight="1" x14ac:dyDescent="0.25">
      <c r="A350" s="61"/>
      <c r="B350" s="61"/>
      <c r="C350" s="61"/>
      <c r="D350" s="61"/>
      <c r="E350" s="61"/>
      <c r="F350" s="61"/>
      <c r="G350" s="3"/>
      <c r="H350" s="3"/>
      <c r="I350" s="3"/>
      <c r="J350" s="3"/>
      <c r="K350" s="3"/>
      <c r="L350" s="3"/>
      <c r="M350" s="3"/>
      <c r="N350" s="3"/>
      <c r="O350" s="3"/>
      <c r="P350" s="3"/>
      <c r="Q350" s="3"/>
      <c r="R350" s="3"/>
      <c r="S350" s="3"/>
      <c r="T350" s="3"/>
      <c r="U350" s="3"/>
      <c r="V350" s="3"/>
      <c r="W350" s="3"/>
      <c r="X350" s="3"/>
      <c r="Y350" s="3"/>
      <c r="Z350" s="3"/>
      <c r="AA350" s="3"/>
      <c r="AB350" s="3"/>
    </row>
    <row r="351" spans="1:28" ht="12.75" customHeight="1" x14ac:dyDescent="0.25">
      <c r="A351" s="61"/>
      <c r="B351" s="61"/>
      <c r="C351" s="61"/>
      <c r="D351" s="61"/>
      <c r="E351" s="61"/>
      <c r="F351" s="61"/>
      <c r="G351" s="3"/>
      <c r="H351" s="3"/>
      <c r="I351" s="3"/>
      <c r="J351" s="3"/>
      <c r="K351" s="3"/>
      <c r="L351" s="3"/>
      <c r="M351" s="3"/>
      <c r="N351" s="3"/>
      <c r="O351" s="3"/>
      <c r="P351" s="3"/>
      <c r="Q351" s="3"/>
      <c r="R351" s="3"/>
      <c r="S351" s="3"/>
      <c r="T351" s="3"/>
      <c r="U351" s="3"/>
      <c r="V351" s="3"/>
      <c r="W351" s="3"/>
      <c r="X351" s="3"/>
      <c r="Y351" s="3"/>
      <c r="Z351" s="3"/>
      <c r="AA351" s="3"/>
      <c r="AB351" s="3"/>
    </row>
    <row r="352" spans="1:28" ht="12.75" customHeight="1" x14ac:dyDescent="0.25">
      <c r="A352" s="61"/>
      <c r="B352" s="61"/>
      <c r="C352" s="61"/>
      <c r="D352" s="61"/>
      <c r="E352" s="61"/>
      <c r="F352" s="61"/>
      <c r="G352" s="3"/>
      <c r="H352" s="3"/>
      <c r="I352" s="3"/>
      <c r="J352" s="3"/>
      <c r="K352" s="3"/>
      <c r="L352" s="3"/>
      <c r="M352" s="3"/>
      <c r="N352" s="3"/>
      <c r="O352" s="3"/>
      <c r="P352" s="3"/>
      <c r="Q352" s="3"/>
      <c r="R352" s="3"/>
      <c r="S352" s="3"/>
      <c r="T352" s="3"/>
      <c r="U352" s="3"/>
      <c r="V352" s="3"/>
      <c r="W352" s="3"/>
      <c r="X352" s="3"/>
      <c r="Y352" s="3"/>
      <c r="Z352" s="3"/>
      <c r="AA352" s="3"/>
      <c r="AB352" s="3"/>
    </row>
    <row r="353" spans="1:28" ht="12.75" customHeight="1" x14ac:dyDescent="0.25">
      <c r="A353" s="61"/>
      <c r="B353" s="61"/>
      <c r="C353" s="61"/>
      <c r="D353" s="61"/>
      <c r="E353" s="61"/>
      <c r="F353" s="61"/>
      <c r="G353" s="3"/>
      <c r="H353" s="3"/>
      <c r="I353" s="3"/>
      <c r="J353" s="3"/>
      <c r="K353" s="3"/>
      <c r="L353" s="3"/>
      <c r="M353" s="3"/>
      <c r="N353" s="3"/>
      <c r="O353" s="3"/>
      <c r="P353" s="3"/>
      <c r="Q353" s="3"/>
      <c r="R353" s="3"/>
      <c r="S353" s="3"/>
      <c r="T353" s="3"/>
      <c r="U353" s="3"/>
      <c r="V353" s="3"/>
      <c r="W353" s="3"/>
      <c r="X353" s="3"/>
      <c r="Y353" s="3"/>
      <c r="Z353" s="3"/>
      <c r="AA353" s="3"/>
      <c r="AB353" s="3"/>
    </row>
    <row r="354" spans="1:28" ht="12.75" customHeight="1" x14ac:dyDescent="0.25">
      <c r="A354" s="61"/>
      <c r="B354" s="61"/>
      <c r="C354" s="61"/>
      <c r="D354" s="61"/>
      <c r="E354" s="61"/>
      <c r="F354" s="61"/>
      <c r="G354" s="3"/>
      <c r="H354" s="3"/>
      <c r="I354" s="3"/>
      <c r="J354" s="3"/>
      <c r="K354" s="3"/>
      <c r="L354" s="3"/>
      <c r="M354" s="3"/>
      <c r="N354" s="3"/>
      <c r="O354" s="3"/>
      <c r="P354" s="3"/>
      <c r="Q354" s="3"/>
      <c r="R354" s="3"/>
      <c r="S354" s="3"/>
      <c r="T354" s="3"/>
      <c r="U354" s="3"/>
      <c r="V354" s="3"/>
      <c r="W354" s="3"/>
      <c r="X354" s="3"/>
      <c r="Y354" s="3"/>
      <c r="Z354" s="3"/>
      <c r="AA354" s="3"/>
      <c r="AB354" s="3"/>
    </row>
    <row r="355" spans="1:28" ht="12.75" customHeight="1" x14ac:dyDescent="0.25">
      <c r="A355" s="61"/>
      <c r="B355" s="61"/>
      <c r="C355" s="61"/>
      <c r="D355" s="61"/>
      <c r="E355" s="61"/>
      <c r="F355" s="61"/>
      <c r="G355" s="3"/>
      <c r="H355" s="3"/>
      <c r="I355" s="3"/>
      <c r="J355" s="3"/>
      <c r="K355" s="3"/>
      <c r="L355" s="3"/>
      <c r="M355" s="3"/>
      <c r="N355" s="3"/>
      <c r="O355" s="3"/>
      <c r="P355" s="3"/>
      <c r="Q355" s="3"/>
      <c r="R355" s="3"/>
      <c r="S355" s="3"/>
      <c r="T355" s="3"/>
      <c r="U355" s="3"/>
      <c r="V355" s="3"/>
      <c r="W355" s="3"/>
      <c r="X355" s="3"/>
      <c r="Y355" s="3"/>
      <c r="Z355" s="3"/>
      <c r="AA355" s="3"/>
      <c r="AB355" s="3"/>
    </row>
    <row r="356" spans="1:28" ht="12.75" customHeight="1" x14ac:dyDescent="0.25">
      <c r="A356" s="61"/>
      <c r="B356" s="61"/>
      <c r="C356" s="61"/>
      <c r="D356" s="61"/>
      <c r="E356" s="61"/>
      <c r="F356" s="61"/>
      <c r="G356" s="3"/>
      <c r="H356" s="3"/>
      <c r="I356" s="3"/>
      <c r="J356" s="3"/>
      <c r="K356" s="3"/>
      <c r="L356" s="3"/>
      <c r="M356" s="3"/>
      <c r="N356" s="3"/>
      <c r="O356" s="3"/>
      <c r="P356" s="3"/>
      <c r="Q356" s="3"/>
      <c r="R356" s="3"/>
      <c r="S356" s="3"/>
      <c r="T356" s="3"/>
      <c r="U356" s="3"/>
      <c r="V356" s="3"/>
      <c r="W356" s="3"/>
      <c r="X356" s="3"/>
      <c r="Y356" s="3"/>
      <c r="Z356" s="3"/>
      <c r="AA356" s="3"/>
      <c r="AB356" s="3"/>
    </row>
    <row r="357" spans="1:28" ht="12.75" customHeight="1" x14ac:dyDescent="0.25">
      <c r="A357" s="61"/>
      <c r="B357" s="61"/>
      <c r="C357" s="61"/>
      <c r="D357" s="61"/>
      <c r="E357" s="61"/>
      <c r="F357" s="61"/>
      <c r="G357" s="3"/>
      <c r="H357" s="3"/>
      <c r="I357" s="3"/>
      <c r="J357" s="3"/>
      <c r="K357" s="3"/>
      <c r="L357" s="3"/>
      <c r="M357" s="3"/>
      <c r="N357" s="3"/>
      <c r="O357" s="3"/>
      <c r="P357" s="3"/>
      <c r="Q357" s="3"/>
      <c r="R357" s="3"/>
      <c r="S357" s="3"/>
      <c r="T357" s="3"/>
      <c r="U357" s="3"/>
      <c r="V357" s="3"/>
      <c r="W357" s="3"/>
      <c r="X357" s="3"/>
      <c r="Y357" s="3"/>
      <c r="Z357" s="3"/>
      <c r="AA357" s="3"/>
      <c r="AB357" s="3"/>
    </row>
    <row r="358" spans="1:28" ht="12.75" customHeight="1" x14ac:dyDescent="0.25">
      <c r="A358" s="61"/>
      <c r="B358" s="61"/>
      <c r="C358" s="61"/>
      <c r="D358" s="61"/>
      <c r="E358" s="61"/>
      <c r="F358" s="61"/>
      <c r="G358" s="3"/>
      <c r="H358" s="3"/>
      <c r="I358" s="3"/>
      <c r="J358" s="3"/>
      <c r="K358" s="3"/>
      <c r="L358" s="3"/>
      <c r="M358" s="3"/>
      <c r="N358" s="3"/>
      <c r="O358" s="3"/>
      <c r="P358" s="3"/>
      <c r="Q358" s="3"/>
      <c r="R358" s="3"/>
      <c r="S358" s="3"/>
      <c r="T358" s="3"/>
      <c r="U358" s="3"/>
      <c r="V358" s="3"/>
      <c r="W358" s="3"/>
      <c r="X358" s="3"/>
      <c r="Y358" s="3"/>
      <c r="Z358" s="3"/>
      <c r="AA358" s="3"/>
      <c r="AB358" s="3"/>
    </row>
    <row r="359" spans="1:28" ht="12.75" customHeight="1" x14ac:dyDescent="0.25">
      <c r="A359" s="61"/>
      <c r="B359" s="61"/>
      <c r="C359" s="61"/>
      <c r="D359" s="61"/>
      <c r="E359" s="61"/>
      <c r="F359" s="61"/>
      <c r="G359" s="3"/>
      <c r="H359" s="3"/>
      <c r="I359" s="3"/>
      <c r="J359" s="3"/>
      <c r="K359" s="3"/>
      <c r="L359" s="3"/>
      <c r="M359" s="3"/>
      <c r="N359" s="3"/>
      <c r="O359" s="3"/>
      <c r="P359" s="3"/>
      <c r="Q359" s="3"/>
      <c r="R359" s="3"/>
      <c r="S359" s="3"/>
      <c r="T359" s="3"/>
      <c r="U359" s="3"/>
      <c r="V359" s="3"/>
      <c r="W359" s="3"/>
      <c r="X359" s="3"/>
      <c r="Y359" s="3"/>
      <c r="Z359" s="3"/>
      <c r="AA359" s="3"/>
      <c r="AB359" s="3"/>
    </row>
    <row r="360" spans="1:28" ht="12.75" customHeight="1" x14ac:dyDescent="0.25">
      <c r="A360" s="61"/>
      <c r="B360" s="61"/>
      <c r="C360" s="61"/>
      <c r="D360" s="61"/>
      <c r="E360" s="61"/>
      <c r="F360" s="61"/>
      <c r="G360" s="3"/>
      <c r="H360" s="3"/>
      <c r="I360" s="3"/>
      <c r="J360" s="3"/>
      <c r="K360" s="3"/>
      <c r="L360" s="3"/>
      <c r="M360" s="3"/>
      <c r="N360" s="3"/>
      <c r="O360" s="3"/>
      <c r="P360" s="3"/>
      <c r="Q360" s="3"/>
      <c r="R360" s="3"/>
      <c r="S360" s="3"/>
      <c r="T360" s="3"/>
      <c r="U360" s="3"/>
      <c r="V360" s="3"/>
      <c r="W360" s="3"/>
      <c r="X360" s="3"/>
      <c r="Y360" s="3"/>
      <c r="Z360" s="3"/>
      <c r="AA360" s="3"/>
      <c r="AB360" s="3"/>
    </row>
    <row r="361" spans="1:28" ht="12.75" customHeight="1" x14ac:dyDescent="0.25">
      <c r="A361" s="61"/>
      <c r="B361" s="61"/>
      <c r="C361" s="61"/>
      <c r="D361" s="61"/>
      <c r="E361" s="61"/>
      <c r="F361" s="61"/>
      <c r="G361" s="3"/>
      <c r="H361" s="3"/>
      <c r="I361" s="3"/>
      <c r="J361" s="3"/>
      <c r="K361" s="3"/>
      <c r="L361" s="3"/>
      <c r="M361" s="3"/>
      <c r="N361" s="3"/>
      <c r="O361" s="3"/>
      <c r="P361" s="3"/>
      <c r="Q361" s="3"/>
      <c r="R361" s="3"/>
      <c r="S361" s="3"/>
      <c r="T361" s="3"/>
      <c r="U361" s="3"/>
      <c r="V361" s="3"/>
      <c r="W361" s="3"/>
      <c r="X361" s="3"/>
      <c r="Y361" s="3"/>
      <c r="Z361" s="3"/>
      <c r="AA361" s="3"/>
      <c r="AB361" s="3"/>
    </row>
    <row r="362" spans="1:28" ht="12.75" customHeight="1" x14ac:dyDescent="0.25">
      <c r="A362" s="61"/>
      <c r="B362" s="61"/>
      <c r="C362" s="61"/>
      <c r="D362" s="61"/>
      <c r="E362" s="61"/>
      <c r="F362" s="61"/>
      <c r="G362" s="3"/>
      <c r="H362" s="3"/>
      <c r="I362" s="3"/>
      <c r="J362" s="3"/>
      <c r="K362" s="3"/>
      <c r="L362" s="3"/>
      <c r="M362" s="3"/>
      <c r="N362" s="3"/>
      <c r="O362" s="3"/>
      <c r="P362" s="3"/>
      <c r="Q362" s="3"/>
      <c r="R362" s="3"/>
      <c r="S362" s="3"/>
      <c r="T362" s="3"/>
      <c r="U362" s="3"/>
      <c r="V362" s="3"/>
      <c r="W362" s="3"/>
      <c r="X362" s="3"/>
      <c r="Y362" s="3"/>
      <c r="Z362" s="3"/>
      <c r="AA362" s="3"/>
      <c r="AB362" s="3"/>
    </row>
    <row r="363" spans="1:28" ht="12.75" customHeight="1" x14ac:dyDescent="0.25">
      <c r="A363" s="61"/>
      <c r="B363" s="61"/>
      <c r="C363" s="61"/>
      <c r="D363" s="61"/>
      <c r="E363" s="61"/>
      <c r="F363" s="61"/>
      <c r="G363" s="3"/>
      <c r="H363" s="3"/>
      <c r="I363" s="3"/>
      <c r="J363" s="3"/>
      <c r="K363" s="3"/>
      <c r="L363" s="3"/>
      <c r="M363" s="3"/>
      <c r="N363" s="3"/>
      <c r="O363" s="3"/>
      <c r="P363" s="3"/>
      <c r="Q363" s="3"/>
      <c r="R363" s="3"/>
      <c r="S363" s="3"/>
      <c r="T363" s="3"/>
      <c r="U363" s="3"/>
      <c r="V363" s="3"/>
      <c r="W363" s="3"/>
      <c r="X363" s="3"/>
      <c r="Y363" s="3"/>
      <c r="Z363" s="3"/>
      <c r="AA363" s="3"/>
      <c r="AB363" s="3"/>
    </row>
    <row r="364" spans="1:28" ht="12.75" customHeight="1" x14ac:dyDescent="0.25">
      <c r="A364" s="61"/>
      <c r="B364" s="61"/>
      <c r="C364" s="61"/>
      <c r="D364" s="61"/>
      <c r="E364" s="61"/>
      <c r="F364" s="61"/>
      <c r="G364" s="3"/>
      <c r="H364" s="3"/>
      <c r="I364" s="3"/>
      <c r="J364" s="3"/>
      <c r="K364" s="3"/>
      <c r="L364" s="3"/>
      <c r="M364" s="3"/>
      <c r="N364" s="3"/>
      <c r="O364" s="3"/>
      <c r="P364" s="3"/>
      <c r="Q364" s="3"/>
      <c r="R364" s="3"/>
      <c r="S364" s="3"/>
      <c r="T364" s="3"/>
      <c r="U364" s="3"/>
      <c r="V364" s="3"/>
      <c r="W364" s="3"/>
      <c r="X364" s="3"/>
      <c r="Y364" s="3"/>
      <c r="Z364" s="3"/>
      <c r="AA364" s="3"/>
      <c r="AB364" s="3"/>
    </row>
    <row r="365" spans="1:28" ht="12.75" customHeight="1" x14ac:dyDescent="0.25">
      <c r="A365" s="61"/>
      <c r="B365" s="61"/>
      <c r="C365" s="61"/>
      <c r="D365" s="61"/>
      <c r="E365" s="61"/>
      <c r="F365" s="61"/>
      <c r="G365" s="3"/>
      <c r="H365" s="3"/>
      <c r="I365" s="3"/>
      <c r="J365" s="3"/>
      <c r="K365" s="3"/>
      <c r="L365" s="3"/>
      <c r="M365" s="3"/>
      <c r="N365" s="3"/>
      <c r="O365" s="3"/>
      <c r="P365" s="3"/>
      <c r="Q365" s="3"/>
      <c r="R365" s="3"/>
      <c r="S365" s="3"/>
      <c r="T365" s="3"/>
      <c r="U365" s="3"/>
      <c r="V365" s="3"/>
      <c r="W365" s="3"/>
      <c r="X365" s="3"/>
      <c r="Y365" s="3"/>
      <c r="Z365" s="3"/>
      <c r="AA365" s="3"/>
      <c r="AB365" s="3"/>
    </row>
    <row r="366" spans="1:28" ht="12.75" customHeight="1" x14ac:dyDescent="0.25">
      <c r="A366" s="61"/>
      <c r="B366" s="61"/>
      <c r="C366" s="61"/>
      <c r="D366" s="61"/>
      <c r="E366" s="61"/>
      <c r="F366" s="61"/>
      <c r="G366" s="3"/>
      <c r="H366" s="3"/>
      <c r="I366" s="3"/>
      <c r="J366" s="3"/>
      <c r="K366" s="3"/>
      <c r="L366" s="3"/>
      <c r="M366" s="3"/>
      <c r="N366" s="3"/>
      <c r="O366" s="3"/>
      <c r="P366" s="3"/>
      <c r="Q366" s="3"/>
      <c r="R366" s="3"/>
      <c r="S366" s="3"/>
      <c r="T366" s="3"/>
      <c r="U366" s="3"/>
      <c r="V366" s="3"/>
      <c r="W366" s="3"/>
      <c r="X366" s="3"/>
      <c r="Y366" s="3"/>
      <c r="Z366" s="3"/>
      <c r="AA366" s="3"/>
      <c r="AB366" s="3"/>
    </row>
    <row r="367" spans="1:28" ht="12.75" customHeight="1" x14ac:dyDescent="0.25">
      <c r="A367" s="61"/>
      <c r="B367" s="61"/>
      <c r="C367" s="61"/>
      <c r="D367" s="61"/>
      <c r="E367" s="61"/>
      <c r="F367" s="61"/>
      <c r="G367" s="3"/>
      <c r="H367" s="3"/>
      <c r="I367" s="3"/>
      <c r="J367" s="3"/>
      <c r="K367" s="3"/>
      <c r="L367" s="3"/>
      <c r="M367" s="3"/>
      <c r="N367" s="3"/>
      <c r="O367" s="3"/>
      <c r="P367" s="3"/>
      <c r="Q367" s="3"/>
      <c r="R367" s="3"/>
      <c r="S367" s="3"/>
      <c r="T367" s="3"/>
      <c r="U367" s="3"/>
      <c r="V367" s="3"/>
      <c r="W367" s="3"/>
      <c r="X367" s="3"/>
      <c r="Y367" s="3"/>
      <c r="Z367" s="3"/>
      <c r="AA367" s="3"/>
      <c r="AB367" s="3"/>
    </row>
    <row r="368" spans="1:28" ht="12.75" customHeight="1" x14ac:dyDescent="0.25">
      <c r="A368" s="61"/>
      <c r="B368" s="61"/>
      <c r="C368" s="61"/>
      <c r="D368" s="61"/>
      <c r="E368" s="61"/>
      <c r="F368" s="61"/>
      <c r="G368" s="3"/>
      <c r="H368" s="3"/>
      <c r="I368" s="3"/>
      <c r="J368" s="3"/>
      <c r="K368" s="3"/>
      <c r="L368" s="3"/>
      <c r="M368" s="3"/>
      <c r="N368" s="3"/>
      <c r="O368" s="3"/>
      <c r="P368" s="3"/>
      <c r="Q368" s="3"/>
      <c r="R368" s="3"/>
      <c r="S368" s="3"/>
      <c r="T368" s="3"/>
      <c r="U368" s="3"/>
      <c r="V368" s="3"/>
      <c r="W368" s="3"/>
      <c r="X368" s="3"/>
      <c r="Y368" s="3"/>
      <c r="Z368" s="3"/>
      <c r="AA368" s="3"/>
      <c r="AB368" s="3"/>
    </row>
    <row r="369" spans="1:28" ht="12.75" customHeight="1" x14ac:dyDescent="0.25">
      <c r="A369" s="61"/>
      <c r="B369" s="61"/>
      <c r="C369" s="61"/>
      <c r="D369" s="61"/>
      <c r="E369" s="61"/>
      <c r="F369" s="61"/>
      <c r="G369" s="3"/>
      <c r="H369" s="3"/>
      <c r="I369" s="3"/>
      <c r="J369" s="3"/>
      <c r="K369" s="3"/>
      <c r="L369" s="3"/>
      <c r="M369" s="3"/>
      <c r="N369" s="3"/>
      <c r="O369" s="3"/>
      <c r="P369" s="3"/>
      <c r="Q369" s="3"/>
      <c r="R369" s="3"/>
      <c r="S369" s="3"/>
      <c r="T369" s="3"/>
      <c r="U369" s="3"/>
      <c r="V369" s="3"/>
      <c r="W369" s="3"/>
      <c r="X369" s="3"/>
      <c r="Y369" s="3"/>
      <c r="Z369" s="3"/>
      <c r="AA369" s="3"/>
      <c r="AB369" s="3"/>
    </row>
    <row r="370" spans="1:28" ht="12.75" customHeight="1" x14ac:dyDescent="0.25">
      <c r="A370" s="61"/>
      <c r="B370" s="61"/>
      <c r="C370" s="61"/>
      <c r="D370" s="61"/>
      <c r="E370" s="61"/>
      <c r="F370" s="61"/>
      <c r="G370" s="3"/>
      <c r="H370" s="3"/>
      <c r="I370" s="3"/>
      <c r="J370" s="3"/>
      <c r="K370" s="3"/>
      <c r="L370" s="3"/>
      <c r="M370" s="3"/>
      <c r="N370" s="3"/>
      <c r="O370" s="3"/>
      <c r="P370" s="3"/>
      <c r="Q370" s="3"/>
      <c r="R370" s="3"/>
      <c r="S370" s="3"/>
      <c r="T370" s="3"/>
      <c r="U370" s="3"/>
      <c r="V370" s="3"/>
      <c r="W370" s="3"/>
      <c r="X370" s="3"/>
      <c r="Y370" s="3"/>
      <c r="Z370" s="3"/>
      <c r="AA370" s="3"/>
      <c r="AB370" s="3"/>
    </row>
    <row r="371" spans="1:28" ht="12.75" customHeight="1" x14ac:dyDescent="0.25">
      <c r="A371" s="61"/>
      <c r="B371" s="61"/>
      <c r="C371" s="61"/>
      <c r="D371" s="61"/>
      <c r="E371" s="61"/>
      <c r="F371" s="61"/>
      <c r="G371" s="3"/>
      <c r="H371" s="3"/>
      <c r="I371" s="3"/>
      <c r="J371" s="3"/>
      <c r="K371" s="3"/>
      <c r="L371" s="3"/>
      <c r="M371" s="3"/>
      <c r="N371" s="3"/>
      <c r="O371" s="3"/>
      <c r="P371" s="3"/>
      <c r="Q371" s="3"/>
      <c r="R371" s="3"/>
      <c r="S371" s="3"/>
      <c r="T371" s="3"/>
      <c r="U371" s="3"/>
      <c r="V371" s="3"/>
      <c r="W371" s="3"/>
      <c r="X371" s="3"/>
      <c r="Y371" s="3"/>
      <c r="Z371" s="3"/>
      <c r="AA371" s="3"/>
      <c r="AB371" s="3"/>
    </row>
    <row r="372" spans="1:28" ht="12.75" customHeight="1" x14ac:dyDescent="0.25">
      <c r="A372" s="61"/>
      <c r="B372" s="61"/>
      <c r="C372" s="61"/>
      <c r="D372" s="61"/>
      <c r="E372" s="61"/>
      <c r="F372" s="61"/>
      <c r="G372" s="3"/>
      <c r="H372" s="3"/>
      <c r="I372" s="3"/>
      <c r="J372" s="3"/>
      <c r="K372" s="3"/>
      <c r="L372" s="3"/>
      <c r="M372" s="3"/>
      <c r="N372" s="3"/>
      <c r="O372" s="3"/>
      <c r="P372" s="3"/>
      <c r="Q372" s="3"/>
      <c r="R372" s="3"/>
      <c r="S372" s="3"/>
      <c r="T372" s="3"/>
      <c r="U372" s="3"/>
      <c r="V372" s="3"/>
      <c r="W372" s="3"/>
      <c r="X372" s="3"/>
      <c r="Y372" s="3"/>
      <c r="Z372" s="3"/>
      <c r="AA372" s="3"/>
      <c r="AB372" s="3"/>
    </row>
    <row r="373" spans="1:28" ht="12.75" customHeight="1" x14ac:dyDescent="0.25">
      <c r="A373" s="61"/>
      <c r="B373" s="61"/>
      <c r="C373" s="61"/>
      <c r="D373" s="61"/>
      <c r="E373" s="61"/>
      <c r="F373" s="61"/>
      <c r="G373" s="3"/>
      <c r="H373" s="3"/>
      <c r="I373" s="3"/>
      <c r="J373" s="3"/>
      <c r="K373" s="3"/>
      <c r="L373" s="3"/>
      <c r="M373" s="3"/>
      <c r="N373" s="3"/>
      <c r="O373" s="3"/>
      <c r="P373" s="3"/>
      <c r="Q373" s="3"/>
      <c r="R373" s="3"/>
      <c r="S373" s="3"/>
      <c r="T373" s="3"/>
      <c r="U373" s="3"/>
      <c r="V373" s="3"/>
      <c r="W373" s="3"/>
      <c r="X373" s="3"/>
      <c r="Y373" s="3"/>
      <c r="Z373" s="3"/>
      <c r="AA373" s="3"/>
      <c r="AB373" s="3"/>
    </row>
    <row r="374" spans="1:28" ht="12.75" customHeight="1" x14ac:dyDescent="0.25">
      <c r="A374" s="61"/>
      <c r="B374" s="61"/>
      <c r="C374" s="61"/>
      <c r="D374" s="61"/>
      <c r="E374" s="61"/>
      <c r="F374" s="61"/>
      <c r="G374" s="3"/>
      <c r="H374" s="3"/>
      <c r="I374" s="3"/>
      <c r="J374" s="3"/>
      <c r="K374" s="3"/>
      <c r="L374" s="3"/>
      <c r="M374" s="3"/>
      <c r="N374" s="3"/>
      <c r="O374" s="3"/>
      <c r="P374" s="3"/>
      <c r="Q374" s="3"/>
      <c r="R374" s="3"/>
      <c r="S374" s="3"/>
      <c r="T374" s="3"/>
      <c r="U374" s="3"/>
      <c r="V374" s="3"/>
      <c r="W374" s="3"/>
      <c r="X374" s="3"/>
      <c r="Y374" s="3"/>
      <c r="Z374" s="3"/>
      <c r="AA374" s="3"/>
      <c r="AB374" s="3"/>
    </row>
    <row r="375" spans="1:28" ht="12.75" customHeight="1" x14ac:dyDescent="0.25">
      <c r="A375" s="61"/>
      <c r="B375" s="61"/>
      <c r="C375" s="61"/>
      <c r="D375" s="61"/>
      <c r="E375" s="61"/>
      <c r="F375" s="61"/>
      <c r="G375" s="3"/>
      <c r="H375" s="3"/>
      <c r="I375" s="3"/>
      <c r="J375" s="3"/>
      <c r="K375" s="3"/>
      <c r="L375" s="3"/>
      <c r="M375" s="3"/>
      <c r="N375" s="3"/>
      <c r="O375" s="3"/>
      <c r="P375" s="3"/>
      <c r="Q375" s="3"/>
      <c r="R375" s="3"/>
      <c r="S375" s="3"/>
      <c r="T375" s="3"/>
      <c r="U375" s="3"/>
      <c r="V375" s="3"/>
      <c r="W375" s="3"/>
      <c r="X375" s="3"/>
      <c r="Y375" s="3"/>
      <c r="Z375" s="3"/>
      <c r="AA375" s="3"/>
      <c r="AB375" s="3"/>
    </row>
    <row r="376" spans="1:28" ht="12.75" customHeight="1" x14ac:dyDescent="0.25">
      <c r="A376" s="61"/>
      <c r="B376" s="61"/>
      <c r="C376" s="61"/>
      <c r="D376" s="61"/>
      <c r="E376" s="61"/>
      <c r="F376" s="61"/>
      <c r="G376" s="3"/>
      <c r="H376" s="3"/>
      <c r="I376" s="3"/>
      <c r="J376" s="3"/>
      <c r="K376" s="3"/>
      <c r="L376" s="3"/>
      <c r="M376" s="3"/>
      <c r="N376" s="3"/>
      <c r="O376" s="3"/>
      <c r="P376" s="3"/>
      <c r="Q376" s="3"/>
      <c r="R376" s="3"/>
      <c r="S376" s="3"/>
      <c r="T376" s="3"/>
      <c r="U376" s="3"/>
      <c r="V376" s="3"/>
      <c r="W376" s="3"/>
      <c r="X376" s="3"/>
      <c r="Y376" s="3"/>
      <c r="Z376" s="3"/>
      <c r="AA376" s="3"/>
      <c r="AB376" s="3"/>
    </row>
    <row r="377" spans="1:28" ht="12.75" customHeight="1" x14ac:dyDescent="0.25">
      <c r="A377" s="61"/>
      <c r="B377" s="61"/>
      <c r="C377" s="61"/>
      <c r="D377" s="61"/>
      <c r="E377" s="61"/>
      <c r="F377" s="61"/>
      <c r="G377" s="3"/>
      <c r="H377" s="3"/>
      <c r="I377" s="3"/>
      <c r="J377" s="3"/>
      <c r="K377" s="3"/>
      <c r="L377" s="3"/>
      <c r="M377" s="3"/>
      <c r="N377" s="3"/>
      <c r="O377" s="3"/>
      <c r="P377" s="3"/>
      <c r="Q377" s="3"/>
      <c r="R377" s="3"/>
      <c r="S377" s="3"/>
      <c r="T377" s="3"/>
      <c r="U377" s="3"/>
      <c r="V377" s="3"/>
      <c r="W377" s="3"/>
      <c r="X377" s="3"/>
      <c r="Y377" s="3"/>
      <c r="Z377" s="3"/>
      <c r="AA377" s="3"/>
      <c r="AB377" s="3"/>
    </row>
    <row r="378" spans="1:28" ht="12.75" customHeight="1" x14ac:dyDescent="0.25">
      <c r="A378" s="61"/>
      <c r="B378" s="61"/>
      <c r="C378" s="61"/>
      <c r="D378" s="61"/>
      <c r="E378" s="61"/>
      <c r="F378" s="61"/>
      <c r="G378" s="3"/>
      <c r="H378" s="3"/>
      <c r="I378" s="3"/>
      <c r="J378" s="3"/>
      <c r="K378" s="3"/>
      <c r="L378" s="3"/>
      <c r="M378" s="3"/>
      <c r="N378" s="3"/>
      <c r="O378" s="3"/>
      <c r="P378" s="3"/>
      <c r="Q378" s="3"/>
      <c r="R378" s="3"/>
      <c r="S378" s="3"/>
      <c r="T378" s="3"/>
      <c r="U378" s="3"/>
      <c r="V378" s="3"/>
      <c r="W378" s="3"/>
      <c r="X378" s="3"/>
      <c r="Y378" s="3"/>
      <c r="Z378" s="3"/>
      <c r="AA378" s="3"/>
      <c r="AB378" s="3"/>
    </row>
    <row r="379" spans="1:28" ht="12.75" customHeight="1" x14ac:dyDescent="0.25">
      <c r="A379" s="61"/>
      <c r="B379" s="61"/>
      <c r="C379" s="61"/>
      <c r="D379" s="61"/>
      <c r="E379" s="61"/>
      <c r="F379" s="61"/>
      <c r="G379" s="3"/>
      <c r="H379" s="3"/>
      <c r="I379" s="3"/>
      <c r="J379" s="3"/>
      <c r="K379" s="3"/>
      <c r="L379" s="3"/>
      <c r="M379" s="3"/>
      <c r="N379" s="3"/>
      <c r="O379" s="3"/>
      <c r="P379" s="3"/>
      <c r="Q379" s="3"/>
      <c r="R379" s="3"/>
      <c r="S379" s="3"/>
      <c r="T379" s="3"/>
      <c r="U379" s="3"/>
      <c r="V379" s="3"/>
      <c r="W379" s="3"/>
      <c r="X379" s="3"/>
      <c r="Y379" s="3"/>
      <c r="Z379" s="3"/>
      <c r="AA379" s="3"/>
      <c r="AB379" s="3"/>
    </row>
    <row r="380" spans="1:28" ht="12.75" customHeight="1" x14ac:dyDescent="0.25">
      <c r="A380" s="61"/>
      <c r="B380" s="61"/>
      <c r="C380" s="61"/>
      <c r="D380" s="61"/>
      <c r="E380" s="61"/>
      <c r="F380" s="61"/>
      <c r="G380" s="3"/>
      <c r="H380" s="3"/>
      <c r="I380" s="3"/>
      <c r="J380" s="3"/>
      <c r="K380" s="3"/>
      <c r="L380" s="3"/>
      <c r="M380" s="3"/>
      <c r="N380" s="3"/>
      <c r="O380" s="3"/>
      <c r="P380" s="3"/>
      <c r="Q380" s="3"/>
      <c r="R380" s="3"/>
      <c r="S380" s="3"/>
      <c r="T380" s="3"/>
      <c r="U380" s="3"/>
      <c r="V380" s="3"/>
      <c r="W380" s="3"/>
      <c r="X380" s="3"/>
      <c r="Y380" s="3"/>
      <c r="Z380" s="3"/>
      <c r="AA380" s="3"/>
      <c r="AB380" s="3"/>
    </row>
    <row r="381" spans="1:28" ht="12.75" customHeight="1" x14ac:dyDescent="0.25">
      <c r="A381" s="61"/>
      <c r="B381" s="61"/>
      <c r="C381" s="61"/>
      <c r="D381" s="61"/>
      <c r="E381" s="61"/>
      <c r="F381" s="61"/>
      <c r="G381" s="3"/>
      <c r="H381" s="3"/>
      <c r="I381" s="3"/>
      <c r="J381" s="3"/>
      <c r="K381" s="3"/>
      <c r="L381" s="3"/>
      <c r="M381" s="3"/>
      <c r="N381" s="3"/>
      <c r="O381" s="3"/>
      <c r="P381" s="3"/>
      <c r="Q381" s="3"/>
      <c r="R381" s="3"/>
      <c r="S381" s="3"/>
      <c r="T381" s="3"/>
      <c r="U381" s="3"/>
      <c r="V381" s="3"/>
      <c r="W381" s="3"/>
      <c r="X381" s="3"/>
      <c r="Y381" s="3"/>
      <c r="Z381" s="3"/>
      <c r="AA381" s="3"/>
      <c r="AB381" s="3"/>
    </row>
    <row r="382" spans="1:28" ht="12.75" customHeight="1" x14ac:dyDescent="0.25">
      <c r="A382" s="61"/>
      <c r="B382" s="61"/>
      <c r="C382" s="61"/>
      <c r="D382" s="61"/>
      <c r="E382" s="61"/>
      <c r="F382" s="61"/>
      <c r="G382" s="3"/>
      <c r="H382" s="3"/>
      <c r="I382" s="3"/>
      <c r="J382" s="3"/>
      <c r="K382" s="3"/>
      <c r="L382" s="3"/>
      <c r="M382" s="3"/>
      <c r="N382" s="3"/>
      <c r="O382" s="3"/>
      <c r="P382" s="3"/>
      <c r="Q382" s="3"/>
      <c r="R382" s="3"/>
      <c r="S382" s="3"/>
      <c r="T382" s="3"/>
      <c r="U382" s="3"/>
      <c r="V382" s="3"/>
      <c r="W382" s="3"/>
      <c r="X382" s="3"/>
      <c r="Y382" s="3"/>
      <c r="Z382" s="3"/>
      <c r="AA382" s="3"/>
      <c r="AB382" s="3"/>
    </row>
    <row r="383" spans="1:28" ht="12.75" customHeight="1" x14ac:dyDescent="0.25">
      <c r="A383" s="61"/>
      <c r="B383" s="61"/>
      <c r="C383" s="61"/>
      <c r="D383" s="61"/>
      <c r="E383" s="61"/>
      <c r="F383" s="61"/>
      <c r="G383" s="3"/>
      <c r="H383" s="3"/>
      <c r="I383" s="3"/>
      <c r="J383" s="3"/>
      <c r="K383" s="3"/>
      <c r="L383" s="3"/>
      <c r="M383" s="3"/>
      <c r="N383" s="3"/>
      <c r="O383" s="3"/>
      <c r="P383" s="3"/>
      <c r="Q383" s="3"/>
      <c r="R383" s="3"/>
      <c r="S383" s="3"/>
      <c r="T383" s="3"/>
      <c r="U383" s="3"/>
      <c r="V383" s="3"/>
      <c r="W383" s="3"/>
      <c r="X383" s="3"/>
      <c r="Y383" s="3"/>
      <c r="Z383" s="3"/>
      <c r="AA383" s="3"/>
      <c r="AB383" s="3"/>
    </row>
    <row r="384" spans="1:28" ht="12.75" customHeight="1" x14ac:dyDescent="0.25">
      <c r="A384" s="61"/>
      <c r="B384" s="61"/>
      <c r="C384" s="61"/>
      <c r="D384" s="61"/>
      <c r="E384" s="61"/>
      <c r="F384" s="61"/>
      <c r="G384" s="3"/>
      <c r="H384" s="3"/>
      <c r="I384" s="3"/>
      <c r="J384" s="3"/>
      <c r="K384" s="3"/>
      <c r="L384" s="3"/>
      <c r="M384" s="3"/>
      <c r="N384" s="3"/>
      <c r="O384" s="3"/>
      <c r="P384" s="3"/>
      <c r="Q384" s="3"/>
      <c r="R384" s="3"/>
      <c r="S384" s="3"/>
      <c r="T384" s="3"/>
      <c r="U384" s="3"/>
      <c r="V384" s="3"/>
      <c r="W384" s="3"/>
      <c r="X384" s="3"/>
      <c r="Y384" s="3"/>
      <c r="Z384" s="3"/>
      <c r="AA384" s="3"/>
      <c r="AB384" s="3"/>
    </row>
    <row r="385" spans="1:28" ht="12.75" customHeight="1" x14ac:dyDescent="0.25">
      <c r="A385" s="61"/>
      <c r="B385" s="61"/>
      <c r="C385" s="61"/>
      <c r="D385" s="61"/>
      <c r="E385" s="61"/>
      <c r="F385" s="61"/>
      <c r="G385" s="3"/>
      <c r="H385" s="3"/>
      <c r="I385" s="3"/>
      <c r="J385" s="3"/>
      <c r="K385" s="3"/>
      <c r="L385" s="3"/>
      <c r="M385" s="3"/>
      <c r="N385" s="3"/>
      <c r="O385" s="3"/>
      <c r="P385" s="3"/>
      <c r="Q385" s="3"/>
      <c r="R385" s="3"/>
      <c r="S385" s="3"/>
      <c r="T385" s="3"/>
      <c r="U385" s="3"/>
      <c r="V385" s="3"/>
      <c r="W385" s="3"/>
      <c r="X385" s="3"/>
      <c r="Y385" s="3"/>
      <c r="Z385" s="3"/>
      <c r="AA385" s="3"/>
      <c r="AB385" s="3"/>
    </row>
    <row r="386" spans="1:28" ht="12.75" customHeight="1" x14ac:dyDescent="0.25">
      <c r="A386" s="61"/>
      <c r="B386" s="61"/>
      <c r="C386" s="61"/>
      <c r="D386" s="61"/>
      <c r="E386" s="61"/>
      <c r="F386" s="61"/>
      <c r="G386" s="3"/>
      <c r="H386" s="3"/>
      <c r="I386" s="3"/>
      <c r="J386" s="3"/>
      <c r="K386" s="3"/>
      <c r="L386" s="3"/>
      <c r="M386" s="3"/>
      <c r="N386" s="3"/>
      <c r="O386" s="3"/>
      <c r="P386" s="3"/>
      <c r="Q386" s="3"/>
      <c r="R386" s="3"/>
      <c r="S386" s="3"/>
      <c r="T386" s="3"/>
      <c r="U386" s="3"/>
      <c r="V386" s="3"/>
      <c r="W386" s="3"/>
      <c r="X386" s="3"/>
      <c r="Y386" s="3"/>
      <c r="Z386" s="3"/>
      <c r="AA386" s="3"/>
      <c r="AB386" s="3"/>
    </row>
    <row r="387" spans="1:28" ht="12.75" customHeight="1" x14ac:dyDescent="0.25">
      <c r="A387" s="61"/>
      <c r="B387" s="61"/>
      <c r="C387" s="61"/>
      <c r="D387" s="61"/>
      <c r="E387" s="61"/>
      <c r="F387" s="61"/>
      <c r="G387" s="3"/>
      <c r="H387" s="3"/>
      <c r="I387" s="3"/>
      <c r="J387" s="3"/>
      <c r="K387" s="3"/>
      <c r="L387" s="3"/>
      <c r="M387" s="3"/>
      <c r="N387" s="3"/>
      <c r="O387" s="3"/>
      <c r="P387" s="3"/>
      <c r="Q387" s="3"/>
      <c r="R387" s="3"/>
      <c r="S387" s="3"/>
      <c r="T387" s="3"/>
      <c r="U387" s="3"/>
      <c r="V387" s="3"/>
      <c r="W387" s="3"/>
      <c r="X387" s="3"/>
      <c r="Y387" s="3"/>
      <c r="Z387" s="3"/>
      <c r="AA387" s="3"/>
      <c r="AB387" s="3"/>
    </row>
    <row r="388" spans="1:28" ht="12.75" customHeight="1" x14ac:dyDescent="0.25">
      <c r="A388" s="61"/>
      <c r="B388" s="61"/>
      <c r="C388" s="61"/>
      <c r="D388" s="61"/>
      <c r="E388" s="61"/>
      <c r="F388" s="61"/>
      <c r="G388" s="3"/>
      <c r="H388" s="3"/>
      <c r="I388" s="3"/>
      <c r="J388" s="3"/>
      <c r="K388" s="3"/>
      <c r="L388" s="3"/>
      <c r="M388" s="3"/>
      <c r="N388" s="3"/>
      <c r="O388" s="3"/>
      <c r="P388" s="3"/>
      <c r="Q388" s="3"/>
      <c r="R388" s="3"/>
      <c r="S388" s="3"/>
      <c r="T388" s="3"/>
      <c r="U388" s="3"/>
      <c r="V388" s="3"/>
      <c r="W388" s="3"/>
      <c r="X388" s="3"/>
      <c r="Y388" s="3"/>
      <c r="Z388" s="3"/>
      <c r="AA388" s="3"/>
      <c r="AB388" s="3"/>
    </row>
    <row r="389" spans="1:28" ht="12.75" customHeight="1" x14ac:dyDescent="0.25">
      <c r="A389" s="61"/>
      <c r="B389" s="61"/>
      <c r="C389" s="61"/>
      <c r="D389" s="61"/>
      <c r="E389" s="61"/>
      <c r="F389" s="61"/>
      <c r="G389" s="3"/>
      <c r="H389" s="3"/>
      <c r="I389" s="3"/>
      <c r="J389" s="3"/>
      <c r="K389" s="3"/>
      <c r="L389" s="3"/>
      <c r="M389" s="3"/>
      <c r="N389" s="3"/>
      <c r="O389" s="3"/>
      <c r="P389" s="3"/>
      <c r="Q389" s="3"/>
      <c r="R389" s="3"/>
      <c r="S389" s="3"/>
      <c r="T389" s="3"/>
      <c r="U389" s="3"/>
      <c r="V389" s="3"/>
      <c r="W389" s="3"/>
      <c r="X389" s="3"/>
      <c r="Y389" s="3"/>
      <c r="Z389" s="3"/>
      <c r="AA389" s="3"/>
      <c r="AB389" s="3"/>
    </row>
    <row r="390" spans="1:28" ht="12.75" customHeight="1" x14ac:dyDescent="0.25">
      <c r="A390" s="61"/>
      <c r="B390" s="61"/>
      <c r="C390" s="61"/>
      <c r="D390" s="61"/>
      <c r="E390" s="61"/>
      <c r="F390" s="61"/>
      <c r="G390" s="3"/>
      <c r="H390" s="3"/>
      <c r="I390" s="3"/>
      <c r="J390" s="3"/>
      <c r="K390" s="3"/>
      <c r="L390" s="3"/>
      <c r="M390" s="3"/>
      <c r="N390" s="3"/>
      <c r="O390" s="3"/>
      <c r="P390" s="3"/>
      <c r="Q390" s="3"/>
      <c r="R390" s="3"/>
      <c r="S390" s="3"/>
      <c r="T390" s="3"/>
      <c r="U390" s="3"/>
      <c r="V390" s="3"/>
      <c r="W390" s="3"/>
      <c r="X390" s="3"/>
      <c r="Y390" s="3"/>
      <c r="Z390" s="3"/>
      <c r="AA390" s="3"/>
      <c r="AB390" s="3"/>
    </row>
    <row r="391" spans="1:28" ht="12.75" customHeight="1" x14ac:dyDescent="0.25">
      <c r="A391" s="61"/>
      <c r="B391" s="61"/>
      <c r="C391" s="61"/>
      <c r="D391" s="61"/>
      <c r="E391" s="61"/>
      <c r="F391" s="61"/>
      <c r="G391" s="3"/>
      <c r="H391" s="3"/>
      <c r="I391" s="3"/>
      <c r="J391" s="3"/>
      <c r="K391" s="3"/>
      <c r="L391" s="3"/>
      <c r="M391" s="3"/>
      <c r="N391" s="3"/>
      <c r="O391" s="3"/>
      <c r="P391" s="3"/>
      <c r="Q391" s="3"/>
      <c r="R391" s="3"/>
      <c r="S391" s="3"/>
      <c r="T391" s="3"/>
      <c r="U391" s="3"/>
      <c r="V391" s="3"/>
      <c r="W391" s="3"/>
      <c r="X391" s="3"/>
      <c r="Y391" s="3"/>
      <c r="Z391" s="3"/>
      <c r="AA391" s="3"/>
      <c r="AB391" s="3"/>
    </row>
    <row r="392" spans="1:28" ht="12.75" customHeight="1" x14ac:dyDescent="0.25">
      <c r="A392" s="61"/>
      <c r="B392" s="61"/>
      <c r="C392" s="61"/>
      <c r="D392" s="61"/>
      <c r="E392" s="61"/>
      <c r="F392" s="61"/>
      <c r="G392" s="3"/>
      <c r="H392" s="3"/>
      <c r="I392" s="3"/>
      <c r="J392" s="3"/>
      <c r="K392" s="3"/>
      <c r="L392" s="3"/>
      <c r="M392" s="3"/>
      <c r="N392" s="3"/>
      <c r="O392" s="3"/>
      <c r="P392" s="3"/>
      <c r="Q392" s="3"/>
      <c r="R392" s="3"/>
      <c r="S392" s="3"/>
      <c r="T392" s="3"/>
      <c r="U392" s="3"/>
      <c r="V392" s="3"/>
      <c r="W392" s="3"/>
      <c r="X392" s="3"/>
      <c r="Y392" s="3"/>
      <c r="Z392" s="3"/>
      <c r="AA392" s="3"/>
      <c r="AB392" s="3"/>
    </row>
    <row r="393" spans="1:28" ht="12.75" customHeight="1" x14ac:dyDescent="0.25">
      <c r="A393" s="61"/>
      <c r="B393" s="61"/>
      <c r="C393" s="61"/>
      <c r="D393" s="61"/>
      <c r="E393" s="61"/>
      <c r="F393" s="61"/>
      <c r="G393" s="3"/>
      <c r="H393" s="3"/>
      <c r="I393" s="3"/>
      <c r="J393" s="3"/>
      <c r="K393" s="3"/>
      <c r="L393" s="3"/>
      <c r="M393" s="3"/>
      <c r="N393" s="3"/>
      <c r="O393" s="3"/>
      <c r="P393" s="3"/>
      <c r="Q393" s="3"/>
      <c r="R393" s="3"/>
      <c r="S393" s="3"/>
      <c r="T393" s="3"/>
      <c r="U393" s="3"/>
      <c r="V393" s="3"/>
      <c r="W393" s="3"/>
      <c r="X393" s="3"/>
      <c r="Y393" s="3"/>
      <c r="Z393" s="3"/>
      <c r="AA393" s="3"/>
      <c r="AB393" s="3"/>
    </row>
    <row r="394" spans="1:28" ht="12.75" customHeight="1" x14ac:dyDescent="0.25">
      <c r="A394" s="61"/>
      <c r="B394" s="61"/>
      <c r="C394" s="61"/>
      <c r="D394" s="61"/>
      <c r="E394" s="61"/>
      <c r="F394" s="61"/>
      <c r="G394" s="3"/>
      <c r="H394" s="3"/>
      <c r="I394" s="3"/>
      <c r="J394" s="3"/>
      <c r="K394" s="3"/>
      <c r="L394" s="3"/>
      <c r="M394" s="3"/>
      <c r="N394" s="3"/>
      <c r="O394" s="3"/>
      <c r="P394" s="3"/>
      <c r="Q394" s="3"/>
      <c r="R394" s="3"/>
      <c r="S394" s="3"/>
      <c r="T394" s="3"/>
      <c r="U394" s="3"/>
      <c r="V394" s="3"/>
      <c r="W394" s="3"/>
      <c r="X394" s="3"/>
      <c r="Y394" s="3"/>
      <c r="Z394" s="3"/>
      <c r="AA394" s="3"/>
      <c r="AB394" s="3"/>
    </row>
    <row r="395" spans="1:28" ht="12.75" customHeight="1" x14ac:dyDescent="0.25">
      <c r="A395" s="61"/>
      <c r="B395" s="61"/>
      <c r="C395" s="61"/>
      <c r="D395" s="61"/>
      <c r="E395" s="61"/>
      <c r="F395" s="61"/>
      <c r="G395" s="3"/>
      <c r="H395" s="3"/>
      <c r="I395" s="3"/>
      <c r="J395" s="3"/>
      <c r="K395" s="3"/>
      <c r="L395" s="3"/>
      <c r="M395" s="3"/>
      <c r="N395" s="3"/>
      <c r="O395" s="3"/>
      <c r="P395" s="3"/>
      <c r="Q395" s="3"/>
      <c r="R395" s="3"/>
      <c r="S395" s="3"/>
      <c r="T395" s="3"/>
      <c r="U395" s="3"/>
      <c r="V395" s="3"/>
      <c r="W395" s="3"/>
      <c r="X395" s="3"/>
      <c r="Y395" s="3"/>
      <c r="Z395" s="3"/>
      <c r="AA395" s="3"/>
      <c r="AB395" s="3"/>
    </row>
    <row r="396" spans="1:28" ht="12.75" customHeight="1" x14ac:dyDescent="0.25">
      <c r="A396" s="61"/>
      <c r="B396" s="61"/>
      <c r="C396" s="61"/>
      <c r="D396" s="61"/>
      <c r="E396" s="61"/>
      <c r="F396" s="61"/>
      <c r="G396" s="3"/>
      <c r="H396" s="3"/>
      <c r="I396" s="3"/>
      <c r="J396" s="3"/>
      <c r="K396" s="3"/>
      <c r="L396" s="3"/>
      <c r="M396" s="3"/>
      <c r="N396" s="3"/>
      <c r="O396" s="3"/>
      <c r="P396" s="3"/>
      <c r="Q396" s="3"/>
      <c r="R396" s="3"/>
      <c r="S396" s="3"/>
      <c r="T396" s="3"/>
      <c r="U396" s="3"/>
      <c r="V396" s="3"/>
      <c r="W396" s="3"/>
      <c r="X396" s="3"/>
      <c r="Y396" s="3"/>
      <c r="Z396" s="3"/>
      <c r="AA396" s="3"/>
      <c r="AB396" s="3"/>
    </row>
    <row r="397" spans="1:28" ht="12.75" customHeight="1" x14ac:dyDescent="0.25">
      <c r="A397" s="61"/>
      <c r="B397" s="61"/>
      <c r="C397" s="61"/>
      <c r="D397" s="61"/>
      <c r="E397" s="61"/>
      <c r="F397" s="61"/>
      <c r="G397" s="3"/>
      <c r="H397" s="3"/>
      <c r="I397" s="3"/>
      <c r="J397" s="3"/>
      <c r="K397" s="3"/>
      <c r="L397" s="3"/>
      <c r="M397" s="3"/>
      <c r="N397" s="3"/>
      <c r="O397" s="3"/>
      <c r="P397" s="3"/>
      <c r="Q397" s="3"/>
      <c r="R397" s="3"/>
      <c r="S397" s="3"/>
      <c r="T397" s="3"/>
      <c r="U397" s="3"/>
      <c r="V397" s="3"/>
      <c r="W397" s="3"/>
      <c r="X397" s="3"/>
      <c r="Y397" s="3"/>
      <c r="Z397" s="3"/>
      <c r="AA397" s="3"/>
      <c r="AB397" s="3"/>
    </row>
    <row r="398" spans="1:28" ht="12.75" customHeight="1" x14ac:dyDescent="0.25">
      <c r="A398" s="61"/>
      <c r="B398" s="61"/>
      <c r="C398" s="61"/>
      <c r="D398" s="61"/>
      <c r="E398" s="61"/>
      <c r="F398" s="61"/>
      <c r="G398" s="3"/>
      <c r="H398" s="3"/>
      <c r="I398" s="3"/>
      <c r="J398" s="3"/>
      <c r="K398" s="3"/>
      <c r="L398" s="3"/>
      <c r="M398" s="3"/>
      <c r="N398" s="3"/>
      <c r="O398" s="3"/>
      <c r="P398" s="3"/>
      <c r="Q398" s="3"/>
      <c r="R398" s="3"/>
      <c r="S398" s="3"/>
      <c r="T398" s="3"/>
      <c r="U398" s="3"/>
      <c r="V398" s="3"/>
      <c r="W398" s="3"/>
      <c r="X398" s="3"/>
      <c r="Y398" s="3"/>
      <c r="Z398" s="3"/>
      <c r="AA398" s="3"/>
      <c r="AB398" s="3"/>
    </row>
    <row r="399" spans="1:28" ht="12.75" customHeight="1" x14ac:dyDescent="0.25">
      <c r="A399" s="61"/>
      <c r="B399" s="61"/>
      <c r="C399" s="61"/>
      <c r="D399" s="61"/>
      <c r="E399" s="61"/>
      <c r="F399" s="61"/>
      <c r="G399" s="3"/>
      <c r="H399" s="3"/>
      <c r="I399" s="3"/>
      <c r="J399" s="3"/>
      <c r="K399" s="3"/>
      <c r="L399" s="3"/>
      <c r="M399" s="3"/>
      <c r="N399" s="3"/>
      <c r="O399" s="3"/>
      <c r="P399" s="3"/>
      <c r="Q399" s="3"/>
      <c r="R399" s="3"/>
      <c r="S399" s="3"/>
      <c r="T399" s="3"/>
      <c r="U399" s="3"/>
      <c r="V399" s="3"/>
      <c r="W399" s="3"/>
      <c r="X399" s="3"/>
      <c r="Y399" s="3"/>
      <c r="Z399" s="3"/>
      <c r="AA399" s="3"/>
      <c r="AB399" s="3"/>
    </row>
    <row r="400" spans="1:28" ht="12.75" customHeight="1" x14ac:dyDescent="0.25">
      <c r="A400" s="61"/>
      <c r="B400" s="61"/>
      <c r="C400" s="61"/>
      <c r="D400" s="61"/>
      <c r="E400" s="61"/>
      <c r="F400" s="61"/>
      <c r="G400" s="3"/>
      <c r="H400" s="3"/>
      <c r="I400" s="3"/>
      <c r="J400" s="3"/>
      <c r="K400" s="3"/>
      <c r="L400" s="3"/>
      <c r="M400" s="3"/>
      <c r="N400" s="3"/>
      <c r="O400" s="3"/>
      <c r="P400" s="3"/>
      <c r="Q400" s="3"/>
      <c r="R400" s="3"/>
      <c r="S400" s="3"/>
      <c r="T400" s="3"/>
      <c r="U400" s="3"/>
      <c r="V400" s="3"/>
      <c r="W400" s="3"/>
      <c r="X400" s="3"/>
      <c r="Y400" s="3"/>
      <c r="Z400" s="3"/>
      <c r="AA400" s="3"/>
      <c r="AB400" s="3"/>
    </row>
    <row r="401" spans="1:28" ht="12.75" customHeight="1" x14ac:dyDescent="0.25">
      <c r="A401" s="61"/>
      <c r="B401" s="61"/>
      <c r="C401" s="61"/>
      <c r="D401" s="61"/>
      <c r="E401" s="61"/>
      <c r="F401" s="61"/>
      <c r="G401" s="3"/>
      <c r="H401" s="3"/>
      <c r="I401" s="3"/>
      <c r="J401" s="3"/>
      <c r="K401" s="3"/>
      <c r="L401" s="3"/>
      <c r="M401" s="3"/>
      <c r="N401" s="3"/>
      <c r="O401" s="3"/>
      <c r="P401" s="3"/>
      <c r="Q401" s="3"/>
      <c r="R401" s="3"/>
      <c r="S401" s="3"/>
      <c r="T401" s="3"/>
      <c r="U401" s="3"/>
      <c r="V401" s="3"/>
      <c r="W401" s="3"/>
      <c r="X401" s="3"/>
      <c r="Y401" s="3"/>
      <c r="Z401" s="3"/>
      <c r="AA401" s="3"/>
      <c r="AB401" s="3"/>
    </row>
    <row r="402" spans="1:28" ht="12.75" customHeight="1" x14ac:dyDescent="0.25">
      <c r="A402" s="61"/>
      <c r="B402" s="61"/>
      <c r="C402" s="61"/>
      <c r="D402" s="61"/>
      <c r="E402" s="61"/>
      <c r="F402" s="61"/>
      <c r="G402" s="3"/>
      <c r="H402" s="3"/>
      <c r="I402" s="3"/>
      <c r="J402" s="3"/>
      <c r="K402" s="3"/>
      <c r="L402" s="3"/>
      <c r="M402" s="3"/>
      <c r="N402" s="3"/>
      <c r="O402" s="3"/>
      <c r="P402" s="3"/>
      <c r="Q402" s="3"/>
      <c r="R402" s="3"/>
      <c r="S402" s="3"/>
      <c r="T402" s="3"/>
      <c r="U402" s="3"/>
      <c r="V402" s="3"/>
      <c r="W402" s="3"/>
      <c r="X402" s="3"/>
      <c r="Y402" s="3"/>
      <c r="Z402" s="3"/>
      <c r="AA402" s="3"/>
      <c r="AB402" s="3"/>
    </row>
    <row r="403" spans="1:28" ht="12.75" customHeight="1" x14ac:dyDescent="0.25">
      <c r="A403" s="61"/>
      <c r="B403" s="61"/>
      <c r="C403" s="61"/>
      <c r="D403" s="61"/>
      <c r="E403" s="61"/>
      <c r="F403" s="61"/>
      <c r="G403" s="3"/>
      <c r="H403" s="3"/>
      <c r="I403" s="3"/>
      <c r="J403" s="3"/>
      <c r="K403" s="3"/>
      <c r="L403" s="3"/>
      <c r="M403" s="3"/>
      <c r="N403" s="3"/>
      <c r="O403" s="3"/>
      <c r="P403" s="3"/>
      <c r="Q403" s="3"/>
      <c r="R403" s="3"/>
      <c r="S403" s="3"/>
      <c r="T403" s="3"/>
      <c r="U403" s="3"/>
      <c r="V403" s="3"/>
      <c r="W403" s="3"/>
      <c r="X403" s="3"/>
      <c r="Y403" s="3"/>
      <c r="Z403" s="3"/>
      <c r="AA403" s="3"/>
      <c r="AB403" s="3"/>
    </row>
    <row r="404" spans="1:28" ht="12.75" customHeight="1" x14ac:dyDescent="0.25">
      <c r="A404" s="61"/>
      <c r="B404" s="61"/>
      <c r="C404" s="61"/>
      <c r="D404" s="61"/>
      <c r="E404" s="61"/>
      <c r="F404" s="61"/>
      <c r="G404" s="3"/>
      <c r="H404" s="3"/>
      <c r="I404" s="3"/>
      <c r="J404" s="3"/>
      <c r="K404" s="3"/>
      <c r="L404" s="3"/>
      <c r="M404" s="3"/>
      <c r="N404" s="3"/>
      <c r="O404" s="3"/>
      <c r="P404" s="3"/>
      <c r="Q404" s="3"/>
      <c r="R404" s="3"/>
      <c r="S404" s="3"/>
      <c r="T404" s="3"/>
      <c r="U404" s="3"/>
      <c r="V404" s="3"/>
      <c r="W404" s="3"/>
      <c r="X404" s="3"/>
      <c r="Y404" s="3"/>
      <c r="Z404" s="3"/>
      <c r="AA404" s="3"/>
      <c r="AB404" s="3"/>
    </row>
    <row r="405" spans="1:28" ht="12.75" customHeight="1" x14ac:dyDescent="0.25">
      <c r="A405" s="61"/>
      <c r="B405" s="61"/>
      <c r="C405" s="61"/>
      <c r="D405" s="61"/>
      <c r="E405" s="61"/>
      <c r="F405" s="61"/>
      <c r="G405" s="3"/>
      <c r="H405" s="3"/>
      <c r="I405" s="3"/>
      <c r="J405" s="3"/>
      <c r="K405" s="3"/>
      <c r="L405" s="3"/>
      <c r="M405" s="3"/>
      <c r="N405" s="3"/>
      <c r="O405" s="3"/>
      <c r="P405" s="3"/>
      <c r="Q405" s="3"/>
      <c r="R405" s="3"/>
      <c r="S405" s="3"/>
      <c r="T405" s="3"/>
      <c r="U405" s="3"/>
      <c r="V405" s="3"/>
      <c r="W405" s="3"/>
      <c r="X405" s="3"/>
      <c r="Y405" s="3"/>
      <c r="Z405" s="3"/>
      <c r="AA405" s="3"/>
      <c r="AB405" s="3"/>
    </row>
    <row r="406" spans="1:28" ht="12.75" customHeight="1" x14ac:dyDescent="0.25">
      <c r="A406" s="61"/>
      <c r="B406" s="61"/>
      <c r="C406" s="61"/>
      <c r="D406" s="61"/>
      <c r="E406" s="61"/>
      <c r="F406" s="61"/>
      <c r="G406" s="3"/>
      <c r="H406" s="3"/>
      <c r="I406" s="3"/>
      <c r="J406" s="3"/>
      <c r="K406" s="3"/>
      <c r="L406" s="3"/>
      <c r="M406" s="3"/>
      <c r="N406" s="3"/>
      <c r="O406" s="3"/>
      <c r="P406" s="3"/>
      <c r="Q406" s="3"/>
      <c r="R406" s="3"/>
      <c r="S406" s="3"/>
      <c r="T406" s="3"/>
      <c r="U406" s="3"/>
      <c r="V406" s="3"/>
      <c r="W406" s="3"/>
      <c r="X406" s="3"/>
      <c r="Y406" s="3"/>
      <c r="Z406" s="3"/>
      <c r="AA406" s="3"/>
      <c r="AB406" s="3"/>
    </row>
    <row r="407" spans="1:28" ht="12.75" customHeight="1" x14ac:dyDescent="0.25">
      <c r="A407" s="61"/>
      <c r="B407" s="61"/>
      <c r="C407" s="61"/>
      <c r="D407" s="61"/>
      <c r="E407" s="61"/>
      <c r="F407" s="61"/>
      <c r="G407" s="3"/>
      <c r="H407" s="3"/>
      <c r="I407" s="3"/>
      <c r="J407" s="3"/>
      <c r="K407" s="3"/>
      <c r="L407" s="3"/>
      <c r="M407" s="3"/>
      <c r="N407" s="3"/>
      <c r="O407" s="3"/>
      <c r="P407" s="3"/>
      <c r="Q407" s="3"/>
      <c r="R407" s="3"/>
      <c r="S407" s="3"/>
      <c r="T407" s="3"/>
      <c r="U407" s="3"/>
      <c r="V407" s="3"/>
      <c r="W407" s="3"/>
      <c r="X407" s="3"/>
      <c r="Y407" s="3"/>
      <c r="Z407" s="3"/>
      <c r="AA407" s="3"/>
      <c r="AB407" s="3"/>
    </row>
    <row r="408" spans="1:28" ht="12.75" customHeight="1" x14ac:dyDescent="0.25">
      <c r="A408" s="61"/>
      <c r="B408" s="61"/>
      <c r="C408" s="61"/>
      <c r="D408" s="61"/>
      <c r="E408" s="61"/>
      <c r="F408" s="61"/>
      <c r="G408" s="3"/>
      <c r="H408" s="3"/>
      <c r="I408" s="3"/>
      <c r="J408" s="3"/>
      <c r="K408" s="3"/>
      <c r="L408" s="3"/>
      <c r="M408" s="3"/>
      <c r="N408" s="3"/>
      <c r="O408" s="3"/>
      <c r="P408" s="3"/>
      <c r="Q408" s="3"/>
      <c r="R408" s="3"/>
      <c r="S408" s="3"/>
      <c r="T408" s="3"/>
      <c r="U408" s="3"/>
      <c r="V408" s="3"/>
      <c r="W408" s="3"/>
      <c r="X408" s="3"/>
      <c r="Y408" s="3"/>
      <c r="Z408" s="3"/>
      <c r="AA408" s="3"/>
      <c r="AB408" s="3"/>
    </row>
    <row r="409" spans="1:28" ht="12.75" customHeight="1" x14ac:dyDescent="0.25">
      <c r="A409" s="61"/>
      <c r="B409" s="61"/>
      <c r="C409" s="61"/>
      <c r="D409" s="61"/>
      <c r="E409" s="61"/>
      <c r="F409" s="61"/>
      <c r="G409" s="3"/>
      <c r="H409" s="3"/>
      <c r="I409" s="3"/>
      <c r="J409" s="3"/>
      <c r="K409" s="3"/>
      <c r="L409" s="3"/>
      <c r="M409" s="3"/>
      <c r="N409" s="3"/>
      <c r="O409" s="3"/>
      <c r="P409" s="3"/>
      <c r="Q409" s="3"/>
      <c r="R409" s="3"/>
      <c r="S409" s="3"/>
      <c r="T409" s="3"/>
      <c r="U409" s="3"/>
      <c r="V409" s="3"/>
      <c r="W409" s="3"/>
      <c r="X409" s="3"/>
      <c r="Y409" s="3"/>
      <c r="Z409" s="3"/>
      <c r="AA409" s="3"/>
      <c r="AB409" s="3"/>
    </row>
    <row r="410" spans="1:28" ht="12.75" customHeight="1" x14ac:dyDescent="0.25">
      <c r="A410" s="61"/>
      <c r="B410" s="61"/>
      <c r="C410" s="61"/>
      <c r="D410" s="61"/>
      <c r="E410" s="61"/>
      <c r="F410" s="61"/>
      <c r="G410" s="3"/>
      <c r="H410" s="3"/>
      <c r="I410" s="3"/>
      <c r="J410" s="3"/>
      <c r="K410" s="3"/>
      <c r="L410" s="3"/>
      <c r="M410" s="3"/>
      <c r="N410" s="3"/>
      <c r="O410" s="3"/>
      <c r="P410" s="3"/>
      <c r="Q410" s="3"/>
      <c r="R410" s="3"/>
      <c r="S410" s="3"/>
      <c r="T410" s="3"/>
      <c r="U410" s="3"/>
      <c r="V410" s="3"/>
      <c r="W410" s="3"/>
      <c r="X410" s="3"/>
      <c r="Y410" s="3"/>
      <c r="Z410" s="3"/>
      <c r="AA410" s="3"/>
      <c r="AB410" s="3"/>
    </row>
    <row r="411" spans="1:28" ht="12.75" customHeight="1" x14ac:dyDescent="0.25">
      <c r="A411" s="61"/>
      <c r="B411" s="61"/>
      <c r="C411" s="61"/>
      <c r="D411" s="61"/>
      <c r="E411" s="61"/>
      <c r="F411" s="61"/>
      <c r="G411" s="3"/>
      <c r="H411" s="3"/>
      <c r="I411" s="3"/>
      <c r="J411" s="3"/>
      <c r="K411" s="3"/>
      <c r="L411" s="3"/>
      <c r="M411" s="3"/>
      <c r="N411" s="3"/>
      <c r="O411" s="3"/>
      <c r="P411" s="3"/>
      <c r="Q411" s="3"/>
      <c r="R411" s="3"/>
      <c r="S411" s="3"/>
      <c r="T411" s="3"/>
      <c r="U411" s="3"/>
      <c r="V411" s="3"/>
      <c r="W411" s="3"/>
      <c r="X411" s="3"/>
      <c r="Y411" s="3"/>
      <c r="Z411" s="3"/>
      <c r="AA411" s="3"/>
      <c r="AB411" s="3"/>
    </row>
    <row r="412" spans="1:28" ht="12.75" customHeight="1" x14ac:dyDescent="0.25">
      <c r="A412" s="61"/>
      <c r="B412" s="61"/>
      <c r="C412" s="61"/>
      <c r="D412" s="61"/>
      <c r="E412" s="61"/>
      <c r="F412" s="61"/>
      <c r="G412" s="3"/>
      <c r="H412" s="3"/>
      <c r="I412" s="3"/>
      <c r="J412" s="3"/>
      <c r="K412" s="3"/>
      <c r="L412" s="3"/>
      <c r="M412" s="3"/>
      <c r="N412" s="3"/>
      <c r="O412" s="3"/>
      <c r="P412" s="3"/>
      <c r="Q412" s="3"/>
      <c r="R412" s="3"/>
      <c r="S412" s="3"/>
      <c r="T412" s="3"/>
      <c r="U412" s="3"/>
      <c r="V412" s="3"/>
      <c r="W412" s="3"/>
      <c r="X412" s="3"/>
      <c r="Y412" s="3"/>
      <c r="Z412" s="3"/>
      <c r="AA412" s="3"/>
      <c r="AB412" s="3"/>
    </row>
    <row r="413" spans="1:28" ht="12.75" customHeight="1" x14ac:dyDescent="0.25">
      <c r="A413" s="61"/>
      <c r="B413" s="61"/>
      <c r="C413" s="61"/>
      <c r="D413" s="61"/>
      <c r="E413" s="61"/>
      <c r="F413" s="61"/>
      <c r="G413" s="3"/>
      <c r="H413" s="3"/>
      <c r="I413" s="3"/>
      <c r="J413" s="3"/>
      <c r="K413" s="3"/>
      <c r="L413" s="3"/>
      <c r="M413" s="3"/>
      <c r="N413" s="3"/>
      <c r="O413" s="3"/>
      <c r="P413" s="3"/>
      <c r="Q413" s="3"/>
      <c r="R413" s="3"/>
      <c r="S413" s="3"/>
      <c r="T413" s="3"/>
      <c r="U413" s="3"/>
      <c r="V413" s="3"/>
      <c r="W413" s="3"/>
      <c r="X413" s="3"/>
      <c r="Y413" s="3"/>
      <c r="Z413" s="3"/>
      <c r="AA413" s="3"/>
      <c r="AB413" s="3"/>
    </row>
    <row r="414" spans="1:28" ht="12.75" customHeight="1" x14ac:dyDescent="0.25">
      <c r="A414" s="61"/>
      <c r="B414" s="61"/>
      <c r="C414" s="61"/>
      <c r="D414" s="61"/>
      <c r="E414" s="61"/>
      <c r="F414" s="61"/>
      <c r="G414" s="3"/>
      <c r="H414" s="3"/>
      <c r="I414" s="3"/>
      <c r="J414" s="3"/>
      <c r="K414" s="3"/>
      <c r="L414" s="3"/>
      <c r="M414" s="3"/>
      <c r="N414" s="3"/>
      <c r="O414" s="3"/>
      <c r="P414" s="3"/>
      <c r="Q414" s="3"/>
      <c r="R414" s="3"/>
      <c r="S414" s="3"/>
      <c r="T414" s="3"/>
      <c r="U414" s="3"/>
      <c r="V414" s="3"/>
      <c r="W414" s="3"/>
      <c r="X414" s="3"/>
      <c r="Y414" s="3"/>
      <c r="Z414" s="3"/>
      <c r="AA414" s="3"/>
      <c r="AB414" s="3"/>
    </row>
    <row r="415" spans="1:28" ht="12.75" customHeight="1" x14ac:dyDescent="0.25">
      <c r="A415" s="61"/>
      <c r="B415" s="61"/>
      <c r="C415" s="61"/>
      <c r="D415" s="61"/>
      <c r="E415" s="61"/>
      <c r="F415" s="61"/>
      <c r="G415" s="3"/>
      <c r="H415" s="3"/>
      <c r="I415" s="3"/>
      <c r="J415" s="3"/>
      <c r="K415" s="3"/>
      <c r="L415" s="3"/>
      <c r="M415" s="3"/>
      <c r="N415" s="3"/>
      <c r="O415" s="3"/>
      <c r="P415" s="3"/>
      <c r="Q415" s="3"/>
      <c r="R415" s="3"/>
      <c r="S415" s="3"/>
      <c r="T415" s="3"/>
      <c r="U415" s="3"/>
      <c r="V415" s="3"/>
      <c r="W415" s="3"/>
      <c r="X415" s="3"/>
      <c r="Y415" s="3"/>
      <c r="Z415" s="3"/>
      <c r="AA415" s="3"/>
      <c r="AB415" s="3"/>
    </row>
    <row r="416" spans="1:28" ht="12.75" customHeight="1" x14ac:dyDescent="0.25">
      <c r="A416" s="61"/>
      <c r="B416" s="61"/>
      <c r="C416" s="61"/>
      <c r="D416" s="61"/>
      <c r="E416" s="61"/>
      <c r="F416" s="61"/>
      <c r="G416" s="3"/>
      <c r="H416" s="3"/>
      <c r="I416" s="3"/>
      <c r="J416" s="3"/>
      <c r="K416" s="3"/>
      <c r="L416" s="3"/>
      <c r="M416" s="3"/>
      <c r="N416" s="3"/>
      <c r="O416" s="3"/>
      <c r="P416" s="3"/>
      <c r="Q416" s="3"/>
      <c r="R416" s="3"/>
      <c r="S416" s="3"/>
      <c r="T416" s="3"/>
      <c r="U416" s="3"/>
      <c r="V416" s="3"/>
      <c r="W416" s="3"/>
      <c r="X416" s="3"/>
      <c r="Y416" s="3"/>
      <c r="Z416" s="3"/>
      <c r="AA416" s="3"/>
      <c r="AB416" s="3"/>
    </row>
    <row r="417" spans="1:28" ht="12.75" customHeight="1" x14ac:dyDescent="0.25">
      <c r="A417" s="61"/>
      <c r="B417" s="61"/>
      <c r="C417" s="61"/>
      <c r="D417" s="61"/>
      <c r="E417" s="61"/>
      <c r="F417" s="61"/>
      <c r="G417" s="3"/>
      <c r="H417" s="3"/>
      <c r="I417" s="3"/>
      <c r="J417" s="3"/>
      <c r="K417" s="3"/>
      <c r="L417" s="3"/>
      <c r="M417" s="3"/>
      <c r="N417" s="3"/>
      <c r="O417" s="3"/>
      <c r="P417" s="3"/>
      <c r="Q417" s="3"/>
      <c r="R417" s="3"/>
      <c r="S417" s="3"/>
      <c r="T417" s="3"/>
      <c r="U417" s="3"/>
      <c r="V417" s="3"/>
      <c r="W417" s="3"/>
      <c r="X417" s="3"/>
      <c r="Y417" s="3"/>
      <c r="Z417" s="3"/>
      <c r="AA417" s="3"/>
      <c r="AB417" s="3"/>
    </row>
    <row r="418" spans="1:28" ht="12.75" customHeight="1" x14ac:dyDescent="0.25">
      <c r="A418" s="61"/>
      <c r="B418" s="61"/>
      <c r="C418" s="61"/>
      <c r="D418" s="61"/>
      <c r="E418" s="61"/>
      <c r="F418" s="61"/>
      <c r="G418" s="3"/>
      <c r="H418" s="3"/>
      <c r="I418" s="3"/>
      <c r="J418" s="3"/>
      <c r="K418" s="3"/>
      <c r="L418" s="3"/>
      <c r="M418" s="3"/>
      <c r="N418" s="3"/>
      <c r="O418" s="3"/>
      <c r="P418" s="3"/>
      <c r="Q418" s="3"/>
      <c r="R418" s="3"/>
      <c r="S418" s="3"/>
      <c r="T418" s="3"/>
      <c r="U418" s="3"/>
      <c r="V418" s="3"/>
      <c r="W418" s="3"/>
      <c r="X418" s="3"/>
      <c r="Y418" s="3"/>
      <c r="Z418" s="3"/>
      <c r="AA418" s="3"/>
      <c r="AB418" s="3"/>
    </row>
    <row r="419" spans="1:28" ht="12.75" customHeight="1" x14ac:dyDescent="0.25">
      <c r="A419" s="61"/>
      <c r="B419" s="61"/>
      <c r="C419" s="61"/>
      <c r="D419" s="61"/>
      <c r="E419" s="61"/>
      <c r="F419" s="61"/>
      <c r="G419" s="3"/>
      <c r="H419" s="3"/>
      <c r="I419" s="3"/>
      <c r="J419" s="3"/>
      <c r="K419" s="3"/>
      <c r="L419" s="3"/>
      <c r="M419" s="3"/>
      <c r="N419" s="3"/>
      <c r="O419" s="3"/>
      <c r="P419" s="3"/>
      <c r="Q419" s="3"/>
      <c r="R419" s="3"/>
      <c r="S419" s="3"/>
      <c r="T419" s="3"/>
      <c r="U419" s="3"/>
      <c r="V419" s="3"/>
      <c r="W419" s="3"/>
      <c r="X419" s="3"/>
      <c r="Y419" s="3"/>
      <c r="Z419" s="3"/>
      <c r="AA419" s="3"/>
      <c r="AB419" s="3"/>
    </row>
    <row r="420" spans="1:28" ht="12.75" customHeight="1" x14ac:dyDescent="0.25">
      <c r="A420" s="61"/>
      <c r="B420" s="61"/>
      <c r="C420" s="61"/>
      <c r="D420" s="61"/>
      <c r="E420" s="61"/>
      <c r="F420" s="61"/>
      <c r="G420" s="3"/>
      <c r="H420" s="3"/>
      <c r="I420" s="3"/>
      <c r="J420" s="3"/>
      <c r="K420" s="3"/>
      <c r="L420" s="3"/>
      <c r="M420" s="3"/>
      <c r="N420" s="3"/>
      <c r="O420" s="3"/>
      <c r="P420" s="3"/>
      <c r="Q420" s="3"/>
      <c r="R420" s="3"/>
      <c r="S420" s="3"/>
      <c r="T420" s="3"/>
      <c r="U420" s="3"/>
      <c r="V420" s="3"/>
      <c r="W420" s="3"/>
      <c r="X420" s="3"/>
      <c r="Y420" s="3"/>
      <c r="Z420" s="3"/>
      <c r="AA420" s="3"/>
      <c r="AB420" s="3"/>
    </row>
    <row r="421" spans="1:28" ht="12.75" customHeight="1" x14ac:dyDescent="0.25">
      <c r="A421" s="61"/>
      <c r="B421" s="61"/>
      <c r="C421" s="61"/>
      <c r="D421" s="61"/>
      <c r="E421" s="61"/>
      <c r="F421" s="61"/>
      <c r="G421" s="3"/>
      <c r="H421" s="3"/>
      <c r="I421" s="3"/>
      <c r="J421" s="3"/>
      <c r="K421" s="3"/>
      <c r="L421" s="3"/>
      <c r="M421" s="3"/>
      <c r="N421" s="3"/>
      <c r="O421" s="3"/>
      <c r="P421" s="3"/>
      <c r="Q421" s="3"/>
      <c r="R421" s="3"/>
      <c r="S421" s="3"/>
      <c r="T421" s="3"/>
      <c r="U421" s="3"/>
      <c r="V421" s="3"/>
      <c r="W421" s="3"/>
      <c r="X421" s="3"/>
      <c r="Y421" s="3"/>
      <c r="Z421" s="3"/>
      <c r="AA421" s="3"/>
      <c r="AB421" s="3"/>
    </row>
    <row r="422" spans="1:28" ht="12.75" customHeight="1" x14ac:dyDescent="0.25">
      <c r="A422" s="61"/>
      <c r="B422" s="61"/>
      <c r="C422" s="61"/>
      <c r="D422" s="61"/>
      <c r="E422" s="61"/>
      <c r="F422" s="61"/>
      <c r="G422" s="3"/>
      <c r="H422" s="3"/>
      <c r="I422" s="3"/>
      <c r="J422" s="3"/>
      <c r="K422" s="3"/>
      <c r="L422" s="3"/>
      <c r="M422" s="3"/>
      <c r="N422" s="3"/>
      <c r="O422" s="3"/>
      <c r="P422" s="3"/>
      <c r="Q422" s="3"/>
      <c r="R422" s="3"/>
      <c r="S422" s="3"/>
      <c r="T422" s="3"/>
      <c r="U422" s="3"/>
      <c r="V422" s="3"/>
      <c r="W422" s="3"/>
      <c r="X422" s="3"/>
      <c r="Y422" s="3"/>
      <c r="Z422" s="3"/>
      <c r="AA422" s="3"/>
      <c r="AB422" s="3"/>
    </row>
    <row r="423" spans="1:28" ht="12.75" customHeight="1" x14ac:dyDescent="0.25">
      <c r="A423" s="61"/>
      <c r="B423" s="61"/>
      <c r="C423" s="61"/>
      <c r="D423" s="61"/>
      <c r="E423" s="61"/>
      <c r="F423" s="61"/>
      <c r="G423" s="3"/>
      <c r="H423" s="3"/>
      <c r="I423" s="3"/>
      <c r="J423" s="3"/>
      <c r="K423" s="3"/>
      <c r="L423" s="3"/>
      <c r="M423" s="3"/>
      <c r="N423" s="3"/>
      <c r="O423" s="3"/>
      <c r="P423" s="3"/>
      <c r="Q423" s="3"/>
      <c r="R423" s="3"/>
      <c r="S423" s="3"/>
      <c r="T423" s="3"/>
      <c r="U423" s="3"/>
      <c r="V423" s="3"/>
      <c r="W423" s="3"/>
      <c r="X423" s="3"/>
      <c r="Y423" s="3"/>
      <c r="Z423" s="3"/>
      <c r="AA423" s="3"/>
      <c r="AB423" s="3"/>
    </row>
    <row r="424" spans="1:28" ht="12.75" customHeight="1" x14ac:dyDescent="0.25">
      <c r="A424" s="61"/>
      <c r="B424" s="61"/>
      <c r="C424" s="61"/>
      <c r="D424" s="61"/>
      <c r="E424" s="61"/>
      <c r="F424" s="61"/>
      <c r="G424" s="3"/>
      <c r="H424" s="3"/>
      <c r="I424" s="3"/>
      <c r="J424" s="3"/>
      <c r="K424" s="3"/>
      <c r="L424" s="3"/>
      <c r="M424" s="3"/>
      <c r="N424" s="3"/>
      <c r="O424" s="3"/>
      <c r="P424" s="3"/>
      <c r="Q424" s="3"/>
      <c r="R424" s="3"/>
      <c r="S424" s="3"/>
      <c r="T424" s="3"/>
      <c r="U424" s="3"/>
      <c r="V424" s="3"/>
      <c r="W424" s="3"/>
      <c r="X424" s="3"/>
      <c r="Y424" s="3"/>
      <c r="Z424" s="3"/>
      <c r="AA424" s="3"/>
      <c r="AB424" s="3"/>
    </row>
    <row r="425" spans="1:28" ht="12.75" customHeight="1" x14ac:dyDescent="0.25">
      <c r="A425" s="61"/>
      <c r="B425" s="61"/>
      <c r="C425" s="61"/>
      <c r="D425" s="61"/>
      <c r="E425" s="61"/>
      <c r="F425" s="61"/>
      <c r="G425" s="3"/>
      <c r="H425" s="3"/>
      <c r="I425" s="3"/>
      <c r="J425" s="3"/>
      <c r="K425" s="3"/>
      <c r="L425" s="3"/>
      <c r="M425" s="3"/>
      <c r="N425" s="3"/>
      <c r="O425" s="3"/>
      <c r="P425" s="3"/>
      <c r="Q425" s="3"/>
      <c r="R425" s="3"/>
      <c r="S425" s="3"/>
      <c r="T425" s="3"/>
      <c r="U425" s="3"/>
      <c r="V425" s="3"/>
      <c r="W425" s="3"/>
      <c r="X425" s="3"/>
      <c r="Y425" s="3"/>
      <c r="Z425" s="3"/>
      <c r="AA425" s="3"/>
      <c r="AB425" s="3"/>
    </row>
    <row r="426" spans="1:28" ht="12.75" customHeight="1" x14ac:dyDescent="0.25">
      <c r="A426" s="61"/>
      <c r="B426" s="61"/>
      <c r="C426" s="61"/>
      <c r="D426" s="61"/>
      <c r="E426" s="61"/>
      <c r="F426" s="61"/>
      <c r="G426" s="3"/>
      <c r="H426" s="3"/>
      <c r="I426" s="3"/>
      <c r="J426" s="3"/>
      <c r="K426" s="3"/>
      <c r="L426" s="3"/>
      <c r="M426" s="3"/>
      <c r="N426" s="3"/>
      <c r="O426" s="3"/>
      <c r="P426" s="3"/>
      <c r="Q426" s="3"/>
      <c r="R426" s="3"/>
      <c r="S426" s="3"/>
      <c r="T426" s="3"/>
      <c r="U426" s="3"/>
      <c r="V426" s="3"/>
      <c r="W426" s="3"/>
      <c r="X426" s="3"/>
      <c r="Y426" s="3"/>
      <c r="Z426" s="3"/>
      <c r="AA426" s="3"/>
      <c r="AB426" s="3"/>
    </row>
    <row r="427" spans="1:28" ht="12.75" customHeight="1" x14ac:dyDescent="0.25">
      <c r="A427" s="61"/>
      <c r="B427" s="61"/>
      <c r="C427" s="61"/>
      <c r="D427" s="61"/>
      <c r="E427" s="61"/>
      <c r="F427" s="61"/>
      <c r="G427" s="3"/>
      <c r="H427" s="3"/>
      <c r="I427" s="3"/>
      <c r="J427" s="3"/>
      <c r="K427" s="3"/>
      <c r="L427" s="3"/>
      <c r="M427" s="3"/>
      <c r="N427" s="3"/>
      <c r="O427" s="3"/>
      <c r="P427" s="3"/>
      <c r="Q427" s="3"/>
      <c r="R427" s="3"/>
      <c r="S427" s="3"/>
      <c r="T427" s="3"/>
      <c r="U427" s="3"/>
      <c r="V427" s="3"/>
      <c r="W427" s="3"/>
      <c r="X427" s="3"/>
      <c r="Y427" s="3"/>
      <c r="Z427" s="3"/>
      <c r="AA427" s="3"/>
      <c r="AB427" s="3"/>
    </row>
    <row r="428" spans="1:28" ht="12.75" customHeight="1" x14ac:dyDescent="0.25">
      <c r="A428" s="61"/>
      <c r="B428" s="61"/>
      <c r="C428" s="61"/>
      <c r="D428" s="61"/>
      <c r="E428" s="61"/>
      <c r="F428" s="61"/>
      <c r="G428" s="3"/>
      <c r="H428" s="3"/>
      <c r="I428" s="3"/>
      <c r="J428" s="3"/>
      <c r="K428" s="3"/>
      <c r="L428" s="3"/>
      <c r="M428" s="3"/>
      <c r="N428" s="3"/>
      <c r="O428" s="3"/>
      <c r="P428" s="3"/>
      <c r="Q428" s="3"/>
      <c r="R428" s="3"/>
      <c r="S428" s="3"/>
      <c r="T428" s="3"/>
      <c r="U428" s="3"/>
      <c r="V428" s="3"/>
      <c r="W428" s="3"/>
      <c r="X428" s="3"/>
      <c r="Y428" s="3"/>
      <c r="Z428" s="3"/>
      <c r="AA428" s="3"/>
      <c r="AB428" s="3"/>
    </row>
    <row r="429" spans="1:28" ht="12.75" customHeight="1" x14ac:dyDescent="0.25">
      <c r="A429" s="61"/>
      <c r="B429" s="61"/>
      <c r="C429" s="61"/>
      <c r="D429" s="61"/>
      <c r="E429" s="61"/>
      <c r="F429" s="61"/>
      <c r="G429" s="3"/>
      <c r="H429" s="3"/>
      <c r="I429" s="3"/>
      <c r="J429" s="3"/>
      <c r="K429" s="3"/>
      <c r="L429" s="3"/>
      <c r="M429" s="3"/>
      <c r="N429" s="3"/>
      <c r="O429" s="3"/>
      <c r="P429" s="3"/>
      <c r="Q429" s="3"/>
      <c r="R429" s="3"/>
      <c r="S429" s="3"/>
      <c r="T429" s="3"/>
      <c r="U429" s="3"/>
      <c r="V429" s="3"/>
      <c r="W429" s="3"/>
      <c r="X429" s="3"/>
      <c r="Y429" s="3"/>
      <c r="Z429" s="3"/>
      <c r="AA429" s="3"/>
      <c r="AB429" s="3"/>
    </row>
    <row r="430" spans="1:28" ht="12.75" customHeight="1" x14ac:dyDescent="0.25">
      <c r="A430" s="61"/>
      <c r="B430" s="61"/>
      <c r="C430" s="61"/>
      <c r="D430" s="61"/>
      <c r="E430" s="61"/>
      <c r="F430" s="61"/>
      <c r="G430" s="3"/>
      <c r="H430" s="3"/>
      <c r="I430" s="3"/>
      <c r="J430" s="3"/>
      <c r="K430" s="3"/>
      <c r="L430" s="3"/>
      <c r="M430" s="3"/>
      <c r="N430" s="3"/>
      <c r="O430" s="3"/>
      <c r="P430" s="3"/>
      <c r="Q430" s="3"/>
      <c r="R430" s="3"/>
      <c r="S430" s="3"/>
      <c r="T430" s="3"/>
      <c r="U430" s="3"/>
      <c r="V430" s="3"/>
      <c r="W430" s="3"/>
      <c r="X430" s="3"/>
      <c r="Y430" s="3"/>
      <c r="Z430" s="3"/>
      <c r="AA430" s="3"/>
      <c r="AB430" s="3"/>
    </row>
    <row r="431" spans="1:28" ht="12.75" customHeight="1" x14ac:dyDescent="0.25">
      <c r="A431" s="61"/>
      <c r="B431" s="61"/>
      <c r="C431" s="61"/>
      <c r="D431" s="61"/>
      <c r="E431" s="61"/>
      <c r="F431" s="61"/>
      <c r="G431" s="3"/>
      <c r="H431" s="3"/>
      <c r="I431" s="3"/>
      <c r="J431" s="3"/>
      <c r="K431" s="3"/>
      <c r="L431" s="3"/>
      <c r="M431" s="3"/>
      <c r="N431" s="3"/>
      <c r="O431" s="3"/>
      <c r="P431" s="3"/>
      <c r="Q431" s="3"/>
      <c r="R431" s="3"/>
      <c r="S431" s="3"/>
      <c r="T431" s="3"/>
      <c r="U431" s="3"/>
      <c r="V431" s="3"/>
      <c r="W431" s="3"/>
      <c r="X431" s="3"/>
      <c r="Y431" s="3"/>
      <c r="Z431" s="3"/>
      <c r="AA431" s="3"/>
      <c r="AB431" s="3"/>
    </row>
    <row r="432" spans="1:28" ht="12.75" customHeight="1" x14ac:dyDescent="0.25">
      <c r="A432" s="61"/>
      <c r="B432" s="61"/>
      <c r="C432" s="61"/>
      <c r="D432" s="61"/>
      <c r="E432" s="61"/>
      <c r="F432" s="61"/>
      <c r="G432" s="3"/>
      <c r="H432" s="3"/>
      <c r="I432" s="3"/>
      <c r="J432" s="3"/>
      <c r="K432" s="3"/>
      <c r="L432" s="3"/>
      <c r="M432" s="3"/>
      <c r="N432" s="3"/>
      <c r="O432" s="3"/>
      <c r="P432" s="3"/>
      <c r="Q432" s="3"/>
      <c r="R432" s="3"/>
      <c r="S432" s="3"/>
      <c r="T432" s="3"/>
      <c r="U432" s="3"/>
      <c r="V432" s="3"/>
      <c r="W432" s="3"/>
      <c r="X432" s="3"/>
      <c r="Y432" s="3"/>
      <c r="Z432" s="3"/>
      <c r="AA432" s="3"/>
      <c r="AB432" s="3"/>
    </row>
    <row r="433" spans="1:28" ht="12.75" customHeight="1" x14ac:dyDescent="0.25">
      <c r="A433" s="61"/>
      <c r="B433" s="61"/>
      <c r="C433" s="61"/>
      <c r="D433" s="61"/>
      <c r="E433" s="61"/>
      <c r="F433" s="61"/>
      <c r="G433" s="3"/>
      <c r="H433" s="3"/>
      <c r="I433" s="3"/>
      <c r="J433" s="3"/>
      <c r="K433" s="3"/>
      <c r="L433" s="3"/>
      <c r="M433" s="3"/>
      <c r="N433" s="3"/>
      <c r="O433" s="3"/>
      <c r="P433" s="3"/>
      <c r="Q433" s="3"/>
      <c r="R433" s="3"/>
      <c r="S433" s="3"/>
      <c r="T433" s="3"/>
      <c r="U433" s="3"/>
      <c r="V433" s="3"/>
      <c r="W433" s="3"/>
      <c r="X433" s="3"/>
      <c r="Y433" s="3"/>
      <c r="Z433" s="3"/>
      <c r="AA433" s="3"/>
      <c r="AB433" s="3"/>
    </row>
    <row r="434" spans="1:28" ht="12.75" customHeight="1" x14ac:dyDescent="0.25">
      <c r="A434" s="61"/>
      <c r="B434" s="61"/>
      <c r="C434" s="61"/>
      <c r="D434" s="61"/>
      <c r="E434" s="61"/>
      <c r="F434" s="61"/>
      <c r="G434" s="3"/>
      <c r="H434" s="3"/>
      <c r="I434" s="3"/>
      <c r="J434" s="3"/>
      <c r="K434" s="3"/>
      <c r="L434" s="3"/>
      <c r="M434" s="3"/>
      <c r="N434" s="3"/>
      <c r="O434" s="3"/>
      <c r="P434" s="3"/>
      <c r="Q434" s="3"/>
      <c r="R434" s="3"/>
      <c r="S434" s="3"/>
      <c r="T434" s="3"/>
      <c r="U434" s="3"/>
      <c r="V434" s="3"/>
      <c r="W434" s="3"/>
      <c r="X434" s="3"/>
      <c r="Y434" s="3"/>
      <c r="Z434" s="3"/>
      <c r="AA434" s="3"/>
      <c r="AB434" s="3"/>
    </row>
    <row r="435" spans="1:28" ht="12.75" customHeight="1" x14ac:dyDescent="0.25">
      <c r="A435" s="61"/>
      <c r="B435" s="61"/>
      <c r="C435" s="61"/>
      <c r="D435" s="61"/>
      <c r="E435" s="61"/>
      <c r="F435" s="61"/>
      <c r="G435" s="3"/>
      <c r="H435" s="3"/>
      <c r="I435" s="3"/>
      <c r="J435" s="3"/>
      <c r="K435" s="3"/>
      <c r="L435" s="3"/>
      <c r="M435" s="3"/>
      <c r="N435" s="3"/>
      <c r="O435" s="3"/>
      <c r="P435" s="3"/>
      <c r="Q435" s="3"/>
      <c r="R435" s="3"/>
      <c r="S435" s="3"/>
      <c r="T435" s="3"/>
      <c r="U435" s="3"/>
      <c r="V435" s="3"/>
      <c r="W435" s="3"/>
      <c r="X435" s="3"/>
      <c r="Y435" s="3"/>
      <c r="Z435" s="3"/>
      <c r="AA435" s="3"/>
      <c r="AB435" s="3"/>
    </row>
    <row r="436" spans="1:28" ht="12.75" customHeight="1" x14ac:dyDescent="0.25">
      <c r="A436" s="61"/>
      <c r="B436" s="61"/>
      <c r="C436" s="61"/>
      <c r="D436" s="61"/>
      <c r="E436" s="61"/>
      <c r="F436" s="61"/>
      <c r="G436" s="3"/>
      <c r="H436" s="3"/>
      <c r="I436" s="3"/>
      <c r="J436" s="3"/>
      <c r="K436" s="3"/>
      <c r="L436" s="3"/>
      <c r="M436" s="3"/>
      <c r="N436" s="3"/>
      <c r="O436" s="3"/>
      <c r="P436" s="3"/>
      <c r="Q436" s="3"/>
      <c r="R436" s="3"/>
      <c r="S436" s="3"/>
      <c r="T436" s="3"/>
      <c r="U436" s="3"/>
      <c r="V436" s="3"/>
      <c r="W436" s="3"/>
      <c r="X436" s="3"/>
      <c r="Y436" s="3"/>
      <c r="Z436" s="3"/>
      <c r="AA436" s="3"/>
      <c r="AB436" s="3"/>
    </row>
    <row r="437" spans="1:28" ht="12.75" customHeight="1" x14ac:dyDescent="0.25">
      <c r="A437" s="61"/>
      <c r="B437" s="61"/>
      <c r="C437" s="61"/>
      <c r="D437" s="61"/>
      <c r="E437" s="61"/>
      <c r="F437" s="61"/>
      <c r="G437" s="3"/>
      <c r="H437" s="3"/>
      <c r="I437" s="3"/>
      <c r="J437" s="3"/>
      <c r="K437" s="3"/>
      <c r="L437" s="3"/>
      <c r="M437" s="3"/>
      <c r="N437" s="3"/>
      <c r="O437" s="3"/>
      <c r="P437" s="3"/>
      <c r="Q437" s="3"/>
      <c r="R437" s="3"/>
      <c r="S437" s="3"/>
      <c r="T437" s="3"/>
      <c r="U437" s="3"/>
      <c r="V437" s="3"/>
      <c r="W437" s="3"/>
      <c r="X437" s="3"/>
      <c r="Y437" s="3"/>
      <c r="Z437" s="3"/>
      <c r="AA437" s="3"/>
      <c r="AB437" s="3"/>
    </row>
    <row r="438" spans="1:28" ht="12.75" customHeight="1" x14ac:dyDescent="0.25">
      <c r="A438" s="61"/>
      <c r="B438" s="61"/>
      <c r="C438" s="61"/>
      <c r="D438" s="61"/>
      <c r="E438" s="61"/>
      <c r="F438" s="61"/>
      <c r="G438" s="3"/>
      <c r="H438" s="3"/>
      <c r="I438" s="3"/>
      <c r="J438" s="3"/>
      <c r="K438" s="3"/>
      <c r="L438" s="3"/>
      <c r="M438" s="3"/>
      <c r="N438" s="3"/>
      <c r="O438" s="3"/>
      <c r="P438" s="3"/>
      <c r="Q438" s="3"/>
      <c r="R438" s="3"/>
      <c r="S438" s="3"/>
      <c r="T438" s="3"/>
      <c r="U438" s="3"/>
      <c r="V438" s="3"/>
      <c r="W438" s="3"/>
      <c r="X438" s="3"/>
      <c r="Y438" s="3"/>
      <c r="Z438" s="3"/>
      <c r="AA438" s="3"/>
      <c r="AB438" s="3"/>
    </row>
    <row r="439" spans="1:28" ht="12.75" customHeight="1" x14ac:dyDescent="0.25">
      <c r="A439" s="61"/>
      <c r="B439" s="61"/>
      <c r="C439" s="61"/>
      <c r="D439" s="61"/>
      <c r="E439" s="61"/>
      <c r="F439" s="61"/>
      <c r="G439" s="3"/>
      <c r="H439" s="3"/>
      <c r="I439" s="3"/>
      <c r="J439" s="3"/>
      <c r="K439" s="3"/>
      <c r="L439" s="3"/>
      <c r="M439" s="3"/>
      <c r="N439" s="3"/>
      <c r="O439" s="3"/>
      <c r="P439" s="3"/>
      <c r="Q439" s="3"/>
      <c r="R439" s="3"/>
      <c r="S439" s="3"/>
      <c r="T439" s="3"/>
      <c r="U439" s="3"/>
      <c r="V439" s="3"/>
      <c r="W439" s="3"/>
      <c r="X439" s="3"/>
      <c r="Y439" s="3"/>
      <c r="Z439" s="3"/>
      <c r="AA439" s="3"/>
      <c r="AB439" s="3"/>
    </row>
    <row r="440" spans="1:28" ht="12.75" customHeight="1" x14ac:dyDescent="0.25">
      <c r="A440" s="61"/>
      <c r="B440" s="61"/>
      <c r="C440" s="61"/>
      <c r="D440" s="61"/>
      <c r="E440" s="61"/>
      <c r="F440" s="61"/>
      <c r="G440" s="3"/>
      <c r="H440" s="3"/>
      <c r="I440" s="3"/>
      <c r="J440" s="3"/>
      <c r="K440" s="3"/>
      <c r="L440" s="3"/>
      <c r="M440" s="3"/>
      <c r="N440" s="3"/>
      <c r="O440" s="3"/>
      <c r="P440" s="3"/>
      <c r="Q440" s="3"/>
      <c r="R440" s="3"/>
      <c r="S440" s="3"/>
      <c r="T440" s="3"/>
      <c r="U440" s="3"/>
      <c r="V440" s="3"/>
      <c r="W440" s="3"/>
      <c r="X440" s="3"/>
      <c r="Y440" s="3"/>
      <c r="Z440" s="3"/>
      <c r="AA440" s="3"/>
      <c r="AB440" s="3"/>
    </row>
    <row r="441" spans="1:28" ht="12.75" customHeight="1" x14ac:dyDescent="0.25">
      <c r="A441" s="61"/>
      <c r="B441" s="61"/>
      <c r="C441" s="61"/>
      <c r="D441" s="61"/>
      <c r="E441" s="61"/>
      <c r="F441" s="61"/>
      <c r="G441" s="3"/>
      <c r="H441" s="3"/>
      <c r="I441" s="3"/>
      <c r="J441" s="3"/>
      <c r="K441" s="3"/>
      <c r="L441" s="3"/>
      <c r="M441" s="3"/>
      <c r="N441" s="3"/>
      <c r="O441" s="3"/>
      <c r="P441" s="3"/>
      <c r="Q441" s="3"/>
      <c r="R441" s="3"/>
      <c r="S441" s="3"/>
      <c r="T441" s="3"/>
      <c r="U441" s="3"/>
      <c r="V441" s="3"/>
      <c r="W441" s="3"/>
      <c r="X441" s="3"/>
      <c r="Y441" s="3"/>
      <c r="Z441" s="3"/>
      <c r="AA441" s="3"/>
      <c r="AB441" s="3"/>
    </row>
    <row r="442" spans="1:28" ht="12.75" customHeight="1" x14ac:dyDescent="0.25">
      <c r="A442" s="61"/>
      <c r="B442" s="61"/>
      <c r="C442" s="61"/>
      <c r="D442" s="61"/>
      <c r="E442" s="61"/>
      <c r="F442" s="61"/>
      <c r="G442" s="3"/>
      <c r="H442" s="3"/>
      <c r="I442" s="3"/>
      <c r="J442" s="3"/>
      <c r="K442" s="3"/>
      <c r="L442" s="3"/>
      <c r="M442" s="3"/>
      <c r="N442" s="3"/>
      <c r="O442" s="3"/>
      <c r="P442" s="3"/>
      <c r="Q442" s="3"/>
      <c r="R442" s="3"/>
      <c r="S442" s="3"/>
      <c r="T442" s="3"/>
      <c r="U442" s="3"/>
      <c r="V442" s="3"/>
      <c r="W442" s="3"/>
      <c r="X442" s="3"/>
      <c r="Y442" s="3"/>
      <c r="Z442" s="3"/>
      <c r="AA442" s="3"/>
      <c r="AB442" s="3"/>
    </row>
    <row r="443" spans="1:28" ht="12.75" customHeight="1" x14ac:dyDescent="0.25">
      <c r="A443" s="61"/>
      <c r="B443" s="61"/>
      <c r="C443" s="61"/>
      <c r="D443" s="61"/>
      <c r="E443" s="61"/>
      <c r="F443" s="61"/>
      <c r="G443" s="3"/>
      <c r="H443" s="3"/>
      <c r="I443" s="3"/>
      <c r="J443" s="3"/>
      <c r="K443" s="3"/>
      <c r="L443" s="3"/>
      <c r="M443" s="3"/>
      <c r="N443" s="3"/>
      <c r="O443" s="3"/>
      <c r="P443" s="3"/>
      <c r="Q443" s="3"/>
      <c r="R443" s="3"/>
      <c r="S443" s="3"/>
      <c r="T443" s="3"/>
      <c r="U443" s="3"/>
      <c r="V443" s="3"/>
      <c r="W443" s="3"/>
      <c r="X443" s="3"/>
      <c r="Y443" s="3"/>
      <c r="Z443" s="3"/>
      <c r="AA443" s="3"/>
      <c r="AB443" s="3"/>
    </row>
    <row r="444" spans="1:28" ht="12.75" customHeight="1" x14ac:dyDescent="0.25">
      <c r="A444" s="61"/>
      <c r="B444" s="61"/>
      <c r="C444" s="61"/>
      <c r="D444" s="61"/>
      <c r="E444" s="61"/>
      <c r="F444" s="61"/>
      <c r="G444" s="3"/>
      <c r="H444" s="3"/>
      <c r="I444" s="3"/>
      <c r="J444" s="3"/>
      <c r="K444" s="3"/>
      <c r="L444" s="3"/>
      <c r="M444" s="3"/>
      <c r="N444" s="3"/>
      <c r="O444" s="3"/>
      <c r="P444" s="3"/>
      <c r="Q444" s="3"/>
      <c r="R444" s="3"/>
      <c r="S444" s="3"/>
      <c r="T444" s="3"/>
      <c r="U444" s="3"/>
      <c r="V444" s="3"/>
      <c r="W444" s="3"/>
      <c r="X444" s="3"/>
      <c r="Y444" s="3"/>
      <c r="Z444" s="3"/>
      <c r="AA444" s="3"/>
      <c r="AB444" s="3"/>
    </row>
    <row r="445" spans="1:28" ht="12.75" customHeight="1" x14ac:dyDescent="0.25">
      <c r="A445" s="61"/>
      <c r="B445" s="61"/>
      <c r="C445" s="61"/>
      <c r="D445" s="61"/>
      <c r="E445" s="61"/>
      <c r="F445" s="61"/>
      <c r="G445" s="3"/>
      <c r="H445" s="3"/>
      <c r="I445" s="3"/>
      <c r="J445" s="3"/>
      <c r="K445" s="3"/>
      <c r="L445" s="3"/>
      <c r="M445" s="3"/>
      <c r="N445" s="3"/>
      <c r="O445" s="3"/>
      <c r="P445" s="3"/>
      <c r="Q445" s="3"/>
      <c r="R445" s="3"/>
      <c r="S445" s="3"/>
      <c r="T445" s="3"/>
      <c r="U445" s="3"/>
      <c r="V445" s="3"/>
      <c r="W445" s="3"/>
      <c r="X445" s="3"/>
      <c r="Y445" s="3"/>
      <c r="Z445" s="3"/>
      <c r="AA445" s="3"/>
      <c r="AB445" s="3"/>
    </row>
    <row r="446" spans="1:28" ht="12.75" customHeight="1" x14ac:dyDescent="0.25">
      <c r="A446" s="61"/>
      <c r="B446" s="61"/>
      <c r="C446" s="61"/>
      <c r="D446" s="61"/>
      <c r="E446" s="61"/>
      <c r="F446" s="61"/>
      <c r="G446" s="3"/>
      <c r="H446" s="3"/>
      <c r="I446" s="3"/>
      <c r="J446" s="3"/>
      <c r="K446" s="3"/>
      <c r="L446" s="3"/>
      <c r="M446" s="3"/>
      <c r="N446" s="3"/>
      <c r="O446" s="3"/>
      <c r="P446" s="3"/>
      <c r="Q446" s="3"/>
      <c r="R446" s="3"/>
      <c r="S446" s="3"/>
      <c r="T446" s="3"/>
      <c r="U446" s="3"/>
      <c r="V446" s="3"/>
      <c r="W446" s="3"/>
      <c r="X446" s="3"/>
      <c r="Y446" s="3"/>
      <c r="Z446" s="3"/>
      <c r="AA446" s="3"/>
      <c r="AB446" s="3"/>
    </row>
    <row r="447" spans="1:28" ht="12.75" customHeight="1" x14ac:dyDescent="0.25">
      <c r="A447" s="61"/>
      <c r="B447" s="61"/>
      <c r="C447" s="61"/>
      <c r="D447" s="61"/>
      <c r="E447" s="61"/>
      <c r="F447" s="61"/>
      <c r="G447" s="3"/>
      <c r="H447" s="3"/>
      <c r="I447" s="3"/>
      <c r="J447" s="3"/>
      <c r="K447" s="3"/>
      <c r="L447" s="3"/>
      <c r="M447" s="3"/>
      <c r="N447" s="3"/>
      <c r="O447" s="3"/>
      <c r="P447" s="3"/>
      <c r="Q447" s="3"/>
      <c r="R447" s="3"/>
      <c r="S447" s="3"/>
      <c r="T447" s="3"/>
      <c r="U447" s="3"/>
      <c r="V447" s="3"/>
      <c r="W447" s="3"/>
      <c r="X447" s="3"/>
      <c r="Y447" s="3"/>
      <c r="Z447" s="3"/>
      <c r="AA447" s="3"/>
      <c r="AB447" s="3"/>
    </row>
    <row r="448" spans="1:28" ht="12.75" customHeight="1" x14ac:dyDescent="0.25">
      <c r="A448" s="61"/>
      <c r="B448" s="61"/>
      <c r="C448" s="61"/>
      <c r="D448" s="61"/>
      <c r="E448" s="61"/>
      <c r="F448" s="61"/>
      <c r="G448" s="3"/>
      <c r="H448" s="3"/>
      <c r="I448" s="3"/>
      <c r="J448" s="3"/>
      <c r="K448" s="3"/>
      <c r="L448" s="3"/>
      <c r="M448" s="3"/>
      <c r="N448" s="3"/>
      <c r="O448" s="3"/>
      <c r="P448" s="3"/>
      <c r="Q448" s="3"/>
      <c r="R448" s="3"/>
      <c r="S448" s="3"/>
      <c r="T448" s="3"/>
      <c r="U448" s="3"/>
      <c r="V448" s="3"/>
      <c r="W448" s="3"/>
      <c r="X448" s="3"/>
      <c r="Y448" s="3"/>
      <c r="Z448" s="3"/>
      <c r="AA448" s="3"/>
      <c r="AB448" s="3"/>
    </row>
    <row r="449" spans="1:28" ht="12.75" customHeight="1" x14ac:dyDescent="0.25">
      <c r="A449" s="61"/>
      <c r="B449" s="61"/>
      <c r="C449" s="61"/>
      <c r="D449" s="61"/>
      <c r="E449" s="61"/>
      <c r="F449" s="61"/>
      <c r="G449" s="3"/>
      <c r="H449" s="3"/>
      <c r="I449" s="3"/>
      <c r="J449" s="3"/>
      <c r="K449" s="3"/>
      <c r="L449" s="3"/>
      <c r="M449" s="3"/>
      <c r="N449" s="3"/>
      <c r="O449" s="3"/>
      <c r="P449" s="3"/>
      <c r="Q449" s="3"/>
      <c r="R449" s="3"/>
      <c r="S449" s="3"/>
      <c r="T449" s="3"/>
      <c r="U449" s="3"/>
      <c r="V449" s="3"/>
      <c r="W449" s="3"/>
      <c r="X449" s="3"/>
      <c r="Y449" s="3"/>
      <c r="Z449" s="3"/>
      <c r="AA449" s="3"/>
      <c r="AB449" s="3"/>
    </row>
    <row r="450" spans="1:28" ht="12.75" customHeight="1" x14ac:dyDescent="0.25">
      <c r="A450" s="61"/>
      <c r="B450" s="61"/>
      <c r="C450" s="61"/>
      <c r="D450" s="61"/>
      <c r="E450" s="61"/>
      <c r="F450" s="61"/>
      <c r="G450" s="3"/>
      <c r="H450" s="3"/>
      <c r="I450" s="3"/>
      <c r="J450" s="3"/>
      <c r="K450" s="3"/>
      <c r="L450" s="3"/>
      <c r="M450" s="3"/>
      <c r="N450" s="3"/>
      <c r="O450" s="3"/>
      <c r="P450" s="3"/>
      <c r="Q450" s="3"/>
      <c r="R450" s="3"/>
      <c r="S450" s="3"/>
      <c r="T450" s="3"/>
      <c r="U450" s="3"/>
      <c r="V450" s="3"/>
      <c r="W450" s="3"/>
      <c r="X450" s="3"/>
      <c r="Y450" s="3"/>
      <c r="Z450" s="3"/>
      <c r="AA450" s="3"/>
      <c r="AB450" s="3"/>
    </row>
    <row r="451" spans="1:28" ht="12.75" customHeight="1" x14ac:dyDescent="0.25">
      <c r="A451" s="61"/>
      <c r="B451" s="61"/>
      <c r="C451" s="61"/>
      <c r="D451" s="61"/>
      <c r="E451" s="61"/>
      <c r="F451" s="61"/>
      <c r="G451" s="3"/>
      <c r="H451" s="3"/>
      <c r="I451" s="3"/>
      <c r="J451" s="3"/>
      <c r="K451" s="3"/>
      <c r="L451" s="3"/>
      <c r="M451" s="3"/>
      <c r="N451" s="3"/>
      <c r="O451" s="3"/>
      <c r="P451" s="3"/>
      <c r="Q451" s="3"/>
      <c r="R451" s="3"/>
      <c r="S451" s="3"/>
      <c r="T451" s="3"/>
      <c r="U451" s="3"/>
      <c r="V451" s="3"/>
      <c r="W451" s="3"/>
      <c r="X451" s="3"/>
      <c r="Y451" s="3"/>
      <c r="Z451" s="3"/>
      <c r="AA451" s="3"/>
      <c r="AB451" s="3"/>
    </row>
    <row r="452" spans="1:28" ht="12.75" customHeight="1" x14ac:dyDescent="0.25">
      <c r="A452" s="61"/>
      <c r="B452" s="61"/>
      <c r="C452" s="61"/>
      <c r="D452" s="61"/>
      <c r="E452" s="61"/>
      <c r="F452" s="61"/>
      <c r="G452" s="3"/>
      <c r="H452" s="3"/>
      <c r="I452" s="3"/>
      <c r="J452" s="3"/>
      <c r="K452" s="3"/>
      <c r="L452" s="3"/>
      <c r="M452" s="3"/>
      <c r="N452" s="3"/>
      <c r="O452" s="3"/>
      <c r="P452" s="3"/>
      <c r="Q452" s="3"/>
      <c r="R452" s="3"/>
      <c r="S452" s="3"/>
      <c r="T452" s="3"/>
      <c r="U452" s="3"/>
      <c r="V452" s="3"/>
      <c r="W452" s="3"/>
      <c r="X452" s="3"/>
      <c r="Y452" s="3"/>
      <c r="Z452" s="3"/>
      <c r="AA452" s="3"/>
      <c r="AB452" s="3"/>
    </row>
    <row r="453" spans="1:28" ht="12.75" customHeight="1" x14ac:dyDescent="0.25">
      <c r="A453" s="61"/>
      <c r="B453" s="61"/>
      <c r="C453" s="61"/>
      <c r="D453" s="61"/>
      <c r="E453" s="61"/>
      <c r="F453" s="61"/>
      <c r="G453" s="3"/>
      <c r="H453" s="3"/>
      <c r="I453" s="3"/>
      <c r="J453" s="3"/>
      <c r="K453" s="3"/>
      <c r="L453" s="3"/>
      <c r="M453" s="3"/>
      <c r="N453" s="3"/>
      <c r="O453" s="3"/>
      <c r="P453" s="3"/>
      <c r="Q453" s="3"/>
      <c r="R453" s="3"/>
      <c r="S453" s="3"/>
      <c r="T453" s="3"/>
      <c r="U453" s="3"/>
      <c r="V453" s="3"/>
      <c r="W453" s="3"/>
      <c r="X453" s="3"/>
      <c r="Y453" s="3"/>
      <c r="Z453" s="3"/>
      <c r="AA453" s="3"/>
      <c r="AB453" s="3"/>
    </row>
    <row r="454" spans="1:28" ht="12.75" customHeight="1" x14ac:dyDescent="0.25">
      <c r="A454" s="61"/>
      <c r="B454" s="61"/>
      <c r="C454" s="61"/>
      <c r="D454" s="61"/>
      <c r="E454" s="61"/>
      <c r="F454" s="61"/>
      <c r="G454" s="3"/>
      <c r="H454" s="3"/>
      <c r="I454" s="3"/>
      <c r="J454" s="3"/>
      <c r="K454" s="3"/>
      <c r="L454" s="3"/>
      <c r="M454" s="3"/>
      <c r="N454" s="3"/>
      <c r="O454" s="3"/>
      <c r="P454" s="3"/>
      <c r="Q454" s="3"/>
      <c r="R454" s="3"/>
      <c r="S454" s="3"/>
      <c r="T454" s="3"/>
      <c r="U454" s="3"/>
      <c r="V454" s="3"/>
      <c r="W454" s="3"/>
      <c r="X454" s="3"/>
      <c r="Y454" s="3"/>
      <c r="Z454" s="3"/>
      <c r="AA454" s="3"/>
      <c r="AB454" s="3"/>
    </row>
    <row r="455" spans="1:28" ht="12.75" customHeight="1" x14ac:dyDescent="0.25">
      <c r="A455" s="61"/>
      <c r="B455" s="61"/>
      <c r="C455" s="61"/>
      <c r="D455" s="61"/>
      <c r="E455" s="61"/>
      <c r="F455" s="61"/>
      <c r="G455" s="3"/>
      <c r="H455" s="3"/>
      <c r="I455" s="3"/>
      <c r="J455" s="3"/>
      <c r="K455" s="3"/>
      <c r="L455" s="3"/>
      <c r="M455" s="3"/>
      <c r="N455" s="3"/>
      <c r="O455" s="3"/>
      <c r="P455" s="3"/>
      <c r="Q455" s="3"/>
      <c r="R455" s="3"/>
      <c r="S455" s="3"/>
      <c r="T455" s="3"/>
      <c r="U455" s="3"/>
      <c r="V455" s="3"/>
      <c r="W455" s="3"/>
      <c r="X455" s="3"/>
      <c r="Y455" s="3"/>
      <c r="Z455" s="3"/>
      <c r="AA455" s="3"/>
      <c r="AB455" s="3"/>
    </row>
    <row r="456" spans="1:28" ht="12.75" customHeight="1" x14ac:dyDescent="0.25">
      <c r="A456" s="61"/>
      <c r="B456" s="61"/>
      <c r="C456" s="61"/>
      <c r="D456" s="61"/>
      <c r="E456" s="61"/>
      <c r="F456" s="61"/>
      <c r="G456" s="3"/>
      <c r="H456" s="3"/>
      <c r="I456" s="3"/>
      <c r="J456" s="3"/>
      <c r="K456" s="3"/>
      <c r="L456" s="3"/>
      <c r="M456" s="3"/>
      <c r="N456" s="3"/>
      <c r="O456" s="3"/>
      <c r="P456" s="3"/>
      <c r="Q456" s="3"/>
      <c r="R456" s="3"/>
      <c r="S456" s="3"/>
      <c r="T456" s="3"/>
      <c r="U456" s="3"/>
      <c r="V456" s="3"/>
      <c r="W456" s="3"/>
      <c r="X456" s="3"/>
      <c r="Y456" s="3"/>
      <c r="Z456" s="3"/>
      <c r="AA456" s="3"/>
      <c r="AB456" s="3"/>
    </row>
    <row r="457" spans="1:28" ht="12.75" customHeight="1" x14ac:dyDescent="0.25">
      <c r="A457" s="61"/>
      <c r="B457" s="61"/>
      <c r="C457" s="61"/>
      <c r="D457" s="61"/>
      <c r="E457" s="61"/>
      <c r="F457" s="61"/>
      <c r="G457" s="3"/>
      <c r="H457" s="3"/>
      <c r="I457" s="3"/>
      <c r="J457" s="3"/>
      <c r="K457" s="3"/>
      <c r="L457" s="3"/>
      <c r="M457" s="3"/>
      <c r="N457" s="3"/>
      <c r="O457" s="3"/>
      <c r="P457" s="3"/>
      <c r="Q457" s="3"/>
      <c r="R457" s="3"/>
      <c r="S457" s="3"/>
      <c r="T457" s="3"/>
      <c r="U457" s="3"/>
      <c r="V457" s="3"/>
      <c r="W457" s="3"/>
      <c r="X457" s="3"/>
      <c r="Y457" s="3"/>
      <c r="Z457" s="3"/>
      <c r="AA457" s="3"/>
      <c r="AB457" s="3"/>
    </row>
    <row r="458" spans="1:28" ht="12.75" customHeight="1" x14ac:dyDescent="0.25">
      <c r="A458" s="61"/>
      <c r="B458" s="61"/>
      <c r="C458" s="61"/>
      <c r="D458" s="61"/>
      <c r="E458" s="61"/>
      <c r="F458" s="61"/>
      <c r="G458" s="3"/>
      <c r="H458" s="3"/>
      <c r="I458" s="3"/>
      <c r="J458" s="3"/>
      <c r="K458" s="3"/>
      <c r="L458" s="3"/>
      <c r="M458" s="3"/>
      <c r="N458" s="3"/>
      <c r="O458" s="3"/>
      <c r="P458" s="3"/>
      <c r="Q458" s="3"/>
      <c r="R458" s="3"/>
      <c r="S458" s="3"/>
      <c r="T458" s="3"/>
      <c r="U458" s="3"/>
      <c r="V458" s="3"/>
      <c r="W458" s="3"/>
      <c r="X458" s="3"/>
      <c r="Y458" s="3"/>
      <c r="Z458" s="3"/>
      <c r="AA458" s="3"/>
      <c r="AB458" s="3"/>
    </row>
    <row r="459" spans="1:28" ht="12.75" customHeight="1" x14ac:dyDescent="0.25">
      <c r="A459" s="61"/>
      <c r="B459" s="61"/>
      <c r="C459" s="61"/>
      <c r="D459" s="61"/>
      <c r="E459" s="61"/>
      <c r="F459" s="61"/>
      <c r="G459" s="3"/>
      <c r="H459" s="3"/>
      <c r="I459" s="3"/>
      <c r="J459" s="3"/>
      <c r="K459" s="3"/>
      <c r="L459" s="3"/>
      <c r="M459" s="3"/>
      <c r="N459" s="3"/>
      <c r="O459" s="3"/>
      <c r="P459" s="3"/>
      <c r="Q459" s="3"/>
      <c r="R459" s="3"/>
      <c r="S459" s="3"/>
      <c r="T459" s="3"/>
      <c r="U459" s="3"/>
      <c r="V459" s="3"/>
      <c r="W459" s="3"/>
      <c r="X459" s="3"/>
      <c r="Y459" s="3"/>
      <c r="Z459" s="3"/>
      <c r="AA459" s="3"/>
      <c r="AB459" s="3"/>
    </row>
    <row r="460" spans="1:28" ht="12.75" customHeight="1" x14ac:dyDescent="0.25">
      <c r="A460" s="61"/>
      <c r="B460" s="61"/>
      <c r="C460" s="61"/>
      <c r="D460" s="61"/>
      <c r="E460" s="61"/>
      <c r="F460" s="61"/>
      <c r="G460" s="3"/>
      <c r="H460" s="3"/>
      <c r="I460" s="3"/>
      <c r="J460" s="3"/>
      <c r="K460" s="3"/>
      <c r="L460" s="3"/>
      <c r="M460" s="3"/>
      <c r="N460" s="3"/>
      <c r="O460" s="3"/>
      <c r="P460" s="3"/>
      <c r="Q460" s="3"/>
      <c r="R460" s="3"/>
      <c r="S460" s="3"/>
      <c r="T460" s="3"/>
      <c r="U460" s="3"/>
      <c r="V460" s="3"/>
      <c r="W460" s="3"/>
      <c r="X460" s="3"/>
      <c r="Y460" s="3"/>
      <c r="Z460" s="3"/>
      <c r="AA460" s="3"/>
      <c r="AB460" s="3"/>
    </row>
    <row r="461" spans="1:28" ht="12.75" customHeight="1" x14ac:dyDescent="0.25">
      <c r="A461" s="61"/>
      <c r="B461" s="61"/>
      <c r="C461" s="61"/>
      <c r="D461" s="61"/>
      <c r="E461" s="61"/>
      <c r="F461" s="61"/>
      <c r="G461" s="3"/>
      <c r="H461" s="3"/>
      <c r="I461" s="3"/>
      <c r="J461" s="3"/>
      <c r="K461" s="3"/>
      <c r="L461" s="3"/>
      <c r="M461" s="3"/>
      <c r="N461" s="3"/>
      <c r="O461" s="3"/>
      <c r="P461" s="3"/>
      <c r="Q461" s="3"/>
      <c r="R461" s="3"/>
      <c r="S461" s="3"/>
      <c r="T461" s="3"/>
      <c r="U461" s="3"/>
      <c r="V461" s="3"/>
      <c r="W461" s="3"/>
      <c r="X461" s="3"/>
      <c r="Y461" s="3"/>
      <c r="Z461" s="3"/>
      <c r="AA461" s="3"/>
      <c r="AB461" s="3"/>
    </row>
    <row r="462" spans="1:28" ht="12.75" customHeight="1" x14ac:dyDescent="0.25">
      <c r="A462" s="61"/>
      <c r="B462" s="61"/>
      <c r="C462" s="61"/>
      <c r="D462" s="61"/>
      <c r="E462" s="61"/>
      <c r="F462" s="61"/>
      <c r="G462" s="3"/>
      <c r="H462" s="3"/>
      <c r="I462" s="3"/>
      <c r="J462" s="3"/>
      <c r="K462" s="3"/>
      <c r="L462" s="3"/>
      <c r="M462" s="3"/>
      <c r="N462" s="3"/>
      <c r="O462" s="3"/>
      <c r="P462" s="3"/>
      <c r="Q462" s="3"/>
      <c r="R462" s="3"/>
      <c r="S462" s="3"/>
      <c r="T462" s="3"/>
      <c r="U462" s="3"/>
      <c r="V462" s="3"/>
      <c r="W462" s="3"/>
      <c r="X462" s="3"/>
      <c r="Y462" s="3"/>
      <c r="Z462" s="3"/>
      <c r="AA462" s="3"/>
      <c r="AB462" s="3"/>
    </row>
    <row r="463" spans="1:28" ht="12.75" customHeight="1" x14ac:dyDescent="0.25">
      <c r="A463" s="61"/>
      <c r="B463" s="61"/>
      <c r="C463" s="61"/>
      <c r="D463" s="61"/>
      <c r="E463" s="61"/>
      <c r="F463" s="61"/>
      <c r="G463" s="3"/>
      <c r="H463" s="3"/>
      <c r="I463" s="3"/>
      <c r="J463" s="3"/>
      <c r="K463" s="3"/>
      <c r="L463" s="3"/>
      <c r="M463" s="3"/>
      <c r="N463" s="3"/>
      <c r="O463" s="3"/>
      <c r="P463" s="3"/>
      <c r="Q463" s="3"/>
      <c r="R463" s="3"/>
      <c r="S463" s="3"/>
      <c r="T463" s="3"/>
      <c r="U463" s="3"/>
      <c r="V463" s="3"/>
      <c r="W463" s="3"/>
      <c r="X463" s="3"/>
      <c r="Y463" s="3"/>
      <c r="Z463" s="3"/>
      <c r="AA463" s="3"/>
      <c r="AB463" s="3"/>
    </row>
    <row r="464" spans="1:28"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row r="1006" ht="15.75" customHeight="1" x14ac:dyDescent="0.2"/>
    <row r="1007" ht="15.75" customHeight="1" x14ac:dyDescent="0.2"/>
    <row r="1008"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sheetData>
  <mergeCells count="515">
    <mergeCell ref="AT157:AV157"/>
    <mergeCell ref="E218:E219"/>
    <mergeCell ref="F218:F219"/>
    <mergeCell ref="A220:C221"/>
    <mergeCell ref="E220:E221"/>
    <mergeCell ref="F220:F221"/>
    <mergeCell ref="A222:C223"/>
    <mergeCell ref="E222:E223"/>
    <mergeCell ref="F222:F223"/>
    <mergeCell ref="F210:F211"/>
    <mergeCell ref="A206:C207"/>
    <mergeCell ref="E206:E207"/>
    <mergeCell ref="F206:F207"/>
    <mergeCell ref="F208:F209"/>
    <mergeCell ref="A208:C209"/>
    <mergeCell ref="E208:E209"/>
    <mergeCell ref="A210:C211"/>
    <mergeCell ref="E210:E211"/>
    <mergeCell ref="A212:C213"/>
    <mergeCell ref="E212:E213"/>
    <mergeCell ref="F212:F213"/>
    <mergeCell ref="A214:C215"/>
    <mergeCell ref="E214:E215"/>
    <mergeCell ref="F214:F215"/>
    <mergeCell ref="Z305:AF305"/>
    <mergeCell ref="Z306:AF306"/>
    <mergeCell ref="Z307:AF307"/>
    <mergeCell ref="K305:S305"/>
    <mergeCell ref="K306:S306"/>
    <mergeCell ref="AH157:AN157"/>
    <mergeCell ref="AO157:AS157"/>
    <mergeCell ref="A232:C233"/>
    <mergeCell ref="E232:E233"/>
    <mergeCell ref="F232:F233"/>
    <mergeCell ref="A240:C241"/>
    <mergeCell ref="E240:E241"/>
    <mergeCell ref="F240:F241"/>
    <mergeCell ref="A234:C235"/>
    <mergeCell ref="E234:E235"/>
    <mergeCell ref="F234:F235"/>
    <mergeCell ref="A236:C237"/>
    <mergeCell ref="E236:E237"/>
    <mergeCell ref="F236:F237"/>
    <mergeCell ref="A278:E278"/>
    <mergeCell ref="A216:C217"/>
    <mergeCell ref="E216:E217"/>
    <mergeCell ref="F216:F217"/>
    <mergeCell ref="A218:C219"/>
    <mergeCell ref="A242:C243"/>
    <mergeCell ref="E242:E243"/>
    <mergeCell ref="F242:F243"/>
    <mergeCell ref="A244:C245"/>
    <mergeCell ref="E244:E245"/>
    <mergeCell ref="F224:F225"/>
    <mergeCell ref="A226:C227"/>
    <mergeCell ref="E226:E227"/>
    <mergeCell ref="F226:F227"/>
    <mergeCell ref="A228:C229"/>
    <mergeCell ref="E228:E229"/>
    <mergeCell ref="A224:C225"/>
    <mergeCell ref="F244:F245"/>
    <mergeCell ref="A238:C239"/>
    <mergeCell ref="E238:E239"/>
    <mergeCell ref="F238:F239"/>
    <mergeCell ref="E224:E225"/>
    <mergeCell ref="F228:F229"/>
    <mergeCell ref="A230:C231"/>
    <mergeCell ref="E230:E231"/>
    <mergeCell ref="F230:F231"/>
    <mergeCell ref="A198:C199"/>
    <mergeCell ref="E198:E199"/>
    <mergeCell ref="F198:F199"/>
    <mergeCell ref="F204:F205"/>
    <mergeCell ref="A202:C203"/>
    <mergeCell ref="E202:E203"/>
    <mergeCell ref="F202:F203"/>
    <mergeCell ref="A204:C205"/>
    <mergeCell ref="E204:E205"/>
    <mergeCell ref="A200:C201"/>
    <mergeCell ref="E200:E201"/>
    <mergeCell ref="F200:F201"/>
    <mergeCell ref="A191:C192"/>
    <mergeCell ref="E191:E192"/>
    <mergeCell ref="F191:F192"/>
    <mergeCell ref="A193:C194"/>
    <mergeCell ref="E193:E194"/>
    <mergeCell ref="F193:F194"/>
    <mergeCell ref="A195:C195"/>
    <mergeCell ref="A196:C197"/>
    <mergeCell ref="E196:E197"/>
    <mergeCell ref="F196:F197"/>
    <mergeCell ref="A176:C177"/>
    <mergeCell ref="E176:E177"/>
    <mergeCell ref="F176:F177"/>
    <mergeCell ref="A184:E184"/>
    <mergeCell ref="A185:C185"/>
    <mergeCell ref="A188:C188"/>
    <mergeCell ref="A189:C190"/>
    <mergeCell ref="E189:E190"/>
    <mergeCell ref="F189:F190"/>
    <mergeCell ref="A178:C179"/>
    <mergeCell ref="E178:E179"/>
    <mergeCell ref="F178:F179"/>
    <mergeCell ref="A180:C181"/>
    <mergeCell ref="E180:E181"/>
    <mergeCell ref="F180:F181"/>
    <mergeCell ref="A186:C186"/>
    <mergeCell ref="A182:C183"/>
    <mergeCell ref="E182:E183"/>
    <mergeCell ref="F182:F183"/>
    <mergeCell ref="A187:C187"/>
    <mergeCell ref="A170:C171"/>
    <mergeCell ref="E170:E171"/>
    <mergeCell ref="F170:F171"/>
    <mergeCell ref="A172:C173"/>
    <mergeCell ref="E172:E173"/>
    <mergeCell ref="F172:F173"/>
    <mergeCell ref="A174:C175"/>
    <mergeCell ref="E174:E175"/>
    <mergeCell ref="F174:F175"/>
    <mergeCell ref="A164:C165"/>
    <mergeCell ref="E164:E165"/>
    <mergeCell ref="F164:F165"/>
    <mergeCell ref="A166:C167"/>
    <mergeCell ref="E166:E167"/>
    <mergeCell ref="F166:F167"/>
    <mergeCell ref="A168:C169"/>
    <mergeCell ref="E168:E169"/>
    <mergeCell ref="F168:F169"/>
    <mergeCell ref="AV158:AV160"/>
    <mergeCell ref="AW158:AW160"/>
    <mergeCell ref="AX158:AX160"/>
    <mergeCell ref="A161:E161"/>
    <mergeCell ref="A162:C163"/>
    <mergeCell ref="E162:E163"/>
    <mergeCell ref="F162:F163"/>
    <mergeCell ref="AN158:AN160"/>
    <mergeCell ref="AO158:AO160"/>
    <mergeCell ref="AP158:AP160"/>
    <mergeCell ref="AQ158:AQ160"/>
    <mergeCell ref="AR158:AR160"/>
    <mergeCell ref="AS158:AS160"/>
    <mergeCell ref="AT158:AT160"/>
    <mergeCell ref="A157:D160"/>
    <mergeCell ref="E157:E160"/>
    <mergeCell ref="H157:K157"/>
    <mergeCell ref="L157:N157"/>
    <mergeCell ref="P157:Q157"/>
    <mergeCell ref="Y157:AG157"/>
    <mergeCell ref="AA158:AA160"/>
    <mergeCell ref="AW157:AX157"/>
    <mergeCell ref="F158:F160"/>
    <mergeCell ref="G158:G160"/>
    <mergeCell ref="H158:H160"/>
    <mergeCell ref="I158:I160"/>
    <mergeCell ref="J158:J160"/>
    <mergeCell ref="K158:K160"/>
    <mergeCell ref="L158:L160"/>
    <mergeCell ref="M158:M160"/>
    <mergeCell ref="N158:N160"/>
    <mergeCell ref="O158:O160"/>
    <mergeCell ref="P158:P160"/>
    <mergeCell ref="Q158:Q160"/>
    <mergeCell ref="R158:R160"/>
    <mergeCell ref="S158:S160"/>
    <mergeCell ref="T158:T160"/>
    <mergeCell ref="U158:U160"/>
    <mergeCell ref="V158:V160"/>
    <mergeCell ref="W158:W160"/>
    <mergeCell ref="X158:X160"/>
    <mergeCell ref="Y158:Y160"/>
    <mergeCell ref="Z158:Z160"/>
    <mergeCell ref="AU158:AU160"/>
    <mergeCell ref="AB158:AB160"/>
    <mergeCell ref="AC158:AC160"/>
    <mergeCell ref="AD158:AD160"/>
    <mergeCell ref="AE158:AE160"/>
    <mergeCell ref="AF158:AF160"/>
    <mergeCell ref="AG158:AG160"/>
    <mergeCell ref="AH158:AH160"/>
    <mergeCell ref="AI158:AI160"/>
    <mergeCell ref="AJ158:AJ160"/>
    <mergeCell ref="AK158:AK160"/>
    <mergeCell ref="AL158:AL160"/>
    <mergeCell ref="AM158:AM160"/>
    <mergeCell ref="A1:Z3"/>
    <mergeCell ref="A60:C61"/>
    <mergeCell ref="E60:E61"/>
    <mergeCell ref="F60:F61"/>
    <mergeCell ref="A62:C63"/>
    <mergeCell ref="E62:E63"/>
    <mergeCell ref="F62:F63"/>
    <mergeCell ref="A64:C65"/>
    <mergeCell ref="E64:E65"/>
    <mergeCell ref="F64:F65"/>
    <mergeCell ref="L8:M8"/>
    <mergeCell ref="N8:R8"/>
    <mergeCell ref="S8:T8"/>
    <mergeCell ref="F9:F12"/>
    <mergeCell ref="G9:G12"/>
    <mergeCell ref="H9:H12"/>
    <mergeCell ref="I9:I12"/>
    <mergeCell ref="J9:J12"/>
    <mergeCell ref="I8:K8"/>
    <mergeCell ref="K9:K12"/>
    <mergeCell ref="V9:V12"/>
    <mergeCell ref="W9:W12"/>
    <mergeCell ref="X9:X12"/>
    <mergeCell ref="Y9:Y12"/>
    <mergeCell ref="Z9:Z12"/>
    <mergeCell ref="V8:Z8"/>
    <mergeCell ref="AA8:AB8"/>
    <mergeCell ref="L9:L12"/>
    <mergeCell ref="M9:M12"/>
    <mergeCell ref="N9:N12"/>
    <mergeCell ref="O9:O12"/>
    <mergeCell ref="P9:P12"/>
    <mergeCell ref="Q9:Q12"/>
    <mergeCell ref="R9:R12"/>
    <mergeCell ref="U9:U12"/>
    <mergeCell ref="S9:S12"/>
    <mergeCell ref="T9:T12"/>
    <mergeCell ref="AA1:AB1"/>
    <mergeCell ref="AA2:AB3"/>
    <mergeCell ref="A5:AB6"/>
    <mergeCell ref="E8:E12"/>
    <mergeCell ref="G8:H8"/>
    <mergeCell ref="AA9:AA12"/>
    <mergeCell ref="AB9:AB12"/>
    <mergeCell ref="E34:E35"/>
    <mergeCell ref="E37:E38"/>
    <mergeCell ref="E30:E31"/>
    <mergeCell ref="E32:E33"/>
    <mergeCell ref="F32:F33"/>
    <mergeCell ref="E17:E18"/>
    <mergeCell ref="F17:F18"/>
    <mergeCell ref="A8:D12"/>
    <mergeCell ref="A13:E13"/>
    <mergeCell ref="A14:C15"/>
    <mergeCell ref="E14:E15"/>
    <mergeCell ref="F14:F15"/>
    <mergeCell ref="A16:C16"/>
    <mergeCell ref="A17:C18"/>
    <mergeCell ref="A19:C20"/>
    <mergeCell ref="E19:E20"/>
    <mergeCell ref="F19:F20"/>
    <mergeCell ref="E42:E43"/>
    <mergeCell ref="E44:E45"/>
    <mergeCell ref="F34:F35"/>
    <mergeCell ref="F37:F38"/>
    <mergeCell ref="E39:E40"/>
    <mergeCell ref="F39:F40"/>
    <mergeCell ref="F42:F43"/>
    <mergeCell ref="F44:F45"/>
    <mergeCell ref="A39:C40"/>
    <mergeCell ref="A41:C41"/>
    <mergeCell ref="A42:C43"/>
    <mergeCell ref="A44:C45"/>
    <mergeCell ref="E46:E47"/>
    <mergeCell ref="F46:F47"/>
    <mergeCell ref="A46:C47"/>
    <mergeCell ref="A48:C49"/>
    <mergeCell ref="E48:E49"/>
    <mergeCell ref="F48:F49"/>
    <mergeCell ref="E54:E55"/>
    <mergeCell ref="F54:F55"/>
    <mergeCell ref="E50:E51"/>
    <mergeCell ref="E52:E53"/>
    <mergeCell ref="F52:F53"/>
    <mergeCell ref="A54:C55"/>
    <mergeCell ref="A50:C51"/>
    <mergeCell ref="F50:F51"/>
    <mergeCell ref="A52:C53"/>
    <mergeCell ref="A21:C22"/>
    <mergeCell ref="E21:E22"/>
    <mergeCell ref="F21:F22"/>
    <mergeCell ref="A25:E25"/>
    <mergeCell ref="A26:C26"/>
    <mergeCell ref="A23:C24"/>
    <mergeCell ref="E23:E24"/>
    <mergeCell ref="F23:F24"/>
    <mergeCell ref="A27:C27"/>
    <mergeCell ref="E28:E29"/>
    <mergeCell ref="F28:F29"/>
    <mergeCell ref="A28:C29"/>
    <mergeCell ref="A30:C31"/>
    <mergeCell ref="F30:F31"/>
    <mergeCell ref="A32:C33"/>
    <mergeCell ref="A34:C35"/>
    <mergeCell ref="A36:C36"/>
    <mergeCell ref="A37:C38"/>
    <mergeCell ref="A87:C88"/>
    <mergeCell ref="E87:E88"/>
    <mergeCell ref="F87:F88"/>
    <mergeCell ref="A89:C90"/>
    <mergeCell ref="E89:E90"/>
    <mergeCell ref="F89:F90"/>
    <mergeCell ref="A91:E91"/>
    <mergeCell ref="E104:E105"/>
    <mergeCell ref="A92:C92"/>
    <mergeCell ref="A93:C93"/>
    <mergeCell ref="A94:C95"/>
    <mergeCell ref="E94:E95"/>
    <mergeCell ref="F94:F95"/>
    <mergeCell ref="E96:E97"/>
    <mergeCell ref="F96:F97"/>
    <mergeCell ref="A96:C97"/>
    <mergeCell ref="A98:C99"/>
    <mergeCell ref="F98:F99"/>
    <mergeCell ref="F100:F101"/>
    <mergeCell ref="E98:E99"/>
    <mergeCell ref="E100:E101"/>
    <mergeCell ref="F102:F103"/>
    <mergeCell ref="F104:F105"/>
    <mergeCell ref="A100:C101"/>
    <mergeCell ref="A102:C103"/>
    <mergeCell ref="A104:C105"/>
    <mergeCell ref="A140:C140"/>
    <mergeCell ref="A135:C136"/>
    <mergeCell ref="A137:C137"/>
    <mergeCell ref="A138:C139"/>
    <mergeCell ref="E117:E118"/>
    <mergeCell ref="E119:E120"/>
    <mergeCell ref="E121:E122"/>
    <mergeCell ref="E123:E124"/>
    <mergeCell ref="E125:E126"/>
    <mergeCell ref="E107:E108"/>
    <mergeCell ref="E131:E132"/>
    <mergeCell ref="A106:C106"/>
    <mergeCell ref="A107:C108"/>
    <mergeCell ref="A109:C110"/>
    <mergeCell ref="A111:C112"/>
    <mergeCell ref="A113:C114"/>
    <mergeCell ref="A115:C116"/>
    <mergeCell ref="A117:C118"/>
    <mergeCell ref="E102:E103"/>
    <mergeCell ref="F107:F108"/>
    <mergeCell ref="E109:E110"/>
    <mergeCell ref="F109:F110"/>
    <mergeCell ref="E111:E112"/>
    <mergeCell ref="F111:F112"/>
    <mergeCell ref="E113:E114"/>
    <mergeCell ref="F113:F114"/>
    <mergeCell ref="E115:E116"/>
    <mergeCell ref="F115:F116"/>
    <mergeCell ref="F133:F134"/>
    <mergeCell ref="E135:E136"/>
    <mergeCell ref="F135:F136"/>
    <mergeCell ref="E138:E139"/>
    <mergeCell ref="A119:C120"/>
    <mergeCell ref="F117:F118"/>
    <mergeCell ref="F119:F120"/>
    <mergeCell ref="F121:F122"/>
    <mergeCell ref="F123:F124"/>
    <mergeCell ref="F125:F126"/>
    <mergeCell ref="F127:F128"/>
    <mergeCell ref="F129:F130"/>
    <mergeCell ref="A121:C122"/>
    <mergeCell ref="A123:C124"/>
    <mergeCell ref="A125:C126"/>
    <mergeCell ref="A127:C128"/>
    <mergeCell ref="A129:C130"/>
    <mergeCell ref="A131:C132"/>
    <mergeCell ref="A133:C134"/>
    <mergeCell ref="E127:E128"/>
    <mergeCell ref="E129:E130"/>
    <mergeCell ref="A56:C57"/>
    <mergeCell ref="E56:E57"/>
    <mergeCell ref="F56:F57"/>
    <mergeCell ref="A58:C59"/>
    <mergeCell ref="E58:E59"/>
    <mergeCell ref="F58:F59"/>
    <mergeCell ref="H76:J76"/>
    <mergeCell ref="K76:L76"/>
    <mergeCell ref="M76:Q76"/>
    <mergeCell ref="A66:C67"/>
    <mergeCell ref="E66:E67"/>
    <mergeCell ref="F66:F67"/>
    <mergeCell ref="A68:C69"/>
    <mergeCell ref="E68:E69"/>
    <mergeCell ref="F68:F69"/>
    <mergeCell ref="A70:E70"/>
    <mergeCell ref="E71:E72"/>
    <mergeCell ref="F71:F72"/>
    <mergeCell ref="A71:C72"/>
    <mergeCell ref="A76:D79"/>
    <mergeCell ref="E76:E79"/>
    <mergeCell ref="F77:F79"/>
    <mergeCell ref="I77:I79"/>
    <mergeCell ref="J77:J79"/>
    <mergeCell ref="Y77:Y79"/>
    <mergeCell ref="Z77:Z79"/>
    <mergeCell ref="AA77:AA79"/>
    <mergeCell ref="A141:C142"/>
    <mergeCell ref="E141:E142"/>
    <mergeCell ref="F141:F142"/>
    <mergeCell ref="AE77:AE79"/>
    <mergeCell ref="R76:S76"/>
    <mergeCell ref="AD76:AE76"/>
    <mergeCell ref="K77:K79"/>
    <mergeCell ref="L77:L79"/>
    <mergeCell ref="M77:M79"/>
    <mergeCell ref="N77:N79"/>
    <mergeCell ref="O77:O79"/>
    <mergeCell ref="P77:P79"/>
    <mergeCell ref="Q77:Q79"/>
    <mergeCell ref="R77:R79"/>
    <mergeCell ref="S77:S79"/>
    <mergeCell ref="AD77:AD79"/>
    <mergeCell ref="T77:T79"/>
    <mergeCell ref="U77:U79"/>
    <mergeCell ref="F138:F139"/>
    <mergeCell ref="F131:F132"/>
    <mergeCell ref="E133:E134"/>
    <mergeCell ref="T76:AC76"/>
    <mergeCell ref="A143:C144"/>
    <mergeCell ref="E143:E144"/>
    <mergeCell ref="F143:F144"/>
    <mergeCell ref="A145:C146"/>
    <mergeCell ref="E145:E146"/>
    <mergeCell ref="F145:F146"/>
    <mergeCell ref="A85:C86"/>
    <mergeCell ref="E85:E86"/>
    <mergeCell ref="F85:F86"/>
    <mergeCell ref="E83:E84"/>
    <mergeCell ref="F83:F84"/>
    <mergeCell ref="G77:G79"/>
    <mergeCell ref="H77:H79"/>
    <mergeCell ref="A80:E80"/>
    <mergeCell ref="A81:C82"/>
    <mergeCell ref="E81:E82"/>
    <mergeCell ref="F81:F82"/>
    <mergeCell ref="A83:C84"/>
    <mergeCell ref="AB77:AB79"/>
    <mergeCell ref="AC77:AC79"/>
    <mergeCell ref="V77:V79"/>
    <mergeCell ref="W77:W79"/>
    <mergeCell ref="X77:X79"/>
    <mergeCell ref="A147:C148"/>
    <mergeCell ref="E147:E148"/>
    <mergeCell ref="F147:F148"/>
    <mergeCell ref="A149:C150"/>
    <mergeCell ref="E149:E150"/>
    <mergeCell ref="F149:F150"/>
    <mergeCell ref="A152:C153"/>
    <mergeCell ref="E152:E153"/>
    <mergeCell ref="F152:F153"/>
    <mergeCell ref="A151:E151"/>
    <mergeCell ref="A246:C247"/>
    <mergeCell ref="E246:E247"/>
    <mergeCell ref="F246:F247"/>
    <mergeCell ref="A248:C249"/>
    <mergeCell ref="E248:E249"/>
    <mergeCell ref="F248:F249"/>
    <mergeCell ref="A250:C251"/>
    <mergeCell ref="E250:E251"/>
    <mergeCell ref="F250:F251"/>
    <mergeCell ref="A252:C253"/>
    <mergeCell ref="E252:E253"/>
    <mergeCell ref="F252:F253"/>
    <mergeCell ref="F262:F263"/>
    <mergeCell ref="A264:C265"/>
    <mergeCell ref="E264:E265"/>
    <mergeCell ref="F264:F265"/>
    <mergeCell ref="A254:C255"/>
    <mergeCell ref="E254:E255"/>
    <mergeCell ref="F254:F255"/>
    <mergeCell ref="A256:C257"/>
    <mergeCell ref="E256:E257"/>
    <mergeCell ref="F256:F257"/>
    <mergeCell ref="A258:C259"/>
    <mergeCell ref="E258:E259"/>
    <mergeCell ref="F258:F259"/>
    <mergeCell ref="A279:C280"/>
    <mergeCell ref="E279:E280"/>
    <mergeCell ref="F279:F280"/>
    <mergeCell ref="A281:C282"/>
    <mergeCell ref="E281:E282"/>
    <mergeCell ref="F281:F282"/>
    <mergeCell ref="A283:C284"/>
    <mergeCell ref="E283:E284"/>
    <mergeCell ref="F283:F284"/>
    <mergeCell ref="A285:C286"/>
    <mergeCell ref="E285:E286"/>
    <mergeCell ref="F285:F286"/>
    <mergeCell ref="A287:C288"/>
    <mergeCell ref="E287:E288"/>
    <mergeCell ref="F287:F288"/>
    <mergeCell ref="A289:C290"/>
    <mergeCell ref="E289:E290"/>
    <mergeCell ref="F289:F290"/>
    <mergeCell ref="R157:X157"/>
    <mergeCell ref="A272:C273"/>
    <mergeCell ref="E272:E273"/>
    <mergeCell ref="F272:F273"/>
    <mergeCell ref="A274:C275"/>
    <mergeCell ref="E274:E275"/>
    <mergeCell ref="F274:F275"/>
    <mergeCell ref="A276:C277"/>
    <mergeCell ref="E276:E277"/>
    <mergeCell ref="F276:F277"/>
    <mergeCell ref="A266:C267"/>
    <mergeCell ref="E266:E267"/>
    <mergeCell ref="F266:F267"/>
    <mergeCell ref="A268:C269"/>
    <mergeCell ref="E268:E269"/>
    <mergeCell ref="F268:F269"/>
    <mergeCell ref="A270:C271"/>
    <mergeCell ref="E270:E271"/>
    <mergeCell ref="F270:F271"/>
    <mergeCell ref="A260:C261"/>
    <mergeCell ref="E260:E261"/>
    <mergeCell ref="F260:F261"/>
    <mergeCell ref="A262:C263"/>
    <mergeCell ref="E262:E263"/>
  </mergeCells>
  <phoneticPr fontId="46" type="noConversion"/>
  <conditionalFormatting sqref="M90:P90 P91:P95 Q94:Q95 G106:H106 J106 G26:Q27 S26:AB27 G13:AB25 T93:V93 T92:U92 K89:P89 Q89:U91 R92:S93 K87:U88 G81:AE86 V87:V92 G87:J105 M91:O108 P96:Q108 R94:V105 W87:AC105 M109:Q116 R106:AC116 K90:L153 M141:T153 U145:U150 V149:V150 U152:AD153 W145:AE146 X147:AC150 AE147:AE150 AD149:AD150 G107:J153 U141:AE142 V143:AE144 M117:AE140 G163:G190 T163:V190 M171:O190 R191:V194 V177:W197 AK195:AK203 R184:R201 AC168:AD203 M191:Q203 G195:G203 AK202:AM207 O202:O207 P184:P207 H184:N207 T193:T207 AN162:AN207 V202:W209 X193:X209 Y163:Y278 AO191:AO213 AP188:AS213 AK208:AN209 G208:T277 U193:U209 AC210:AD277 U210:W278 Z163:Z280 AA162:AA280 G28:AB72 AD87:AE116 W168:AB194 R195:AB203 M204:AD207 X208:AB277 P172:AD183 G162:AD162 L163:AD163 L165:AD167 M164:AD164 U278:AA278 Q163:Q184 V285:AC290 V283:AB284 AB162:AC282 AE162:AE284 AD161:AD284 AF162:AF286 AG162:AG288 AT162:AX290 R279:T290 AO216:AO290 AP278:AS290 G279:P290 V279:X280 V281:Z282 Q186:Q290 AH162:AM201 AH204:AJ207 AH210:AN290">
    <cfRule type="cellIs" dxfId="107" priority="86" operator="equal">
      <formula>0</formula>
    </cfRule>
  </conditionalFormatting>
  <conditionalFormatting sqref="U143:U144">
    <cfRule type="cellIs" dxfId="106" priority="85" operator="equal">
      <formula>0</formula>
    </cfRule>
  </conditionalFormatting>
  <conditionalFormatting sqref="V145:V146">
    <cfRule type="cellIs" dxfId="105" priority="84" operator="equal">
      <formula>0</formula>
    </cfRule>
  </conditionalFormatting>
  <conditionalFormatting sqref="V148">
    <cfRule type="cellIs" dxfId="104" priority="83" operator="equal">
      <formula>0</formula>
    </cfRule>
  </conditionalFormatting>
  <conditionalFormatting sqref="V147">
    <cfRule type="cellIs" dxfId="103" priority="82" operator="equal">
      <formula>0</formula>
    </cfRule>
  </conditionalFormatting>
  <conditionalFormatting sqref="W149:W150">
    <cfRule type="cellIs" dxfId="102" priority="81" operator="equal">
      <formula>0</formula>
    </cfRule>
  </conditionalFormatting>
  <conditionalFormatting sqref="W147:W148">
    <cfRule type="cellIs" dxfId="101" priority="80" operator="equal">
      <formula>0</formula>
    </cfRule>
  </conditionalFormatting>
  <conditionalFormatting sqref="AD147:AD148">
    <cfRule type="cellIs" dxfId="100" priority="79" operator="equal">
      <formula>0</formula>
    </cfRule>
  </conditionalFormatting>
  <conditionalFormatting sqref="AE152:AE153">
    <cfRule type="cellIs" dxfId="99" priority="78" operator="equal">
      <formula>0</formula>
    </cfRule>
  </conditionalFormatting>
  <conditionalFormatting sqref="U151:AB151">
    <cfRule type="cellIs" dxfId="98" priority="77" operator="equal">
      <formula>0</formula>
    </cfRule>
  </conditionalFormatting>
  <conditionalFormatting sqref="N164:N171 L171:M171 P164:P171 H163:K171 G278:T278 R167:R171 U280 U282 U284 U286 U288 U290 AK172:AK183 G172:N183 X267:X278 O172:O190">
    <cfRule type="cellIs" dxfId="97" priority="76" operator="equal">
      <formula>0</formula>
    </cfRule>
  </conditionalFormatting>
  <conditionalFormatting sqref="T188:V190 L170:P170 L168:U169 U279 U281 U283 U285 U287 U289 W163:X171 P171:P183 T185:U187 R185:S190 Q170:U184">
    <cfRule type="cellIs" dxfId="96" priority="75" operator="equal">
      <formula>0</formula>
    </cfRule>
  </conditionalFormatting>
  <conditionalFormatting sqref="V209">
    <cfRule type="cellIs" dxfId="95" priority="72" operator="equal">
      <formula>0</formula>
    </cfRule>
  </conditionalFormatting>
  <conditionalFormatting sqref="V208">
    <cfRule type="cellIs" dxfId="94" priority="71" operator="equal">
      <formula>0</formula>
    </cfRule>
  </conditionalFormatting>
  <conditionalFormatting sqref="W208:W209">
    <cfRule type="cellIs" dxfId="93" priority="70" operator="equal">
      <formula>0</formula>
    </cfRule>
  </conditionalFormatting>
  <conditionalFormatting sqref="AC208:AC209">
    <cfRule type="cellIs" dxfId="92" priority="69" operator="equal">
      <formula>0</formula>
    </cfRule>
  </conditionalFormatting>
  <conditionalFormatting sqref="U280 U282 U284 U286 U288 U290 V242:V277">
    <cfRule type="cellIs" dxfId="91" priority="67" operator="equal">
      <formula>0</formula>
    </cfRule>
  </conditionalFormatting>
  <conditionalFormatting sqref="G191:G192">
    <cfRule type="cellIs" dxfId="90" priority="66" operator="equal">
      <formula>0</formula>
    </cfRule>
  </conditionalFormatting>
  <conditionalFormatting sqref="G193:G194">
    <cfRule type="cellIs" dxfId="89" priority="65" operator="equal">
      <formula>0</formula>
    </cfRule>
  </conditionalFormatting>
  <conditionalFormatting sqref="G204:G205">
    <cfRule type="cellIs" dxfId="88" priority="64" operator="equal">
      <formula>0</formula>
    </cfRule>
  </conditionalFormatting>
  <conditionalFormatting sqref="G206:G207">
    <cfRule type="cellIs" dxfId="87" priority="63" operator="equal">
      <formula>0</formula>
    </cfRule>
  </conditionalFormatting>
  <conditionalFormatting sqref="L164">
    <cfRule type="cellIs" dxfId="86" priority="62" operator="equal">
      <formula>0</formula>
    </cfRule>
  </conditionalFormatting>
  <conditionalFormatting sqref="G161:AX290">
    <cfRule type="cellIs" dxfId="85" priority="61" operator="greaterThan">
      <formula>0</formula>
    </cfRule>
  </conditionalFormatting>
  <conditionalFormatting sqref="AK191:AK192">
    <cfRule type="cellIs" dxfId="84" priority="58" operator="equal">
      <formula>0</formula>
    </cfRule>
  </conditionalFormatting>
  <conditionalFormatting sqref="AK193:AK194">
    <cfRule type="cellIs" dxfId="83" priority="57" operator="equal">
      <formula>0</formula>
    </cfRule>
  </conditionalFormatting>
  <conditionalFormatting sqref="AK204:AK205">
    <cfRule type="cellIs" dxfId="82" priority="56" operator="equal">
      <formula>0</formula>
    </cfRule>
  </conditionalFormatting>
  <conditionalFormatting sqref="AK206:AK207">
    <cfRule type="cellIs" dxfId="81" priority="55" operator="equal">
      <formula>0</formula>
    </cfRule>
  </conditionalFormatting>
  <conditionalFormatting sqref="AK191:AK192">
    <cfRule type="cellIs" dxfId="80" priority="53" operator="equal">
      <formula>0</formula>
    </cfRule>
  </conditionalFormatting>
  <conditionalFormatting sqref="AK193:AK194">
    <cfRule type="cellIs" dxfId="79" priority="52" operator="equal">
      <formula>0</formula>
    </cfRule>
  </conditionalFormatting>
  <conditionalFormatting sqref="AK204:AK205">
    <cfRule type="cellIs" dxfId="78" priority="51" operator="equal">
      <formula>0</formula>
    </cfRule>
  </conditionalFormatting>
  <conditionalFormatting sqref="AK206:AK207">
    <cfRule type="cellIs" dxfId="77" priority="50" operator="equal">
      <formula>0</formula>
    </cfRule>
  </conditionalFormatting>
  <conditionalFormatting sqref="AD285:AD290">
    <cfRule type="cellIs" dxfId="76" priority="31" operator="equal">
      <formula>0</formula>
    </cfRule>
  </conditionalFormatting>
  <conditionalFormatting sqref="AE287:AE290">
    <cfRule type="cellIs" dxfId="75" priority="29" operator="equal">
      <formula>0</formula>
    </cfRule>
  </conditionalFormatting>
  <conditionalFormatting sqref="AF289:AF290">
    <cfRule type="cellIs" dxfId="74" priority="27" operator="equal">
      <formula>0</formula>
    </cfRule>
  </conditionalFormatting>
  <conditionalFormatting sqref="AO162:AO171">
    <cfRule type="cellIs" dxfId="73" priority="19" operator="equal">
      <formula>0</formula>
    </cfRule>
  </conditionalFormatting>
  <conditionalFormatting sqref="AO178:AO188">
    <cfRule type="cellIs" dxfId="72" priority="18" operator="equal">
      <formula>0</formula>
    </cfRule>
  </conditionalFormatting>
  <conditionalFormatting sqref="AP162:AR171">
    <cfRule type="cellIs" dxfId="71" priority="15" operator="equal">
      <formula>0</formula>
    </cfRule>
  </conditionalFormatting>
  <conditionalFormatting sqref="AP176:AR181">
    <cfRule type="cellIs" dxfId="70" priority="14" operator="equal">
      <formula>0</formula>
    </cfRule>
  </conditionalFormatting>
  <conditionalFormatting sqref="AP184:AR185">
    <cfRule type="cellIs" dxfId="69" priority="13" operator="equal">
      <formula>0</formula>
    </cfRule>
  </conditionalFormatting>
  <conditionalFormatting sqref="AP216:AR265">
    <cfRule type="cellIs" dxfId="68" priority="11" operator="equal">
      <formula>0</formula>
    </cfRule>
  </conditionalFormatting>
  <conditionalFormatting sqref="AP216:AR265">
    <cfRule type="cellIs" dxfId="67" priority="10" operator="equal">
      <formula>0</formula>
    </cfRule>
  </conditionalFormatting>
  <conditionalFormatting sqref="AS162:AS171">
    <cfRule type="cellIs" dxfId="66" priority="8" operator="equal">
      <formula>0</formula>
    </cfRule>
  </conditionalFormatting>
  <conditionalFormatting sqref="AS176:AS181">
    <cfRule type="cellIs" dxfId="65" priority="7" operator="equal">
      <formula>0</formula>
    </cfRule>
  </conditionalFormatting>
  <conditionalFormatting sqref="AS184:AS185">
    <cfRule type="cellIs" dxfId="64" priority="6" operator="equal">
      <formula>0</formula>
    </cfRule>
  </conditionalFormatting>
  <conditionalFormatting sqref="AS216:AS265">
    <cfRule type="cellIs" dxfId="63" priority="4" operator="equal">
      <formula>0</formula>
    </cfRule>
  </conditionalFormatting>
  <printOptions horizontalCentered="1" verticalCentered="1"/>
  <pageMargins left="0.1" right="0.1" top="0.1" bottom="0.1" header="0" footer="0"/>
  <pageSetup scale="20" fitToHeight="0" orientation="landscape" r:id="rId1"/>
  <rowBreaks count="2" manualBreakCount="2">
    <brk id="155" max="52" man="1"/>
    <brk id="243" max="52"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G1324"/>
  <sheetViews>
    <sheetView view="pageBreakPreview" topLeftCell="A490" zoomScale="85" zoomScaleNormal="100" zoomScaleSheetLayoutView="85" workbookViewId="0">
      <selection activeCell="C1322" sqref="C1322"/>
    </sheetView>
  </sheetViews>
  <sheetFormatPr baseColWidth="10" defaultColWidth="11.5703125" defaultRowHeight="12.75" x14ac:dyDescent="0.2"/>
  <cols>
    <col min="1" max="1" width="5.42578125" style="144" customWidth="1"/>
    <col min="2" max="2" width="7.28515625" style="243" customWidth="1"/>
    <col min="3" max="3" width="53.7109375" style="243" customWidth="1"/>
    <col min="4" max="4" width="14.7109375" style="243" customWidth="1"/>
    <col min="5" max="5" width="15.28515625" style="243" bestFit="1" customWidth="1"/>
    <col min="6" max="6" width="15.28515625" style="243" customWidth="1"/>
    <col min="7" max="7" width="12.28515625" style="243" customWidth="1"/>
    <col min="8" max="8" width="3.140625" style="144" customWidth="1"/>
    <col min="9" max="16384" width="11.5703125" style="144"/>
  </cols>
  <sheetData>
    <row r="1" spans="2:7" x14ac:dyDescent="0.2">
      <c r="B1" s="151"/>
      <c r="C1" s="1750"/>
      <c r="D1" s="1738"/>
      <c r="E1" s="1738"/>
      <c r="F1" s="1738"/>
      <c r="G1" s="1739"/>
    </row>
    <row r="2" spans="2:7" x14ac:dyDescent="0.2">
      <c r="B2" s="152"/>
      <c r="C2" s="153"/>
      <c r="D2" s="154" t="s">
        <v>1038</v>
      </c>
      <c r="E2" s="155"/>
      <c r="F2" s="156"/>
      <c r="G2" s="157"/>
    </row>
    <row r="3" spans="2:7" x14ac:dyDescent="0.2">
      <c r="B3" s="152"/>
      <c r="C3" s="158"/>
      <c r="D3" s="154" t="s">
        <v>180</v>
      </c>
      <c r="E3" s="159" t="s">
        <v>991</v>
      </c>
      <c r="F3" s="156"/>
      <c r="G3" s="157"/>
    </row>
    <row r="4" spans="2:7" x14ac:dyDescent="0.2">
      <c r="B4" s="152"/>
      <c r="C4" s="158"/>
      <c r="D4" s="154" t="s">
        <v>696</v>
      </c>
      <c r="E4" s="160"/>
      <c r="F4" s="156"/>
      <c r="G4" s="157"/>
    </row>
    <row r="5" spans="2:7" x14ac:dyDescent="0.2">
      <c r="B5" s="161"/>
      <c r="C5" s="156"/>
      <c r="D5" s="156"/>
      <c r="E5" s="156"/>
      <c r="F5" s="156"/>
      <c r="G5" s="157"/>
    </row>
    <row r="6" spans="2:7" x14ac:dyDescent="0.2">
      <c r="B6" s="1751" t="s">
        <v>1007</v>
      </c>
      <c r="C6" s="1752"/>
      <c r="D6" s="1752"/>
      <c r="E6" s="1752"/>
      <c r="F6" s="1752"/>
      <c r="G6" s="1753"/>
    </row>
    <row r="7" spans="2:7" x14ac:dyDescent="0.2">
      <c r="B7" s="162"/>
      <c r="C7" s="163" t="s">
        <v>1037</v>
      </c>
      <c r="D7" s="164" t="s">
        <v>119</v>
      </c>
      <c r="E7" s="164" t="s">
        <v>1008</v>
      </c>
      <c r="F7" s="164" t="s">
        <v>1009</v>
      </c>
      <c r="G7" s="165" t="s">
        <v>1036</v>
      </c>
    </row>
    <row r="8" spans="2:7" x14ac:dyDescent="0.2">
      <c r="B8" s="166"/>
      <c r="C8" s="167" t="s">
        <v>1035</v>
      </c>
      <c r="D8" s="168" t="s">
        <v>9</v>
      </c>
      <c r="E8" s="169">
        <v>5</v>
      </c>
      <c r="F8" s="170">
        <v>3400</v>
      </c>
      <c r="G8" s="171">
        <v>17000</v>
      </c>
    </row>
    <row r="9" spans="2:7" x14ac:dyDescent="0.2">
      <c r="B9" s="166"/>
      <c r="C9" s="172" t="s">
        <v>1034</v>
      </c>
      <c r="D9" s="173" t="s">
        <v>991</v>
      </c>
      <c r="E9" s="174">
        <v>2</v>
      </c>
      <c r="F9" s="170">
        <v>600</v>
      </c>
      <c r="G9" s="171">
        <v>1200</v>
      </c>
    </row>
    <row r="10" spans="2:7" x14ac:dyDescent="0.2">
      <c r="B10" s="166"/>
      <c r="C10" s="172" t="s">
        <v>1033</v>
      </c>
      <c r="D10" s="173" t="s">
        <v>991</v>
      </c>
      <c r="E10" s="174">
        <v>1</v>
      </c>
      <c r="F10" s="170">
        <v>2880</v>
      </c>
      <c r="G10" s="171">
        <v>2880</v>
      </c>
    </row>
    <row r="11" spans="2:7" x14ac:dyDescent="0.2">
      <c r="B11" s="166"/>
      <c r="C11" s="172" t="s">
        <v>1032</v>
      </c>
      <c r="D11" s="173" t="s">
        <v>991</v>
      </c>
      <c r="E11" s="175">
        <v>2</v>
      </c>
      <c r="F11" s="170">
        <v>756</v>
      </c>
      <c r="G11" s="171">
        <v>1512</v>
      </c>
    </row>
    <row r="12" spans="2:7" x14ac:dyDescent="0.2">
      <c r="B12" s="166"/>
      <c r="C12" s="172" t="s">
        <v>1031</v>
      </c>
      <c r="D12" s="176" t="s">
        <v>9</v>
      </c>
      <c r="E12" s="177">
        <v>15</v>
      </c>
      <c r="F12" s="170">
        <v>1920</v>
      </c>
      <c r="G12" s="171">
        <v>28800</v>
      </c>
    </row>
    <row r="13" spans="2:7" x14ac:dyDescent="0.2">
      <c r="B13" s="166"/>
      <c r="C13" s="172" t="s">
        <v>1030</v>
      </c>
      <c r="D13" s="176" t="s">
        <v>991</v>
      </c>
      <c r="E13" s="175">
        <v>5</v>
      </c>
      <c r="F13" s="170">
        <v>1050</v>
      </c>
      <c r="G13" s="171">
        <v>5250</v>
      </c>
    </row>
    <row r="14" spans="2:7" x14ac:dyDescent="0.2">
      <c r="B14" s="166"/>
      <c r="C14" s="172" t="s">
        <v>1029</v>
      </c>
      <c r="D14" s="176" t="s">
        <v>991</v>
      </c>
      <c r="E14" s="175">
        <v>1</v>
      </c>
      <c r="F14" s="170">
        <v>1094.8</v>
      </c>
      <c r="G14" s="171">
        <v>1094.8</v>
      </c>
    </row>
    <row r="15" spans="2:7" x14ac:dyDescent="0.2">
      <c r="B15" s="166"/>
      <c r="C15" s="172" t="s">
        <v>1028</v>
      </c>
      <c r="D15" s="176" t="s">
        <v>9</v>
      </c>
      <c r="E15" s="178">
        <v>1</v>
      </c>
      <c r="F15" s="170">
        <v>3720</v>
      </c>
      <c r="G15" s="171">
        <v>3720</v>
      </c>
    </row>
    <row r="16" spans="2:7" x14ac:dyDescent="0.2">
      <c r="B16" s="166"/>
      <c r="C16" s="172" t="s">
        <v>1027</v>
      </c>
      <c r="D16" s="176" t="s">
        <v>991</v>
      </c>
      <c r="E16" s="175">
        <v>1</v>
      </c>
      <c r="F16" s="170">
        <v>14900</v>
      </c>
      <c r="G16" s="171">
        <v>14900</v>
      </c>
    </row>
    <row r="17" spans="2:7" x14ac:dyDescent="0.2">
      <c r="B17" s="166"/>
      <c r="C17" s="172"/>
      <c r="D17" s="176"/>
      <c r="E17" s="175"/>
      <c r="F17" s="170">
        <v>0</v>
      </c>
      <c r="G17" s="171">
        <v>0</v>
      </c>
    </row>
    <row r="18" spans="2:7" x14ac:dyDescent="0.2">
      <c r="B18" s="166"/>
      <c r="C18" s="172"/>
      <c r="D18" s="176"/>
      <c r="E18" s="175"/>
      <c r="F18" s="170">
        <v>0</v>
      </c>
      <c r="G18" s="171">
        <v>0</v>
      </c>
    </row>
    <row r="19" spans="2:7" x14ac:dyDescent="0.2">
      <c r="B19" s="166"/>
      <c r="C19" s="172"/>
      <c r="D19" s="176"/>
      <c r="E19" s="175"/>
      <c r="F19" s="170">
        <v>0</v>
      </c>
      <c r="G19" s="171">
        <v>0</v>
      </c>
    </row>
    <row r="20" spans="2:7" x14ac:dyDescent="0.2">
      <c r="B20" s="166"/>
      <c r="C20" s="172"/>
      <c r="D20" s="176"/>
      <c r="E20" s="175"/>
      <c r="F20" s="170">
        <v>0</v>
      </c>
      <c r="G20" s="171">
        <v>0</v>
      </c>
    </row>
    <row r="21" spans="2:7" x14ac:dyDescent="0.2">
      <c r="B21" s="166"/>
      <c r="C21" s="172"/>
      <c r="D21" s="176"/>
      <c r="E21" s="175"/>
      <c r="F21" s="170">
        <v>0</v>
      </c>
      <c r="G21" s="171">
        <v>0</v>
      </c>
    </row>
    <row r="22" spans="2:7" x14ac:dyDescent="0.2">
      <c r="B22" s="166"/>
      <c r="C22" s="172"/>
      <c r="D22" s="176"/>
      <c r="E22" s="175"/>
      <c r="F22" s="170">
        <v>0</v>
      </c>
      <c r="G22" s="171">
        <v>0</v>
      </c>
    </row>
    <row r="23" spans="2:7" x14ac:dyDescent="0.2">
      <c r="B23" s="166"/>
      <c r="C23" s="172"/>
      <c r="D23" s="176"/>
      <c r="E23" s="175"/>
      <c r="F23" s="170">
        <v>0</v>
      </c>
      <c r="G23" s="171">
        <v>0</v>
      </c>
    </row>
    <row r="24" spans="2:7" x14ac:dyDescent="0.2">
      <c r="B24" s="166"/>
      <c r="C24" s="172"/>
      <c r="D24" s="176"/>
      <c r="E24" s="175"/>
      <c r="F24" s="170">
        <v>0</v>
      </c>
      <c r="G24" s="171">
        <v>0</v>
      </c>
    </row>
    <row r="25" spans="2:7" x14ac:dyDescent="0.2">
      <c r="B25" s="166"/>
      <c r="C25" s="172"/>
      <c r="D25" s="176"/>
      <c r="E25" s="175"/>
      <c r="F25" s="170">
        <v>0</v>
      </c>
      <c r="G25" s="171">
        <v>0</v>
      </c>
    </row>
    <row r="26" spans="2:7" x14ac:dyDescent="0.2">
      <c r="B26" s="166"/>
      <c r="C26" s="172"/>
      <c r="D26" s="176"/>
      <c r="E26" s="175"/>
      <c r="F26" s="170">
        <v>0</v>
      </c>
      <c r="G26" s="171">
        <v>0</v>
      </c>
    </row>
    <row r="27" spans="2:7" x14ac:dyDescent="0.2">
      <c r="B27" s="166"/>
      <c r="C27" s="172"/>
      <c r="D27" s="176"/>
      <c r="E27" s="175"/>
      <c r="F27" s="170">
        <v>0</v>
      </c>
      <c r="G27" s="171">
        <v>0</v>
      </c>
    </row>
    <row r="28" spans="2:7" x14ac:dyDescent="0.2">
      <c r="B28" s="166"/>
      <c r="C28" s="172"/>
      <c r="D28" s="176"/>
      <c r="E28" s="175"/>
      <c r="F28" s="170">
        <v>0</v>
      </c>
      <c r="G28" s="171">
        <v>0</v>
      </c>
    </row>
    <row r="29" spans="2:7" x14ac:dyDescent="0.2">
      <c r="B29" s="166"/>
      <c r="C29" s="172"/>
      <c r="D29" s="176"/>
      <c r="E29" s="175"/>
      <c r="F29" s="170">
        <v>0</v>
      </c>
      <c r="G29" s="171">
        <v>0</v>
      </c>
    </row>
    <row r="30" spans="2:7" x14ac:dyDescent="0.2">
      <c r="B30" s="166"/>
      <c r="C30" s="172"/>
      <c r="D30" s="176"/>
      <c r="E30" s="175"/>
      <c r="F30" s="170">
        <v>0</v>
      </c>
      <c r="G30" s="171">
        <v>0</v>
      </c>
    </row>
    <row r="31" spans="2:7" x14ac:dyDescent="0.2">
      <c r="B31" s="166"/>
      <c r="C31" s="172"/>
      <c r="D31" s="176"/>
      <c r="E31" s="175"/>
      <c r="F31" s="170">
        <v>0</v>
      </c>
      <c r="G31" s="171">
        <v>0</v>
      </c>
    </row>
    <row r="32" spans="2:7" x14ac:dyDescent="0.2">
      <c r="B32" s="166"/>
      <c r="C32" s="179"/>
      <c r="D32" s="176"/>
      <c r="E32" s="175"/>
      <c r="F32" s="170">
        <v>0</v>
      </c>
      <c r="G32" s="171">
        <v>0</v>
      </c>
    </row>
    <row r="33" spans="2:7" x14ac:dyDescent="0.2">
      <c r="B33" s="166"/>
      <c r="C33" s="180" t="s">
        <v>1026</v>
      </c>
      <c r="D33" s="181"/>
      <c r="E33" s="182"/>
      <c r="F33" s="183"/>
      <c r="G33" s="184">
        <v>3817.84</v>
      </c>
    </row>
    <row r="34" spans="2:7" ht="13.5" thickBot="1" x14ac:dyDescent="0.25">
      <c r="B34" s="166"/>
      <c r="C34" s="185"/>
      <c r="D34" s="186"/>
      <c r="E34" s="186"/>
      <c r="F34" s="187" t="s">
        <v>1025</v>
      </c>
      <c r="G34" s="188">
        <v>80174.64</v>
      </c>
    </row>
    <row r="35" spans="2:7" x14ac:dyDescent="0.2">
      <c r="B35" s="166"/>
      <c r="C35" s="189"/>
      <c r="D35" s="190"/>
      <c r="E35" s="190"/>
      <c r="F35" s="190"/>
      <c r="G35" s="191"/>
    </row>
    <row r="36" spans="2:7" x14ac:dyDescent="0.2">
      <c r="B36" s="166"/>
      <c r="C36" s="192" t="s">
        <v>1024</v>
      </c>
      <c r="D36" s="193" t="s">
        <v>1023</v>
      </c>
      <c r="E36" s="194"/>
      <c r="F36" s="195" t="s">
        <v>395</v>
      </c>
      <c r="G36" s="196" t="s">
        <v>1014</v>
      </c>
    </row>
    <row r="37" spans="2:7" x14ac:dyDescent="0.2">
      <c r="B37" s="197"/>
      <c r="C37" s="167" t="s">
        <v>1022</v>
      </c>
      <c r="D37" s="198">
        <v>74400</v>
      </c>
      <c r="E37" s="199"/>
      <c r="F37" s="200">
        <v>0.2</v>
      </c>
      <c r="G37" s="201">
        <v>14880</v>
      </c>
    </row>
    <row r="38" spans="2:7" x14ac:dyDescent="0.2">
      <c r="B38" s="197"/>
      <c r="C38" s="202"/>
      <c r="D38" s="203"/>
      <c r="E38" s="204"/>
      <c r="F38" s="205"/>
      <c r="G38" s="206"/>
    </row>
    <row r="39" spans="2:7" x14ac:dyDescent="0.2">
      <c r="B39" s="166"/>
      <c r="C39" s="207"/>
      <c r="D39" s="208"/>
      <c r="E39" s="209"/>
      <c r="F39" s="210"/>
      <c r="G39" s="211">
        <v>0</v>
      </c>
    </row>
    <row r="40" spans="2:7" ht="13.5" thickBot="1" x14ac:dyDescent="0.25">
      <c r="B40" s="166"/>
      <c r="C40" s="185"/>
      <c r="D40" s="212"/>
      <c r="E40" s="190"/>
      <c r="F40" s="187" t="s">
        <v>1021</v>
      </c>
      <c r="G40" s="188">
        <v>0</v>
      </c>
    </row>
    <row r="41" spans="2:7" x14ac:dyDescent="0.2">
      <c r="B41" s="166"/>
      <c r="C41" s="185"/>
      <c r="D41" s="190"/>
      <c r="E41" s="190"/>
      <c r="F41" s="190"/>
      <c r="G41" s="191"/>
    </row>
    <row r="42" spans="2:7" x14ac:dyDescent="0.2">
      <c r="B42" s="166"/>
      <c r="C42" s="192" t="s">
        <v>1020</v>
      </c>
      <c r="D42" s="193" t="s">
        <v>385</v>
      </c>
      <c r="E42" s="194"/>
      <c r="F42" s="195" t="s">
        <v>395</v>
      </c>
      <c r="G42" s="196" t="s">
        <v>1014</v>
      </c>
    </row>
    <row r="43" spans="2:7" x14ac:dyDescent="0.2">
      <c r="B43" s="197"/>
      <c r="C43" s="167" t="s">
        <v>1019</v>
      </c>
      <c r="D43" s="198" t="s">
        <v>1018</v>
      </c>
      <c r="E43" s="199"/>
      <c r="F43" s="213">
        <v>0.02</v>
      </c>
      <c r="G43" s="201">
        <v>956.02564102564111</v>
      </c>
    </row>
    <row r="44" spans="2:7" x14ac:dyDescent="0.2">
      <c r="B44" s="197"/>
      <c r="C44" s="167"/>
      <c r="D44" s="203"/>
      <c r="E44" s="204"/>
      <c r="F44" s="214"/>
      <c r="G44" s="215">
        <v>0</v>
      </c>
    </row>
    <row r="45" spans="2:7" x14ac:dyDescent="0.2">
      <c r="B45" s="166"/>
      <c r="C45" s="207"/>
      <c r="D45" s="208"/>
      <c r="E45" s="209"/>
      <c r="F45" s="210"/>
      <c r="G45" s="216">
        <v>0</v>
      </c>
    </row>
    <row r="46" spans="2:7" ht="13.5" thickBot="1" x14ac:dyDescent="0.25">
      <c r="B46" s="166"/>
      <c r="C46" s="185"/>
      <c r="D46" s="190"/>
      <c r="E46" s="190"/>
      <c r="F46" s="187" t="s">
        <v>1017</v>
      </c>
      <c r="G46" s="188">
        <v>956.02564102564111</v>
      </c>
    </row>
    <row r="47" spans="2:7" x14ac:dyDescent="0.2">
      <c r="B47" s="166"/>
      <c r="C47" s="185"/>
      <c r="D47" s="190"/>
      <c r="E47" s="190"/>
      <c r="F47" s="190"/>
      <c r="G47" s="191"/>
    </row>
    <row r="48" spans="2:7" x14ac:dyDescent="0.2">
      <c r="B48" s="166"/>
      <c r="C48" s="192" t="s">
        <v>1016</v>
      </c>
      <c r="D48" s="193" t="s">
        <v>1015</v>
      </c>
      <c r="E48" s="194"/>
      <c r="F48" s="195" t="s">
        <v>395</v>
      </c>
      <c r="G48" s="196" t="s">
        <v>1014</v>
      </c>
    </row>
    <row r="49" spans="2:7" x14ac:dyDescent="0.2">
      <c r="B49" s="217"/>
      <c r="C49" s="167" t="s">
        <v>1013</v>
      </c>
      <c r="D49" s="198">
        <v>191205.12820512822</v>
      </c>
      <c r="E49" s="199"/>
      <c r="F49" s="218">
        <v>0.25</v>
      </c>
      <c r="G49" s="201">
        <v>47801.282051282054</v>
      </c>
    </row>
    <row r="50" spans="2:7" x14ac:dyDescent="0.2">
      <c r="B50" s="217"/>
      <c r="C50" s="167"/>
      <c r="D50" s="203"/>
      <c r="E50" s="204"/>
      <c r="F50" s="219"/>
      <c r="G50" s="215">
        <v>0</v>
      </c>
    </row>
    <row r="51" spans="2:7" x14ac:dyDescent="0.2">
      <c r="B51" s="220"/>
      <c r="C51" s="207"/>
      <c r="D51" s="208"/>
      <c r="E51" s="209"/>
      <c r="F51" s="221"/>
      <c r="G51" s="216">
        <v>0</v>
      </c>
    </row>
    <row r="52" spans="2:7" ht="13.5" thickBot="1" x14ac:dyDescent="0.25">
      <c r="B52" s="166"/>
      <c r="C52" s="185"/>
      <c r="D52" s="222"/>
      <c r="E52" s="222"/>
      <c r="F52" s="187" t="s">
        <v>1012</v>
      </c>
      <c r="G52" s="188">
        <v>47801.282051282054</v>
      </c>
    </row>
    <row r="53" spans="2:7" x14ac:dyDescent="0.2">
      <c r="B53" s="166"/>
      <c r="C53" s="185"/>
      <c r="D53" s="185"/>
      <c r="E53" s="185"/>
      <c r="F53" s="185"/>
      <c r="G53" s="223"/>
    </row>
    <row r="54" spans="2:7" x14ac:dyDescent="0.2">
      <c r="B54" s="145" t="s">
        <v>1011</v>
      </c>
      <c r="C54" s="146"/>
      <c r="D54" s="146"/>
      <c r="E54" s="147"/>
      <c r="F54" s="147"/>
      <c r="G54" s="224">
        <v>143811.9476923077</v>
      </c>
    </row>
    <row r="55" spans="2:7" x14ac:dyDescent="0.2">
      <c r="B55" s="166" t="s">
        <v>1010</v>
      </c>
      <c r="C55" s="185"/>
      <c r="D55" s="225"/>
      <c r="E55" s="225"/>
      <c r="F55" s="225"/>
      <c r="G55" s="226"/>
    </row>
    <row r="56" spans="2:7" x14ac:dyDescent="0.2">
      <c r="B56" s="227"/>
      <c r="C56" s="228"/>
      <c r="D56" s="228"/>
      <c r="E56" s="228"/>
      <c r="F56" s="228"/>
      <c r="G56" s="229"/>
    </row>
    <row r="57" spans="2:7" x14ac:dyDescent="0.2">
      <c r="B57" s="230"/>
      <c r="C57" s="231"/>
      <c r="D57" s="231"/>
      <c r="E57" s="231"/>
      <c r="F57" s="231"/>
      <c r="G57" s="232"/>
    </row>
    <row r="58" spans="2:7" x14ac:dyDescent="0.2">
      <c r="B58" s="230"/>
      <c r="C58" s="231"/>
      <c r="D58" s="231"/>
      <c r="E58" s="231"/>
      <c r="F58" s="231"/>
      <c r="G58" s="232"/>
    </row>
    <row r="59" spans="2:7" x14ac:dyDescent="0.2">
      <c r="B59" s="230"/>
      <c r="C59" s="231"/>
      <c r="D59" s="231"/>
      <c r="E59" s="231"/>
      <c r="F59" s="231"/>
      <c r="G59" s="232"/>
    </row>
    <row r="60" spans="2:7" x14ac:dyDescent="0.2">
      <c r="B60" s="230"/>
      <c r="C60" s="231"/>
      <c r="D60" s="231"/>
      <c r="E60" s="231"/>
      <c r="F60" s="231"/>
      <c r="G60" s="232"/>
    </row>
    <row r="61" spans="2:7" x14ac:dyDescent="0.2">
      <c r="B61" s="230"/>
      <c r="C61" s="231"/>
      <c r="D61" s="231"/>
      <c r="E61" s="231"/>
      <c r="F61" s="231"/>
      <c r="G61" s="232"/>
    </row>
    <row r="62" spans="2:7" x14ac:dyDescent="0.2">
      <c r="B62" s="230"/>
      <c r="C62" s="231"/>
      <c r="D62" s="231"/>
      <c r="E62" s="231"/>
      <c r="F62" s="231"/>
      <c r="G62" s="232"/>
    </row>
    <row r="63" spans="2:7" ht="13.5" thickBot="1" x14ac:dyDescent="0.25">
      <c r="B63" s="230"/>
      <c r="C63" s="729"/>
      <c r="D63" s="231"/>
      <c r="E63" s="231"/>
      <c r="F63" s="231"/>
      <c r="G63" s="232"/>
    </row>
    <row r="64" spans="2:7" x14ac:dyDescent="0.2">
      <c r="B64" s="230"/>
      <c r="C64" s="231" t="s">
        <v>1449</v>
      </c>
      <c r="D64" s="231"/>
      <c r="E64" s="1743" t="s">
        <v>865</v>
      </c>
      <c r="F64" s="1743"/>
      <c r="G64" s="1744"/>
    </row>
    <row r="65" spans="2:7" x14ac:dyDescent="0.2">
      <c r="B65" s="230"/>
      <c r="C65" s="231" t="s">
        <v>1450</v>
      </c>
      <c r="D65" s="231"/>
      <c r="E65" s="1745" t="s">
        <v>866</v>
      </c>
      <c r="F65" s="1745"/>
      <c r="G65" s="1746"/>
    </row>
    <row r="66" spans="2:7" x14ac:dyDescent="0.2">
      <c r="B66" s="230"/>
      <c r="C66" s="231"/>
      <c r="D66" s="231"/>
      <c r="E66" s="1745" t="s">
        <v>867</v>
      </c>
      <c r="F66" s="1745"/>
      <c r="G66" s="1746"/>
    </row>
    <row r="67" spans="2:7" x14ac:dyDescent="0.2">
      <c r="B67" s="230"/>
      <c r="C67" s="231"/>
      <c r="D67" s="231"/>
      <c r="E67" s="231"/>
      <c r="F67" s="231"/>
      <c r="G67" s="232"/>
    </row>
    <row r="68" spans="2:7" x14ac:dyDescent="0.2">
      <c r="B68" s="230"/>
      <c r="C68" s="231"/>
      <c r="D68" s="231"/>
      <c r="E68" s="231"/>
      <c r="F68" s="231"/>
      <c r="G68" s="232"/>
    </row>
    <row r="69" spans="2:7" ht="13.5" thickBot="1" x14ac:dyDescent="0.25">
      <c r="B69" s="233"/>
      <c r="C69" s="234"/>
      <c r="D69" s="234"/>
      <c r="E69" s="234"/>
      <c r="F69" s="234"/>
      <c r="G69" s="235"/>
    </row>
    <row r="70" spans="2:7" x14ac:dyDescent="0.2">
      <c r="B70" s="231"/>
      <c r="C70" s="231"/>
      <c r="D70" s="231"/>
      <c r="E70" s="231"/>
      <c r="F70" s="231"/>
      <c r="G70" s="231"/>
    </row>
    <row r="71" spans="2:7" ht="13.5" thickBot="1" x14ac:dyDescent="0.25">
      <c r="B71" s="185"/>
      <c r="C71" s="185"/>
      <c r="D71" s="185"/>
      <c r="E71" s="185"/>
      <c r="F71" s="185"/>
      <c r="G71" s="185"/>
    </row>
    <row r="72" spans="2:7" x14ac:dyDescent="0.2">
      <c r="B72" s="1737"/>
      <c r="C72" s="1738"/>
      <c r="D72" s="1738"/>
      <c r="E72" s="1738"/>
      <c r="F72" s="1738"/>
      <c r="G72" s="1739"/>
    </row>
    <row r="73" spans="2:7" x14ac:dyDescent="0.2">
      <c r="B73" s="152"/>
      <c r="C73" s="153"/>
      <c r="D73" s="154" t="s">
        <v>1038</v>
      </c>
      <c r="E73" s="155"/>
      <c r="F73" s="156"/>
      <c r="G73" s="157"/>
    </row>
    <row r="74" spans="2:7" x14ac:dyDescent="0.2">
      <c r="B74" s="152"/>
      <c r="C74" s="158"/>
      <c r="D74" s="154" t="s">
        <v>180</v>
      </c>
      <c r="E74" s="159" t="s">
        <v>991</v>
      </c>
      <c r="F74" s="156"/>
      <c r="G74" s="157"/>
    </row>
    <row r="75" spans="2:7" x14ac:dyDescent="0.2">
      <c r="B75" s="152"/>
      <c r="C75" s="158"/>
      <c r="D75" s="154" t="s">
        <v>696</v>
      </c>
      <c r="E75" s="160">
        <v>4</v>
      </c>
      <c r="F75" s="156"/>
      <c r="G75" s="157"/>
    </row>
    <row r="76" spans="2:7" x14ac:dyDescent="0.2">
      <c r="B76" s="161"/>
      <c r="C76" s="156"/>
      <c r="D76" s="156"/>
      <c r="E76" s="156"/>
      <c r="F76" s="156"/>
      <c r="G76" s="157"/>
    </row>
    <row r="77" spans="2:7" x14ac:dyDescent="0.2">
      <c r="B77" s="1751" t="s">
        <v>1006</v>
      </c>
      <c r="C77" s="1752"/>
      <c r="D77" s="1752"/>
      <c r="E77" s="1752"/>
      <c r="F77" s="1752"/>
      <c r="G77" s="1753"/>
    </row>
    <row r="78" spans="2:7" x14ac:dyDescent="0.2">
      <c r="B78" s="162"/>
      <c r="C78" s="163" t="s">
        <v>1037</v>
      </c>
      <c r="D78" s="164" t="s">
        <v>119</v>
      </c>
      <c r="E78" s="164" t="s">
        <v>1008</v>
      </c>
      <c r="F78" s="164" t="s">
        <v>1009</v>
      </c>
      <c r="G78" s="165" t="s">
        <v>1036</v>
      </c>
    </row>
    <row r="79" spans="2:7" x14ac:dyDescent="0.2">
      <c r="B79" s="166"/>
      <c r="C79" s="167" t="s">
        <v>1035</v>
      </c>
      <c r="D79" s="168" t="s">
        <v>9</v>
      </c>
      <c r="E79" s="169">
        <v>5</v>
      </c>
      <c r="F79" s="170">
        <v>3400</v>
      </c>
      <c r="G79" s="171">
        <v>17000</v>
      </c>
    </row>
    <row r="80" spans="2:7" x14ac:dyDescent="0.2">
      <c r="B80" s="166"/>
      <c r="C80" s="172" t="s">
        <v>1034</v>
      </c>
      <c r="D80" s="173" t="s">
        <v>991</v>
      </c>
      <c r="E80" s="174">
        <v>2</v>
      </c>
      <c r="F80" s="170">
        <v>600</v>
      </c>
      <c r="G80" s="171">
        <v>1200</v>
      </c>
    </row>
    <row r="81" spans="2:7" x14ac:dyDescent="0.2">
      <c r="B81" s="166"/>
      <c r="C81" s="172" t="s">
        <v>1041</v>
      </c>
      <c r="D81" s="173" t="s">
        <v>991</v>
      </c>
      <c r="E81" s="174">
        <v>1</v>
      </c>
      <c r="F81" s="170">
        <v>1884</v>
      </c>
      <c r="G81" s="171">
        <v>1884</v>
      </c>
    </row>
    <row r="82" spans="2:7" x14ac:dyDescent="0.2">
      <c r="B82" s="166"/>
      <c r="C82" s="172" t="s">
        <v>1032</v>
      </c>
      <c r="D82" s="173" t="s">
        <v>991</v>
      </c>
      <c r="E82" s="175">
        <v>2</v>
      </c>
      <c r="F82" s="170">
        <v>756</v>
      </c>
      <c r="G82" s="171">
        <v>1512</v>
      </c>
    </row>
    <row r="83" spans="2:7" x14ac:dyDescent="0.2">
      <c r="B83" s="166"/>
      <c r="C83" s="172" t="s">
        <v>1040</v>
      </c>
      <c r="D83" s="176" t="s">
        <v>9</v>
      </c>
      <c r="E83" s="177">
        <v>15</v>
      </c>
      <c r="F83" s="170">
        <v>1920</v>
      </c>
      <c r="G83" s="171">
        <v>28800</v>
      </c>
    </row>
    <row r="84" spans="2:7" x14ac:dyDescent="0.2">
      <c r="B84" s="166"/>
      <c r="C84" s="172" t="s">
        <v>1030</v>
      </c>
      <c r="D84" s="176" t="s">
        <v>991</v>
      </c>
      <c r="E84" s="175">
        <v>5</v>
      </c>
      <c r="F84" s="170">
        <v>1050</v>
      </c>
      <c r="G84" s="171">
        <v>5250</v>
      </c>
    </row>
    <row r="85" spans="2:7" x14ac:dyDescent="0.2">
      <c r="B85" s="166"/>
      <c r="C85" s="172" t="s">
        <v>1039</v>
      </c>
      <c r="D85" s="176" t="s">
        <v>991</v>
      </c>
      <c r="E85" s="175">
        <v>1</v>
      </c>
      <c r="F85" s="170">
        <v>16550</v>
      </c>
      <c r="G85" s="171">
        <v>16550</v>
      </c>
    </row>
    <row r="86" spans="2:7" x14ac:dyDescent="0.2">
      <c r="B86" s="166"/>
      <c r="C86" s="172"/>
      <c r="D86" s="173"/>
      <c r="E86" s="175"/>
      <c r="F86" s="170">
        <v>0</v>
      </c>
      <c r="G86" s="236">
        <v>0</v>
      </c>
    </row>
    <row r="87" spans="2:7" x14ac:dyDescent="0.2">
      <c r="B87" s="166"/>
      <c r="C87" s="172"/>
      <c r="D87" s="176"/>
      <c r="E87" s="177"/>
      <c r="F87" s="170">
        <v>0</v>
      </c>
      <c r="G87" s="236">
        <v>0</v>
      </c>
    </row>
    <row r="88" spans="2:7" x14ac:dyDescent="0.2">
      <c r="B88" s="166"/>
      <c r="C88" s="172"/>
      <c r="D88" s="176"/>
      <c r="E88" s="175"/>
      <c r="F88" s="170">
        <v>0</v>
      </c>
      <c r="G88" s="236">
        <v>0</v>
      </c>
    </row>
    <row r="89" spans="2:7" x14ac:dyDescent="0.2">
      <c r="B89" s="166"/>
      <c r="C89" s="172"/>
      <c r="D89" s="176"/>
      <c r="E89" s="175"/>
      <c r="F89" s="170">
        <v>0</v>
      </c>
      <c r="G89" s="236">
        <v>0</v>
      </c>
    </row>
    <row r="90" spans="2:7" x14ac:dyDescent="0.2">
      <c r="B90" s="166"/>
      <c r="C90" s="172"/>
      <c r="D90" s="176"/>
      <c r="E90" s="175"/>
      <c r="F90" s="170">
        <v>0</v>
      </c>
      <c r="G90" s="236">
        <v>0</v>
      </c>
    </row>
    <row r="91" spans="2:7" x14ac:dyDescent="0.2">
      <c r="B91" s="166"/>
      <c r="C91" s="172"/>
      <c r="D91" s="176"/>
      <c r="E91" s="175"/>
      <c r="F91" s="170">
        <v>0</v>
      </c>
      <c r="G91" s="236">
        <v>0</v>
      </c>
    </row>
    <row r="92" spans="2:7" x14ac:dyDescent="0.2">
      <c r="B92" s="166"/>
      <c r="C92" s="172"/>
      <c r="D92" s="176"/>
      <c r="E92" s="175"/>
      <c r="F92" s="170">
        <v>0</v>
      </c>
      <c r="G92" s="236">
        <v>0</v>
      </c>
    </row>
    <row r="93" spans="2:7" x14ac:dyDescent="0.2">
      <c r="B93" s="166"/>
      <c r="C93" s="172"/>
      <c r="D93" s="176"/>
      <c r="E93" s="175"/>
      <c r="F93" s="170">
        <v>0</v>
      </c>
      <c r="G93" s="236">
        <v>0</v>
      </c>
    </row>
    <row r="94" spans="2:7" x14ac:dyDescent="0.2">
      <c r="B94" s="166"/>
      <c r="C94" s="172"/>
      <c r="D94" s="176"/>
      <c r="E94" s="175"/>
      <c r="F94" s="170">
        <v>0</v>
      </c>
      <c r="G94" s="236">
        <v>0</v>
      </c>
    </row>
    <row r="95" spans="2:7" x14ac:dyDescent="0.2">
      <c r="B95" s="166"/>
      <c r="C95" s="172"/>
      <c r="D95" s="176"/>
      <c r="E95" s="175"/>
      <c r="F95" s="170">
        <v>0</v>
      </c>
      <c r="G95" s="236">
        <v>0</v>
      </c>
    </row>
    <row r="96" spans="2:7" x14ac:dyDescent="0.2">
      <c r="B96" s="166"/>
      <c r="C96" s="172"/>
      <c r="D96" s="176"/>
      <c r="E96" s="175"/>
      <c r="F96" s="170">
        <v>0</v>
      </c>
      <c r="G96" s="236">
        <v>0</v>
      </c>
    </row>
    <row r="97" spans="2:7" x14ac:dyDescent="0.2">
      <c r="B97" s="166"/>
      <c r="C97" s="172"/>
      <c r="D97" s="176"/>
      <c r="E97" s="175"/>
      <c r="F97" s="170">
        <v>0</v>
      </c>
      <c r="G97" s="236">
        <v>0</v>
      </c>
    </row>
    <row r="98" spans="2:7" x14ac:dyDescent="0.2">
      <c r="B98" s="166"/>
      <c r="C98" s="172"/>
      <c r="D98" s="176"/>
      <c r="E98" s="175"/>
      <c r="F98" s="170">
        <v>0</v>
      </c>
      <c r="G98" s="236">
        <v>0</v>
      </c>
    </row>
    <row r="99" spans="2:7" x14ac:dyDescent="0.2">
      <c r="B99" s="166"/>
      <c r="C99" s="172"/>
      <c r="D99" s="176"/>
      <c r="E99" s="175"/>
      <c r="F99" s="170">
        <v>0</v>
      </c>
      <c r="G99" s="236">
        <v>0</v>
      </c>
    </row>
    <row r="100" spans="2:7" x14ac:dyDescent="0.2">
      <c r="B100" s="166"/>
      <c r="C100" s="172"/>
      <c r="D100" s="176"/>
      <c r="E100" s="175"/>
      <c r="F100" s="170">
        <v>0</v>
      </c>
      <c r="G100" s="236">
        <v>0</v>
      </c>
    </row>
    <row r="101" spans="2:7" x14ac:dyDescent="0.2">
      <c r="B101" s="166"/>
      <c r="C101" s="172"/>
      <c r="D101" s="176"/>
      <c r="E101" s="175"/>
      <c r="F101" s="170">
        <v>0</v>
      </c>
      <c r="G101" s="236">
        <v>0</v>
      </c>
    </row>
    <row r="102" spans="2:7" x14ac:dyDescent="0.2">
      <c r="B102" s="166"/>
      <c r="C102" s="172"/>
      <c r="D102" s="176"/>
      <c r="E102" s="175"/>
      <c r="F102" s="170">
        <v>0</v>
      </c>
      <c r="G102" s="236">
        <v>0</v>
      </c>
    </row>
    <row r="103" spans="2:7" x14ac:dyDescent="0.2">
      <c r="B103" s="166"/>
      <c r="C103" s="179"/>
      <c r="D103" s="176"/>
      <c r="E103" s="175"/>
      <c r="F103" s="170">
        <v>0</v>
      </c>
      <c r="G103" s="236">
        <v>0</v>
      </c>
    </row>
    <row r="104" spans="2:7" x14ac:dyDescent="0.2">
      <c r="B104" s="166"/>
      <c r="C104" s="180" t="s">
        <v>1026</v>
      </c>
      <c r="D104" s="181"/>
      <c r="E104" s="182"/>
      <c r="F104" s="170">
        <v>0</v>
      </c>
      <c r="G104" s="184">
        <v>3609.8</v>
      </c>
    </row>
    <row r="105" spans="2:7" ht="13.5" thickBot="1" x14ac:dyDescent="0.25">
      <c r="B105" s="166"/>
      <c r="C105" s="185"/>
      <c r="D105" s="186"/>
      <c r="E105" s="186"/>
      <c r="F105" s="187" t="s">
        <v>1025</v>
      </c>
      <c r="G105" s="188">
        <v>75805.8</v>
      </c>
    </row>
    <row r="106" spans="2:7" x14ac:dyDescent="0.2">
      <c r="B106" s="166"/>
      <c r="C106" s="189"/>
      <c r="D106" s="190"/>
      <c r="E106" s="190"/>
      <c r="F106" s="190"/>
      <c r="G106" s="191"/>
    </row>
    <row r="107" spans="2:7" x14ac:dyDescent="0.2">
      <c r="B107" s="166"/>
      <c r="C107" s="192" t="s">
        <v>1024</v>
      </c>
      <c r="D107" s="193" t="s">
        <v>1023</v>
      </c>
      <c r="E107" s="194"/>
      <c r="F107" s="195" t="s">
        <v>395</v>
      </c>
      <c r="G107" s="237" t="s">
        <v>1014</v>
      </c>
    </row>
    <row r="108" spans="2:7" x14ac:dyDescent="0.2">
      <c r="B108" s="197"/>
      <c r="C108" s="167" t="s">
        <v>1022</v>
      </c>
      <c r="D108" s="198">
        <v>74400</v>
      </c>
      <c r="E108" s="199"/>
      <c r="F108" s="200">
        <v>0.2</v>
      </c>
      <c r="G108" s="238">
        <v>14880</v>
      </c>
    </row>
    <row r="109" spans="2:7" x14ac:dyDescent="0.2">
      <c r="B109" s="197"/>
      <c r="C109" s="202"/>
      <c r="D109" s="203"/>
      <c r="E109" s="204"/>
      <c r="F109" s="205"/>
      <c r="G109" s="239">
        <v>0</v>
      </c>
    </row>
    <row r="110" spans="2:7" x14ac:dyDescent="0.2">
      <c r="B110" s="166"/>
      <c r="C110" s="207"/>
      <c r="D110" s="208"/>
      <c r="E110" s="209"/>
      <c r="F110" s="210"/>
      <c r="G110" s="240">
        <v>0</v>
      </c>
    </row>
    <row r="111" spans="2:7" ht="13.5" thickBot="1" x14ac:dyDescent="0.25">
      <c r="B111" s="166"/>
      <c r="C111" s="185"/>
      <c r="D111" s="212"/>
      <c r="E111" s="190"/>
      <c r="F111" s="187" t="s">
        <v>1021</v>
      </c>
      <c r="G111" s="241">
        <v>14880</v>
      </c>
    </row>
    <row r="112" spans="2:7" x14ac:dyDescent="0.2">
      <c r="B112" s="166"/>
      <c r="C112" s="185"/>
      <c r="D112" s="190"/>
      <c r="E112" s="190"/>
      <c r="F112" s="190"/>
      <c r="G112" s="191"/>
    </row>
    <row r="113" spans="2:7" x14ac:dyDescent="0.2">
      <c r="B113" s="166"/>
      <c r="C113" s="192" t="s">
        <v>1020</v>
      </c>
      <c r="D113" s="193" t="s">
        <v>385</v>
      </c>
      <c r="E113" s="194"/>
      <c r="F113" s="195" t="s">
        <v>395</v>
      </c>
      <c r="G113" s="196" t="s">
        <v>1014</v>
      </c>
    </row>
    <row r="114" spans="2:7" x14ac:dyDescent="0.2">
      <c r="B114" s="197"/>
      <c r="C114" s="167" t="s">
        <v>1019</v>
      </c>
      <c r="D114" s="198" t="s">
        <v>1018</v>
      </c>
      <c r="E114" s="199"/>
      <c r="F114" s="213">
        <v>0.02</v>
      </c>
      <c r="G114" s="201">
        <v>764.82051282051293</v>
      </c>
    </row>
    <row r="115" spans="2:7" x14ac:dyDescent="0.2">
      <c r="B115" s="197"/>
      <c r="C115" s="167"/>
      <c r="D115" s="203"/>
      <c r="E115" s="204"/>
      <c r="F115" s="214"/>
      <c r="G115" s="215">
        <v>0</v>
      </c>
    </row>
    <row r="116" spans="2:7" x14ac:dyDescent="0.2">
      <c r="B116" s="166"/>
      <c r="C116" s="207"/>
      <c r="D116" s="208"/>
      <c r="E116" s="209"/>
      <c r="F116" s="210"/>
      <c r="G116" s="216">
        <v>0</v>
      </c>
    </row>
    <row r="117" spans="2:7" ht="13.5" thickBot="1" x14ac:dyDescent="0.25">
      <c r="B117" s="166"/>
      <c r="C117" s="185"/>
      <c r="D117" s="190"/>
      <c r="E117" s="190"/>
      <c r="F117" s="187" t="s">
        <v>1017</v>
      </c>
      <c r="G117" s="188">
        <v>764.82051282051293</v>
      </c>
    </row>
    <row r="118" spans="2:7" x14ac:dyDescent="0.2">
      <c r="B118" s="166"/>
      <c r="C118" s="185"/>
      <c r="D118" s="190"/>
      <c r="E118" s="190"/>
      <c r="F118" s="190"/>
      <c r="G118" s="191"/>
    </row>
    <row r="119" spans="2:7" x14ac:dyDescent="0.2">
      <c r="B119" s="166"/>
      <c r="C119" s="192" t="s">
        <v>1016</v>
      </c>
      <c r="D119" s="193" t="s">
        <v>1015</v>
      </c>
      <c r="E119" s="194"/>
      <c r="F119" s="195" t="s">
        <v>395</v>
      </c>
      <c r="G119" s="196" t="s">
        <v>1014</v>
      </c>
    </row>
    <row r="120" spans="2:7" x14ac:dyDescent="0.2">
      <c r="B120" s="217"/>
      <c r="C120" s="167" t="s">
        <v>1013</v>
      </c>
      <c r="D120" s="198">
        <v>191205.12820512822</v>
      </c>
      <c r="E120" s="199"/>
      <c r="F120" s="242">
        <v>0.2</v>
      </c>
      <c r="G120" s="201">
        <v>38241.025641025648</v>
      </c>
    </row>
    <row r="121" spans="2:7" x14ac:dyDescent="0.2">
      <c r="B121" s="217"/>
      <c r="C121" s="167"/>
      <c r="D121" s="203"/>
      <c r="E121" s="204"/>
      <c r="F121" s="219"/>
      <c r="G121" s="215">
        <v>0</v>
      </c>
    </row>
    <row r="122" spans="2:7" x14ac:dyDescent="0.2">
      <c r="B122" s="220"/>
      <c r="C122" s="207"/>
      <c r="D122" s="208"/>
      <c r="E122" s="209"/>
      <c r="F122" s="221"/>
      <c r="G122" s="216">
        <v>0</v>
      </c>
    </row>
    <row r="123" spans="2:7" ht="13.5" thickBot="1" x14ac:dyDescent="0.25">
      <c r="B123" s="166"/>
      <c r="C123" s="185"/>
      <c r="D123" s="222"/>
      <c r="E123" s="222"/>
      <c r="F123" s="187" t="s">
        <v>1012</v>
      </c>
      <c r="G123" s="188">
        <v>38241.025641025648</v>
      </c>
    </row>
    <row r="124" spans="2:7" x14ac:dyDescent="0.2">
      <c r="B124" s="166"/>
      <c r="C124" s="185"/>
      <c r="D124" s="185"/>
      <c r="E124" s="185"/>
      <c r="F124" s="185"/>
      <c r="G124" s="223"/>
    </row>
    <row r="125" spans="2:7" x14ac:dyDescent="0.2">
      <c r="B125" s="145" t="s">
        <v>1011</v>
      </c>
      <c r="C125" s="146"/>
      <c r="D125" s="146"/>
      <c r="E125" s="147"/>
      <c r="F125" s="147"/>
      <c r="G125" s="224">
        <v>129691.64615384617</v>
      </c>
    </row>
    <row r="126" spans="2:7" x14ac:dyDescent="0.2">
      <c r="B126" s="166" t="s">
        <v>1010</v>
      </c>
      <c r="C126" s="185"/>
      <c r="D126" s="225"/>
      <c r="E126" s="225"/>
      <c r="F126" s="225"/>
      <c r="G126" s="226"/>
    </row>
    <row r="127" spans="2:7" x14ac:dyDescent="0.2">
      <c r="B127" s="227"/>
      <c r="C127" s="228"/>
      <c r="D127" s="228"/>
      <c r="E127" s="228"/>
      <c r="F127" s="228"/>
      <c r="G127" s="229"/>
    </row>
    <row r="128" spans="2:7" x14ac:dyDescent="0.2">
      <c r="B128" s="230"/>
      <c r="C128" s="231"/>
      <c r="D128" s="231"/>
      <c r="E128" s="231"/>
      <c r="F128" s="231"/>
      <c r="G128" s="232"/>
    </row>
    <row r="129" spans="2:7" x14ac:dyDescent="0.2">
      <c r="B129" s="230"/>
      <c r="C129" s="231"/>
      <c r="D129" s="231"/>
      <c r="E129" s="231"/>
      <c r="F129" s="231"/>
      <c r="G129" s="232"/>
    </row>
    <row r="130" spans="2:7" x14ac:dyDescent="0.2">
      <c r="B130" s="230"/>
      <c r="C130" s="231"/>
      <c r="D130" s="231"/>
      <c r="E130" s="231"/>
      <c r="F130" s="231"/>
      <c r="G130" s="232"/>
    </row>
    <row r="131" spans="2:7" x14ac:dyDescent="0.2">
      <c r="B131" s="230"/>
      <c r="C131" s="231"/>
      <c r="D131" s="231"/>
      <c r="E131" s="231"/>
      <c r="F131" s="231"/>
      <c r="G131" s="232"/>
    </row>
    <row r="132" spans="2:7" x14ac:dyDescent="0.2">
      <c r="B132" s="230"/>
      <c r="C132" s="231"/>
      <c r="D132" s="231"/>
      <c r="E132" s="231"/>
      <c r="F132" s="231"/>
      <c r="G132" s="232"/>
    </row>
    <row r="133" spans="2:7" x14ac:dyDescent="0.2">
      <c r="B133" s="230"/>
      <c r="C133" s="231"/>
      <c r="D133" s="231"/>
      <c r="E133" s="231"/>
      <c r="F133" s="231"/>
      <c r="G133" s="232"/>
    </row>
    <row r="134" spans="2:7" ht="13.5" thickBot="1" x14ac:dyDescent="0.25">
      <c r="B134" s="230"/>
      <c r="C134" s="729"/>
      <c r="D134" s="231"/>
      <c r="E134" s="231"/>
      <c r="F134" s="231"/>
      <c r="G134" s="232"/>
    </row>
    <row r="135" spans="2:7" x14ac:dyDescent="0.2">
      <c r="B135" s="230"/>
      <c r="C135" s="231" t="s">
        <v>1449</v>
      </c>
      <c r="D135" s="231"/>
      <c r="E135" s="1743" t="s">
        <v>865</v>
      </c>
      <c r="F135" s="1743"/>
      <c r="G135" s="1744"/>
    </row>
    <row r="136" spans="2:7" x14ac:dyDescent="0.2">
      <c r="B136" s="230"/>
      <c r="C136" s="231" t="s">
        <v>1450</v>
      </c>
      <c r="D136" s="231"/>
      <c r="E136" s="1745" t="s">
        <v>866</v>
      </c>
      <c r="F136" s="1745"/>
      <c r="G136" s="1746"/>
    </row>
    <row r="137" spans="2:7" x14ac:dyDescent="0.2">
      <c r="B137" s="230"/>
      <c r="C137" s="231"/>
      <c r="D137" s="231"/>
      <c r="E137" s="1745" t="s">
        <v>867</v>
      </c>
      <c r="F137" s="1745"/>
      <c r="G137" s="1746"/>
    </row>
    <row r="138" spans="2:7" ht="13.5" thickBot="1" x14ac:dyDescent="0.25">
      <c r="B138" s="233"/>
      <c r="C138" s="234"/>
      <c r="D138" s="234"/>
      <c r="E138" s="234"/>
      <c r="F138" s="234"/>
      <c r="G138" s="235"/>
    </row>
    <row r="139" spans="2:7" x14ac:dyDescent="0.2">
      <c r="B139" s="231"/>
      <c r="C139" s="231"/>
      <c r="D139" s="231"/>
      <c r="E139" s="231"/>
      <c r="F139" s="231"/>
      <c r="G139" s="231"/>
    </row>
    <row r="140" spans="2:7" ht="13.5" thickBot="1" x14ac:dyDescent="0.25"/>
    <row r="141" spans="2:7" x14ac:dyDescent="0.2">
      <c r="B141" s="1737"/>
      <c r="C141" s="1738"/>
      <c r="D141" s="1738"/>
      <c r="E141" s="1738"/>
      <c r="F141" s="1738"/>
      <c r="G141" s="1739"/>
    </row>
    <row r="142" spans="2:7" x14ac:dyDescent="0.2">
      <c r="B142" s="244"/>
      <c r="C142" s="245"/>
      <c r="D142" s="246" t="s">
        <v>1038</v>
      </c>
      <c r="E142" s="247"/>
      <c r="F142" s="248"/>
      <c r="G142" s="249"/>
    </row>
    <row r="143" spans="2:7" x14ac:dyDescent="0.2">
      <c r="B143" s="244"/>
      <c r="C143" s="250"/>
      <c r="D143" s="246" t="s">
        <v>180</v>
      </c>
      <c r="E143" s="251" t="s">
        <v>991</v>
      </c>
      <c r="F143" s="248"/>
      <c r="G143" s="249"/>
    </row>
    <row r="144" spans="2:7" x14ac:dyDescent="0.2">
      <c r="B144" s="244"/>
      <c r="C144" s="250"/>
      <c r="D144" s="246" t="s">
        <v>696</v>
      </c>
      <c r="E144" s="252">
        <v>1</v>
      </c>
      <c r="F144" s="248"/>
      <c r="G144" s="249"/>
    </row>
    <row r="145" spans="2:7" x14ac:dyDescent="0.2">
      <c r="B145" s="253"/>
      <c r="C145" s="248"/>
      <c r="D145" s="248"/>
      <c r="E145" s="248"/>
      <c r="F145" s="248"/>
      <c r="G145" s="249"/>
    </row>
    <row r="146" spans="2:7" x14ac:dyDescent="0.2">
      <c r="B146" s="1740" t="s">
        <v>1005</v>
      </c>
      <c r="C146" s="1752"/>
      <c r="D146" s="1752"/>
      <c r="E146" s="1752"/>
      <c r="F146" s="1752"/>
      <c r="G146" s="1753"/>
    </row>
    <row r="147" spans="2:7" x14ac:dyDescent="0.2">
      <c r="B147" s="254"/>
      <c r="C147" s="255" t="s">
        <v>1037</v>
      </c>
      <c r="D147" s="256" t="s">
        <v>119</v>
      </c>
      <c r="E147" s="256" t="s">
        <v>1008</v>
      </c>
      <c r="F147" s="256" t="s">
        <v>1009</v>
      </c>
      <c r="G147" s="257" t="s">
        <v>1036</v>
      </c>
    </row>
    <row r="148" spans="2:7" x14ac:dyDescent="0.2">
      <c r="B148" s="258"/>
      <c r="C148" s="259" t="s">
        <v>1045</v>
      </c>
      <c r="D148" s="260" t="s">
        <v>991</v>
      </c>
      <c r="E148" s="261">
        <v>1</v>
      </c>
      <c r="F148" s="262">
        <v>749278.18749999988</v>
      </c>
      <c r="G148" s="263">
        <v>749278.18749999988</v>
      </c>
    </row>
    <row r="149" spans="2:7" x14ac:dyDescent="0.2">
      <c r="B149" s="258"/>
      <c r="C149" s="264"/>
      <c r="D149" s="260"/>
      <c r="E149" s="261"/>
      <c r="F149" s="262">
        <v>0</v>
      </c>
      <c r="G149" s="263">
        <v>0</v>
      </c>
    </row>
    <row r="150" spans="2:7" x14ac:dyDescent="0.2">
      <c r="B150" s="258"/>
      <c r="C150" s="264"/>
      <c r="D150" s="265"/>
      <c r="E150" s="266"/>
      <c r="F150" s="267">
        <v>0</v>
      </c>
      <c r="G150" s="268">
        <v>0</v>
      </c>
    </row>
    <row r="151" spans="2:7" x14ac:dyDescent="0.2">
      <c r="B151" s="258"/>
      <c r="C151" s="264"/>
      <c r="D151" s="265"/>
      <c r="E151" s="266"/>
      <c r="F151" s="267">
        <v>0</v>
      </c>
      <c r="G151" s="268">
        <v>0</v>
      </c>
    </row>
    <row r="152" spans="2:7" x14ac:dyDescent="0.2">
      <c r="B152" s="258"/>
      <c r="C152" s="264"/>
      <c r="D152" s="265"/>
      <c r="E152" s="266"/>
      <c r="F152" s="267">
        <v>0</v>
      </c>
      <c r="G152" s="268">
        <v>0</v>
      </c>
    </row>
    <row r="153" spans="2:7" x14ac:dyDescent="0.2">
      <c r="B153" s="258"/>
      <c r="C153" s="264"/>
      <c r="D153" s="265"/>
      <c r="E153" s="266"/>
      <c r="F153" s="267">
        <v>0</v>
      </c>
      <c r="G153" s="268">
        <v>0</v>
      </c>
    </row>
    <row r="154" spans="2:7" x14ac:dyDescent="0.2">
      <c r="B154" s="258"/>
      <c r="C154" s="264"/>
      <c r="D154" s="265"/>
      <c r="E154" s="266"/>
      <c r="F154" s="267">
        <v>0</v>
      </c>
      <c r="G154" s="268">
        <v>0</v>
      </c>
    </row>
    <row r="155" spans="2:7" x14ac:dyDescent="0.2">
      <c r="B155" s="258"/>
      <c r="C155" s="167"/>
      <c r="D155" s="168"/>
      <c r="E155" s="169"/>
      <c r="F155" s="267">
        <v>0</v>
      </c>
      <c r="G155" s="268">
        <v>0</v>
      </c>
    </row>
    <row r="156" spans="2:7" x14ac:dyDescent="0.2">
      <c r="B156" s="258"/>
      <c r="C156" s="172"/>
      <c r="D156" s="173"/>
      <c r="E156" s="174"/>
      <c r="F156" s="267">
        <v>0</v>
      </c>
      <c r="G156" s="268">
        <v>0</v>
      </c>
    </row>
    <row r="157" spans="2:7" x14ac:dyDescent="0.2">
      <c r="B157" s="258"/>
      <c r="C157" s="172"/>
      <c r="D157" s="176"/>
      <c r="E157" s="178"/>
      <c r="F157" s="267">
        <v>0</v>
      </c>
      <c r="G157" s="268">
        <v>0</v>
      </c>
    </row>
    <row r="158" spans="2:7" x14ac:dyDescent="0.2">
      <c r="B158" s="258"/>
      <c r="C158" s="172"/>
      <c r="D158" s="173"/>
      <c r="E158" s="174"/>
      <c r="F158" s="267">
        <v>0</v>
      </c>
      <c r="G158" s="268">
        <v>0</v>
      </c>
    </row>
    <row r="159" spans="2:7" x14ac:dyDescent="0.2">
      <c r="B159" s="258"/>
      <c r="C159" s="172"/>
      <c r="D159" s="176"/>
      <c r="E159" s="178"/>
      <c r="F159" s="267">
        <v>0</v>
      </c>
      <c r="G159" s="268">
        <v>0</v>
      </c>
    </row>
    <row r="160" spans="2:7" x14ac:dyDescent="0.2">
      <c r="B160" s="258"/>
      <c r="C160" s="172"/>
      <c r="D160" s="176"/>
      <c r="E160" s="178"/>
      <c r="F160" s="267">
        <v>0</v>
      </c>
      <c r="G160" s="268">
        <v>0</v>
      </c>
    </row>
    <row r="161" spans="2:7" x14ac:dyDescent="0.2">
      <c r="B161" s="258"/>
      <c r="C161" s="172"/>
      <c r="D161" s="176"/>
      <c r="E161" s="178"/>
      <c r="F161" s="267">
        <v>0</v>
      </c>
      <c r="G161" s="268">
        <v>0</v>
      </c>
    </row>
    <row r="162" spans="2:7" x14ac:dyDescent="0.2">
      <c r="B162" s="258"/>
      <c r="C162" s="172"/>
      <c r="D162" s="176"/>
      <c r="E162" s="178"/>
      <c r="F162" s="267">
        <v>0</v>
      </c>
      <c r="G162" s="268">
        <v>0</v>
      </c>
    </row>
    <row r="163" spans="2:7" x14ac:dyDescent="0.2">
      <c r="B163" s="258"/>
      <c r="C163" s="264"/>
      <c r="D163" s="269"/>
      <c r="E163" s="270"/>
      <c r="F163" s="267">
        <v>0</v>
      </c>
      <c r="G163" s="268">
        <v>0</v>
      </c>
    </row>
    <row r="164" spans="2:7" x14ac:dyDescent="0.2">
      <c r="B164" s="258"/>
      <c r="C164" s="264"/>
      <c r="D164" s="269"/>
      <c r="E164" s="270"/>
      <c r="F164" s="267">
        <v>0</v>
      </c>
      <c r="G164" s="268">
        <v>0</v>
      </c>
    </row>
    <row r="165" spans="2:7" x14ac:dyDescent="0.2">
      <c r="B165" s="258"/>
      <c r="C165" s="264"/>
      <c r="D165" s="269"/>
      <c r="E165" s="270"/>
      <c r="F165" s="267">
        <v>0</v>
      </c>
      <c r="G165" s="268">
        <v>0</v>
      </c>
    </row>
    <row r="166" spans="2:7" x14ac:dyDescent="0.2">
      <c r="B166" s="258"/>
      <c r="C166" s="264"/>
      <c r="D166" s="269"/>
      <c r="E166" s="270"/>
      <c r="F166" s="267">
        <v>0</v>
      </c>
      <c r="G166" s="268">
        <v>0</v>
      </c>
    </row>
    <row r="167" spans="2:7" x14ac:dyDescent="0.2">
      <c r="B167" s="258"/>
      <c r="C167" s="264"/>
      <c r="D167" s="269"/>
      <c r="E167" s="270"/>
      <c r="F167" s="267">
        <v>0</v>
      </c>
      <c r="G167" s="268">
        <v>0</v>
      </c>
    </row>
    <row r="168" spans="2:7" x14ac:dyDescent="0.2">
      <c r="B168" s="258"/>
      <c r="C168" s="264"/>
      <c r="D168" s="269"/>
      <c r="E168" s="270"/>
      <c r="F168" s="267">
        <v>0</v>
      </c>
      <c r="G168" s="268">
        <v>0</v>
      </c>
    </row>
    <row r="169" spans="2:7" x14ac:dyDescent="0.2">
      <c r="B169" s="258"/>
      <c r="C169" s="264"/>
      <c r="D169" s="269"/>
      <c r="E169" s="270"/>
      <c r="F169" s="267">
        <v>0</v>
      </c>
      <c r="G169" s="268">
        <v>0</v>
      </c>
    </row>
    <row r="170" spans="2:7" x14ac:dyDescent="0.2">
      <c r="B170" s="258"/>
      <c r="C170" s="264"/>
      <c r="D170" s="269"/>
      <c r="E170" s="270"/>
      <c r="F170" s="267">
        <v>0</v>
      </c>
      <c r="G170" s="268">
        <v>0</v>
      </c>
    </row>
    <row r="171" spans="2:7" x14ac:dyDescent="0.2">
      <c r="B171" s="258"/>
      <c r="C171" s="264"/>
      <c r="D171" s="269"/>
      <c r="E171" s="270"/>
      <c r="F171" s="267">
        <v>0</v>
      </c>
      <c r="G171" s="268">
        <v>0</v>
      </c>
    </row>
    <row r="172" spans="2:7" x14ac:dyDescent="0.2">
      <c r="B172" s="258"/>
      <c r="C172" s="264"/>
      <c r="D172" s="269"/>
      <c r="E172" s="270"/>
      <c r="F172" s="267">
        <v>0</v>
      </c>
      <c r="G172" s="268">
        <v>0</v>
      </c>
    </row>
    <row r="173" spans="2:7" x14ac:dyDescent="0.2">
      <c r="B173" s="258"/>
      <c r="C173" s="271"/>
      <c r="D173" s="269"/>
      <c r="E173" s="270"/>
      <c r="F173" s="267">
        <v>0</v>
      </c>
      <c r="G173" s="268">
        <v>0</v>
      </c>
    </row>
    <row r="174" spans="2:7" x14ac:dyDescent="0.2">
      <c r="B174" s="258"/>
      <c r="C174" s="272" t="s">
        <v>1026</v>
      </c>
      <c r="D174" s="273"/>
      <c r="E174" s="274"/>
      <c r="F174" s="275"/>
      <c r="G174" s="184">
        <v>0</v>
      </c>
    </row>
    <row r="175" spans="2:7" ht="13.5" thickBot="1" x14ac:dyDescent="0.25">
      <c r="B175" s="258"/>
      <c r="C175" s="276"/>
      <c r="D175" s="277"/>
      <c r="E175" s="277"/>
      <c r="F175" s="278" t="s">
        <v>1025</v>
      </c>
      <c r="G175" s="279">
        <v>749278</v>
      </c>
    </row>
    <row r="176" spans="2:7" x14ac:dyDescent="0.2">
      <c r="B176" s="258"/>
      <c r="C176" s="280"/>
      <c r="D176" s="281"/>
      <c r="E176" s="281"/>
      <c r="F176" s="281"/>
      <c r="G176" s="282"/>
    </row>
    <row r="177" spans="2:7" x14ac:dyDescent="0.2">
      <c r="B177" s="258"/>
      <c r="C177" s="283" t="s">
        <v>1024</v>
      </c>
      <c r="D177" s="1721" t="s">
        <v>385</v>
      </c>
      <c r="E177" s="1722"/>
      <c r="F177" s="284" t="s">
        <v>395</v>
      </c>
      <c r="G177" s="285" t="s">
        <v>1014</v>
      </c>
    </row>
    <row r="178" spans="2:7" x14ac:dyDescent="0.2">
      <c r="B178" s="286"/>
      <c r="C178" s="259" t="s">
        <v>1022</v>
      </c>
      <c r="D178" s="1732">
        <v>74400</v>
      </c>
      <c r="E178" s="1733"/>
      <c r="F178" s="287">
        <v>0.5</v>
      </c>
      <c r="G178" s="288">
        <v>37200</v>
      </c>
    </row>
    <row r="179" spans="2:7" x14ac:dyDescent="0.2">
      <c r="B179" s="286"/>
      <c r="C179" s="289"/>
      <c r="D179" s="1725"/>
      <c r="E179" s="1726"/>
      <c r="F179" s="290"/>
      <c r="G179" s="291">
        <v>0</v>
      </c>
    </row>
    <row r="180" spans="2:7" x14ac:dyDescent="0.2">
      <c r="B180" s="258"/>
      <c r="C180" s="292"/>
      <c r="D180" s="1727"/>
      <c r="E180" s="1728"/>
      <c r="F180" s="293"/>
      <c r="G180" s="294">
        <v>0</v>
      </c>
    </row>
    <row r="181" spans="2:7" ht="13.5" thickBot="1" x14ac:dyDescent="0.25">
      <c r="B181" s="258"/>
      <c r="C181" s="276"/>
      <c r="D181" s="295"/>
      <c r="E181" s="281"/>
      <c r="F181" s="278" t="s">
        <v>1021</v>
      </c>
      <c r="G181" s="279">
        <v>37200</v>
      </c>
    </row>
    <row r="182" spans="2:7" x14ac:dyDescent="0.2">
      <c r="B182" s="258"/>
      <c r="C182" s="276"/>
      <c r="D182" s="281"/>
      <c r="E182" s="281"/>
      <c r="F182" s="281"/>
      <c r="G182" s="282"/>
    </row>
    <row r="183" spans="2:7" x14ac:dyDescent="0.2">
      <c r="B183" s="258"/>
      <c r="C183" s="283" t="s">
        <v>1020</v>
      </c>
      <c r="D183" s="1721" t="s">
        <v>385</v>
      </c>
      <c r="E183" s="1722"/>
      <c r="F183" s="284" t="s">
        <v>395</v>
      </c>
      <c r="G183" s="285" t="s">
        <v>1014</v>
      </c>
    </row>
    <row r="184" spans="2:7" x14ac:dyDescent="0.2">
      <c r="B184" s="286"/>
      <c r="C184" s="259" t="s">
        <v>1044</v>
      </c>
      <c r="D184" s="1723" t="s">
        <v>1018</v>
      </c>
      <c r="E184" s="1724"/>
      <c r="F184" s="296">
        <v>0.02</v>
      </c>
      <c r="G184" s="288">
        <v>642.44923076923067</v>
      </c>
    </row>
    <row r="185" spans="2:7" x14ac:dyDescent="0.2">
      <c r="B185" s="286"/>
      <c r="C185" s="259"/>
      <c r="D185" s="1725"/>
      <c r="E185" s="1726"/>
      <c r="F185" s="297"/>
      <c r="G185" s="298">
        <v>0</v>
      </c>
    </row>
    <row r="186" spans="2:7" x14ac:dyDescent="0.2">
      <c r="B186" s="258"/>
      <c r="C186" s="292"/>
      <c r="D186" s="1727"/>
      <c r="E186" s="1728"/>
      <c r="F186" s="293"/>
      <c r="G186" s="299">
        <v>0</v>
      </c>
    </row>
    <row r="187" spans="2:7" ht="13.5" thickBot="1" x14ac:dyDescent="0.25">
      <c r="B187" s="258"/>
      <c r="C187" s="276"/>
      <c r="D187" s="281"/>
      <c r="E187" s="281"/>
      <c r="F187" s="278" t="s">
        <v>1017</v>
      </c>
      <c r="G187" s="279">
        <v>642</v>
      </c>
    </row>
    <row r="188" spans="2:7" x14ac:dyDescent="0.2">
      <c r="B188" s="258"/>
      <c r="C188" s="276"/>
      <c r="D188" s="281"/>
      <c r="E188" s="281"/>
      <c r="F188" s="281"/>
      <c r="G188" s="282"/>
    </row>
    <row r="189" spans="2:7" x14ac:dyDescent="0.2">
      <c r="B189" s="258"/>
      <c r="C189" s="283" t="s">
        <v>1016</v>
      </c>
      <c r="D189" s="1729" t="s">
        <v>1043</v>
      </c>
      <c r="E189" s="1722"/>
      <c r="F189" s="195" t="s">
        <v>395</v>
      </c>
      <c r="G189" s="196" t="s">
        <v>1014</v>
      </c>
    </row>
    <row r="190" spans="2:7" ht="14.25" x14ac:dyDescent="0.25">
      <c r="B190" s="300"/>
      <c r="C190" s="259" t="s">
        <v>1042</v>
      </c>
      <c r="D190" s="1730">
        <v>214149.74358974356</v>
      </c>
      <c r="E190" s="1731"/>
      <c r="F190" s="301">
        <v>0.15</v>
      </c>
      <c r="G190" s="201">
        <v>32122.461538461532</v>
      </c>
    </row>
    <row r="191" spans="2:7" x14ac:dyDescent="0.2">
      <c r="B191" s="300"/>
      <c r="C191" s="259"/>
      <c r="D191" s="1725"/>
      <c r="E191" s="1726"/>
      <c r="F191" s="302"/>
      <c r="G191" s="298">
        <v>0</v>
      </c>
    </row>
    <row r="192" spans="2:7" x14ac:dyDescent="0.2">
      <c r="B192" s="303"/>
      <c r="C192" s="292"/>
      <c r="D192" s="1727"/>
      <c r="E192" s="1728"/>
      <c r="F192" s="304"/>
      <c r="G192" s="299">
        <v>0</v>
      </c>
    </row>
    <row r="193" spans="2:7" ht="13.5" thickBot="1" x14ac:dyDescent="0.25">
      <c r="B193" s="258"/>
      <c r="C193" s="276"/>
      <c r="D193" s="305"/>
      <c r="E193" s="305"/>
      <c r="F193" s="278" t="s">
        <v>1012</v>
      </c>
      <c r="G193" s="279">
        <v>32122</v>
      </c>
    </row>
    <row r="194" spans="2:7" x14ac:dyDescent="0.2">
      <c r="B194" s="258"/>
      <c r="C194" s="276"/>
      <c r="D194" s="276"/>
      <c r="E194" s="276"/>
      <c r="F194" s="276"/>
      <c r="G194" s="306"/>
    </row>
    <row r="195" spans="2:7" x14ac:dyDescent="0.2">
      <c r="B195" s="148" t="s">
        <v>1011</v>
      </c>
      <c r="C195" s="149"/>
      <c r="D195" s="149"/>
      <c r="E195" s="150"/>
      <c r="F195" s="150"/>
      <c r="G195" s="307">
        <v>819242</v>
      </c>
    </row>
    <row r="196" spans="2:7" x14ac:dyDescent="0.2">
      <c r="B196" s="258" t="s">
        <v>1010</v>
      </c>
      <c r="C196" s="276"/>
      <c r="D196" s="308"/>
      <c r="E196" s="308"/>
      <c r="F196" s="308"/>
      <c r="G196" s="309"/>
    </row>
    <row r="197" spans="2:7" x14ac:dyDescent="0.2">
      <c r="B197" s="227"/>
      <c r="C197" s="228"/>
      <c r="D197" s="228"/>
      <c r="E197" s="228"/>
      <c r="F197" s="228"/>
      <c r="G197" s="229"/>
    </row>
    <row r="198" spans="2:7" x14ac:dyDescent="0.2">
      <c r="B198" s="230"/>
      <c r="C198" s="231"/>
      <c r="D198" s="231"/>
      <c r="E198" s="231"/>
      <c r="F198" s="231"/>
      <c r="G198" s="232"/>
    </row>
    <row r="199" spans="2:7" x14ac:dyDescent="0.2">
      <c r="B199" s="230"/>
      <c r="C199" s="231"/>
      <c r="D199" s="231"/>
      <c r="E199" s="231"/>
      <c r="F199" s="231"/>
      <c r="G199" s="232"/>
    </row>
    <row r="200" spans="2:7" x14ac:dyDescent="0.2">
      <c r="B200" s="230"/>
      <c r="C200" s="231"/>
      <c r="D200" s="231"/>
      <c r="E200" s="231"/>
      <c r="F200" s="231"/>
      <c r="G200" s="232"/>
    </row>
    <row r="201" spans="2:7" x14ac:dyDescent="0.2">
      <c r="B201" s="230"/>
      <c r="C201" s="231"/>
      <c r="D201" s="231"/>
      <c r="E201" s="231"/>
      <c r="F201" s="231"/>
      <c r="G201" s="232"/>
    </row>
    <row r="202" spans="2:7" x14ac:dyDescent="0.2">
      <c r="B202" s="230"/>
      <c r="C202" s="231"/>
      <c r="D202" s="231"/>
      <c r="E202" s="231"/>
      <c r="F202" s="231"/>
      <c r="G202" s="232"/>
    </row>
    <row r="203" spans="2:7" x14ac:dyDescent="0.2">
      <c r="B203" s="230"/>
      <c r="C203" s="231"/>
      <c r="D203" s="231"/>
      <c r="E203" s="231"/>
      <c r="F203" s="231"/>
      <c r="G203" s="232"/>
    </row>
    <row r="204" spans="2:7" ht="13.5" thickBot="1" x14ac:dyDescent="0.25">
      <c r="B204" s="230"/>
      <c r="C204" s="729"/>
      <c r="D204" s="231"/>
      <c r="E204" s="231"/>
      <c r="F204" s="231"/>
      <c r="G204" s="232"/>
    </row>
    <row r="205" spans="2:7" x14ac:dyDescent="0.2">
      <c r="B205" s="230"/>
      <c r="C205" s="231" t="s">
        <v>1449</v>
      </c>
      <c r="D205" s="231"/>
      <c r="E205" s="1743" t="s">
        <v>865</v>
      </c>
      <c r="F205" s="1743"/>
      <c r="G205" s="1744"/>
    </row>
    <row r="206" spans="2:7" x14ac:dyDescent="0.2">
      <c r="B206" s="230"/>
      <c r="C206" s="231" t="s">
        <v>1450</v>
      </c>
      <c r="D206" s="231"/>
      <c r="E206" s="1745" t="s">
        <v>866</v>
      </c>
      <c r="F206" s="1745"/>
      <c r="G206" s="1746"/>
    </row>
    <row r="207" spans="2:7" x14ac:dyDescent="0.2">
      <c r="B207" s="230"/>
      <c r="C207" s="231"/>
      <c r="D207" s="231"/>
      <c r="E207" s="1745" t="s">
        <v>867</v>
      </c>
      <c r="F207" s="1745"/>
      <c r="G207" s="1746"/>
    </row>
    <row r="208" spans="2:7" ht="13.5" thickBot="1" x14ac:dyDescent="0.25">
      <c r="B208" s="233"/>
      <c r="C208" s="234"/>
      <c r="D208" s="234"/>
      <c r="E208" s="234"/>
      <c r="F208" s="234"/>
      <c r="G208" s="235"/>
    </row>
    <row r="209" spans="2:7" x14ac:dyDescent="0.2">
      <c r="B209" s="310"/>
      <c r="C209" s="310"/>
      <c r="D209" s="310"/>
      <c r="E209" s="310"/>
      <c r="F209" s="310"/>
      <c r="G209" s="310"/>
    </row>
    <row r="210" spans="2:7" ht="13.5" thickBot="1" x14ac:dyDescent="0.25"/>
    <row r="211" spans="2:7" x14ac:dyDescent="0.2">
      <c r="B211" s="1737"/>
      <c r="C211" s="1738"/>
      <c r="D211" s="1738"/>
      <c r="E211" s="1738"/>
      <c r="F211" s="1738"/>
      <c r="G211" s="1739"/>
    </row>
    <row r="212" spans="2:7" x14ac:dyDescent="0.2">
      <c r="B212" s="244"/>
      <c r="C212" s="245"/>
      <c r="D212" s="246" t="s">
        <v>1038</v>
      </c>
      <c r="E212" s="247"/>
      <c r="F212" s="248"/>
      <c r="G212" s="249"/>
    </row>
    <row r="213" spans="2:7" x14ac:dyDescent="0.2">
      <c r="B213" s="244"/>
      <c r="C213" s="250"/>
      <c r="D213" s="246" t="s">
        <v>180</v>
      </c>
      <c r="E213" s="251" t="s">
        <v>991</v>
      </c>
      <c r="F213" s="248"/>
      <c r="G213" s="249"/>
    </row>
    <row r="214" spans="2:7" x14ac:dyDescent="0.2">
      <c r="B214" s="244"/>
      <c r="C214" s="250"/>
      <c r="D214" s="246" t="s">
        <v>696</v>
      </c>
      <c r="E214" s="252">
        <v>1</v>
      </c>
      <c r="F214" s="248"/>
      <c r="G214" s="249"/>
    </row>
    <row r="215" spans="2:7" x14ac:dyDescent="0.2">
      <c r="B215" s="253"/>
      <c r="C215" s="248"/>
      <c r="D215" s="248"/>
      <c r="E215" s="248"/>
      <c r="F215" s="248"/>
      <c r="G215" s="249"/>
    </row>
    <row r="216" spans="2:7" x14ac:dyDescent="0.2">
      <c r="B216" s="1740" t="s">
        <v>1004</v>
      </c>
      <c r="C216" s="1752"/>
      <c r="D216" s="1752"/>
      <c r="E216" s="1752"/>
      <c r="F216" s="1752"/>
      <c r="G216" s="1753"/>
    </row>
    <row r="217" spans="2:7" x14ac:dyDescent="0.2">
      <c r="B217" s="254"/>
      <c r="C217" s="255" t="s">
        <v>1037</v>
      </c>
      <c r="D217" s="256" t="s">
        <v>119</v>
      </c>
      <c r="E217" s="256" t="s">
        <v>1008</v>
      </c>
      <c r="F217" s="256" t="s">
        <v>1009</v>
      </c>
      <c r="G217" s="257" t="s">
        <v>1036</v>
      </c>
    </row>
    <row r="218" spans="2:7" x14ac:dyDescent="0.2">
      <c r="B218" s="258"/>
      <c r="C218" s="259" t="s">
        <v>1046</v>
      </c>
      <c r="D218" s="260" t="s">
        <v>991</v>
      </c>
      <c r="E218" s="261">
        <v>1</v>
      </c>
      <c r="F218" s="262">
        <v>2191266</v>
      </c>
      <c r="G218" s="263">
        <v>2191266</v>
      </c>
    </row>
    <row r="219" spans="2:7" x14ac:dyDescent="0.2">
      <c r="B219" s="258"/>
      <c r="C219" s="264"/>
      <c r="D219" s="260"/>
      <c r="E219" s="261"/>
      <c r="F219" s="262">
        <v>0</v>
      </c>
      <c r="G219" s="263">
        <v>0</v>
      </c>
    </row>
    <row r="220" spans="2:7" x14ac:dyDescent="0.2">
      <c r="B220" s="258"/>
      <c r="C220" s="264"/>
      <c r="D220" s="265"/>
      <c r="E220" s="266"/>
      <c r="F220" s="267">
        <v>0</v>
      </c>
      <c r="G220" s="268">
        <v>0</v>
      </c>
    </row>
    <row r="221" spans="2:7" x14ac:dyDescent="0.2">
      <c r="B221" s="258"/>
      <c r="C221" s="264"/>
      <c r="D221" s="265"/>
      <c r="E221" s="266"/>
      <c r="F221" s="267">
        <v>0</v>
      </c>
      <c r="G221" s="268">
        <v>0</v>
      </c>
    </row>
    <row r="222" spans="2:7" x14ac:dyDescent="0.2">
      <c r="B222" s="258"/>
      <c r="C222" s="264"/>
      <c r="D222" s="265"/>
      <c r="E222" s="266"/>
      <c r="F222" s="267">
        <v>0</v>
      </c>
      <c r="G222" s="268">
        <v>0</v>
      </c>
    </row>
    <row r="223" spans="2:7" x14ac:dyDescent="0.2">
      <c r="B223" s="258"/>
      <c r="C223" s="264"/>
      <c r="D223" s="265"/>
      <c r="E223" s="266"/>
      <c r="F223" s="267">
        <v>0</v>
      </c>
      <c r="G223" s="268">
        <v>0</v>
      </c>
    </row>
    <row r="224" spans="2:7" x14ac:dyDescent="0.2">
      <c r="B224" s="258"/>
      <c r="C224" s="264"/>
      <c r="D224" s="265"/>
      <c r="E224" s="266"/>
      <c r="F224" s="267">
        <v>0</v>
      </c>
      <c r="G224" s="268">
        <v>0</v>
      </c>
    </row>
    <row r="225" spans="2:7" x14ac:dyDescent="0.2">
      <c r="B225" s="258"/>
      <c r="C225" s="167"/>
      <c r="D225" s="168"/>
      <c r="E225" s="169"/>
      <c r="F225" s="267">
        <v>0</v>
      </c>
      <c r="G225" s="268">
        <v>0</v>
      </c>
    </row>
    <row r="226" spans="2:7" x14ac:dyDescent="0.2">
      <c r="B226" s="258"/>
      <c r="C226" s="172"/>
      <c r="D226" s="173"/>
      <c r="E226" s="174"/>
      <c r="F226" s="267">
        <v>0</v>
      </c>
      <c r="G226" s="268">
        <v>0</v>
      </c>
    </row>
    <row r="227" spans="2:7" x14ac:dyDescent="0.2">
      <c r="B227" s="258"/>
      <c r="C227" s="172"/>
      <c r="D227" s="176"/>
      <c r="E227" s="178"/>
      <c r="F227" s="267">
        <v>0</v>
      </c>
      <c r="G227" s="268">
        <v>0</v>
      </c>
    </row>
    <row r="228" spans="2:7" x14ac:dyDescent="0.2">
      <c r="B228" s="258"/>
      <c r="C228" s="172"/>
      <c r="D228" s="173"/>
      <c r="E228" s="174"/>
      <c r="F228" s="267">
        <v>0</v>
      </c>
      <c r="G228" s="268">
        <v>0</v>
      </c>
    </row>
    <row r="229" spans="2:7" x14ac:dyDescent="0.2">
      <c r="B229" s="258"/>
      <c r="C229" s="172"/>
      <c r="D229" s="176"/>
      <c r="E229" s="178"/>
      <c r="F229" s="267">
        <v>0</v>
      </c>
      <c r="G229" s="268">
        <v>0</v>
      </c>
    </row>
    <row r="230" spans="2:7" x14ac:dyDescent="0.2">
      <c r="B230" s="258"/>
      <c r="C230" s="172"/>
      <c r="D230" s="176"/>
      <c r="E230" s="178"/>
      <c r="F230" s="267">
        <v>0</v>
      </c>
      <c r="G230" s="268">
        <v>0</v>
      </c>
    </row>
    <row r="231" spans="2:7" x14ac:dyDescent="0.2">
      <c r="B231" s="258"/>
      <c r="C231" s="172"/>
      <c r="D231" s="176"/>
      <c r="E231" s="178"/>
      <c r="F231" s="267">
        <v>0</v>
      </c>
      <c r="G231" s="268">
        <v>0</v>
      </c>
    </row>
    <row r="232" spans="2:7" x14ac:dyDescent="0.2">
      <c r="B232" s="258"/>
      <c r="C232" s="172"/>
      <c r="D232" s="176"/>
      <c r="E232" s="178"/>
      <c r="F232" s="267">
        <v>0</v>
      </c>
      <c r="G232" s="268">
        <v>0</v>
      </c>
    </row>
    <row r="233" spans="2:7" x14ac:dyDescent="0.2">
      <c r="B233" s="258"/>
      <c r="C233" s="264"/>
      <c r="D233" s="269"/>
      <c r="E233" s="270"/>
      <c r="F233" s="267">
        <v>0</v>
      </c>
      <c r="G233" s="268">
        <v>0</v>
      </c>
    </row>
    <row r="234" spans="2:7" x14ac:dyDescent="0.2">
      <c r="B234" s="258"/>
      <c r="C234" s="264"/>
      <c r="D234" s="269"/>
      <c r="E234" s="270"/>
      <c r="F234" s="267">
        <v>0</v>
      </c>
      <c r="G234" s="268">
        <v>0</v>
      </c>
    </row>
    <row r="235" spans="2:7" x14ac:dyDescent="0.2">
      <c r="B235" s="258"/>
      <c r="C235" s="264"/>
      <c r="D235" s="269"/>
      <c r="E235" s="270"/>
      <c r="F235" s="267">
        <v>0</v>
      </c>
      <c r="G235" s="268">
        <v>0</v>
      </c>
    </row>
    <row r="236" spans="2:7" x14ac:dyDescent="0.2">
      <c r="B236" s="258"/>
      <c r="C236" s="264"/>
      <c r="D236" s="269"/>
      <c r="E236" s="270"/>
      <c r="F236" s="267">
        <v>0</v>
      </c>
      <c r="G236" s="268">
        <v>0</v>
      </c>
    </row>
    <row r="237" spans="2:7" x14ac:dyDescent="0.2">
      <c r="B237" s="258"/>
      <c r="C237" s="264"/>
      <c r="D237" s="269"/>
      <c r="E237" s="270"/>
      <c r="F237" s="267">
        <v>0</v>
      </c>
      <c r="G237" s="268">
        <v>0</v>
      </c>
    </row>
    <row r="238" spans="2:7" x14ac:dyDescent="0.2">
      <c r="B238" s="258"/>
      <c r="C238" s="264"/>
      <c r="D238" s="269"/>
      <c r="E238" s="270"/>
      <c r="F238" s="267">
        <v>0</v>
      </c>
      <c r="G238" s="268">
        <v>0</v>
      </c>
    </row>
    <row r="239" spans="2:7" x14ac:dyDescent="0.2">
      <c r="B239" s="258"/>
      <c r="C239" s="264"/>
      <c r="D239" s="269"/>
      <c r="E239" s="270"/>
      <c r="F239" s="267">
        <v>0</v>
      </c>
      <c r="G239" s="268">
        <v>0</v>
      </c>
    </row>
    <row r="240" spans="2:7" x14ac:dyDescent="0.2">
      <c r="B240" s="258"/>
      <c r="C240" s="264"/>
      <c r="D240" s="269"/>
      <c r="E240" s="270"/>
      <c r="F240" s="267">
        <v>0</v>
      </c>
      <c r="G240" s="268">
        <v>0</v>
      </c>
    </row>
    <row r="241" spans="2:7" x14ac:dyDescent="0.2">
      <c r="B241" s="258"/>
      <c r="C241" s="264"/>
      <c r="D241" s="269"/>
      <c r="E241" s="270"/>
      <c r="F241" s="267">
        <v>0</v>
      </c>
      <c r="G241" s="268">
        <v>0</v>
      </c>
    </row>
    <row r="242" spans="2:7" x14ac:dyDescent="0.2">
      <c r="B242" s="258"/>
      <c r="C242" s="264"/>
      <c r="D242" s="269"/>
      <c r="E242" s="270"/>
      <c r="F242" s="267">
        <v>0</v>
      </c>
      <c r="G242" s="268">
        <v>0</v>
      </c>
    </row>
    <row r="243" spans="2:7" x14ac:dyDescent="0.2">
      <c r="B243" s="258"/>
      <c r="C243" s="271"/>
      <c r="D243" s="269"/>
      <c r="E243" s="270"/>
      <c r="F243" s="267">
        <v>0</v>
      </c>
      <c r="G243" s="268">
        <v>0</v>
      </c>
    </row>
    <row r="244" spans="2:7" x14ac:dyDescent="0.2">
      <c r="B244" s="258"/>
      <c r="C244" s="272" t="s">
        <v>1026</v>
      </c>
      <c r="D244" s="273"/>
      <c r="E244" s="274"/>
      <c r="F244" s="275"/>
      <c r="G244" s="184">
        <v>0</v>
      </c>
    </row>
    <row r="245" spans="2:7" ht="13.5" thickBot="1" x14ac:dyDescent="0.25">
      <c r="B245" s="258"/>
      <c r="C245" s="276"/>
      <c r="D245" s="277"/>
      <c r="E245" s="277"/>
      <c r="F245" s="278" t="s">
        <v>1025</v>
      </c>
      <c r="G245" s="279">
        <v>2191266</v>
      </c>
    </row>
    <row r="246" spans="2:7" x14ac:dyDescent="0.2">
      <c r="B246" s="258"/>
      <c r="C246" s="280"/>
      <c r="D246" s="281"/>
      <c r="E246" s="281"/>
      <c r="F246" s="281"/>
      <c r="G246" s="282"/>
    </row>
    <row r="247" spans="2:7" x14ac:dyDescent="0.2">
      <c r="B247" s="258"/>
      <c r="C247" s="283" t="s">
        <v>1024</v>
      </c>
      <c r="D247" s="1721" t="s">
        <v>385</v>
      </c>
      <c r="E247" s="1722"/>
      <c r="F247" s="284" t="s">
        <v>395</v>
      </c>
      <c r="G247" s="285" t="s">
        <v>1014</v>
      </c>
    </row>
    <row r="248" spans="2:7" x14ac:dyDescent="0.2">
      <c r="B248" s="286"/>
      <c r="C248" s="259" t="s">
        <v>1022</v>
      </c>
      <c r="D248" s="1732">
        <v>74400</v>
      </c>
      <c r="E248" s="1733"/>
      <c r="F248" s="287">
        <v>2</v>
      </c>
      <c r="G248" s="288">
        <v>148800</v>
      </c>
    </row>
    <row r="249" spans="2:7" x14ac:dyDescent="0.2">
      <c r="B249" s="286"/>
      <c r="C249" s="289"/>
      <c r="D249" s="1725"/>
      <c r="E249" s="1726"/>
      <c r="F249" s="290"/>
      <c r="G249" s="291">
        <v>0</v>
      </c>
    </row>
    <row r="250" spans="2:7" x14ac:dyDescent="0.2">
      <c r="B250" s="258"/>
      <c r="C250" s="292"/>
      <c r="D250" s="1727"/>
      <c r="E250" s="1728"/>
      <c r="F250" s="293"/>
      <c r="G250" s="294">
        <v>0</v>
      </c>
    </row>
    <row r="251" spans="2:7" ht="13.5" thickBot="1" x14ac:dyDescent="0.25">
      <c r="B251" s="258"/>
      <c r="C251" s="276"/>
      <c r="D251" s="295"/>
      <c r="E251" s="281"/>
      <c r="F251" s="278" t="s">
        <v>1021</v>
      </c>
      <c r="G251" s="279">
        <v>148800</v>
      </c>
    </row>
    <row r="252" spans="2:7" x14ac:dyDescent="0.2">
      <c r="B252" s="258"/>
      <c r="C252" s="276"/>
      <c r="D252" s="281"/>
      <c r="E252" s="281"/>
      <c r="F252" s="281"/>
      <c r="G252" s="282"/>
    </row>
    <row r="253" spans="2:7" x14ac:dyDescent="0.2">
      <c r="B253" s="258"/>
      <c r="C253" s="283" t="s">
        <v>1020</v>
      </c>
      <c r="D253" s="1721" t="s">
        <v>385</v>
      </c>
      <c r="E253" s="1722"/>
      <c r="F253" s="284" t="s">
        <v>395</v>
      </c>
      <c r="G253" s="285" t="s">
        <v>1014</v>
      </c>
    </row>
    <row r="254" spans="2:7" x14ac:dyDescent="0.2">
      <c r="B254" s="286"/>
      <c r="C254" s="259" t="s">
        <v>1044</v>
      </c>
      <c r="D254" s="1723" t="s">
        <v>1018</v>
      </c>
      <c r="E254" s="1724"/>
      <c r="F254" s="296">
        <v>0.02</v>
      </c>
      <c r="G254" s="288">
        <v>1070.7487179487177</v>
      </c>
    </row>
    <row r="255" spans="2:7" x14ac:dyDescent="0.2">
      <c r="B255" s="286"/>
      <c r="C255" s="259"/>
      <c r="D255" s="1725"/>
      <c r="E255" s="1726"/>
      <c r="F255" s="297"/>
      <c r="G255" s="298">
        <v>0</v>
      </c>
    </row>
    <row r="256" spans="2:7" x14ac:dyDescent="0.2">
      <c r="B256" s="258"/>
      <c r="C256" s="292"/>
      <c r="D256" s="1727"/>
      <c r="E256" s="1728"/>
      <c r="F256" s="293"/>
      <c r="G256" s="299">
        <v>0</v>
      </c>
    </row>
    <row r="257" spans="2:7" ht="13.5" thickBot="1" x14ac:dyDescent="0.25">
      <c r="B257" s="258"/>
      <c r="C257" s="276"/>
      <c r="D257" s="281"/>
      <c r="E257" s="281"/>
      <c r="F257" s="278" t="s">
        <v>1017</v>
      </c>
      <c r="G257" s="279">
        <v>1071</v>
      </c>
    </row>
    <row r="258" spans="2:7" x14ac:dyDescent="0.2">
      <c r="B258" s="258"/>
      <c r="C258" s="276"/>
      <c r="D258" s="281"/>
      <c r="E258" s="281"/>
      <c r="F258" s="281"/>
      <c r="G258" s="282"/>
    </row>
    <row r="259" spans="2:7" x14ac:dyDescent="0.2">
      <c r="B259" s="258"/>
      <c r="C259" s="283" t="s">
        <v>1016</v>
      </c>
      <c r="D259" s="1729" t="s">
        <v>1043</v>
      </c>
      <c r="E259" s="1722"/>
      <c r="F259" s="195" t="s">
        <v>395</v>
      </c>
      <c r="G259" s="196" t="s">
        <v>1014</v>
      </c>
    </row>
    <row r="260" spans="2:7" ht="14.25" x14ac:dyDescent="0.25">
      <c r="B260" s="300"/>
      <c r="C260" s="259" t="s">
        <v>1042</v>
      </c>
      <c r="D260" s="1730">
        <v>214149.74358974356</v>
      </c>
      <c r="E260" s="1731"/>
      <c r="F260" s="301">
        <v>0.25</v>
      </c>
      <c r="G260" s="201">
        <v>53537.435897435891</v>
      </c>
    </row>
    <row r="261" spans="2:7" x14ac:dyDescent="0.2">
      <c r="B261" s="300"/>
      <c r="C261" s="259"/>
      <c r="D261" s="1725"/>
      <c r="E261" s="1726"/>
      <c r="F261" s="302"/>
      <c r="G261" s="298">
        <v>0</v>
      </c>
    </row>
    <row r="262" spans="2:7" x14ac:dyDescent="0.2">
      <c r="B262" s="303"/>
      <c r="C262" s="292"/>
      <c r="D262" s="1727"/>
      <c r="E262" s="1728"/>
      <c r="F262" s="304"/>
      <c r="G262" s="299">
        <v>0</v>
      </c>
    </row>
    <row r="263" spans="2:7" ht="13.5" thickBot="1" x14ac:dyDescent="0.25">
      <c r="B263" s="258"/>
      <c r="C263" s="276"/>
      <c r="D263" s="305"/>
      <c r="E263" s="305"/>
      <c r="F263" s="278" t="s">
        <v>1012</v>
      </c>
      <c r="G263" s="279">
        <v>53537</v>
      </c>
    </row>
    <row r="264" spans="2:7" x14ac:dyDescent="0.2">
      <c r="B264" s="258"/>
      <c r="C264" s="276"/>
      <c r="D264" s="276"/>
      <c r="E264" s="276"/>
      <c r="F264" s="276"/>
      <c r="G264" s="306"/>
    </row>
    <row r="265" spans="2:7" x14ac:dyDescent="0.2">
      <c r="B265" s="148" t="s">
        <v>1011</v>
      </c>
      <c r="C265" s="149"/>
      <c r="D265" s="149"/>
      <c r="E265" s="150"/>
      <c r="F265" s="150"/>
      <c r="G265" s="307">
        <v>2394674</v>
      </c>
    </row>
    <row r="266" spans="2:7" x14ac:dyDescent="0.2">
      <c r="B266" s="258" t="s">
        <v>1010</v>
      </c>
      <c r="C266" s="276"/>
      <c r="D266" s="308"/>
      <c r="E266" s="308"/>
      <c r="F266" s="308"/>
      <c r="G266" s="309"/>
    </row>
    <row r="267" spans="2:7" x14ac:dyDescent="0.2">
      <c r="B267" s="227"/>
      <c r="C267" s="228"/>
      <c r="D267" s="228"/>
      <c r="E267" s="228"/>
      <c r="F267" s="228"/>
      <c r="G267" s="229"/>
    </row>
    <row r="268" spans="2:7" x14ac:dyDescent="0.2">
      <c r="B268" s="230"/>
      <c r="C268" s="231"/>
      <c r="D268" s="231"/>
      <c r="E268" s="231"/>
      <c r="F268" s="231"/>
      <c r="G268" s="232"/>
    </row>
    <row r="269" spans="2:7" x14ac:dyDescent="0.2">
      <c r="B269" s="230"/>
      <c r="C269" s="231"/>
      <c r="D269" s="231"/>
      <c r="E269" s="231"/>
      <c r="F269" s="231"/>
      <c r="G269" s="232"/>
    </row>
    <row r="270" spans="2:7" x14ac:dyDescent="0.2">
      <c r="B270" s="230"/>
      <c r="C270" s="231"/>
      <c r="D270" s="231"/>
      <c r="E270" s="231"/>
      <c r="F270" s="231"/>
      <c r="G270" s="232"/>
    </row>
    <row r="271" spans="2:7" x14ac:dyDescent="0.2">
      <c r="B271" s="230"/>
      <c r="C271" s="231"/>
      <c r="D271" s="231"/>
      <c r="E271" s="231"/>
      <c r="F271" s="231"/>
      <c r="G271" s="232"/>
    </row>
    <row r="272" spans="2:7" x14ac:dyDescent="0.2">
      <c r="B272" s="230"/>
      <c r="C272" s="231"/>
      <c r="D272" s="231"/>
      <c r="E272" s="231"/>
      <c r="F272" s="231"/>
      <c r="G272" s="232"/>
    </row>
    <row r="273" spans="2:7" x14ac:dyDescent="0.2">
      <c r="B273" s="230"/>
      <c r="C273" s="231"/>
      <c r="D273" s="231"/>
      <c r="E273" s="231"/>
      <c r="F273" s="231"/>
      <c r="G273" s="232"/>
    </row>
    <row r="274" spans="2:7" ht="13.5" thickBot="1" x14ac:dyDescent="0.25">
      <c r="B274" s="230"/>
      <c r="C274" s="729"/>
      <c r="D274" s="231"/>
      <c r="E274" s="231"/>
      <c r="F274" s="231"/>
      <c r="G274" s="232"/>
    </row>
    <row r="275" spans="2:7" x14ac:dyDescent="0.2">
      <c r="B275" s="230"/>
      <c r="C275" s="231" t="s">
        <v>1449</v>
      </c>
      <c r="D275" s="231"/>
      <c r="E275" s="1743" t="s">
        <v>865</v>
      </c>
      <c r="F275" s="1743"/>
      <c r="G275" s="1744"/>
    </row>
    <row r="276" spans="2:7" x14ac:dyDescent="0.2">
      <c r="B276" s="230"/>
      <c r="C276" s="231" t="s">
        <v>1450</v>
      </c>
      <c r="D276" s="231"/>
      <c r="E276" s="1745" t="s">
        <v>866</v>
      </c>
      <c r="F276" s="1745"/>
      <c r="G276" s="1746"/>
    </row>
    <row r="277" spans="2:7" x14ac:dyDescent="0.2">
      <c r="B277" s="230"/>
      <c r="C277" s="231"/>
      <c r="D277" s="231"/>
      <c r="E277" s="1745" t="s">
        <v>867</v>
      </c>
      <c r="F277" s="1745"/>
      <c r="G277" s="1746"/>
    </row>
    <row r="278" spans="2:7" ht="13.5" thickBot="1" x14ac:dyDescent="0.25">
      <c r="B278" s="233"/>
      <c r="C278" s="234"/>
      <c r="D278" s="234"/>
      <c r="E278" s="234"/>
      <c r="F278" s="234"/>
      <c r="G278" s="235"/>
    </row>
    <row r="279" spans="2:7" x14ac:dyDescent="0.2">
      <c r="B279" s="310"/>
      <c r="C279" s="310"/>
      <c r="D279" s="310"/>
      <c r="E279" s="310"/>
      <c r="F279" s="310"/>
      <c r="G279" s="310"/>
    </row>
    <row r="280" spans="2:7" ht="13.5" thickBot="1" x14ac:dyDescent="0.25"/>
    <row r="281" spans="2:7" x14ac:dyDescent="0.2">
      <c r="B281" s="1737"/>
      <c r="C281" s="1738"/>
      <c r="D281" s="1738"/>
      <c r="E281" s="1738"/>
      <c r="F281" s="1738"/>
      <c r="G281" s="1739"/>
    </row>
    <row r="282" spans="2:7" x14ac:dyDescent="0.2">
      <c r="B282" s="244"/>
      <c r="C282" s="245"/>
      <c r="D282" s="246" t="s">
        <v>1038</v>
      </c>
      <c r="E282" s="247"/>
      <c r="F282" s="248"/>
      <c r="G282" s="249"/>
    </row>
    <row r="283" spans="2:7" x14ac:dyDescent="0.2">
      <c r="B283" s="244"/>
      <c r="C283" s="250"/>
      <c r="D283" s="246" t="s">
        <v>180</v>
      </c>
      <c r="E283" s="251" t="s">
        <v>991</v>
      </c>
      <c r="F283" s="248"/>
      <c r="G283" s="249"/>
    </row>
    <row r="284" spans="2:7" x14ac:dyDescent="0.2">
      <c r="B284" s="244"/>
      <c r="C284" s="250"/>
      <c r="D284" s="246" t="s">
        <v>696</v>
      </c>
      <c r="E284" s="252">
        <v>1</v>
      </c>
      <c r="F284" s="248"/>
      <c r="G284" s="249"/>
    </row>
    <row r="285" spans="2:7" x14ac:dyDescent="0.2">
      <c r="B285" s="253"/>
      <c r="C285" s="248"/>
      <c r="D285" s="248"/>
      <c r="E285" s="248"/>
      <c r="F285" s="248"/>
      <c r="G285" s="249"/>
    </row>
    <row r="286" spans="2:7" x14ac:dyDescent="0.2">
      <c r="B286" s="1740" t="s">
        <v>1003</v>
      </c>
      <c r="C286" s="1741"/>
      <c r="D286" s="1741"/>
      <c r="E286" s="1741"/>
      <c r="F286" s="1741"/>
      <c r="G286" s="1742"/>
    </row>
    <row r="287" spans="2:7" x14ac:dyDescent="0.2">
      <c r="B287" s="254"/>
      <c r="C287" s="255" t="s">
        <v>1037</v>
      </c>
      <c r="D287" s="256" t="s">
        <v>119</v>
      </c>
      <c r="E287" s="256" t="s">
        <v>1008</v>
      </c>
      <c r="F287" s="256" t="s">
        <v>1009</v>
      </c>
      <c r="G287" s="257" t="s">
        <v>1036</v>
      </c>
    </row>
    <row r="288" spans="2:7" x14ac:dyDescent="0.2">
      <c r="B288" s="258"/>
      <c r="C288" s="311" t="s">
        <v>1049</v>
      </c>
      <c r="D288" s="269" t="s">
        <v>991</v>
      </c>
      <c r="E288" s="261">
        <v>1</v>
      </c>
      <c r="F288" s="267">
        <v>10319776.85</v>
      </c>
      <c r="G288" s="268">
        <v>10319776.85</v>
      </c>
    </row>
    <row r="289" spans="2:7" x14ac:dyDescent="0.2">
      <c r="B289" s="258"/>
      <c r="C289" s="264" t="s">
        <v>1048</v>
      </c>
      <c r="D289" s="269" t="s">
        <v>991</v>
      </c>
      <c r="E289" s="270">
        <v>1</v>
      </c>
      <c r="F289" s="267">
        <v>342720</v>
      </c>
      <c r="G289" s="268">
        <v>342720</v>
      </c>
    </row>
    <row r="290" spans="2:7" x14ac:dyDescent="0.2">
      <c r="B290" s="258"/>
      <c r="C290" s="264" t="s">
        <v>1047</v>
      </c>
      <c r="D290" s="269" t="s">
        <v>991</v>
      </c>
      <c r="E290" s="270">
        <v>1</v>
      </c>
      <c r="F290" s="267">
        <v>8934</v>
      </c>
      <c r="G290" s="268">
        <v>8934</v>
      </c>
    </row>
    <row r="291" spans="2:7" x14ac:dyDescent="0.2">
      <c r="B291" s="258"/>
      <c r="C291" s="264"/>
      <c r="D291" s="265"/>
      <c r="E291" s="270"/>
      <c r="F291" s="267">
        <v>0</v>
      </c>
      <c r="G291" s="268">
        <v>0</v>
      </c>
    </row>
    <row r="292" spans="2:7" x14ac:dyDescent="0.2">
      <c r="B292" s="258"/>
      <c r="C292" s="264"/>
      <c r="D292" s="265"/>
      <c r="E292" s="270"/>
      <c r="F292" s="267">
        <v>0</v>
      </c>
      <c r="G292" s="268">
        <v>0</v>
      </c>
    </row>
    <row r="293" spans="2:7" x14ac:dyDescent="0.2">
      <c r="B293" s="258"/>
      <c r="C293" s="264"/>
      <c r="D293" s="265"/>
      <c r="E293" s="270"/>
      <c r="F293" s="267">
        <v>0</v>
      </c>
      <c r="G293" s="268">
        <v>0</v>
      </c>
    </row>
    <row r="294" spans="2:7" x14ac:dyDescent="0.2">
      <c r="B294" s="258"/>
      <c r="C294" s="264"/>
      <c r="D294" s="265"/>
      <c r="E294" s="270"/>
      <c r="F294" s="267">
        <v>0</v>
      </c>
      <c r="G294" s="268">
        <v>0</v>
      </c>
    </row>
    <row r="295" spans="2:7" x14ac:dyDescent="0.2">
      <c r="B295" s="258"/>
      <c r="C295" s="264"/>
      <c r="D295" s="269"/>
      <c r="E295" s="270"/>
      <c r="F295" s="267">
        <v>0</v>
      </c>
      <c r="G295" s="268">
        <v>0</v>
      </c>
    </row>
    <row r="296" spans="2:7" x14ac:dyDescent="0.2">
      <c r="B296" s="258"/>
      <c r="C296" s="264"/>
      <c r="D296" s="269"/>
      <c r="E296" s="270"/>
      <c r="F296" s="267">
        <v>0</v>
      </c>
      <c r="G296" s="268">
        <v>0</v>
      </c>
    </row>
    <row r="297" spans="2:7" x14ac:dyDescent="0.2">
      <c r="B297" s="258"/>
      <c r="C297" s="264"/>
      <c r="D297" s="269"/>
      <c r="E297" s="270"/>
      <c r="F297" s="267">
        <v>0</v>
      </c>
      <c r="G297" s="268">
        <v>0</v>
      </c>
    </row>
    <row r="298" spans="2:7" x14ac:dyDescent="0.2">
      <c r="B298" s="258"/>
      <c r="C298" s="264"/>
      <c r="D298" s="269"/>
      <c r="E298" s="270"/>
      <c r="F298" s="267">
        <v>0</v>
      </c>
      <c r="G298" s="268">
        <v>0</v>
      </c>
    </row>
    <row r="299" spans="2:7" x14ac:dyDescent="0.2">
      <c r="B299" s="258"/>
      <c r="C299" s="264"/>
      <c r="D299" s="269"/>
      <c r="E299" s="270"/>
      <c r="F299" s="267">
        <v>0</v>
      </c>
      <c r="G299" s="268">
        <v>0</v>
      </c>
    </row>
    <row r="300" spans="2:7" x14ac:dyDescent="0.2">
      <c r="B300" s="258"/>
      <c r="C300" s="264"/>
      <c r="D300" s="269"/>
      <c r="E300" s="270"/>
      <c r="F300" s="267">
        <v>0</v>
      </c>
      <c r="G300" s="268">
        <v>0</v>
      </c>
    </row>
    <row r="301" spans="2:7" x14ac:dyDescent="0.2">
      <c r="B301" s="258"/>
      <c r="C301" s="264"/>
      <c r="D301" s="269"/>
      <c r="E301" s="270"/>
      <c r="F301" s="267">
        <v>0</v>
      </c>
      <c r="G301" s="268">
        <v>0</v>
      </c>
    </row>
    <row r="302" spans="2:7" x14ac:dyDescent="0.2">
      <c r="B302" s="258"/>
      <c r="C302" s="264"/>
      <c r="D302" s="269"/>
      <c r="E302" s="270"/>
      <c r="F302" s="267">
        <v>0</v>
      </c>
      <c r="G302" s="268">
        <v>0</v>
      </c>
    </row>
    <row r="303" spans="2:7" x14ac:dyDescent="0.2">
      <c r="B303" s="258"/>
      <c r="C303" s="264"/>
      <c r="D303" s="269"/>
      <c r="E303" s="270"/>
      <c r="F303" s="267">
        <v>0</v>
      </c>
      <c r="G303" s="268">
        <v>0</v>
      </c>
    </row>
    <row r="304" spans="2:7" x14ac:dyDescent="0.2">
      <c r="B304" s="258"/>
      <c r="C304" s="264"/>
      <c r="D304" s="269"/>
      <c r="E304" s="270"/>
      <c r="F304" s="267">
        <v>0</v>
      </c>
      <c r="G304" s="268">
        <v>0</v>
      </c>
    </row>
    <row r="305" spans="2:7" x14ac:dyDescent="0.2">
      <c r="B305" s="258"/>
      <c r="C305" s="264"/>
      <c r="D305" s="269"/>
      <c r="E305" s="270"/>
      <c r="F305" s="267">
        <v>0</v>
      </c>
      <c r="G305" s="268">
        <v>0</v>
      </c>
    </row>
    <row r="306" spans="2:7" x14ac:dyDescent="0.2">
      <c r="B306" s="258"/>
      <c r="C306" s="264"/>
      <c r="D306" s="269"/>
      <c r="E306" s="270"/>
      <c r="F306" s="267">
        <v>0</v>
      </c>
      <c r="G306" s="268">
        <v>0</v>
      </c>
    </row>
    <row r="307" spans="2:7" x14ac:dyDescent="0.2">
      <c r="B307" s="258"/>
      <c r="C307" s="264"/>
      <c r="D307" s="269"/>
      <c r="E307" s="270"/>
      <c r="F307" s="267">
        <v>0</v>
      </c>
      <c r="G307" s="268">
        <v>0</v>
      </c>
    </row>
    <row r="308" spans="2:7" x14ac:dyDescent="0.2">
      <c r="B308" s="258"/>
      <c r="C308" s="264"/>
      <c r="D308" s="269"/>
      <c r="E308" s="270"/>
      <c r="F308" s="267">
        <v>0</v>
      </c>
      <c r="G308" s="268">
        <v>0</v>
      </c>
    </row>
    <row r="309" spans="2:7" x14ac:dyDescent="0.2">
      <c r="B309" s="258"/>
      <c r="C309" s="264"/>
      <c r="D309" s="269"/>
      <c r="E309" s="270"/>
      <c r="F309" s="267">
        <v>0</v>
      </c>
      <c r="G309" s="268">
        <v>0</v>
      </c>
    </row>
    <row r="310" spans="2:7" x14ac:dyDescent="0.2">
      <c r="B310" s="258"/>
      <c r="C310" s="264"/>
      <c r="D310" s="269"/>
      <c r="E310" s="270"/>
      <c r="F310" s="267">
        <v>0</v>
      </c>
      <c r="G310" s="268">
        <v>0</v>
      </c>
    </row>
    <row r="311" spans="2:7" x14ac:dyDescent="0.2">
      <c r="B311" s="258"/>
      <c r="C311" s="264"/>
      <c r="D311" s="269"/>
      <c r="E311" s="270"/>
      <c r="F311" s="267">
        <v>0</v>
      </c>
      <c r="G311" s="268">
        <v>0</v>
      </c>
    </row>
    <row r="312" spans="2:7" x14ac:dyDescent="0.2">
      <c r="B312" s="258"/>
      <c r="C312" s="271"/>
      <c r="D312" s="269"/>
      <c r="E312" s="270"/>
      <c r="F312" s="267">
        <v>0</v>
      </c>
      <c r="G312" s="268">
        <v>0</v>
      </c>
    </row>
    <row r="313" spans="2:7" x14ac:dyDescent="0.2">
      <c r="B313" s="258"/>
      <c r="C313" s="272" t="s">
        <v>1026</v>
      </c>
      <c r="D313" s="273"/>
      <c r="E313" s="274"/>
      <c r="F313" s="275"/>
      <c r="G313" s="184"/>
    </row>
    <row r="314" spans="2:7" ht="13.5" thickBot="1" x14ac:dyDescent="0.25">
      <c r="B314" s="258"/>
      <c r="C314" s="276"/>
      <c r="D314" s="277"/>
      <c r="E314" s="277"/>
      <c r="F314" s="278" t="s">
        <v>1025</v>
      </c>
      <c r="G314" s="279">
        <v>10671431</v>
      </c>
    </row>
    <row r="315" spans="2:7" x14ac:dyDescent="0.2">
      <c r="B315" s="258"/>
      <c r="C315" s="280"/>
      <c r="D315" s="281"/>
      <c r="E315" s="281"/>
      <c r="F315" s="281"/>
      <c r="G315" s="282"/>
    </row>
    <row r="316" spans="2:7" x14ac:dyDescent="0.2">
      <c r="B316" s="258"/>
      <c r="C316" s="283" t="s">
        <v>1024</v>
      </c>
      <c r="D316" s="1721" t="s">
        <v>385</v>
      </c>
      <c r="E316" s="1722"/>
      <c r="F316" s="284" t="s">
        <v>395</v>
      </c>
      <c r="G316" s="285" t="s">
        <v>1014</v>
      </c>
    </row>
    <row r="317" spans="2:7" x14ac:dyDescent="0.2">
      <c r="B317" s="286"/>
      <c r="C317" s="259" t="s">
        <v>1022</v>
      </c>
      <c r="D317" s="1732">
        <v>74400</v>
      </c>
      <c r="E317" s="1733"/>
      <c r="F317" s="287">
        <v>2</v>
      </c>
      <c r="G317" s="288">
        <v>148800</v>
      </c>
    </row>
    <row r="318" spans="2:7" x14ac:dyDescent="0.2">
      <c r="B318" s="286"/>
      <c r="C318" s="289"/>
      <c r="D318" s="1725"/>
      <c r="E318" s="1726"/>
      <c r="F318" s="290"/>
      <c r="G318" s="291"/>
    </row>
    <row r="319" spans="2:7" x14ac:dyDescent="0.2">
      <c r="B319" s="258"/>
      <c r="C319" s="292"/>
      <c r="D319" s="1727"/>
      <c r="E319" s="1728"/>
      <c r="F319" s="293"/>
      <c r="G319" s="294">
        <v>0</v>
      </c>
    </row>
    <row r="320" spans="2:7" ht="13.5" thickBot="1" x14ac:dyDescent="0.25">
      <c r="B320" s="258"/>
      <c r="C320" s="276"/>
      <c r="D320" s="295"/>
      <c r="E320" s="281"/>
      <c r="F320" s="278" t="s">
        <v>1021</v>
      </c>
      <c r="G320" s="279">
        <v>148800</v>
      </c>
    </row>
    <row r="321" spans="2:7" x14ac:dyDescent="0.2">
      <c r="B321" s="258"/>
      <c r="C321" s="276"/>
      <c r="D321" s="281"/>
      <c r="E321" s="281"/>
      <c r="F321" s="281"/>
      <c r="G321" s="282"/>
    </row>
    <row r="322" spans="2:7" x14ac:dyDescent="0.2">
      <c r="B322" s="258"/>
      <c r="C322" s="283" t="s">
        <v>1020</v>
      </c>
      <c r="D322" s="1721" t="s">
        <v>385</v>
      </c>
      <c r="E322" s="1722"/>
      <c r="F322" s="284" t="s">
        <v>395</v>
      </c>
      <c r="G322" s="285" t="s">
        <v>1014</v>
      </c>
    </row>
    <row r="323" spans="2:7" x14ac:dyDescent="0.2">
      <c r="B323" s="286"/>
      <c r="C323" s="259" t="s">
        <v>1044</v>
      </c>
      <c r="D323" s="1723" t="s">
        <v>1018</v>
      </c>
      <c r="E323" s="1724"/>
      <c r="F323" s="296">
        <v>0.02</v>
      </c>
      <c r="G323" s="288">
        <v>2141.4974358974355</v>
      </c>
    </row>
    <row r="324" spans="2:7" x14ac:dyDescent="0.2">
      <c r="B324" s="286"/>
      <c r="C324" s="259"/>
      <c r="D324" s="1725"/>
      <c r="E324" s="1726"/>
      <c r="F324" s="297"/>
      <c r="G324" s="298">
        <v>0</v>
      </c>
    </row>
    <row r="325" spans="2:7" x14ac:dyDescent="0.2">
      <c r="B325" s="258"/>
      <c r="C325" s="292"/>
      <c r="D325" s="1727"/>
      <c r="E325" s="1728"/>
      <c r="F325" s="293"/>
      <c r="G325" s="299">
        <v>0</v>
      </c>
    </row>
    <row r="326" spans="2:7" ht="13.5" thickBot="1" x14ac:dyDescent="0.25">
      <c r="B326" s="258"/>
      <c r="C326" s="276"/>
      <c r="D326" s="281"/>
      <c r="E326" s="281"/>
      <c r="F326" s="278" t="s">
        <v>1017</v>
      </c>
      <c r="G326" s="279">
        <v>2141</v>
      </c>
    </row>
    <row r="327" spans="2:7" x14ac:dyDescent="0.2">
      <c r="B327" s="258"/>
      <c r="C327" s="276"/>
      <c r="D327" s="281"/>
      <c r="E327" s="281"/>
      <c r="F327" s="281"/>
      <c r="G327" s="282"/>
    </row>
    <row r="328" spans="2:7" x14ac:dyDescent="0.2">
      <c r="B328" s="258"/>
      <c r="C328" s="283" t="s">
        <v>1016</v>
      </c>
      <c r="D328" s="1729" t="s">
        <v>1043</v>
      </c>
      <c r="E328" s="1722"/>
      <c r="F328" s="195" t="s">
        <v>395</v>
      </c>
      <c r="G328" s="196" t="s">
        <v>1014</v>
      </c>
    </row>
    <row r="329" spans="2:7" ht="14.25" x14ac:dyDescent="0.25">
      <c r="B329" s="300"/>
      <c r="C329" s="259" t="s">
        <v>1042</v>
      </c>
      <c r="D329" s="1730">
        <v>214149.74358974356</v>
      </c>
      <c r="E329" s="1731"/>
      <c r="F329" s="301">
        <v>0.5</v>
      </c>
      <c r="G329" s="201">
        <v>107074.87179487178</v>
      </c>
    </row>
    <row r="330" spans="2:7" x14ac:dyDescent="0.2">
      <c r="B330" s="300"/>
      <c r="C330" s="259"/>
      <c r="D330" s="1725"/>
      <c r="E330" s="1726"/>
      <c r="F330" s="302"/>
      <c r="G330" s="298">
        <v>0</v>
      </c>
    </row>
    <row r="331" spans="2:7" x14ac:dyDescent="0.2">
      <c r="B331" s="303"/>
      <c r="C331" s="292"/>
      <c r="D331" s="1727"/>
      <c r="E331" s="1728"/>
      <c r="F331" s="304"/>
      <c r="G331" s="299">
        <v>0</v>
      </c>
    </row>
    <row r="332" spans="2:7" ht="13.5" thickBot="1" x14ac:dyDescent="0.25">
      <c r="B332" s="258"/>
      <c r="C332" s="276"/>
      <c r="D332" s="305"/>
      <c r="E332" s="305"/>
      <c r="F332" s="278" t="s">
        <v>1012</v>
      </c>
      <c r="G332" s="279">
        <v>107075</v>
      </c>
    </row>
    <row r="333" spans="2:7" x14ac:dyDescent="0.2">
      <c r="B333" s="258"/>
      <c r="C333" s="276"/>
      <c r="D333" s="276"/>
      <c r="E333" s="276"/>
      <c r="F333" s="276"/>
      <c r="G333" s="306"/>
    </row>
    <row r="334" spans="2:7" x14ac:dyDescent="0.2">
      <c r="B334" s="148" t="s">
        <v>1011</v>
      </c>
      <c r="C334" s="149"/>
      <c r="D334" s="149"/>
      <c r="E334" s="150"/>
      <c r="F334" s="150"/>
      <c r="G334" s="307">
        <v>10929447</v>
      </c>
    </row>
    <row r="335" spans="2:7" x14ac:dyDescent="0.2">
      <c r="B335" s="258" t="s">
        <v>1010</v>
      </c>
      <c r="C335" s="276"/>
      <c r="D335" s="308"/>
      <c r="E335" s="308"/>
      <c r="F335" s="308"/>
      <c r="G335" s="309"/>
    </row>
    <row r="336" spans="2:7" x14ac:dyDescent="0.2">
      <c r="B336" s="227"/>
      <c r="C336" s="228"/>
      <c r="D336" s="228"/>
      <c r="E336" s="228"/>
      <c r="F336" s="228"/>
      <c r="G336" s="229"/>
    </row>
    <row r="337" spans="2:7" x14ac:dyDescent="0.2">
      <c r="B337" s="230"/>
      <c r="C337" s="231"/>
      <c r="D337" s="231"/>
      <c r="E337" s="231"/>
      <c r="F337" s="231"/>
      <c r="G337" s="232"/>
    </row>
    <row r="338" spans="2:7" x14ac:dyDescent="0.2">
      <c r="B338" s="230"/>
      <c r="C338" s="231"/>
      <c r="D338" s="231"/>
      <c r="E338" s="231"/>
      <c r="F338" s="231"/>
      <c r="G338" s="232"/>
    </row>
    <row r="339" spans="2:7" x14ac:dyDescent="0.2">
      <c r="B339" s="230"/>
      <c r="C339" s="231"/>
      <c r="D339" s="231"/>
      <c r="E339" s="231"/>
      <c r="F339" s="231"/>
      <c r="G339" s="232"/>
    </row>
    <row r="340" spans="2:7" x14ac:dyDescent="0.2">
      <c r="B340" s="230"/>
      <c r="C340" s="231"/>
      <c r="D340" s="231"/>
      <c r="E340" s="231"/>
      <c r="F340" s="231"/>
      <c r="G340" s="232"/>
    </row>
    <row r="341" spans="2:7" x14ac:dyDescent="0.2">
      <c r="B341" s="230"/>
      <c r="C341" s="231"/>
      <c r="D341" s="231"/>
      <c r="E341" s="231"/>
      <c r="F341" s="231"/>
      <c r="G341" s="232"/>
    </row>
    <row r="342" spans="2:7" x14ac:dyDescent="0.2">
      <c r="B342" s="230"/>
      <c r="C342" s="231"/>
      <c r="D342" s="231"/>
      <c r="E342" s="231"/>
      <c r="F342" s="231"/>
      <c r="G342" s="232"/>
    </row>
    <row r="343" spans="2:7" ht="13.5" thickBot="1" x14ac:dyDescent="0.25">
      <c r="B343" s="230"/>
      <c r="C343" s="729"/>
      <c r="D343" s="231"/>
      <c r="E343" s="231"/>
      <c r="F343" s="231"/>
      <c r="G343" s="232"/>
    </row>
    <row r="344" spans="2:7" x14ac:dyDescent="0.2">
      <c r="B344" s="230"/>
      <c r="C344" s="231" t="s">
        <v>1449</v>
      </c>
      <c r="D344" s="231"/>
      <c r="E344" s="1743" t="s">
        <v>865</v>
      </c>
      <c r="F344" s="1743"/>
      <c r="G344" s="1744"/>
    </row>
    <row r="345" spans="2:7" x14ac:dyDescent="0.2">
      <c r="B345" s="230"/>
      <c r="C345" s="231" t="s">
        <v>1450</v>
      </c>
      <c r="D345" s="231"/>
      <c r="E345" s="1745" t="s">
        <v>866</v>
      </c>
      <c r="F345" s="1745"/>
      <c r="G345" s="1746"/>
    </row>
    <row r="346" spans="2:7" x14ac:dyDescent="0.2">
      <c r="B346" s="230"/>
      <c r="C346" s="231"/>
      <c r="D346" s="231"/>
      <c r="E346" s="1745" t="s">
        <v>867</v>
      </c>
      <c r="F346" s="1745"/>
      <c r="G346" s="1746"/>
    </row>
    <row r="347" spans="2:7" ht="13.5" thickBot="1" x14ac:dyDescent="0.25">
      <c r="B347" s="233"/>
      <c r="C347" s="234"/>
      <c r="D347" s="234"/>
      <c r="E347" s="234"/>
      <c r="F347" s="234"/>
      <c r="G347" s="235"/>
    </row>
    <row r="348" spans="2:7" x14ac:dyDescent="0.2">
      <c r="B348" s="310"/>
      <c r="C348" s="310"/>
      <c r="D348" s="310"/>
      <c r="E348" s="310"/>
      <c r="F348" s="310"/>
      <c r="G348" s="310"/>
    </row>
    <row r="349" spans="2:7" ht="13.5" thickBot="1" x14ac:dyDescent="0.25"/>
    <row r="350" spans="2:7" x14ac:dyDescent="0.2">
      <c r="B350" s="1737"/>
      <c r="C350" s="1738"/>
      <c r="D350" s="1738"/>
      <c r="E350" s="1738"/>
      <c r="F350" s="1738"/>
      <c r="G350" s="1739"/>
    </row>
    <row r="351" spans="2:7" x14ac:dyDescent="0.2">
      <c r="B351" s="244"/>
      <c r="C351" s="245"/>
      <c r="D351" s="246" t="s">
        <v>1038</v>
      </c>
      <c r="E351" s="247"/>
      <c r="F351" s="248"/>
      <c r="G351" s="249"/>
    </row>
    <row r="352" spans="2:7" x14ac:dyDescent="0.2">
      <c r="B352" s="244"/>
      <c r="C352" s="250"/>
      <c r="D352" s="246" t="s">
        <v>180</v>
      </c>
      <c r="E352" s="251" t="s">
        <v>991</v>
      </c>
      <c r="F352" s="248"/>
      <c r="G352" s="249"/>
    </row>
    <row r="353" spans="2:7" x14ac:dyDescent="0.2">
      <c r="B353" s="244"/>
      <c r="C353" s="250"/>
      <c r="D353" s="246" t="s">
        <v>696</v>
      </c>
      <c r="E353" s="252">
        <v>1</v>
      </c>
      <c r="F353" s="248"/>
      <c r="G353" s="249"/>
    </row>
    <row r="354" spans="2:7" x14ac:dyDescent="0.2">
      <c r="B354" s="253"/>
      <c r="C354" s="248"/>
      <c r="D354" s="248"/>
      <c r="E354" s="248"/>
      <c r="F354" s="248"/>
      <c r="G354" s="249"/>
    </row>
    <row r="355" spans="2:7" x14ac:dyDescent="0.2">
      <c r="B355" s="1740" t="s">
        <v>1002</v>
      </c>
      <c r="C355" s="1741"/>
      <c r="D355" s="1741"/>
      <c r="E355" s="1741"/>
      <c r="F355" s="1741"/>
      <c r="G355" s="1742"/>
    </row>
    <row r="356" spans="2:7" x14ac:dyDescent="0.2">
      <c r="B356" s="254"/>
      <c r="C356" s="255" t="s">
        <v>1037</v>
      </c>
      <c r="D356" s="256" t="s">
        <v>119</v>
      </c>
      <c r="E356" s="256" t="s">
        <v>1008</v>
      </c>
      <c r="F356" s="256" t="s">
        <v>1009</v>
      </c>
      <c r="G356" s="257" t="s">
        <v>1036</v>
      </c>
    </row>
    <row r="357" spans="2:7" x14ac:dyDescent="0.2">
      <c r="B357" s="258"/>
      <c r="C357" s="311" t="s">
        <v>1050</v>
      </c>
      <c r="D357" s="269" t="s">
        <v>991</v>
      </c>
      <c r="E357" s="261">
        <v>1</v>
      </c>
      <c r="F357" s="267">
        <v>3072000</v>
      </c>
      <c r="G357" s="268">
        <v>3072000</v>
      </c>
    </row>
    <row r="358" spans="2:7" x14ac:dyDescent="0.2">
      <c r="B358" s="258"/>
      <c r="C358" s="264"/>
      <c r="D358" s="269"/>
      <c r="E358" s="270"/>
      <c r="F358" s="267">
        <v>0</v>
      </c>
      <c r="G358" s="268">
        <v>0</v>
      </c>
    </row>
    <row r="359" spans="2:7" x14ac:dyDescent="0.2">
      <c r="B359" s="258"/>
      <c r="C359" s="264"/>
      <c r="D359" s="269"/>
      <c r="E359" s="270"/>
      <c r="F359" s="267">
        <v>0</v>
      </c>
      <c r="G359" s="268">
        <v>0</v>
      </c>
    </row>
    <row r="360" spans="2:7" x14ac:dyDescent="0.2">
      <c r="B360" s="258"/>
      <c r="C360" s="264"/>
      <c r="D360" s="265"/>
      <c r="E360" s="270"/>
      <c r="F360" s="267">
        <v>0</v>
      </c>
      <c r="G360" s="268">
        <v>0</v>
      </c>
    </row>
    <row r="361" spans="2:7" x14ac:dyDescent="0.2">
      <c r="B361" s="258"/>
      <c r="C361" s="264"/>
      <c r="D361" s="265"/>
      <c r="E361" s="270"/>
      <c r="F361" s="267">
        <v>0</v>
      </c>
      <c r="G361" s="268">
        <v>0</v>
      </c>
    </row>
    <row r="362" spans="2:7" x14ac:dyDescent="0.2">
      <c r="B362" s="258"/>
      <c r="C362" s="264"/>
      <c r="D362" s="265"/>
      <c r="E362" s="270"/>
      <c r="F362" s="267">
        <v>0</v>
      </c>
      <c r="G362" s="268">
        <v>0</v>
      </c>
    </row>
    <row r="363" spans="2:7" x14ac:dyDescent="0.2">
      <c r="B363" s="258"/>
      <c r="C363" s="264"/>
      <c r="D363" s="265"/>
      <c r="E363" s="270"/>
      <c r="F363" s="267">
        <v>0</v>
      </c>
      <c r="G363" s="268">
        <v>0</v>
      </c>
    </row>
    <row r="364" spans="2:7" x14ac:dyDescent="0.2">
      <c r="B364" s="258"/>
      <c r="C364" s="264"/>
      <c r="D364" s="269"/>
      <c r="E364" s="270"/>
      <c r="F364" s="267">
        <v>0</v>
      </c>
      <c r="G364" s="268">
        <v>0</v>
      </c>
    </row>
    <row r="365" spans="2:7" x14ac:dyDescent="0.2">
      <c r="B365" s="258"/>
      <c r="C365" s="264"/>
      <c r="D365" s="269"/>
      <c r="E365" s="270"/>
      <c r="F365" s="267">
        <v>0</v>
      </c>
      <c r="G365" s="268">
        <v>0</v>
      </c>
    </row>
    <row r="366" spans="2:7" x14ac:dyDescent="0.2">
      <c r="B366" s="258"/>
      <c r="C366" s="264"/>
      <c r="D366" s="269"/>
      <c r="E366" s="270"/>
      <c r="F366" s="267">
        <v>0</v>
      </c>
      <c r="G366" s="268">
        <v>0</v>
      </c>
    </row>
    <row r="367" spans="2:7" x14ac:dyDescent="0.2">
      <c r="B367" s="258"/>
      <c r="C367" s="264"/>
      <c r="D367" s="269"/>
      <c r="E367" s="270"/>
      <c r="F367" s="267">
        <v>0</v>
      </c>
      <c r="G367" s="268">
        <v>0</v>
      </c>
    </row>
    <row r="368" spans="2:7" x14ac:dyDescent="0.2">
      <c r="B368" s="258"/>
      <c r="C368" s="264"/>
      <c r="D368" s="269"/>
      <c r="E368" s="270"/>
      <c r="F368" s="267">
        <v>0</v>
      </c>
      <c r="G368" s="268">
        <v>0</v>
      </c>
    </row>
    <row r="369" spans="2:7" x14ac:dyDescent="0.2">
      <c r="B369" s="258"/>
      <c r="C369" s="264"/>
      <c r="D369" s="269"/>
      <c r="E369" s="270"/>
      <c r="F369" s="267">
        <v>0</v>
      </c>
      <c r="G369" s="268">
        <v>0</v>
      </c>
    </row>
    <row r="370" spans="2:7" x14ac:dyDescent="0.2">
      <c r="B370" s="258"/>
      <c r="C370" s="264"/>
      <c r="D370" s="269"/>
      <c r="E370" s="270"/>
      <c r="F370" s="267">
        <v>0</v>
      </c>
      <c r="G370" s="268">
        <v>0</v>
      </c>
    </row>
    <row r="371" spans="2:7" x14ac:dyDescent="0.2">
      <c r="B371" s="258"/>
      <c r="C371" s="264"/>
      <c r="D371" s="269"/>
      <c r="E371" s="270"/>
      <c r="F371" s="267">
        <v>0</v>
      </c>
      <c r="G371" s="268">
        <v>0</v>
      </c>
    </row>
    <row r="372" spans="2:7" x14ac:dyDescent="0.2">
      <c r="B372" s="258"/>
      <c r="C372" s="264"/>
      <c r="D372" s="269"/>
      <c r="E372" s="270"/>
      <c r="F372" s="267">
        <v>0</v>
      </c>
      <c r="G372" s="268">
        <v>0</v>
      </c>
    </row>
    <row r="373" spans="2:7" x14ac:dyDescent="0.2">
      <c r="B373" s="258"/>
      <c r="C373" s="264"/>
      <c r="D373" s="269"/>
      <c r="E373" s="270"/>
      <c r="F373" s="267">
        <v>0</v>
      </c>
      <c r="G373" s="268">
        <v>0</v>
      </c>
    </row>
    <row r="374" spans="2:7" x14ac:dyDescent="0.2">
      <c r="B374" s="258"/>
      <c r="C374" s="264"/>
      <c r="D374" s="269"/>
      <c r="E374" s="270"/>
      <c r="F374" s="267">
        <v>0</v>
      </c>
      <c r="G374" s="268">
        <v>0</v>
      </c>
    </row>
    <row r="375" spans="2:7" x14ac:dyDescent="0.2">
      <c r="B375" s="258"/>
      <c r="C375" s="264"/>
      <c r="D375" s="269"/>
      <c r="E375" s="270"/>
      <c r="F375" s="267">
        <v>0</v>
      </c>
      <c r="G375" s="268">
        <v>0</v>
      </c>
    </row>
    <row r="376" spans="2:7" x14ac:dyDescent="0.2">
      <c r="B376" s="258"/>
      <c r="C376" s="264"/>
      <c r="D376" s="269"/>
      <c r="E376" s="270"/>
      <c r="F376" s="267">
        <v>0</v>
      </c>
      <c r="G376" s="268">
        <v>0</v>
      </c>
    </row>
    <row r="377" spans="2:7" x14ac:dyDescent="0.2">
      <c r="B377" s="258"/>
      <c r="C377" s="264"/>
      <c r="D377" s="269"/>
      <c r="E377" s="270"/>
      <c r="F377" s="267">
        <v>0</v>
      </c>
      <c r="G377" s="268">
        <v>0</v>
      </c>
    </row>
    <row r="378" spans="2:7" x14ac:dyDescent="0.2">
      <c r="B378" s="258"/>
      <c r="C378" s="264"/>
      <c r="D378" s="269"/>
      <c r="E378" s="270"/>
      <c r="F378" s="267">
        <v>0</v>
      </c>
      <c r="G378" s="268">
        <v>0</v>
      </c>
    </row>
    <row r="379" spans="2:7" x14ac:dyDescent="0.2">
      <c r="B379" s="258"/>
      <c r="C379" s="264"/>
      <c r="D379" s="269"/>
      <c r="E379" s="270"/>
      <c r="F379" s="267">
        <v>0</v>
      </c>
      <c r="G379" s="268">
        <v>0</v>
      </c>
    </row>
    <row r="380" spans="2:7" x14ac:dyDescent="0.2">
      <c r="B380" s="258"/>
      <c r="C380" s="264"/>
      <c r="D380" s="269"/>
      <c r="E380" s="270"/>
      <c r="F380" s="267">
        <v>0</v>
      </c>
      <c r="G380" s="268">
        <v>0</v>
      </c>
    </row>
    <row r="381" spans="2:7" x14ac:dyDescent="0.2">
      <c r="B381" s="258"/>
      <c r="C381" s="271"/>
      <c r="D381" s="269"/>
      <c r="E381" s="270"/>
      <c r="F381" s="267">
        <v>0</v>
      </c>
      <c r="G381" s="268">
        <v>0</v>
      </c>
    </row>
    <row r="382" spans="2:7" x14ac:dyDescent="0.2">
      <c r="B382" s="258"/>
      <c r="C382" s="272" t="s">
        <v>1026</v>
      </c>
      <c r="D382" s="273"/>
      <c r="E382" s="274"/>
      <c r="F382" s="275"/>
      <c r="G382" s="184">
        <v>0</v>
      </c>
    </row>
    <row r="383" spans="2:7" ht="13.5" thickBot="1" x14ac:dyDescent="0.25">
      <c r="B383" s="258"/>
      <c r="C383" s="276"/>
      <c r="D383" s="277"/>
      <c r="E383" s="277"/>
      <c r="F383" s="278" t="s">
        <v>1025</v>
      </c>
      <c r="G383" s="279">
        <v>3072000</v>
      </c>
    </row>
    <row r="384" spans="2:7" x14ac:dyDescent="0.2">
      <c r="B384" s="258"/>
      <c r="C384" s="280"/>
      <c r="D384" s="281"/>
      <c r="E384" s="281"/>
      <c r="F384" s="281"/>
      <c r="G384" s="282"/>
    </row>
    <row r="385" spans="2:7" x14ac:dyDescent="0.2">
      <c r="B385" s="258"/>
      <c r="C385" s="283" t="s">
        <v>1024</v>
      </c>
      <c r="D385" s="1721" t="s">
        <v>385</v>
      </c>
      <c r="E385" s="1722"/>
      <c r="F385" s="284" t="s">
        <v>395</v>
      </c>
      <c r="G385" s="285" t="s">
        <v>1014</v>
      </c>
    </row>
    <row r="386" spans="2:7" x14ac:dyDescent="0.2">
      <c r="B386" s="286"/>
      <c r="C386" s="259" t="s">
        <v>1022</v>
      </c>
      <c r="D386" s="1732">
        <v>74400</v>
      </c>
      <c r="E386" s="1733"/>
      <c r="F386" s="287">
        <v>2</v>
      </c>
      <c r="G386" s="288">
        <v>148800</v>
      </c>
    </row>
    <row r="387" spans="2:7" x14ac:dyDescent="0.2">
      <c r="B387" s="286"/>
      <c r="C387" s="289"/>
      <c r="D387" s="1725"/>
      <c r="E387" s="1726"/>
      <c r="F387" s="290"/>
      <c r="G387" s="291"/>
    </row>
    <row r="388" spans="2:7" x14ac:dyDescent="0.2">
      <c r="B388" s="258"/>
      <c r="C388" s="292"/>
      <c r="D388" s="1727"/>
      <c r="E388" s="1728"/>
      <c r="F388" s="293"/>
      <c r="G388" s="294">
        <v>0</v>
      </c>
    </row>
    <row r="389" spans="2:7" ht="13.5" thickBot="1" x14ac:dyDescent="0.25">
      <c r="B389" s="258"/>
      <c r="C389" s="276"/>
      <c r="D389" s="295"/>
      <c r="E389" s="281"/>
      <c r="F389" s="278" t="s">
        <v>1021</v>
      </c>
      <c r="G389" s="279">
        <v>148800</v>
      </c>
    </row>
    <row r="390" spans="2:7" x14ac:dyDescent="0.2">
      <c r="B390" s="258"/>
      <c r="C390" s="276"/>
      <c r="D390" s="281"/>
      <c r="E390" s="281"/>
      <c r="F390" s="281"/>
      <c r="G390" s="282"/>
    </row>
    <row r="391" spans="2:7" x14ac:dyDescent="0.2">
      <c r="B391" s="258"/>
      <c r="C391" s="283" t="s">
        <v>1020</v>
      </c>
      <c r="D391" s="1721" t="s">
        <v>385</v>
      </c>
      <c r="E391" s="1722"/>
      <c r="F391" s="284" t="s">
        <v>395</v>
      </c>
      <c r="G391" s="285" t="s">
        <v>1014</v>
      </c>
    </row>
    <row r="392" spans="2:7" x14ac:dyDescent="0.2">
      <c r="B392" s="286"/>
      <c r="C392" s="259" t="s">
        <v>1044</v>
      </c>
      <c r="D392" s="1723" t="s">
        <v>1018</v>
      </c>
      <c r="E392" s="1724"/>
      <c r="F392" s="296">
        <v>0.02</v>
      </c>
      <c r="G392" s="288">
        <v>8565.9897435897419</v>
      </c>
    </row>
    <row r="393" spans="2:7" x14ac:dyDescent="0.2">
      <c r="B393" s="286"/>
      <c r="C393" s="259"/>
      <c r="D393" s="1725"/>
      <c r="E393" s="1726"/>
      <c r="F393" s="297"/>
      <c r="G393" s="298">
        <v>0</v>
      </c>
    </row>
    <row r="394" spans="2:7" x14ac:dyDescent="0.2">
      <c r="B394" s="258"/>
      <c r="C394" s="292"/>
      <c r="D394" s="1727"/>
      <c r="E394" s="1728"/>
      <c r="F394" s="293"/>
      <c r="G394" s="299">
        <v>0</v>
      </c>
    </row>
    <row r="395" spans="2:7" ht="13.5" thickBot="1" x14ac:dyDescent="0.25">
      <c r="B395" s="258"/>
      <c r="C395" s="276"/>
      <c r="D395" s="281"/>
      <c r="E395" s="281"/>
      <c r="F395" s="278" t="s">
        <v>1017</v>
      </c>
      <c r="G395" s="279">
        <v>8566</v>
      </c>
    </row>
    <row r="396" spans="2:7" x14ac:dyDescent="0.2">
      <c r="B396" s="258"/>
      <c r="C396" s="276"/>
      <c r="D396" s="281"/>
      <c r="E396" s="281"/>
      <c r="F396" s="281"/>
      <c r="G396" s="282"/>
    </row>
    <row r="397" spans="2:7" x14ac:dyDescent="0.2">
      <c r="B397" s="258"/>
      <c r="C397" s="283" t="s">
        <v>1016</v>
      </c>
      <c r="D397" s="1729" t="s">
        <v>1043</v>
      </c>
      <c r="E397" s="1722"/>
      <c r="F397" s="195" t="s">
        <v>395</v>
      </c>
      <c r="G397" s="196" t="s">
        <v>1014</v>
      </c>
    </row>
    <row r="398" spans="2:7" ht="14.25" x14ac:dyDescent="0.25">
      <c r="B398" s="300"/>
      <c r="C398" s="259" t="s">
        <v>1042</v>
      </c>
      <c r="D398" s="1730">
        <v>214149.74358974356</v>
      </c>
      <c r="E398" s="1731"/>
      <c r="F398" s="301">
        <v>2</v>
      </c>
      <c r="G398" s="201">
        <v>428299.48717948713</v>
      </c>
    </row>
    <row r="399" spans="2:7" x14ac:dyDescent="0.2">
      <c r="B399" s="300"/>
      <c r="C399" s="259"/>
      <c r="D399" s="1725"/>
      <c r="E399" s="1726"/>
      <c r="F399" s="302"/>
      <c r="G399" s="298">
        <v>0</v>
      </c>
    </row>
    <row r="400" spans="2:7" x14ac:dyDescent="0.2">
      <c r="B400" s="303"/>
      <c r="C400" s="292"/>
      <c r="D400" s="1727"/>
      <c r="E400" s="1728"/>
      <c r="F400" s="304"/>
      <c r="G400" s="299">
        <v>0</v>
      </c>
    </row>
    <row r="401" spans="2:7" ht="13.5" thickBot="1" x14ac:dyDescent="0.25">
      <c r="B401" s="258"/>
      <c r="C401" s="276"/>
      <c r="D401" s="305"/>
      <c r="E401" s="305"/>
      <c r="F401" s="278" t="s">
        <v>1012</v>
      </c>
      <c r="G401" s="279">
        <v>428299</v>
      </c>
    </row>
    <row r="402" spans="2:7" x14ac:dyDescent="0.2">
      <c r="B402" s="258"/>
      <c r="C402" s="276"/>
      <c r="D402" s="276"/>
      <c r="E402" s="276"/>
      <c r="F402" s="276"/>
      <c r="G402" s="306"/>
    </row>
    <row r="403" spans="2:7" x14ac:dyDescent="0.2">
      <c r="B403" s="148" t="s">
        <v>1011</v>
      </c>
      <c r="C403" s="149"/>
      <c r="D403" s="149"/>
      <c r="E403" s="150"/>
      <c r="F403" s="150"/>
      <c r="G403" s="307">
        <v>3657665</v>
      </c>
    </row>
    <row r="404" spans="2:7" x14ac:dyDescent="0.2">
      <c r="B404" s="258" t="s">
        <v>1010</v>
      </c>
      <c r="C404" s="276"/>
      <c r="D404" s="308"/>
      <c r="E404" s="308"/>
      <c r="F404" s="308"/>
      <c r="G404" s="309"/>
    </row>
    <row r="405" spans="2:7" x14ac:dyDescent="0.2">
      <c r="B405" s="227"/>
      <c r="C405" s="228"/>
      <c r="D405" s="228"/>
      <c r="E405" s="228"/>
      <c r="F405" s="228"/>
      <c r="G405" s="229"/>
    </row>
    <row r="406" spans="2:7" x14ac:dyDescent="0.2">
      <c r="B406" s="230"/>
      <c r="C406" s="231"/>
      <c r="D406" s="231"/>
      <c r="E406" s="231"/>
      <c r="F406" s="231"/>
      <c r="G406" s="232"/>
    </row>
    <row r="407" spans="2:7" x14ac:dyDescent="0.2">
      <c r="B407" s="230"/>
      <c r="C407" s="231"/>
      <c r="D407" s="231"/>
      <c r="E407" s="231"/>
      <c r="F407" s="231"/>
      <c r="G407" s="232"/>
    </row>
    <row r="408" spans="2:7" x14ac:dyDescent="0.2">
      <c r="B408" s="230"/>
      <c r="C408" s="231"/>
      <c r="D408" s="231"/>
      <c r="E408" s="231"/>
      <c r="F408" s="231"/>
      <c r="G408" s="232"/>
    </row>
    <row r="409" spans="2:7" x14ac:dyDescent="0.2">
      <c r="B409" s="230"/>
      <c r="C409" s="231"/>
      <c r="D409" s="231"/>
      <c r="E409" s="231"/>
      <c r="F409" s="231"/>
      <c r="G409" s="232"/>
    </row>
    <row r="410" spans="2:7" x14ac:dyDescent="0.2">
      <c r="B410" s="230"/>
      <c r="C410" s="231"/>
      <c r="D410" s="231"/>
      <c r="E410" s="231"/>
      <c r="F410" s="231"/>
      <c r="G410" s="232"/>
    </row>
    <row r="411" spans="2:7" x14ac:dyDescent="0.2">
      <c r="B411" s="230"/>
      <c r="C411" s="231"/>
      <c r="D411" s="231"/>
      <c r="E411" s="231"/>
      <c r="F411" s="231"/>
      <c r="G411" s="232"/>
    </row>
    <row r="412" spans="2:7" ht="13.5" thickBot="1" x14ac:dyDescent="0.25">
      <c r="B412" s="230"/>
      <c r="C412" s="729"/>
      <c r="D412" s="231"/>
      <c r="E412" s="231"/>
      <c r="F412" s="231"/>
      <c r="G412" s="232"/>
    </row>
    <row r="413" spans="2:7" x14ac:dyDescent="0.2">
      <c r="B413" s="230"/>
      <c r="C413" s="231" t="s">
        <v>1449</v>
      </c>
      <c r="D413" s="231"/>
      <c r="E413" s="1743" t="s">
        <v>865</v>
      </c>
      <c r="F413" s="1743"/>
      <c r="G413" s="1744"/>
    </row>
    <row r="414" spans="2:7" x14ac:dyDescent="0.2">
      <c r="B414" s="230"/>
      <c r="C414" s="231" t="s">
        <v>1450</v>
      </c>
      <c r="D414" s="231"/>
      <c r="E414" s="1745" t="s">
        <v>866</v>
      </c>
      <c r="F414" s="1745"/>
      <c r="G414" s="1746"/>
    </row>
    <row r="415" spans="2:7" x14ac:dyDescent="0.2">
      <c r="B415" s="230"/>
      <c r="C415" s="231"/>
      <c r="D415" s="231"/>
      <c r="E415" s="1745" t="s">
        <v>867</v>
      </c>
      <c r="F415" s="1745"/>
      <c r="G415" s="1746"/>
    </row>
    <row r="416" spans="2:7" ht="13.5" thickBot="1" x14ac:dyDescent="0.25">
      <c r="B416" s="233"/>
      <c r="C416" s="234"/>
      <c r="D416" s="234"/>
      <c r="E416" s="234"/>
      <c r="F416" s="234"/>
      <c r="G416" s="235"/>
    </row>
    <row r="417" spans="2:7" x14ac:dyDescent="0.2">
      <c r="B417" s="310"/>
      <c r="C417" s="310"/>
      <c r="D417" s="310"/>
      <c r="E417" s="310"/>
      <c r="F417" s="310"/>
      <c r="G417" s="310"/>
    </row>
    <row r="418" spans="2:7" ht="13.5" thickBot="1" x14ac:dyDescent="0.25">
      <c r="B418" s="185"/>
      <c r="C418" s="185"/>
      <c r="D418" s="185"/>
      <c r="E418" s="185"/>
      <c r="F418" s="185"/>
      <c r="G418" s="185"/>
    </row>
    <row r="419" spans="2:7" x14ac:dyDescent="0.2">
      <c r="B419" s="1737"/>
      <c r="C419" s="1738"/>
      <c r="D419" s="1738"/>
      <c r="E419" s="1738"/>
      <c r="F419" s="1738"/>
      <c r="G419" s="1739"/>
    </row>
    <row r="420" spans="2:7" x14ac:dyDescent="0.2">
      <c r="B420" s="244"/>
      <c r="C420" s="245"/>
      <c r="D420" s="246" t="s">
        <v>1038</v>
      </c>
      <c r="E420" s="247"/>
      <c r="F420" s="248"/>
      <c r="G420" s="249"/>
    </row>
    <row r="421" spans="2:7" x14ac:dyDescent="0.2">
      <c r="B421" s="244"/>
      <c r="C421" s="250"/>
      <c r="D421" s="246" t="s">
        <v>180</v>
      </c>
      <c r="E421" s="251" t="s">
        <v>991</v>
      </c>
      <c r="F421" s="248"/>
      <c r="G421" s="249"/>
    </row>
    <row r="422" spans="2:7" x14ac:dyDescent="0.2">
      <c r="B422" s="244"/>
      <c r="C422" s="250"/>
      <c r="D422" s="246" t="s">
        <v>696</v>
      </c>
      <c r="E422" s="252">
        <v>1</v>
      </c>
      <c r="F422" s="248"/>
      <c r="G422" s="249"/>
    </row>
    <row r="423" spans="2:7" x14ac:dyDescent="0.2">
      <c r="B423" s="253"/>
      <c r="C423" s="248"/>
      <c r="D423" s="248"/>
      <c r="E423" s="248"/>
      <c r="F423" s="248"/>
      <c r="G423" s="249"/>
    </row>
    <row r="424" spans="2:7" x14ac:dyDescent="0.2">
      <c r="B424" s="1740" t="e">
        <v>#REF!</v>
      </c>
      <c r="C424" s="1752"/>
      <c r="D424" s="1752"/>
      <c r="E424" s="1752"/>
      <c r="F424" s="1752"/>
      <c r="G424" s="1753"/>
    </row>
    <row r="425" spans="2:7" x14ac:dyDescent="0.2">
      <c r="B425" s="254"/>
      <c r="C425" s="255" t="s">
        <v>1037</v>
      </c>
      <c r="D425" s="256" t="s">
        <v>119</v>
      </c>
      <c r="E425" s="256" t="s">
        <v>1008</v>
      </c>
      <c r="F425" s="256" t="s">
        <v>1009</v>
      </c>
      <c r="G425" s="257" t="s">
        <v>1036</v>
      </c>
    </row>
    <row r="426" spans="2:7" x14ac:dyDescent="0.2">
      <c r="B426" s="258"/>
      <c r="C426" s="311" t="s">
        <v>1056</v>
      </c>
      <c r="D426" s="312" t="s">
        <v>991</v>
      </c>
      <c r="E426" s="261">
        <v>1</v>
      </c>
      <c r="F426" s="262">
        <v>46145020</v>
      </c>
      <c r="G426" s="263">
        <v>46145020</v>
      </c>
    </row>
    <row r="427" spans="2:7" x14ac:dyDescent="0.2">
      <c r="B427" s="258"/>
      <c r="C427" s="264"/>
      <c r="D427" s="265"/>
      <c r="E427" s="266"/>
      <c r="F427" s="267">
        <v>0</v>
      </c>
      <c r="G427" s="268">
        <v>0</v>
      </c>
    </row>
    <row r="428" spans="2:7" x14ac:dyDescent="0.2">
      <c r="B428" s="258"/>
      <c r="C428" s="264"/>
      <c r="D428" s="265"/>
      <c r="E428" s="266"/>
      <c r="F428" s="267">
        <v>0</v>
      </c>
      <c r="G428" s="268">
        <v>0</v>
      </c>
    </row>
    <row r="429" spans="2:7" x14ac:dyDescent="0.2">
      <c r="B429" s="258"/>
      <c r="C429" s="264"/>
      <c r="D429" s="269"/>
      <c r="E429" s="270"/>
      <c r="F429" s="267">
        <v>0</v>
      </c>
      <c r="G429" s="268">
        <v>0</v>
      </c>
    </row>
    <row r="430" spans="2:7" x14ac:dyDescent="0.2">
      <c r="B430" s="258"/>
      <c r="C430" s="264"/>
      <c r="D430" s="269"/>
      <c r="E430" s="270"/>
      <c r="F430" s="267">
        <v>0</v>
      </c>
      <c r="G430" s="268">
        <v>0</v>
      </c>
    </row>
    <row r="431" spans="2:7" x14ac:dyDescent="0.2">
      <c r="B431" s="258"/>
      <c r="C431" s="264"/>
      <c r="D431" s="269"/>
      <c r="E431" s="270"/>
      <c r="F431" s="267">
        <v>0</v>
      </c>
      <c r="G431" s="268">
        <v>0</v>
      </c>
    </row>
    <row r="432" spans="2:7" x14ac:dyDescent="0.2">
      <c r="B432" s="258"/>
      <c r="C432" s="264"/>
      <c r="D432" s="269"/>
      <c r="E432" s="270"/>
      <c r="F432" s="267">
        <v>0</v>
      </c>
      <c r="G432" s="268">
        <v>0</v>
      </c>
    </row>
    <row r="433" spans="2:7" x14ac:dyDescent="0.2">
      <c r="B433" s="258"/>
      <c r="C433" s="264"/>
      <c r="D433" s="269"/>
      <c r="E433" s="270"/>
      <c r="F433" s="267">
        <v>0</v>
      </c>
      <c r="G433" s="268">
        <v>0</v>
      </c>
    </row>
    <row r="434" spans="2:7" x14ac:dyDescent="0.2">
      <c r="B434" s="258"/>
      <c r="C434" s="264"/>
      <c r="D434" s="269"/>
      <c r="E434" s="270"/>
      <c r="F434" s="267">
        <v>0</v>
      </c>
      <c r="G434" s="268">
        <v>0</v>
      </c>
    </row>
    <row r="435" spans="2:7" x14ac:dyDescent="0.2">
      <c r="B435" s="258"/>
      <c r="C435" s="264"/>
      <c r="D435" s="269"/>
      <c r="E435" s="270"/>
      <c r="F435" s="267">
        <v>0</v>
      </c>
      <c r="G435" s="268">
        <v>0</v>
      </c>
    </row>
    <row r="436" spans="2:7" x14ac:dyDescent="0.2">
      <c r="B436" s="258"/>
      <c r="C436" s="264"/>
      <c r="D436" s="269"/>
      <c r="E436" s="270"/>
      <c r="F436" s="267">
        <v>0</v>
      </c>
      <c r="G436" s="268">
        <v>0</v>
      </c>
    </row>
    <row r="437" spans="2:7" x14ac:dyDescent="0.2">
      <c r="B437" s="258"/>
      <c r="C437" s="264"/>
      <c r="D437" s="269"/>
      <c r="E437" s="270"/>
      <c r="F437" s="267">
        <v>0</v>
      </c>
      <c r="G437" s="268">
        <v>0</v>
      </c>
    </row>
    <row r="438" spans="2:7" x14ac:dyDescent="0.2">
      <c r="B438" s="258"/>
      <c r="C438" s="264"/>
      <c r="D438" s="269"/>
      <c r="E438" s="270"/>
      <c r="F438" s="267">
        <v>0</v>
      </c>
      <c r="G438" s="268">
        <v>0</v>
      </c>
    </row>
    <row r="439" spans="2:7" x14ac:dyDescent="0.2">
      <c r="B439" s="258"/>
      <c r="C439" s="264"/>
      <c r="D439" s="269"/>
      <c r="E439" s="270"/>
      <c r="F439" s="267">
        <v>0</v>
      </c>
      <c r="G439" s="268">
        <v>0</v>
      </c>
    </row>
    <row r="440" spans="2:7" x14ac:dyDescent="0.2">
      <c r="B440" s="258"/>
      <c r="C440" s="264"/>
      <c r="D440" s="269"/>
      <c r="E440" s="270"/>
      <c r="F440" s="267">
        <v>0</v>
      </c>
      <c r="G440" s="268">
        <v>0</v>
      </c>
    </row>
    <row r="441" spans="2:7" x14ac:dyDescent="0.2">
      <c r="B441" s="258"/>
      <c r="C441" s="264"/>
      <c r="D441" s="269"/>
      <c r="E441" s="270"/>
      <c r="F441" s="267">
        <v>0</v>
      </c>
      <c r="G441" s="268">
        <v>0</v>
      </c>
    </row>
    <row r="442" spans="2:7" x14ac:dyDescent="0.2">
      <c r="B442" s="258"/>
      <c r="C442" s="264"/>
      <c r="D442" s="269"/>
      <c r="E442" s="270"/>
      <c r="F442" s="267">
        <v>0</v>
      </c>
      <c r="G442" s="268">
        <v>0</v>
      </c>
    </row>
    <row r="443" spans="2:7" x14ac:dyDescent="0.2">
      <c r="B443" s="258"/>
      <c r="C443" s="264"/>
      <c r="D443" s="269"/>
      <c r="E443" s="270"/>
      <c r="F443" s="267">
        <v>0</v>
      </c>
      <c r="G443" s="268">
        <v>0</v>
      </c>
    </row>
    <row r="444" spans="2:7" x14ac:dyDescent="0.2">
      <c r="B444" s="258"/>
      <c r="C444" s="264"/>
      <c r="D444" s="269"/>
      <c r="E444" s="270"/>
      <c r="F444" s="267">
        <v>0</v>
      </c>
      <c r="G444" s="268">
        <v>0</v>
      </c>
    </row>
    <row r="445" spans="2:7" x14ac:dyDescent="0.2">
      <c r="B445" s="258"/>
      <c r="C445" s="264"/>
      <c r="D445" s="269"/>
      <c r="E445" s="270"/>
      <c r="F445" s="267">
        <v>0</v>
      </c>
      <c r="G445" s="268">
        <v>0</v>
      </c>
    </row>
    <row r="446" spans="2:7" x14ac:dyDescent="0.2">
      <c r="B446" s="258"/>
      <c r="C446" s="264"/>
      <c r="D446" s="269"/>
      <c r="E446" s="270"/>
      <c r="F446" s="267">
        <v>0</v>
      </c>
      <c r="G446" s="268">
        <v>0</v>
      </c>
    </row>
    <row r="447" spans="2:7" x14ac:dyDescent="0.2">
      <c r="B447" s="258"/>
      <c r="C447" s="264"/>
      <c r="D447" s="269"/>
      <c r="E447" s="270"/>
      <c r="F447" s="267">
        <v>0</v>
      </c>
      <c r="G447" s="268">
        <v>0</v>
      </c>
    </row>
    <row r="448" spans="2:7" x14ac:dyDescent="0.2">
      <c r="B448" s="258"/>
      <c r="C448" s="264"/>
      <c r="D448" s="269"/>
      <c r="E448" s="270"/>
      <c r="F448" s="267">
        <v>0</v>
      </c>
      <c r="G448" s="268">
        <v>0</v>
      </c>
    </row>
    <row r="449" spans="2:7" x14ac:dyDescent="0.2">
      <c r="B449" s="258"/>
      <c r="C449" s="264"/>
      <c r="D449" s="269"/>
      <c r="E449" s="270"/>
      <c r="F449" s="267">
        <v>0</v>
      </c>
      <c r="G449" s="268">
        <v>0</v>
      </c>
    </row>
    <row r="450" spans="2:7" x14ac:dyDescent="0.2">
      <c r="B450" s="258"/>
      <c r="C450" s="264"/>
      <c r="D450" s="269"/>
      <c r="E450" s="270"/>
      <c r="F450" s="267">
        <v>0</v>
      </c>
      <c r="G450" s="268">
        <v>0</v>
      </c>
    </row>
    <row r="451" spans="2:7" x14ac:dyDescent="0.2">
      <c r="B451" s="258"/>
      <c r="C451" s="271"/>
      <c r="D451" s="269"/>
      <c r="E451" s="270"/>
      <c r="F451" s="267">
        <v>0</v>
      </c>
      <c r="G451" s="268">
        <v>0</v>
      </c>
    </row>
    <row r="452" spans="2:7" x14ac:dyDescent="0.2">
      <c r="B452" s="258"/>
      <c r="C452" s="272" t="s">
        <v>1026</v>
      </c>
      <c r="D452" s="273"/>
      <c r="E452" s="274"/>
      <c r="F452" s="275"/>
      <c r="G452" s="184">
        <v>0</v>
      </c>
    </row>
    <row r="453" spans="2:7" ht="13.5" thickBot="1" x14ac:dyDescent="0.25">
      <c r="B453" s="258"/>
      <c r="C453" s="276"/>
      <c r="D453" s="277"/>
      <c r="E453" s="277"/>
      <c r="F453" s="278" t="s">
        <v>1025</v>
      </c>
      <c r="G453" s="279">
        <v>46145020</v>
      </c>
    </row>
    <row r="454" spans="2:7" x14ac:dyDescent="0.2">
      <c r="B454" s="258"/>
      <c r="C454" s="280"/>
      <c r="D454" s="281"/>
      <c r="E454" s="281"/>
      <c r="F454" s="281"/>
      <c r="G454" s="282"/>
    </row>
    <row r="455" spans="2:7" x14ac:dyDescent="0.2">
      <c r="B455" s="258"/>
      <c r="C455" s="283" t="s">
        <v>1024</v>
      </c>
      <c r="D455" s="1721" t="s">
        <v>385</v>
      </c>
      <c r="E455" s="1722"/>
      <c r="F455" s="284" t="s">
        <v>395</v>
      </c>
      <c r="G455" s="285" t="s">
        <v>1014</v>
      </c>
    </row>
    <row r="456" spans="2:7" x14ac:dyDescent="0.2">
      <c r="B456" s="286"/>
      <c r="C456" s="259" t="s">
        <v>1022</v>
      </c>
      <c r="D456" s="1732">
        <v>74400</v>
      </c>
      <c r="E456" s="1733"/>
      <c r="F456" s="728">
        <v>10</v>
      </c>
      <c r="G456" s="288">
        <v>744000</v>
      </c>
    </row>
    <row r="457" spans="2:7" x14ac:dyDescent="0.2">
      <c r="B457" s="286"/>
      <c r="C457" s="289"/>
      <c r="D457" s="1725"/>
      <c r="E457" s="1726"/>
      <c r="F457" s="290"/>
      <c r="G457" s="291"/>
    </row>
    <row r="458" spans="2:7" x14ac:dyDescent="0.2">
      <c r="B458" s="258"/>
      <c r="C458" s="292"/>
      <c r="D458" s="1727"/>
      <c r="E458" s="1728"/>
      <c r="F458" s="293"/>
      <c r="G458" s="294">
        <v>0</v>
      </c>
    </row>
    <row r="459" spans="2:7" ht="13.5" thickBot="1" x14ac:dyDescent="0.25">
      <c r="B459" s="258"/>
      <c r="C459" s="276"/>
      <c r="D459" s="295"/>
      <c r="E459" s="281"/>
      <c r="F459" s="278" t="s">
        <v>1021</v>
      </c>
      <c r="G459" s="279">
        <v>744000</v>
      </c>
    </row>
    <row r="460" spans="2:7" x14ac:dyDescent="0.2">
      <c r="B460" s="258"/>
      <c r="C460" s="276"/>
      <c r="D460" s="281"/>
      <c r="E460" s="281"/>
      <c r="F460" s="281"/>
      <c r="G460" s="282"/>
    </row>
    <row r="461" spans="2:7" x14ac:dyDescent="0.2">
      <c r="B461" s="258"/>
      <c r="C461" s="283" t="s">
        <v>1020</v>
      </c>
      <c r="D461" s="1721" t="s">
        <v>385</v>
      </c>
      <c r="E461" s="1722"/>
      <c r="F461" s="284" t="s">
        <v>395</v>
      </c>
      <c r="G461" s="285" t="s">
        <v>1014</v>
      </c>
    </row>
    <row r="462" spans="2:7" x14ac:dyDescent="0.2">
      <c r="B462" s="286"/>
      <c r="C462" s="259" t="s">
        <v>1055</v>
      </c>
      <c r="D462" s="1754" t="s">
        <v>1054</v>
      </c>
      <c r="E462" s="1733"/>
      <c r="F462" s="287">
        <v>1</v>
      </c>
      <c r="G462" s="288">
        <v>922900.4</v>
      </c>
    </row>
    <row r="463" spans="2:7" x14ac:dyDescent="0.2">
      <c r="B463" s="286"/>
      <c r="C463" s="259" t="s">
        <v>1053</v>
      </c>
      <c r="D463" s="1725">
        <v>97500</v>
      </c>
      <c r="E463" s="1726"/>
      <c r="F463" s="297">
        <v>6</v>
      </c>
      <c r="G463" s="298">
        <v>585000</v>
      </c>
    </row>
    <row r="464" spans="2:7" x14ac:dyDescent="0.2">
      <c r="B464" s="258"/>
      <c r="C464" s="292"/>
      <c r="D464" s="1727"/>
      <c r="E464" s="1728"/>
      <c r="F464" s="293"/>
      <c r="G464" s="299">
        <v>0</v>
      </c>
    </row>
    <row r="465" spans="2:7" ht="13.5" thickBot="1" x14ac:dyDescent="0.25">
      <c r="B465" s="258"/>
      <c r="C465" s="276"/>
      <c r="D465" s="281"/>
      <c r="E465" s="281"/>
      <c r="F465" s="278" t="s">
        <v>1017</v>
      </c>
      <c r="G465" s="279">
        <v>1507900</v>
      </c>
    </row>
    <row r="466" spans="2:7" x14ac:dyDescent="0.2">
      <c r="B466" s="258"/>
      <c r="C466" s="276"/>
      <c r="D466" s="281"/>
      <c r="E466" s="281"/>
      <c r="F466" s="281"/>
      <c r="G466" s="282"/>
    </row>
    <row r="467" spans="2:7" x14ac:dyDescent="0.2">
      <c r="B467" s="258"/>
      <c r="C467" s="283" t="s">
        <v>1016</v>
      </c>
      <c r="D467" s="1721" t="s">
        <v>1052</v>
      </c>
      <c r="E467" s="1722"/>
      <c r="F467" s="284" t="s">
        <v>395</v>
      </c>
      <c r="G467" s="285" t="s">
        <v>1014</v>
      </c>
    </row>
    <row r="468" spans="2:7" x14ac:dyDescent="0.2">
      <c r="B468" s="300"/>
      <c r="C468" s="259" t="s">
        <v>1051</v>
      </c>
      <c r="D468" s="1732">
        <v>214149.74358974356</v>
      </c>
      <c r="E468" s="1733"/>
      <c r="F468" s="313">
        <v>4</v>
      </c>
      <c r="G468" s="288">
        <v>856598.97435897426</v>
      </c>
    </row>
    <row r="469" spans="2:7" x14ac:dyDescent="0.2">
      <c r="B469" s="300"/>
      <c r="C469" s="259"/>
      <c r="D469" s="1725"/>
      <c r="E469" s="1726"/>
      <c r="F469" s="302"/>
      <c r="G469" s="298">
        <v>0</v>
      </c>
    </row>
    <row r="470" spans="2:7" x14ac:dyDescent="0.2">
      <c r="B470" s="303"/>
      <c r="C470" s="292"/>
      <c r="D470" s="1727"/>
      <c r="E470" s="1728"/>
      <c r="F470" s="304"/>
      <c r="G470" s="299">
        <v>0</v>
      </c>
    </row>
    <row r="471" spans="2:7" ht="13.5" thickBot="1" x14ac:dyDescent="0.25">
      <c r="B471" s="258"/>
      <c r="C471" s="276"/>
      <c r="D471" s="305"/>
      <c r="E471" s="305"/>
      <c r="F471" s="278" t="s">
        <v>1012</v>
      </c>
      <c r="G471" s="279">
        <v>856598.97435897426</v>
      </c>
    </row>
    <row r="472" spans="2:7" x14ac:dyDescent="0.2">
      <c r="B472" s="258"/>
      <c r="C472" s="276"/>
      <c r="D472" s="276"/>
      <c r="E472" s="276"/>
      <c r="F472" s="276"/>
      <c r="G472" s="306"/>
    </row>
    <row r="473" spans="2:7" x14ac:dyDescent="0.2">
      <c r="B473" s="148" t="s">
        <v>1011</v>
      </c>
      <c r="C473" s="149"/>
      <c r="D473" s="149"/>
      <c r="E473" s="150"/>
      <c r="F473" s="150"/>
      <c r="G473" s="307">
        <v>49253518.974358976</v>
      </c>
    </row>
    <row r="474" spans="2:7" x14ac:dyDescent="0.2">
      <c r="B474" s="258" t="s">
        <v>1010</v>
      </c>
      <c r="C474" s="276"/>
      <c r="D474" s="308"/>
      <c r="E474" s="308"/>
      <c r="F474" s="308"/>
      <c r="G474" s="309"/>
    </row>
    <row r="475" spans="2:7" x14ac:dyDescent="0.2">
      <c r="B475" s="227"/>
      <c r="C475" s="228"/>
      <c r="D475" s="228"/>
      <c r="E475" s="228"/>
      <c r="F475" s="228"/>
      <c r="G475" s="229"/>
    </row>
    <row r="476" spans="2:7" x14ac:dyDescent="0.2">
      <c r="B476" s="230"/>
      <c r="C476" s="231"/>
      <c r="D476" s="231"/>
      <c r="E476" s="231"/>
      <c r="F476" s="231"/>
      <c r="G476" s="232"/>
    </row>
    <row r="477" spans="2:7" x14ac:dyDescent="0.2">
      <c r="B477" s="230"/>
      <c r="C477" s="231"/>
      <c r="D477" s="231"/>
      <c r="E477" s="231"/>
      <c r="F477" s="231"/>
      <c r="G477" s="232"/>
    </row>
    <row r="478" spans="2:7" x14ac:dyDescent="0.2">
      <c r="B478" s="230"/>
      <c r="C478" s="231"/>
      <c r="D478" s="231"/>
      <c r="E478" s="231"/>
      <c r="F478" s="231"/>
      <c r="G478" s="232"/>
    </row>
    <row r="479" spans="2:7" x14ac:dyDescent="0.2">
      <c r="B479" s="230"/>
      <c r="C479" s="231"/>
      <c r="D479" s="231"/>
      <c r="E479" s="231"/>
      <c r="F479" s="231"/>
      <c r="G479" s="232"/>
    </row>
    <row r="480" spans="2:7" x14ac:dyDescent="0.2">
      <c r="B480" s="230"/>
      <c r="C480" s="231"/>
      <c r="D480" s="231"/>
      <c r="E480" s="231"/>
      <c r="F480" s="231"/>
      <c r="G480" s="232"/>
    </row>
    <row r="481" spans="2:7" x14ac:dyDescent="0.2">
      <c r="B481" s="230"/>
      <c r="C481" s="231"/>
      <c r="D481" s="231"/>
      <c r="E481" s="231"/>
      <c r="F481" s="231"/>
      <c r="G481" s="232"/>
    </row>
    <row r="482" spans="2:7" ht="13.5" thickBot="1" x14ac:dyDescent="0.25">
      <c r="B482" s="230"/>
      <c r="C482" s="729"/>
      <c r="D482" s="231"/>
      <c r="E482" s="231"/>
      <c r="F482" s="231"/>
      <c r="G482" s="232"/>
    </row>
    <row r="483" spans="2:7" x14ac:dyDescent="0.2">
      <c r="B483" s="230"/>
      <c r="C483" s="231" t="s">
        <v>1449</v>
      </c>
      <c r="D483" s="231"/>
      <c r="E483" s="1743" t="s">
        <v>865</v>
      </c>
      <c r="F483" s="1743"/>
      <c r="G483" s="1744"/>
    </row>
    <row r="484" spans="2:7" x14ac:dyDescent="0.2">
      <c r="B484" s="230"/>
      <c r="C484" s="231" t="s">
        <v>1450</v>
      </c>
      <c r="D484" s="231"/>
      <c r="E484" s="1745" t="s">
        <v>866</v>
      </c>
      <c r="F484" s="1745"/>
      <c r="G484" s="1746"/>
    </row>
    <row r="485" spans="2:7" x14ac:dyDescent="0.2">
      <c r="B485" s="230"/>
      <c r="C485" s="231"/>
      <c r="D485" s="231"/>
      <c r="E485" s="1745" t="s">
        <v>867</v>
      </c>
      <c r="F485" s="1745"/>
      <c r="G485" s="1746"/>
    </row>
    <row r="486" spans="2:7" ht="13.5" thickBot="1" x14ac:dyDescent="0.25">
      <c r="B486" s="233"/>
      <c r="C486" s="234"/>
      <c r="D486" s="234"/>
      <c r="E486" s="234"/>
      <c r="F486" s="234"/>
      <c r="G486" s="235"/>
    </row>
    <row r="487" spans="2:7" x14ac:dyDescent="0.2">
      <c r="B487" s="310"/>
      <c r="C487" s="310"/>
      <c r="D487" s="310"/>
      <c r="E487" s="310"/>
      <c r="F487" s="310"/>
      <c r="G487" s="310"/>
    </row>
    <row r="488" spans="2:7" ht="13.5" thickBot="1" x14ac:dyDescent="0.25"/>
    <row r="489" spans="2:7" x14ac:dyDescent="0.2">
      <c r="B489" s="1737"/>
      <c r="C489" s="1738"/>
      <c r="D489" s="1738"/>
      <c r="E489" s="1738"/>
      <c r="F489" s="1738"/>
      <c r="G489" s="1739"/>
    </row>
    <row r="490" spans="2:7" x14ac:dyDescent="0.2">
      <c r="B490" s="244"/>
      <c r="C490" s="245"/>
      <c r="D490" s="246" t="s">
        <v>1038</v>
      </c>
      <c r="E490" s="247"/>
      <c r="F490" s="248"/>
      <c r="G490" s="249"/>
    </row>
    <row r="491" spans="2:7" x14ac:dyDescent="0.2">
      <c r="B491" s="244"/>
      <c r="C491" s="250"/>
      <c r="D491" s="246" t="s">
        <v>180</v>
      </c>
      <c r="E491" s="251" t="s">
        <v>991</v>
      </c>
      <c r="F491" s="248"/>
      <c r="G491" s="249"/>
    </row>
    <row r="492" spans="2:7" x14ac:dyDescent="0.2">
      <c r="B492" s="244"/>
      <c r="C492" s="250"/>
      <c r="D492" s="246" t="s">
        <v>696</v>
      </c>
      <c r="E492" s="252">
        <v>1</v>
      </c>
      <c r="F492" s="248"/>
      <c r="G492" s="249"/>
    </row>
    <row r="493" spans="2:7" x14ac:dyDescent="0.2">
      <c r="B493" s="253"/>
      <c r="C493" s="248"/>
      <c r="D493" s="248"/>
      <c r="E493" s="248"/>
      <c r="F493" s="248"/>
      <c r="G493" s="249"/>
    </row>
    <row r="494" spans="2:7" x14ac:dyDescent="0.2">
      <c r="B494" s="1740" t="s">
        <v>1233</v>
      </c>
      <c r="C494" s="1741"/>
      <c r="D494" s="1741"/>
      <c r="E494" s="1741"/>
      <c r="F494" s="1741"/>
      <c r="G494" s="1742"/>
    </row>
    <row r="495" spans="2:7" x14ac:dyDescent="0.2">
      <c r="B495" s="254"/>
      <c r="C495" s="255" t="s">
        <v>1037</v>
      </c>
      <c r="D495" s="256" t="s">
        <v>119</v>
      </c>
      <c r="E495" s="256" t="s">
        <v>1008</v>
      </c>
      <c r="F495" s="256" t="s">
        <v>1009</v>
      </c>
      <c r="G495" s="257" t="s">
        <v>1036</v>
      </c>
    </row>
    <row r="496" spans="2:7" x14ac:dyDescent="0.2">
      <c r="B496" s="258"/>
      <c r="C496" s="311" t="s">
        <v>1057</v>
      </c>
      <c r="D496" s="269" t="s">
        <v>991</v>
      </c>
      <c r="E496" s="261">
        <v>1</v>
      </c>
      <c r="F496" s="267">
        <v>2497440</v>
      </c>
      <c r="G496" s="268">
        <v>2497440</v>
      </c>
    </row>
    <row r="497" spans="2:7" x14ac:dyDescent="0.2">
      <c r="B497" s="258"/>
      <c r="C497" s="264"/>
      <c r="D497" s="269"/>
      <c r="E497" s="270"/>
      <c r="F497" s="267">
        <v>0</v>
      </c>
      <c r="G497" s="268">
        <v>0</v>
      </c>
    </row>
    <row r="498" spans="2:7" x14ac:dyDescent="0.2">
      <c r="B498" s="258"/>
      <c r="C498" s="264"/>
      <c r="D498" s="269"/>
      <c r="E498" s="270"/>
      <c r="F498" s="267">
        <v>0</v>
      </c>
      <c r="G498" s="268">
        <v>0</v>
      </c>
    </row>
    <row r="499" spans="2:7" x14ac:dyDescent="0.2">
      <c r="B499" s="258"/>
      <c r="C499" s="264"/>
      <c r="D499" s="265"/>
      <c r="E499" s="270"/>
      <c r="F499" s="267">
        <v>0</v>
      </c>
      <c r="G499" s="268">
        <v>0</v>
      </c>
    </row>
    <row r="500" spans="2:7" x14ac:dyDescent="0.2">
      <c r="B500" s="258"/>
      <c r="C500" s="264"/>
      <c r="D500" s="265"/>
      <c r="E500" s="270"/>
      <c r="F500" s="267">
        <v>0</v>
      </c>
      <c r="G500" s="268">
        <v>0</v>
      </c>
    </row>
    <row r="501" spans="2:7" x14ac:dyDescent="0.2">
      <c r="B501" s="258"/>
      <c r="C501" s="264"/>
      <c r="D501" s="265"/>
      <c r="E501" s="270"/>
      <c r="F501" s="267">
        <v>0</v>
      </c>
      <c r="G501" s="268">
        <v>0</v>
      </c>
    </row>
    <row r="502" spans="2:7" x14ac:dyDescent="0.2">
      <c r="B502" s="258"/>
      <c r="C502" s="264"/>
      <c r="D502" s="265"/>
      <c r="E502" s="270"/>
      <c r="F502" s="267">
        <v>0</v>
      </c>
      <c r="G502" s="268">
        <v>0</v>
      </c>
    </row>
    <row r="503" spans="2:7" x14ac:dyDescent="0.2">
      <c r="B503" s="258"/>
      <c r="C503" s="264"/>
      <c r="D503" s="269"/>
      <c r="E503" s="270"/>
      <c r="F503" s="267">
        <v>0</v>
      </c>
      <c r="G503" s="268">
        <v>0</v>
      </c>
    </row>
    <row r="504" spans="2:7" x14ac:dyDescent="0.2">
      <c r="B504" s="258"/>
      <c r="C504" s="264"/>
      <c r="D504" s="269"/>
      <c r="E504" s="270"/>
      <c r="F504" s="267">
        <v>0</v>
      </c>
      <c r="G504" s="268">
        <v>0</v>
      </c>
    </row>
    <row r="505" spans="2:7" x14ac:dyDescent="0.2">
      <c r="B505" s="258"/>
      <c r="C505" s="264"/>
      <c r="D505" s="269"/>
      <c r="E505" s="270"/>
      <c r="F505" s="267">
        <v>0</v>
      </c>
      <c r="G505" s="268">
        <v>0</v>
      </c>
    </row>
    <row r="506" spans="2:7" x14ac:dyDescent="0.2">
      <c r="B506" s="258"/>
      <c r="C506" s="264"/>
      <c r="D506" s="269"/>
      <c r="E506" s="270"/>
      <c r="F506" s="267">
        <v>0</v>
      </c>
      <c r="G506" s="268">
        <v>0</v>
      </c>
    </row>
    <row r="507" spans="2:7" x14ac:dyDescent="0.2">
      <c r="B507" s="258"/>
      <c r="C507" s="264"/>
      <c r="D507" s="269"/>
      <c r="E507" s="270"/>
      <c r="F507" s="267">
        <v>0</v>
      </c>
      <c r="G507" s="268">
        <v>0</v>
      </c>
    </row>
    <row r="508" spans="2:7" x14ac:dyDescent="0.2">
      <c r="B508" s="258"/>
      <c r="C508" s="264"/>
      <c r="D508" s="269"/>
      <c r="E508" s="270"/>
      <c r="F508" s="267">
        <v>0</v>
      </c>
      <c r="G508" s="268">
        <v>0</v>
      </c>
    </row>
    <row r="509" spans="2:7" x14ac:dyDescent="0.2">
      <c r="B509" s="258"/>
      <c r="C509" s="264"/>
      <c r="D509" s="269"/>
      <c r="E509" s="270"/>
      <c r="F509" s="267">
        <v>0</v>
      </c>
      <c r="G509" s="268">
        <v>0</v>
      </c>
    </row>
    <row r="510" spans="2:7" x14ac:dyDescent="0.2">
      <c r="B510" s="258"/>
      <c r="C510" s="264"/>
      <c r="D510" s="269"/>
      <c r="E510" s="270"/>
      <c r="F510" s="267">
        <v>0</v>
      </c>
      <c r="G510" s="268">
        <v>0</v>
      </c>
    </row>
    <row r="511" spans="2:7" x14ac:dyDescent="0.2">
      <c r="B511" s="258"/>
      <c r="C511" s="264"/>
      <c r="D511" s="269"/>
      <c r="E511" s="270"/>
      <c r="F511" s="267">
        <v>0</v>
      </c>
      <c r="G511" s="268">
        <v>0</v>
      </c>
    </row>
    <row r="512" spans="2:7" x14ac:dyDescent="0.2">
      <c r="B512" s="258"/>
      <c r="C512" s="264"/>
      <c r="D512" s="269"/>
      <c r="E512" s="270"/>
      <c r="F512" s="267">
        <v>0</v>
      </c>
      <c r="G512" s="268">
        <v>0</v>
      </c>
    </row>
    <row r="513" spans="2:7" x14ac:dyDescent="0.2">
      <c r="B513" s="258"/>
      <c r="C513" s="264"/>
      <c r="D513" s="269"/>
      <c r="E513" s="270"/>
      <c r="F513" s="267">
        <v>0</v>
      </c>
      <c r="G513" s="268">
        <v>0</v>
      </c>
    </row>
    <row r="514" spans="2:7" x14ac:dyDescent="0.2">
      <c r="B514" s="258"/>
      <c r="C514" s="264"/>
      <c r="D514" s="269"/>
      <c r="E514" s="270"/>
      <c r="F514" s="267">
        <v>0</v>
      </c>
      <c r="G514" s="268">
        <v>0</v>
      </c>
    </row>
    <row r="515" spans="2:7" x14ac:dyDescent="0.2">
      <c r="B515" s="258"/>
      <c r="C515" s="264"/>
      <c r="D515" s="269"/>
      <c r="E515" s="270"/>
      <c r="F515" s="267">
        <v>0</v>
      </c>
      <c r="G515" s="268">
        <v>0</v>
      </c>
    </row>
    <row r="516" spans="2:7" x14ac:dyDescent="0.2">
      <c r="B516" s="258"/>
      <c r="C516" s="264"/>
      <c r="D516" s="269"/>
      <c r="E516" s="270"/>
      <c r="F516" s="267">
        <v>0</v>
      </c>
      <c r="G516" s="268">
        <v>0</v>
      </c>
    </row>
    <row r="517" spans="2:7" x14ac:dyDescent="0.2">
      <c r="B517" s="258"/>
      <c r="C517" s="264"/>
      <c r="D517" s="269"/>
      <c r="E517" s="270"/>
      <c r="F517" s="267">
        <v>0</v>
      </c>
      <c r="G517" s="268">
        <v>0</v>
      </c>
    </row>
    <row r="518" spans="2:7" x14ac:dyDescent="0.2">
      <c r="B518" s="258"/>
      <c r="C518" s="264"/>
      <c r="D518" s="269"/>
      <c r="E518" s="270"/>
      <c r="F518" s="267">
        <v>0</v>
      </c>
      <c r="G518" s="268">
        <v>0</v>
      </c>
    </row>
    <row r="519" spans="2:7" x14ac:dyDescent="0.2">
      <c r="B519" s="258"/>
      <c r="C519" s="264"/>
      <c r="D519" s="269"/>
      <c r="E519" s="270"/>
      <c r="F519" s="267">
        <v>0</v>
      </c>
      <c r="G519" s="268">
        <v>0</v>
      </c>
    </row>
    <row r="520" spans="2:7" x14ac:dyDescent="0.2">
      <c r="B520" s="258"/>
      <c r="C520" s="271"/>
      <c r="D520" s="269"/>
      <c r="E520" s="270"/>
      <c r="F520" s="267">
        <v>0</v>
      </c>
      <c r="G520" s="268">
        <v>0</v>
      </c>
    </row>
    <row r="521" spans="2:7" x14ac:dyDescent="0.2">
      <c r="B521" s="258"/>
      <c r="C521" s="272" t="s">
        <v>1026</v>
      </c>
      <c r="D521" s="273"/>
      <c r="E521" s="274"/>
      <c r="F521" s="275"/>
      <c r="G521" s="184">
        <v>0</v>
      </c>
    </row>
    <row r="522" spans="2:7" ht="13.5" thickBot="1" x14ac:dyDescent="0.25">
      <c r="B522" s="258"/>
      <c r="C522" s="276"/>
      <c r="D522" s="277"/>
      <c r="E522" s="277"/>
      <c r="F522" s="278" t="s">
        <v>1025</v>
      </c>
      <c r="G522" s="279">
        <v>2497440</v>
      </c>
    </row>
    <row r="523" spans="2:7" x14ac:dyDescent="0.2">
      <c r="B523" s="258"/>
      <c r="C523" s="280"/>
      <c r="D523" s="281"/>
      <c r="E523" s="281"/>
      <c r="F523" s="281"/>
      <c r="G523" s="282"/>
    </row>
    <row r="524" spans="2:7" x14ac:dyDescent="0.2">
      <c r="B524" s="258"/>
      <c r="C524" s="283" t="s">
        <v>1024</v>
      </c>
      <c r="D524" s="1721" t="s">
        <v>385</v>
      </c>
      <c r="E524" s="1722"/>
      <c r="F524" s="284" t="s">
        <v>395</v>
      </c>
      <c r="G524" s="285" t="s">
        <v>1014</v>
      </c>
    </row>
    <row r="525" spans="2:7" x14ac:dyDescent="0.2">
      <c r="B525" s="286"/>
      <c r="C525" s="259" t="s">
        <v>1022</v>
      </c>
      <c r="D525" s="1732">
        <v>74400</v>
      </c>
      <c r="E525" s="1733"/>
      <c r="F525" s="287">
        <v>2</v>
      </c>
      <c r="G525" s="288">
        <v>148800</v>
      </c>
    </row>
    <row r="526" spans="2:7" x14ac:dyDescent="0.2">
      <c r="B526" s="286"/>
      <c r="C526" s="289"/>
      <c r="D526" s="1725"/>
      <c r="E526" s="1726"/>
      <c r="F526" s="290"/>
      <c r="G526" s="291"/>
    </row>
    <row r="527" spans="2:7" x14ac:dyDescent="0.2">
      <c r="B527" s="258"/>
      <c r="C527" s="292"/>
      <c r="D527" s="1727"/>
      <c r="E527" s="1728"/>
      <c r="F527" s="293"/>
      <c r="G527" s="294">
        <v>0</v>
      </c>
    </row>
    <row r="528" spans="2:7" ht="13.5" thickBot="1" x14ac:dyDescent="0.25">
      <c r="B528" s="258"/>
      <c r="C528" s="276"/>
      <c r="D528" s="295"/>
      <c r="E528" s="281"/>
      <c r="F528" s="278" t="s">
        <v>1021</v>
      </c>
      <c r="G528" s="279">
        <v>148800</v>
      </c>
    </row>
    <row r="529" spans="2:7" x14ac:dyDescent="0.2">
      <c r="B529" s="258"/>
      <c r="C529" s="276"/>
      <c r="D529" s="281"/>
      <c r="E529" s="281"/>
      <c r="F529" s="281"/>
      <c r="G529" s="282"/>
    </row>
    <row r="530" spans="2:7" x14ac:dyDescent="0.2">
      <c r="B530" s="258"/>
      <c r="C530" s="283" t="s">
        <v>1020</v>
      </c>
      <c r="D530" s="1721" t="s">
        <v>385</v>
      </c>
      <c r="E530" s="1722"/>
      <c r="F530" s="284" t="s">
        <v>395</v>
      </c>
      <c r="G530" s="285" t="s">
        <v>1014</v>
      </c>
    </row>
    <row r="531" spans="2:7" x14ac:dyDescent="0.2">
      <c r="B531" s="286"/>
      <c r="C531" s="259" t="s">
        <v>1044</v>
      </c>
      <c r="D531" s="1723" t="s">
        <v>1018</v>
      </c>
      <c r="E531" s="1724"/>
      <c r="F531" s="296">
        <v>0.02</v>
      </c>
      <c r="G531" s="288">
        <v>8565.9897435897419</v>
      </c>
    </row>
    <row r="532" spans="2:7" x14ac:dyDescent="0.2">
      <c r="B532" s="286"/>
      <c r="C532" s="259"/>
      <c r="D532" s="1725"/>
      <c r="E532" s="1726"/>
      <c r="F532" s="297"/>
      <c r="G532" s="298">
        <v>0</v>
      </c>
    </row>
    <row r="533" spans="2:7" x14ac:dyDescent="0.2">
      <c r="B533" s="258"/>
      <c r="C533" s="292"/>
      <c r="D533" s="1727"/>
      <c r="E533" s="1728"/>
      <c r="F533" s="293"/>
      <c r="G533" s="299">
        <v>0</v>
      </c>
    </row>
    <row r="534" spans="2:7" ht="13.5" thickBot="1" x14ac:dyDescent="0.25">
      <c r="B534" s="258"/>
      <c r="C534" s="276"/>
      <c r="D534" s="281"/>
      <c r="E534" s="281"/>
      <c r="F534" s="278" t="s">
        <v>1017</v>
      </c>
      <c r="G534" s="279">
        <v>8566</v>
      </c>
    </row>
    <row r="535" spans="2:7" x14ac:dyDescent="0.2">
      <c r="B535" s="258"/>
      <c r="C535" s="276"/>
      <c r="D535" s="281"/>
      <c r="E535" s="281"/>
      <c r="F535" s="281"/>
      <c r="G535" s="282"/>
    </row>
    <row r="536" spans="2:7" x14ac:dyDescent="0.2">
      <c r="B536" s="258"/>
      <c r="C536" s="283" t="s">
        <v>1016</v>
      </c>
      <c r="D536" s="1729" t="s">
        <v>1043</v>
      </c>
      <c r="E536" s="1722"/>
      <c r="F536" s="195" t="s">
        <v>395</v>
      </c>
      <c r="G536" s="196" t="s">
        <v>1014</v>
      </c>
    </row>
    <row r="537" spans="2:7" ht="14.25" x14ac:dyDescent="0.25">
      <c r="B537" s="300"/>
      <c r="C537" s="259" t="s">
        <v>1042</v>
      </c>
      <c r="D537" s="1730">
        <v>214149.74358974356</v>
      </c>
      <c r="E537" s="1731"/>
      <c r="F537" s="301">
        <v>2</v>
      </c>
      <c r="G537" s="201">
        <v>428299.48717948713</v>
      </c>
    </row>
    <row r="538" spans="2:7" x14ac:dyDescent="0.2">
      <c r="B538" s="300"/>
      <c r="C538" s="259"/>
      <c r="D538" s="1725"/>
      <c r="E538" s="1726"/>
      <c r="F538" s="302"/>
      <c r="G538" s="298">
        <v>0</v>
      </c>
    </row>
    <row r="539" spans="2:7" x14ac:dyDescent="0.2">
      <c r="B539" s="303"/>
      <c r="C539" s="292"/>
      <c r="D539" s="1727"/>
      <c r="E539" s="1728"/>
      <c r="F539" s="304"/>
      <c r="G539" s="299">
        <v>0</v>
      </c>
    </row>
    <row r="540" spans="2:7" ht="13.5" thickBot="1" x14ac:dyDescent="0.25">
      <c r="B540" s="258"/>
      <c r="C540" s="276"/>
      <c r="D540" s="305"/>
      <c r="E540" s="305"/>
      <c r="F540" s="278" t="s">
        <v>1012</v>
      </c>
      <c r="G540" s="279">
        <v>428299</v>
      </c>
    </row>
    <row r="541" spans="2:7" x14ac:dyDescent="0.2">
      <c r="B541" s="258"/>
      <c r="C541" s="276"/>
      <c r="D541" s="276"/>
      <c r="E541" s="276"/>
      <c r="F541" s="276"/>
      <c r="G541" s="306"/>
    </row>
    <row r="542" spans="2:7" x14ac:dyDescent="0.2">
      <c r="B542" s="148" t="s">
        <v>1011</v>
      </c>
      <c r="C542" s="149"/>
      <c r="D542" s="149"/>
      <c r="E542" s="150"/>
      <c r="F542" s="150"/>
      <c r="G542" s="307">
        <v>3083105</v>
      </c>
    </row>
    <row r="543" spans="2:7" x14ac:dyDescent="0.2">
      <c r="B543" s="258" t="s">
        <v>1010</v>
      </c>
      <c r="C543" s="276"/>
      <c r="D543" s="308"/>
      <c r="E543" s="308"/>
      <c r="F543" s="308"/>
      <c r="G543" s="309"/>
    </row>
    <row r="544" spans="2:7" x14ac:dyDescent="0.2">
      <c r="B544" s="227"/>
      <c r="C544" s="228"/>
      <c r="D544" s="228"/>
      <c r="E544" s="228"/>
      <c r="F544" s="228"/>
      <c r="G544" s="229"/>
    </row>
    <row r="545" spans="2:7" x14ac:dyDescent="0.2">
      <c r="B545" s="230"/>
      <c r="C545" s="231"/>
      <c r="D545" s="231"/>
      <c r="E545" s="231"/>
      <c r="F545" s="231"/>
      <c r="G545" s="232"/>
    </row>
    <row r="546" spans="2:7" x14ac:dyDescent="0.2">
      <c r="B546" s="230"/>
      <c r="C546" s="231"/>
      <c r="D546" s="231"/>
      <c r="E546" s="231"/>
      <c r="F546" s="231"/>
      <c r="G546" s="232"/>
    </row>
    <row r="547" spans="2:7" x14ac:dyDescent="0.2">
      <c r="B547" s="230"/>
      <c r="C547" s="231"/>
      <c r="D547" s="231"/>
      <c r="E547" s="231"/>
      <c r="F547" s="231"/>
      <c r="G547" s="232"/>
    </row>
    <row r="548" spans="2:7" x14ac:dyDescent="0.2">
      <c r="B548" s="230"/>
      <c r="C548" s="231"/>
      <c r="D548" s="231"/>
      <c r="E548" s="231"/>
      <c r="F548" s="231"/>
      <c r="G548" s="232"/>
    </row>
    <row r="549" spans="2:7" x14ac:dyDescent="0.2">
      <c r="B549" s="230"/>
      <c r="C549" s="231"/>
      <c r="D549" s="231"/>
      <c r="E549" s="231"/>
      <c r="F549" s="231"/>
      <c r="G549" s="232"/>
    </row>
    <row r="550" spans="2:7" x14ac:dyDescent="0.2">
      <c r="B550" s="230"/>
      <c r="C550" s="231"/>
      <c r="D550" s="231"/>
      <c r="E550" s="231"/>
      <c r="F550" s="231"/>
      <c r="G550" s="232"/>
    </row>
    <row r="551" spans="2:7" ht="13.5" thickBot="1" x14ac:dyDescent="0.25">
      <c r="B551" s="230"/>
      <c r="C551" s="729"/>
      <c r="D551" s="231"/>
      <c r="E551" s="231"/>
      <c r="F551" s="231"/>
      <c r="G551" s="232"/>
    </row>
    <row r="552" spans="2:7" x14ac:dyDescent="0.2">
      <c r="B552" s="230"/>
      <c r="C552" s="231" t="s">
        <v>1449</v>
      </c>
      <c r="D552" s="231"/>
      <c r="E552" s="1743" t="s">
        <v>865</v>
      </c>
      <c r="F552" s="1743"/>
      <c r="G552" s="1744"/>
    </row>
    <row r="553" spans="2:7" x14ac:dyDescent="0.2">
      <c r="B553" s="230"/>
      <c r="C553" s="231" t="s">
        <v>1450</v>
      </c>
      <c r="D553" s="231"/>
      <c r="E553" s="1745" t="s">
        <v>866</v>
      </c>
      <c r="F553" s="1745"/>
      <c r="G553" s="1746"/>
    </row>
    <row r="554" spans="2:7" x14ac:dyDescent="0.2">
      <c r="B554" s="230"/>
      <c r="C554" s="231"/>
      <c r="D554" s="231"/>
      <c r="E554" s="1745" t="s">
        <v>867</v>
      </c>
      <c r="F554" s="1745"/>
      <c r="G554" s="1746"/>
    </row>
    <row r="555" spans="2:7" ht="13.5" thickBot="1" x14ac:dyDescent="0.25">
      <c r="B555" s="233"/>
      <c r="C555" s="234"/>
      <c r="D555" s="234"/>
      <c r="E555" s="234"/>
      <c r="F555" s="234"/>
      <c r="G555" s="235"/>
    </row>
    <row r="556" spans="2:7" x14ac:dyDescent="0.2">
      <c r="B556" s="310"/>
      <c r="C556" s="310"/>
      <c r="D556" s="310"/>
      <c r="E556" s="310"/>
      <c r="F556" s="310"/>
      <c r="G556" s="310"/>
    </row>
    <row r="557" spans="2:7" ht="13.5" thickBot="1" x14ac:dyDescent="0.25"/>
    <row r="558" spans="2:7" x14ac:dyDescent="0.2">
      <c r="B558" s="1737"/>
      <c r="C558" s="1738"/>
      <c r="D558" s="1738"/>
      <c r="E558" s="1738"/>
      <c r="F558" s="1738"/>
      <c r="G558" s="1739"/>
    </row>
    <row r="559" spans="2:7" x14ac:dyDescent="0.2">
      <c r="B559" s="244"/>
      <c r="C559" s="245"/>
      <c r="D559" s="246" t="s">
        <v>1038</v>
      </c>
      <c r="E559" s="247"/>
      <c r="F559" s="248"/>
      <c r="G559" s="249"/>
    </row>
    <row r="560" spans="2:7" x14ac:dyDescent="0.2">
      <c r="B560" s="244"/>
      <c r="C560" s="250"/>
      <c r="D560" s="246" t="s">
        <v>180</v>
      </c>
      <c r="E560" s="251" t="s">
        <v>991</v>
      </c>
      <c r="F560" s="248"/>
      <c r="G560" s="249"/>
    </row>
    <row r="561" spans="2:7" x14ac:dyDescent="0.2">
      <c r="B561" s="244"/>
      <c r="C561" s="250"/>
      <c r="D561" s="246" t="s">
        <v>696</v>
      </c>
      <c r="E561" s="252">
        <v>1</v>
      </c>
      <c r="F561" s="248"/>
      <c r="G561" s="249"/>
    </row>
    <row r="562" spans="2:7" x14ac:dyDescent="0.2">
      <c r="B562" s="253"/>
      <c r="C562" s="248"/>
      <c r="D562" s="248"/>
      <c r="E562" s="248"/>
      <c r="F562" s="248"/>
      <c r="G562" s="249"/>
    </row>
    <row r="563" spans="2:7" x14ac:dyDescent="0.2">
      <c r="B563" s="1740" t="s">
        <v>1001</v>
      </c>
      <c r="C563" s="1741"/>
      <c r="D563" s="1741"/>
      <c r="E563" s="1741"/>
      <c r="F563" s="1741"/>
      <c r="G563" s="1742"/>
    </row>
    <row r="564" spans="2:7" x14ac:dyDescent="0.2">
      <c r="B564" s="254"/>
      <c r="C564" s="255" t="s">
        <v>1037</v>
      </c>
      <c r="D564" s="256" t="s">
        <v>119</v>
      </c>
      <c r="E564" s="256" t="s">
        <v>1008</v>
      </c>
      <c r="F564" s="256" t="s">
        <v>1009</v>
      </c>
      <c r="G564" s="257" t="s">
        <v>1036</v>
      </c>
    </row>
    <row r="565" spans="2:7" x14ac:dyDescent="0.2">
      <c r="B565" s="258"/>
      <c r="C565" s="314" t="s">
        <v>1069</v>
      </c>
      <c r="D565" s="260" t="s">
        <v>991</v>
      </c>
      <c r="E565" s="266">
        <v>5</v>
      </c>
      <c r="F565" s="267">
        <v>150151.82</v>
      </c>
      <c r="G565" s="263">
        <v>750759.10000000009</v>
      </c>
    </row>
    <row r="566" spans="2:7" x14ac:dyDescent="0.2">
      <c r="B566" s="258"/>
      <c r="C566" s="315" t="s">
        <v>1068</v>
      </c>
      <c r="D566" s="265" t="s">
        <v>991</v>
      </c>
      <c r="E566" s="266">
        <v>4</v>
      </c>
      <c r="F566" s="267">
        <v>6259.4</v>
      </c>
      <c r="G566" s="263">
        <v>25037.599999999999</v>
      </c>
    </row>
    <row r="567" spans="2:7" x14ac:dyDescent="0.2">
      <c r="B567" s="258"/>
      <c r="C567" s="314" t="s">
        <v>1067</v>
      </c>
      <c r="D567" s="265" t="s">
        <v>991</v>
      </c>
      <c r="E567" s="266">
        <v>6</v>
      </c>
      <c r="F567" s="267">
        <v>8282.4</v>
      </c>
      <c r="G567" s="268">
        <v>49694.399999999994</v>
      </c>
    </row>
    <row r="568" spans="2:7" x14ac:dyDescent="0.2">
      <c r="B568" s="258"/>
      <c r="C568" s="314" t="s">
        <v>1066</v>
      </c>
      <c r="D568" s="265" t="s">
        <v>991</v>
      </c>
      <c r="E568" s="266">
        <v>1</v>
      </c>
      <c r="F568" s="267">
        <v>6500</v>
      </c>
      <c r="G568" s="268">
        <v>6500</v>
      </c>
    </row>
    <row r="569" spans="2:7" x14ac:dyDescent="0.2">
      <c r="B569" s="258"/>
      <c r="C569" s="314" t="s">
        <v>1065</v>
      </c>
      <c r="D569" s="269" t="s">
        <v>991</v>
      </c>
      <c r="E569" s="270">
        <v>4</v>
      </c>
      <c r="F569" s="267">
        <v>10115</v>
      </c>
      <c r="G569" s="268">
        <v>40460</v>
      </c>
    </row>
    <row r="570" spans="2:7" x14ac:dyDescent="0.2">
      <c r="B570" s="258"/>
      <c r="C570" s="264" t="s">
        <v>1064</v>
      </c>
      <c r="D570" s="269" t="s">
        <v>991</v>
      </c>
      <c r="E570" s="270">
        <v>8</v>
      </c>
      <c r="F570" s="267">
        <v>2737</v>
      </c>
      <c r="G570" s="268">
        <v>21896</v>
      </c>
    </row>
    <row r="571" spans="2:7" x14ac:dyDescent="0.2">
      <c r="B571" s="258"/>
      <c r="C571" s="264" t="s">
        <v>1063</v>
      </c>
      <c r="D571" s="269" t="s">
        <v>991</v>
      </c>
      <c r="E571" s="270">
        <v>4</v>
      </c>
      <c r="F571" s="267">
        <v>1725.5</v>
      </c>
      <c r="G571" s="268">
        <v>6902</v>
      </c>
    </row>
    <row r="572" spans="2:7" x14ac:dyDescent="0.2">
      <c r="B572" s="258"/>
      <c r="C572" s="264" t="s">
        <v>1062</v>
      </c>
      <c r="D572" s="269" t="s">
        <v>9</v>
      </c>
      <c r="E572" s="316">
        <v>4</v>
      </c>
      <c r="F572" s="267">
        <v>31424.1</v>
      </c>
      <c r="G572" s="268">
        <v>125696.4</v>
      </c>
    </row>
    <row r="573" spans="2:7" x14ac:dyDescent="0.2">
      <c r="B573" s="258"/>
      <c r="C573" s="264" t="s">
        <v>1061</v>
      </c>
      <c r="D573" s="269" t="s">
        <v>991</v>
      </c>
      <c r="E573" s="270">
        <v>16</v>
      </c>
      <c r="F573" s="267">
        <v>800</v>
      </c>
      <c r="G573" s="268">
        <v>12800</v>
      </c>
    </row>
    <row r="574" spans="2:7" x14ac:dyDescent="0.2">
      <c r="B574" s="258"/>
      <c r="C574" s="264" t="s">
        <v>1060</v>
      </c>
      <c r="D574" s="269" t="s">
        <v>991</v>
      </c>
      <c r="E574" s="270">
        <v>16</v>
      </c>
      <c r="F574" s="267">
        <v>883.33333333333337</v>
      </c>
      <c r="G574" s="268">
        <v>14133.333333333334</v>
      </c>
    </row>
    <row r="575" spans="2:7" x14ac:dyDescent="0.2">
      <c r="B575" s="258"/>
      <c r="C575" s="264" t="s">
        <v>1059</v>
      </c>
      <c r="D575" s="269" t="s">
        <v>991</v>
      </c>
      <c r="E575" s="270">
        <v>16</v>
      </c>
      <c r="F575" s="267">
        <v>700</v>
      </c>
      <c r="G575" s="268">
        <v>11200</v>
      </c>
    </row>
    <row r="576" spans="2:7" x14ac:dyDescent="0.2">
      <c r="B576" s="258"/>
      <c r="C576" s="264" t="s">
        <v>1058</v>
      </c>
      <c r="D576" s="269" t="s">
        <v>991</v>
      </c>
      <c r="E576" s="270">
        <v>2</v>
      </c>
      <c r="F576" s="267">
        <v>55900</v>
      </c>
      <c r="G576" s="268">
        <v>111800</v>
      </c>
    </row>
    <row r="577" spans="2:7" x14ac:dyDescent="0.2">
      <c r="B577" s="258"/>
      <c r="C577" s="264"/>
      <c r="D577" s="269"/>
      <c r="E577" s="270"/>
      <c r="F577" s="267">
        <v>0</v>
      </c>
      <c r="G577" s="268">
        <v>0</v>
      </c>
    </row>
    <row r="578" spans="2:7" x14ac:dyDescent="0.2">
      <c r="B578" s="258"/>
      <c r="C578" s="264"/>
      <c r="D578" s="269"/>
      <c r="E578" s="270"/>
      <c r="F578" s="267">
        <v>0</v>
      </c>
      <c r="G578" s="268">
        <v>0</v>
      </c>
    </row>
    <row r="579" spans="2:7" x14ac:dyDescent="0.2">
      <c r="B579" s="258"/>
      <c r="C579" s="264"/>
      <c r="D579" s="269"/>
      <c r="E579" s="270"/>
      <c r="F579" s="267">
        <v>0</v>
      </c>
      <c r="G579" s="268">
        <v>0</v>
      </c>
    </row>
    <row r="580" spans="2:7" x14ac:dyDescent="0.2">
      <c r="B580" s="258"/>
      <c r="C580" s="264"/>
      <c r="D580" s="269"/>
      <c r="E580" s="270"/>
      <c r="F580" s="267">
        <v>0</v>
      </c>
      <c r="G580" s="268">
        <v>0</v>
      </c>
    </row>
    <row r="581" spans="2:7" x14ac:dyDescent="0.2">
      <c r="B581" s="258"/>
      <c r="C581" s="264"/>
      <c r="D581" s="269"/>
      <c r="E581" s="270"/>
      <c r="F581" s="267">
        <v>0</v>
      </c>
      <c r="G581" s="268">
        <v>0</v>
      </c>
    </row>
    <row r="582" spans="2:7" x14ac:dyDescent="0.2">
      <c r="B582" s="258"/>
      <c r="C582" s="264"/>
      <c r="D582" s="269"/>
      <c r="E582" s="270"/>
      <c r="F582" s="267">
        <v>0</v>
      </c>
      <c r="G582" s="268">
        <v>0</v>
      </c>
    </row>
    <row r="583" spans="2:7" x14ac:dyDescent="0.2">
      <c r="B583" s="258"/>
      <c r="C583" s="264"/>
      <c r="D583" s="269"/>
      <c r="E583" s="270"/>
      <c r="F583" s="267">
        <v>0</v>
      </c>
      <c r="G583" s="268">
        <v>0</v>
      </c>
    </row>
    <row r="584" spans="2:7" x14ac:dyDescent="0.2">
      <c r="B584" s="258"/>
      <c r="C584" s="264"/>
      <c r="D584" s="269"/>
      <c r="E584" s="270"/>
      <c r="F584" s="267">
        <v>0</v>
      </c>
      <c r="G584" s="268">
        <v>0</v>
      </c>
    </row>
    <row r="585" spans="2:7" x14ac:dyDescent="0.2">
      <c r="B585" s="258"/>
      <c r="C585" s="264"/>
      <c r="D585" s="269"/>
      <c r="E585" s="270"/>
      <c r="F585" s="267">
        <v>0</v>
      </c>
      <c r="G585" s="268">
        <v>0</v>
      </c>
    </row>
    <row r="586" spans="2:7" x14ac:dyDescent="0.2">
      <c r="B586" s="258"/>
      <c r="C586" s="264"/>
      <c r="D586" s="269"/>
      <c r="E586" s="270"/>
      <c r="F586" s="267">
        <v>0</v>
      </c>
      <c r="G586" s="268">
        <v>0</v>
      </c>
    </row>
    <row r="587" spans="2:7" x14ac:dyDescent="0.2">
      <c r="B587" s="258"/>
      <c r="C587" s="264"/>
      <c r="D587" s="269"/>
      <c r="E587" s="270"/>
      <c r="F587" s="267">
        <v>0</v>
      </c>
      <c r="G587" s="268">
        <v>0</v>
      </c>
    </row>
    <row r="588" spans="2:7" x14ac:dyDescent="0.2">
      <c r="B588" s="258"/>
      <c r="C588" s="264"/>
      <c r="D588" s="269"/>
      <c r="E588" s="270"/>
      <c r="F588" s="267">
        <v>0</v>
      </c>
      <c r="G588" s="268">
        <v>0</v>
      </c>
    </row>
    <row r="589" spans="2:7" x14ac:dyDescent="0.2">
      <c r="B589" s="258"/>
      <c r="C589" s="271"/>
      <c r="D589" s="269"/>
      <c r="E589" s="270"/>
      <c r="F589" s="267">
        <v>0</v>
      </c>
      <c r="G589" s="268">
        <v>0</v>
      </c>
    </row>
    <row r="590" spans="2:7" x14ac:dyDescent="0.2">
      <c r="B590" s="258"/>
      <c r="C590" s="272" t="s">
        <v>1026</v>
      </c>
      <c r="D590" s="273"/>
      <c r="E590" s="274"/>
      <c r="F590" s="275"/>
      <c r="G590" s="184">
        <v>58843.94166666668</v>
      </c>
    </row>
    <row r="591" spans="2:7" ht="13.5" thickBot="1" x14ac:dyDescent="0.25">
      <c r="B591" s="258"/>
      <c r="C591" s="276"/>
      <c r="D591" s="277"/>
      <c r="E591" s="277"/>
      <c r="F591" s="278" t="s">
        <v>1025</v>
      </c>
      <c r="G591" s="279">
        <v>1235723</v>
      </c>
    </row>
    <row r="592" spans="2:7" x14ac:dyDescent="0.2">
      <c r="B592" s="258"/>
      <c r="C592" s="280"/>
      <c r="D592" s="281"/>
      <c r="E592" s="281"/>
      <c r="F592" s="281"/>
      <c r="G592" s="282"/>
    </row>
    <row r="593" spans="2:7" x14ac:dyDescent="0.2">
      <c r="B593" s="258"/>
      <c r="C593" s="283" t="s">
        <v>1024</v>
      </c>
      <c r="D593" s="1721" t="s">
        <v>385</v>
      </c>
      <c r="E593" s="1722"/>
      <c r="F593" s="284" t="s">
        <v>395</v>
      </c>
      <c r="G593" s="285" t="s">
        <v>1014</v>
      </c>
    </row>
    <row r="594" spans="2:7" x14ac:dyDescent="0.2">
      <c r="B594" s="286"/>
      <c r="C594" s="259" t="s">
        <v>1022</v>
      </c>
      <c r="D594" s="1732">
        <v>74400</v>
      </c>
      <c r="E594" s="1733"/>
      <c r="F594" s="287">
        <v>2</v>
      </c>
      <c r="G594" s="288">
        <v>148800</v>
      </c>
    </row>
    <row r="595" spans="2:7" x14ac:dyDescent="0.2">
      <c r="B595" s="286"/>
      <c r="C595" s="289"/>
      <c r="D595" s="1725"/>
      <c r="E595" s="1726"/>
      <c r="F595" s="290"/>
      <c r="G595" s="291"/>
    </row>
    <row r="596" spans="2:7" x14ac:dyDescent="0.2">
      <c r="B596" s="258"/>
      <c r="C596" s="292"/>
      <c r="D596" s="1727"/>
      <c r="E596" s="1728"/>
      <c r="F596" s="293"/>
      <c r="G596" s="294">
        <v>0</v>
      </c>
    </row>
    <row r="597" spans="2:7" ht="13.5" thickBot="1" x14ac:dyDescent="0.25">
      <c r="B597" s="258"/>
      <c r="C597" s="276"/>
      <c r="D597" s="295"/>
      <c r="E597" s="281"/>
      <c r="F597" s="278" t="s">
        <v>1021</v>
      </c>
      <c r="G597" s="279">
        <v>148800</v>
      </c>
    </row>
    <row r="598" spans="2:7" x14ac:dyDescent="0.2">
      <c r="B598" s="258"/>
      <c r="C598" s="276"/>
      <c r="D598" s="281"/>
      <c r="E598" s="281"/>
      <c r="F598" s="281"/>
      <c r="G598" s="282"/>
    </row>
    <row r="599" spans="2:7" x14ac:dyDescent="0.2">
      <c r="B599" s="258"/>
      <c r="C599" s="283" t="s">
        <v>1020</v>
      </c>
      <c r="D599" s="1721" t="s">
        <v>385</v>
      </c>
      <c r="E599" s="1722"/>
      <c r="F599" s="284" t="s">
        <v>395</v>
      </c>
      <c r="G599" s="285" t="s">
        <v>1014</v>
      </c>
    </row>
    <row r="600" spans="2:7" x14ac:dyDescent="0.2">
      <c r="B600" s="286"/>
      <c r="C600" s="259" t="s">
        <v>1044</v>
      </c>
      <c r="D600" s="1723" t="s">
        <v>1018</v>
      </c>
      <c r="E600" s="1724"/>
      <c r="F600" s="296">
        <v>0.02</v>
      </c>
      <c r="G600" s="288">
        <v>8565.9897435897419</v>
      </c>
    </row>
    <row r="601" spans="2:7" x14ac:dyDescent="0.2">
      <c r="B601" s="286"/>
      <c r="C601" s="259"/>
      <c r="D601" s="1725"/>
      <c r="E601" s="1726"/>
      <c r="F601" s="297"/>
      <c r="G601" s="298">
        <v>0</v>
      </c>
    </row>
    <row r="602" spans="2:7" x14ac:dyDescent="0.2">
      <c r="B602" s="258"/>
      <c r="C602" s="292"/>
      <c r="D602" s="1727"/>
      <c r="E602" s="1728"/>
      <c r="F602" s="293"/>
      <c r="G602" s="299">
        <v>0</v>
      </c>
    </row>
    <row r="603" spans="2:7" ht="13.5" thickBot="1" x14ac:dyDescent="0.25">
      <c r="B603" s="258"/>
      <c r="C603" s="276"/>
      <c r="D603" s="281"/>
      <c r="E603" s="281"/>
      <c r="F603" s="278" t="s">
        <v>1017</v>
      </c>
      <c r="G603" s="279">
        <v>8566</v>
      </c>
    </row>
    <row r="604" spans="2:7" x14ac:dyDescent="0.2">
      <c r="B604" s="258"/>
      <c r="C604" s="276"/>
      <c r="D604" s="281"/>
      <c r="E604" s="281"/>
      <c r="F604" s="281"/>
      <c r="G604" s="282"/>
    </row>
    <row r="605" spans="2:7" x14ac:dyDescent="0.2">
      <c r="B605" s="258"/>
      <c r="C605" s="283" t="s">
        <v>1016</v>
      </c>
      <c r="D605" s="1729" t="s">
        <v>1043</v>
      </c>
      <c r="E605" s="1722"/>
      <c r="F605" s="195" t="s">
        <v>395</v>
      </c>
      <c r="G605" s="196" t="s">
        <v>1014</v>
      </c>
    </row>
    <row r="606" spans="2:7" ht="14.25" x14ac:dyDescent="0.25">
      <c r="B606" s="300"/>
      <c r="C606" s="259" t="s">
        <v>1042</v>
      </c>
      <c r="D606" s="1730">
        <v>214149.74358974356</v>
      </c>
      <c r="E606" s="1731"/>
      <c r="F606" s="301">
        <v>2</v>
      </c>
      <c r="G606" s="201">
        <v>428299.48717948713</v>
      </c>
    </row>
    <row r="607" spans="2:7" x14ac:dyDescent="0.2">
      <c r="B607" s="300"/>
      <c r="C607" s="259"/>
      <c r="D607" s="1725"/>
      <c r="E607" s="1726"/>
      <c r="F607" s="302"/>
      <c r="G607" s="298">
        <v>0</v>
      </c>
    </row>
    <row r="608" spans="2:7" x14ac:dyDescent="0.2">
      <c r="B608" s="303"/>
      <c r="C608" s="292"/>
      <c r="D608" s="1727"/>
      <c r="E608" s="1728"/>
      <c r="F608" s="304"/>
      <c r="G608" s="299">
        <v>0</v>
      </c>
    </row>
    <row r="609" spans="2:7" ht="13.5" thickBot="1" x14ac:dyDescent="0.25">
      <c r="B609" s="258"/>
      <c r="C609" s="276"/>
      <c r="D609" s="305"/>
      <c r="E609" s="305"/>
      <c r="F609" s="278" t="s">
        <v>1012</v>
      </c>
      <c r="G609" s="279">
        <v>428299</v>
      </c>
    </row>
    <row r="610" spans="2:7" x14ac:dyDescent="0.2">
      <c r="B610" s="258"/>
      <c r="C610" s="276"/>
      <c r="D610" s="276"/>
      <c r="E610" s="276"/>
      <c r="F610" s="276"/>
      <c r="G610" s="306"/>
    </row>
    <row r="611" spans="2:7" x14ac:dyDescent="0.2">
      <c r="B611" s="148" t="s">
        <v>1011</v>
      </c>
      <c r="C611" s="149"/>
      <c r="D611" s="149"/>
      <c r="E611" s="150"/>
      <c r="F611" s="150"/>
      <c r="G611" s="307">
        <v>1821388</v>
      </c>
    </row>
    <row r="612" spans="2:7" x14ac:dyDescent="0.2">
      <c r="B612" s="258" t="s">
        <v>1010</v>
      </c>
      <c r="C612" s="276"/>
      <c r="D612" s="308"/>
      <c r="E612" s="308"/>
      <c r="F612" s="308"/>
      <c r="G612" s="309"/>
    </row>
    <row r="613" spans="2:7" x14ac:dyDescent="0.2">
      <c r="B613" s="227"/>
      <c r="C613" s="228"/>
      <c r="D613" s="228"/>
      <c r="E613" s="228"/>
      <c r="F613" s="228"/>
      <c r="G613" s="229"/>
    </row>
    <row r="614" spans="2:7" x14ac:dyDescent="0.2">
      <c r="B614" s="230"/>
      <c r="C614" s="231"/>
      <c r="D614" s="231"/>
      <c r="E614" s="231"/>
      <c r="F614" s="231"/>
      <c r="G614" s="232"/>
    </row>
    <row r="615" spans="2:7" x14ac:dyDescent="0.2">
      <c r="B615" s="230"/>
      <c r="C615" s="231"/>
      <c r="D615" s="231"/>
      <c r="E615" s="231"/>
      <c r="F615" s="231"/>
      <c r="G615" s="232"/>
    </row>
    <row r="616" spans="2:7" x14ac:dyDescent="0.2">
      <c r="B616" s="230"/>
      <c r="C616" s="231"/>
      <c r="D616" s="231"/>
      <c r="E616" s="231"/>
      <c r="F616" s="231"/>
      <c r="G616" s="232"/>
    </row>
    <row r="617" spans="2:7" x14ac:dyDescent="0.2">
      <c r="B617" s="230"/>
      <c r="C617" s="231"/>
      <c r="D617" s="231"/>
      <c r="E617" s="231"/>
      <c r="F617" s="231"/>
      <c r="G617" s="232"/>
    </row>
    <row r="618" spans="2:7" x14ac:dyDescent="0.2">
      <c r="B618" s="230"/>
      <c r="C618" s="231"/>
      <c r="D618" s="231"/>
      <c r="E618" s="231"/>
      <c r="F618" s="231"/>
      <c r="G618" s="232"/>
    </row>
    <row r="619" spans="2:7" x14ac:dyDescent="0.2">
      <c r="B619" s="230"/>
      <c r="C619" s="231"/>
      <c r="D619" s="231"/>
      <c r="E619" s="231"/>
      <c r="F619" s="231"/>
      <c r="G619" s="232"/>
    </row>
    <row r="620" spans="2:7" ht="13.5" thickBot="1" x14ac:dyDescent="0.25">
      <c r="B620" s="230"/>
      <c r="C620" s="729"/>
      <c r="D620" s="231"/>
      <c r="E620" s="231"/>
      <c r="F620" s="231"/>
      <c r="G620" s="232"/>
    </row>
    <row r="621" spans="2:7" x14ac:dyDescent="0.2">
      <c r="B621" s="230"/>
      <c r="C621" s="231" t="s">
        <v>1449</v>
      </c>
      <c r="D621" s="231"/>
      <c r="E621" s="1743" t="s">
        <v>865</v>
      </c>
      <c r="F621" s="1743"/>
      <c r="G621" s="1744"/>
    </row>
    <row r="622" spans="2:7" x14ac:dyDescent="0.2">
      <c r="B622" s="230"/>
      <c r="C622" s="231" t="s">
        <v>1450</v>
      </c>
      <c r="D622" s="231"/>
      <c r="E622" s="1745" t="s">
        <v>866</v>
      </c>
      <c r="F622" s="1745"/>
      <c r="G622" s="1746"/>
    </row>
    <row r="623" spans="2:7" x14ac:dyDescent="0.2">
      <c r="B623" s="230"/>
      <c r="C623" s="231"/>
      <c r="D623" s="231"/>
      <c r="E623" s="1745" t="s">
        <v>867</v>
      </c>
      <c r="F623" s="1745"/>
      <c r="G623" s="1746"/>
    </row>
    <row r="624" spans="2:7" ht="13.5" thickBot="1" x14ac:dyDescent="0.25">
      <c r="B624" s="233"/>
      <c r="C624" s="234"/>
      <c r="D624" s="234"/>
      <c r="E624" s="234"/>
      <c r="F624" s="234"/>
      <c r="G624" s="235"/>
    </row>
    <row r="625" spans="2:7" x14ac:dyDescent="0.2">
      <c r="B625" s="310"/>
      <c r="C625" s="310"/>
      <c r="D625" s="310"/>
      <c r="E625" s="310"/>
      <c r="F625" s="310"/>
      <c r="G625" s="310"/>
    </row>
    <row r="626" spans="2:7" ht="13.5" thickBot="1" x14ac:dyDescent="0.25"/>
    <row r="627" spans="2:7" x14ac:dyDescent="0.2">
      <c r="B627" s="1737"/>
      <c r="C627" s="1738"/>
      <c r="D627" s="1738"/>
      <c r="E627" s="1738"/>
      <c r="F627" s="1738"/>
      <c r="G627" s="1739"/>
    </row>
    <row r="628" spans="2:7" x14ac:dyDescent="0.2">
      <c r="B628" s="244"/>
      <c r="C628" s="245"/>
      <c r="D628" s="246" t="s">
        <v>1038</v>
      </c>
      <c r="E628" s="247"/>
      <c r="F628" s="248"/>
      <c r="G628" s="249"/>
    </row>
    <row r="629" spans="2:7" x14ac:dyDescent="0.2">
      <c r="B629" s="244"/>
      <c r="C629" s="250"/>
      <c r="D629" s="246" t="s">
        <v>180</v>
      </c>
      <c r="E629" s="251" t="s">
        <v>991</v>
      </c>
      <c r="F629" s="248"/>
      <c r="G629" s="249"/>
    </row>
    <row r="630" spans="2:7" x14ac:dyDescent="0.2">
      <c r="B630" s="244"/>
      <c r="C630" s="250"/>
      <c r="D630" s="246" t="s">
        <v>696</v>
      </c>
      <c r="E630" s="252">
        <v>1</v>
      </c>
      <c r="F630" s="248"/>
      <c r="G630" s="249"/>
    </row>
    <row r="631" spans="2:7" x14ac:dyDescent="0.2">
      <c r="B631" s="253"/>
      <c r="C631" s="248"/>
      <c r="D631" s="248"/>
      <c r="E631" s="248"/>
      <c r="F631" s="248"/>
      <c r="G631" s="249"/>
    </row>
    <row r="632" spans="2:7" x14ac:dyDescent="0.2">
      <c r="B632" s="1740" t="s">
        <v>1000</v>
      </c>
      <c r="C632" s="1741"/>
      <c r="D632" s="1741"/>
      <c r="E632" s="1741"/>
      <c r="F632" s="1741"/>
      <c r="G632" s="1742"/>
    </row>
    <row r="633" spans="2:7" x14ac:dyDescent="0.2">
      <c r="B633" s="254"/>
      <c r="C633" s="255" t="s">
        <v>1037</v>
      </c>
      <c r="D633" s="256" t="s">
        <v>119</v>
      </c>
      <c r="E633" s="256" t="s">
        <v>1008</v>
      </c>
      <c r="F633" s="256" t="s">
        <v>1009</v>
      </c>
      <c r="G633" s="257" t="s">
        <v>1036</v>
      </c>
    </row>
    <row r="634" spans="2:7" x14ac:dyDescent="0.2">
      <c r="B634" s="258"/>
      <c r="C634" s="311" t="s">
        <v>1423</v>
      </c>
      <c r="D634" s="269" t="s">
        <v>9</v>
      </c>
      <c r="E634" s="261">
        <v>1</v>
      </c>
      <c r="F634" s="267">
        <v>4990</v>
      </c>
      <c r="G634" s="268">
        <v>4990</v>
      </c>
    </row>
    <row r="635" spans="2:7" x14ac:dyDescent="0.2">
      <c r="B635" s="258"/>
      <c r="C635" s="311" t="s">
        <v>1424</v>
      </c>
      <c r="D635" s="269" t="s">
        <v>9</v>
      </c>
      <c r="E635" s="261">
        <v>0.5</v>
      </c>
      <c r="F635" s="267">
        <v>4990</v>
      </c>
      <c r="G635" s="268">
        <v>2495</v>
      </c>
    </row>
    <row r="636" spans="2:7" x14ac:dyDescent="0.2">
      <c r="B636" s="258"/>
      <c r="C636" s="264" t="s">
        <v>1073</v>
      </c>
      <c r="D636" s="269" t="s">
        <v>9</v>
      </c>
      <c r="E636" s="261">
        <v>1</v>
      </c>
      <c r="F636" s="267">
        <v>3800</v>
      </c>
      <c r="G636" s="268">
        <v>3800</v>
      </c>
    </row>
    <row r="637" spans="2:7" x14ac:dyDescent="0.2">
      <c r="B637" s="258"/>
      <c r="C637" s="172" t="s">
        <v>1032</v>
      </c>
      <c r="D637" s="173" t="s">
        <v>991</v>
      </c>
      <c r="E637" s="177">
        <v>0.5</v>
      </c>
      <c r="F637" s="170">
        <v>756</v>
      </c>
      <c r="G637" s="268">
        <v>378</v>
      </c>
    </row>
    <row r="638" spans="2:7" x14ac:dyDescent="0.2">
      <c r="B638" s="258"/>
      <c r="C638" s="264" t="s">
        <v>1072</v>
      </c>
      <c r="D638" s="173" t="s">
        <v>9</v>
      </c>
      <c r="E638" s="174">
        <v>1</v>
      </c>
      <c r="F638" s="170">
        <v>2550</v>
      </c>
      <c r="G638" s="268">
        <v>2550</v>
      </c>
    </row>
    <row r="639" spans="2:7" x14ac:dyDescent="0.2">
      <c r="B639" s="258"/>
      <c r="C639" s="264" t="s">
        <v>1071</v>
      </c>
      <c r="D639" s="269" t="s">
        <v>991</v>
      </c>
      <c r="E639" s="270">
        <v>1</v>
      </c>
      <c r="F639" s="267">
        <v>101.8</v>
      </c>
      <c r="G639" s="268">
        <v>101.8</v>
      </c>
    </row>
    <row r="640" spans="2:7" x14ac:dyDescent="0.2">
      <c r="B640" s="258"/>
      <c r="C640" s="264" t="s">
        <v>1070</v>
      </c>
      <c r="D640" s="269" t="s">
        <v>991</v>
      </c>
      <c r="E640" s="316">
        <v>0.1</v>
      </c>
      <c r="F640" s="267">
        <v>9990</v>
      </c>
      <c r="G640" s="268">
        <v>999</v>
      </c>
    </row>
    <row r="641" spans="2:7" x14ac:dyDescent="0.2">
      <c r="B641" s="258"/>
      <c r="C641" s="264"/>
      <c r="D641" s="269"/>
      <c r="E641" s="270"/>
      <c r="F641" s="267">
        <v>0</v>
      </c>
      <c r="G641" s="268">
        <v>0</v>
      </c>
    </row>
    <row r="642" spans="2:7" x14ac:dyDescent="0.2">
      <c r="B642" s="258"/>
      <c r="C642" s="264"/>
      <c r="D642" s="269"/>
      <c r="E642" s="270"/>
      <c r="F642" s="267">
        <v>0</v>
      </c>
      <c r="G642" s="268">
        <v>0</v>
      </c>
    </row>
    <row r="643" spans="2:7" x14ac:dyDescent="0.2">
      <c r="B643" s="258"/>
      <c r="C643" s="264"/>
      <c r="D643" s="269"/>
      <c r="E643" s="270"/>
      <c r="F643" s="267">
        <v>0</v>
      </c>
      <c r="G643" s="268">
        <v>0</v>
      </c>
    </row>
    <row r="644" spans="2:7" x14ac:dyDescent="0.2">
      <c r="B644" s="258"/>
      <c r="C644" s="264"/>
      <c r="D644" s="269"/>
      <c r="E644" s="270"/>
      <c r="F644" s="267">
        <v>0</v>
      </c>
      <c r="G644" s="268">
        <v>0</v>
      </c>
    </row>
    <row r="645" spans="2:7" x14ac:dyDescent="0.2">
      <c r="B645" s="258"/>
      <c r="C645" s="264"/>
      <c r="D645" s="269"/>
      <c r="E645" s="270"/>
      <c r="F645" s="267">
        <v>0</v>
      </c>
      <c r="G645" s="268">
        <v>0</v>
      </c>
    </row>
    <row r="646" spans="2:7" x14ac:dyDescent="0.2">
      <c r="B646" s="258"/>
      <c r="C646" s="264"/>
      <c r="D646" s="269"/>
      <c r="E646" s="270"/>
      <c r="F646" s="267">
        <v>0</v>
      </c>
      <c r="G646" s="268">
        <v>0</v>
      </c>
    </row>
    <row r="647" spans="2:7" x14ac:dyDescent="0.2">
      <c r="B647" s="258"/>
      <c r="C647" s="264"/>
      <c r="D647" s="269"/>
      <c r="E647" s="270"/>
      <c r="F647" s="267">
        <v>0</v>
      </c>
      <c r="G647" s="268">
        <v>0</v>
      </c>
    </row>
    <row r="648" spans="2:7" x14ac:dyDescent="0.2">
      <c r="B648" s="258"/>
      <c r="C648" s="264"/>
      <c r="D648" s="269"/>
      <c r="E648" s="270"/>
      <c r="F648" s="267">
        <v>0</v>
      </c>
      <c r="G648" s="268">
        <v>0</v>
      </c>
    </row>
    <row r="649" spans="2:7" x14ac:dyDescent="0.2">
      <c r="B649" s="258"/>
      <c r="C649" s="264"/>
      <c r="D649" s="269"/>
      <c r="E649" s="270"/>
      <c r="F649" s="267">
        <v>0</v>
      </c>
      <c r="G649" s="268">
        <v>0</v>
      </c>
    </row>
    <row r="650" spans="2:7" x14ac:dyDescent="0.2">
      <c r="B650" s="258"/>
      <c r="C650" s="264"/>
      <c r="D650" s="269"/>
      <c r="E650" s="270"/>
      <c r="F650" s="267">
        <v>0</v>
      </c>
      <c r="G650" s="268">
        <v>0</v>
      </c>
    </row>
    <row r="651" spans="2:7" x14ac:dyDescent="0.2">
      <c r="B651" s="258"/>
      <c r="C651" s="264"/>
      <c r="D651" s="269"/>
      <c r="E651" s="270"/>
      <c r="F651" s="267">
        <v>0</v>
      </c>
      <c r="G651" s="268">
        <v>0</v>
      </c>
    </row>
    <row r="652" spans="2:7" x14ac:dyDescent="0.2">
      <c r="B652" s="258"/>
      <c r="C652" s="264"/>
      <c r="D652" s="269"/>
      <c r="E652" s="270"/>
      <c r="F652" s="267">
        <v>0</v>
      </c>
      <c r="G652" s="268">
        <v>0</v>
      </c>
    </row>
    <row r="653" spans="2:7" x14ac:dyDescent="0.2">
      <c r="B653" s="258"/>
      <c r="C653" s="264"/>
      <c r="D653" s="269"/>
      <c r="E653" s="270"/>
      <c r="F653" s="267">
        <v>0</v>
      </c>
      <c r="G653" s="268">
        <v>0</v>
      </c>
    </row>
    <row r="654" spans="2:7" x14ac:dyDescent="0.2">
      <c r="B654" s="258"/>
      <c r="C654" s="264"/>
      <c r="D654" s="269"/>
      <c r="E654" s="270"/>
      <c r="F654" s="267">
        <v>0</v>
      </c>
      <c r="G654" s="268">
        <v>0</v>
      </c>
    </row>
    <row r="655" spans="2:7" x14ac:dyDescent="0.2">
      <c r="B655" s="258"/>
      <c r="C655" s="264"/>
      <c r="D655" s="269"/>
      <c r="E655" s="270"/>
      <c r="F655" s="267">
        <v>0</v>
      </c>
      <c r="G655" s="268">
        <v>0</v>
      </c>
    </row>
    <row r="656" spans="2:7" x14ac:dyDescent="0.2">
      <c r="B656" s="258"/>
      <c r="C656" s="264"/>
      <c r="D656" s="269"/>
      <c r="E656" s="270"/>
      <c r="F656" s="267">
        <v>0</v>
      </c>
      <c r="G656" s="268">
        <v>0</v>
      </c>
    </row>
    <row r="657" spans="2:7" x14ac:dyDescent="0.2">
      <c r="B657" s="258"/>
      <c r="C657" s="264"/>
      <c r="D657" s="269"/>
      <c r="E657" s="270"/>
      <c r="F657" s="267">
        <v>0</v>
      </c>
      <c r="G657" s="268">
        <v>0</v>
      </c>
    </row>
    <row r="658" spans="2:7" x14ac:dyDescent="0.2">
      <c r="B658" s="258"/>
      <c r="C658" s="271"/>
      <c r="D658" s="269"/>
      <c r="E658" s="270"/>
      <c r="F658" s="267">
        <v>0</v>
      </c>
      <c r="G658" s="268">
        <v>0</v>
      </c>
    </row>
    <row r="659" spans="2:7" x14ac:dyDescent="0.2">
      <c r="B659" s="258"/>
      <c r="C659" s="272" t="s">
        <v>1026</v>
      </c>
      <c r="D659" s="273"/>
      <c r="E659" s="274"/>
      <c r="F659" s="275"/>
      <c r="G659" s="184">
        <v>765.69</v>
      </c>
    </row>
    <row r="660" spans="2:7" ht="13.5" thickBot="1" x14ac:dyDescent="0.25">
      <c r="B660" s="258"/>
      <c r="C660" s="276"/>
      <c r="D660" s="277"/>
      <c r="E660" s="277"/>
      <c r="F660" s="278" t="s">
        <v>1025</v>
      </c>
      <c r="G660" s="279">
        <v>16079</v>
      </c>
    </row>
    <row r="661" spans="2:7" x14ac:dyDescent="0.2">
      <c r="B661" s="258"/>
      <c r="C661" s="280"/>
      <c r="D661" s="281"/>
      <c r="E661" s="281"/>
      <c r="F661" s="281"/>
      <c r="G661" s="282"/>
    </row>
    <row r="662" spans="2:7" x14ac:dyDescent="0.2">
      <c r="B662" s="258"/>
      <c r="C662" s="283" t="s">
        <v>1024</v>
      </c>
      <c r="D662" s="1721" t="s">
        <v>385</v>
      </c>
      <c r="E662" s="1722"/>
      <c r="F662" s="284" t="s">
        <v>395</v>
      </c>
      <c r="G662" s="285" t="s">
        <v>1014</v>
      </c>
    </row>
    <row r="663" spans="2:7" x14ac:dyDescent="0.2">
      <c r="B663" s="286"/>
      <c r="C663" s="259" t="s">
        <v>1022</v>
      </c>
      <c r="D663" s="1732">
        <v>74400</v>
      </c>
      <c r="E663" s="1733"/>
      <c r="F663" s="287">
        <v>0.01</v>
      </c>
      <c r="G663" s="288">
        <v>744</v>
      </c>
    </row>
    <row r="664" spans="2:7" x14ac:dyDescent="0.2">
      <c r="B664" s="286"/>
      <c r="C664" s="289"/>
      <c r="D664" s="1725"/>
      <c r="E664" s="1726"/>
      <c r="F664" s="290"/>
      <c r="G664" s="291"/>
    </row>
    <row r="665" spans="2:7" x14ac:dyDescent="0.2">
      <c r="B665" s="258"/>
      <c r="C665" s="292"/>
      <c r="D665" s="1727"/>
      <c r="E665" s="1728"/>
      <c r="F665" s="293"/>
      <c r="G665" s="294">
        <v>0</v>
      </c>
    </row>
    <row r="666" spans="2:7" ht="13.5" thickBot="1" x14ac:dyDescent="0.25">
      <c r="B666" s="258"/>
      <c r="C666" s="276"/>
      <c r="D666" s="295"/>
      <c r="E666" s="281"/>
      <c r="F666" s="278" t="s">
        <v>1021</v>
      </c>
      <c r="G666" s="279">
        <v>744</v>
      </c>
    </row>
    <row r="667" spans="2:7" x14ac:dyDescent="0.2">
      <c r="B667" s="258"/>
      <c r="C667" s="276"/>
      <c r="D667" s="281"/>
      <c r="E667" s="281"/>
      <c r="F667" s="281"/>
      <c r="G667" s="282"/>
    </row>
    <row r="668" spans="2:7" x14ac:dyDescent="0.2">
      <c r="B668" s="258"/>
      <c r="C668" s="283" t="s">
        <v>1020</v>
      </c>
      <c r="D668" s="1721" t="s">
        <v>385</v>
      </c>
      <c r="E668" s="1722"/>
      <c r="F668" s="284" t="s">
        <v>395</v>
      </c>
      <c r="G668" s="285" t="s">
        <v>1014</v>
      </c>
    </row>
    <row r="669" spans="2:7" x14ac:dyDescent="0.2">
      <c r="B669" s="286"/>
      <c r="C669" s="259" t="s">
        <v>1044</v>
      </c>
      <c r="D669" s="1723" t="s">
        <v>1018</v>
      </c>
      <c r="E669" s="1724"/>
      <c r="F669" s="296">
        <v>0.02</v>
      </c>
      <c r="G669" s="288">
        <v>428.29948717948719</v>
      </c>
    </row>
    <row r="670" spans="2:7" x14ac:dyDescent="0.2">
      <c r="B670" s="286"/>
      <c r="C670" s="259"/>
      <c r="D670" s="1725"/>
      <c r="E670" s="1726"/>
      <c r="F670" s="297"/>
      <c r="G670" s="298">
        <v>0</v>
      </c>
    </row>
    <row r="671" spans="2:7" x14ac:dyDescent="0.2">
      <c r="B671" s="258"/>
      <c r="C671" s="292"/>
      <c r="D671" s="1727"/>
      <c r="E671" s="1728"/>
      <c r="F671" s="293"/>
      <c r="G671" s="299">
        <v>0</v>
      </c>
    </row>
    <row r="672" spans="2:7" ht="13.5" thickBot="1" x14ac:dyDescent="0.25">
      <c r="B672" s="258"/>
      <c r="C672" s="276"/>
      <c r="D672" s="281"/>
      <c r="E672" s="281"/>
      <c r="F672" s="278" t="s">
        <v>1017</v>
      </c>
      <c r="G672" s="279">
        <v>428</v>
      </c>
    </row>
    <row r="673" spans="2:7" x14ac:dyDescent="0.2">
      <c r="B673" s="258"/>
      <c r="C673" s="276"/>
      <c r="D673" s="281"/>
      <c r="E673" s="281"/>
      <c r="F673" s="281"/>
      <c r="G673" s="282"/>
    </row>
    <row r="674" spans="2:7" x14ac:dyDescent="0.2">
      <c r="B674" s="258"/>
      <c r="C674" s="283" t="s">
        <v>1016</v>
      </c>
      <c r="D674" s="1729" t="s">
        <v>1043</v>
      </c>
      <c r="E674" s="1722"/>
      <c r="F674" s="195" t="s">
        <v>395</v>
      </c>
      <c r="G674" s="196" t="s">
        <v>1014</v>
      </c>
    </row>
    <row r="675" spans="2:7" ht="14.25" x14ac:dyDescent="0.25">
      <c r="B675" s="300"/>
      <c r="C675" s="259" t="s">
        <v>1042</v>
      </c>
      <c r="D675" s="1730">
        <v>214149.74358974356</v>
      </c>
      <c r="E675" s="1731"/>
      <c r="F675" s="301">
        <v>0.1</v>
      </c>
      <c r="G675" s="201">
        <v>21414.974358974359</v>
      </c>
    </row>
    <row r="676" spans="2:7" x14ac:dyDescent="0.2">
      <c r="B676" s="300"/>
      <c r="C676" s="259"/>
      <c r="D676" s="1725"/>
      <c r="E676" s="1726"/>
      <c r="F676" s="302"/>
      <c r="G676" s="298">
        <v>0</v>
      </c>
    </row>
    <row r="677" spans="2:7" x14ac:dyDescent="0.2">
      <c r="B677" s="303"/>
      <c r="C677" s="292"/>
      <c r="D677" s="1727"/>
      <c r="E677" s="1728"/>
      <c r="F677" s="304"/>
      <c r="G677" s="299">
        <v>0</v>
      </c>
    </row>
    <row r="678" spans="2:7" ht="13.5" thickBot="1" x14ac:dyDescent="0.25">
      <c r="B678" s="258"/>
      <c r="C678" s="276"/>
      <c r="D678" s="305"/>
      <c r="E678" s="305"/>
      <c r="F678" s="278" t="s">
        <v>1012</v>
      </c>
      <c r="G678" s="279">
        <v>21415</v>
      </c>
    </row>
    <row r="679" spans="2:7" x14ac:dyDescent="0.2">
      <c r="B679" s="258"/>
      <c r="C679" s="276"/>
      <c r="D679" s="276"/>
      <c r="E679" s="276"/>
      <c r="F679" s="276"/>
      <c r="G679" s="306"/>
    </row>
    <row r="680" spans="2:7" x14ac:dyDescent="0.2">
      <c r="B680" s="148" t="s">
        <v>1011</v>
      </c>
      <c r="C680" s="149"/>
      <c r="D680" s="149"/>
      <c r="E680" s="150"/>
      <c r="F680" s="150"/>
      <c r="G680" s="307">
        <v>38666</v>
      </c>
    </row>
    <row r="681" spans="2:7" x14ac:dyDescent="0.2">
      <c r="B681" s="258" t="s">
        <v>1010</v>
      </c>
      <c r="C681" s="276"/>
      <c r="D681" s="308"/>
      <c r="E681" s="308"/>
      <c r="F681" s="308"/>
      <c r="G681" s="309"/>
    </row>
    <row r="682" spans="2:7" x14ac:dyDescent="0.2">
      <c r="B682" s="227"/>
      <c r="C682" s="228"/>
      <c r="D682" s="228"/>
      <c r="E682" s="228"/>
      <c r="F682" s="228"/>
      <c r="G682" s="229"/>
    </row>
    <row r="683" spans="2:7" x14ac:dyDescent="0.2">
      <c r="B683" s="230"/>
      <c r="C683" s="231"/>
      <c r="D683" s="231"/>
      <c r="E683" s="231"/>
      <c r="F683" s="231"/>
      <c r="G683" s="232"/>
    </row>
    <row r="684" spans="2:7" x14ac:dyDescent="0.2">
      <c r="B684" s="230"/>
      <c r="C684" s="231"/>
      <c r="D684" s="231"/>
      <c r="E684" s="231"/>
      <c r="F684" s="231"/>
      <c r="G684" s="232"/>
    </row>
    <row r="685" spans="2:7" x14ac:dyDescent="0.2">
      <c r="B685" s="230"/>
      <c r="C685" s="231"/>
      <c r="D685" s="231"/>
      <c r="E685" s="231"/>
      <c r="F685" s="231"/>
      <c r="G685" s="232"/>
    </row>
    <row r="686" spans="2:7" x14ac:dyDescent="0.2">
      <c r="B686" s="230"/>
      <c r="C686" s="231"/>
      <c r="D686" s="231"/>
      <c r="E686" s="231"/>
      <c r="F686" s="231"/>
      <c r="G686" s="232"/>
    </row>
    <row r="687" spans="2:7" x14ac:dyDescent="0.2">
      <c r="B687" s="230"/>
      <c r="C687" s="231"/>
      <c r="D687" s="231"/>
      <c r="E687" s="231"/>
      <c r="F687" s="231"/>
      <c r="G687" s="232"/>
    </row>
    <row r="688" spans="2:7" x14ac:dyDescent="0.2">
      <c r="B688" s="230"/>
      <c r="C688" s="231"/>
      <c r="D688" s="231"/>
      <c r="E688" s="231"/>
      <c r="F688" s="231"/>
      <c r="G688" s="232"/>
    </row>
    <row r="689" spans="2:7" ht="13.5" thickBot="1" x14ac:dyDescent="0.25">
      <c r="B689" s="230"/>
      <c r="C689" s="729"/>
      <c r="D689" s="231"/>
      <c r="E689" s="231"/>
      <c r="F689" s="231"/>
      <c r="G689" s="232"/>
    </row>
    <row r="690" spans="2:7" x14ac:dyDescent="0.2">
      <c r="B690" s="230"/>
      <c r="C690" s="231" t="s">
        <v>1449</v>
      </c>
      <c r="D690" s="231"/>
      <c r="E690" s="1743" t="s">
        <v>865</v>
      </c>
      <c r="F690" s="1743"/>
      <c r="G690" s="1744"/>
    </row>
    <row r="691" spans="2:7" x14ac:dyDescent="0.2">
      <c r="B691" s="230"/>
      <c r="C691" s="231" t="s">
        <v>1450</v>
      </c>
      <c r="D691" s="231"/>
      <c r="E691" s="1745" t="s">
        <v>866</v>
      </c>
      <c r="F691" s="1745"/>
      <c r="G691" s="1746"/>
    </row>
    <row r="692" spans="2:7" x14ac:dyDescent="0.2">
      <c r="B692" s="230"/>
      <c r="C692" s="231"/>
      <c r="D692" s="231"/>
      <c r="E692" s="1745" t="s">
        <v>867</v>
      </c>
      <c r="F692" s="1745"/>
      <c r="G692" s="1746"/>
    </row>
    <row r="693" spans="2:7" ht="13.5" thickBot="1" x14ac:dyDescent="0.25">
      <c r="B693" s="233"/>
      <c r="C693" s="234"/>
      <c r="D693" s="234"/>
      <c r="E693" s="234"/>
      <c r="F693" s="234"/>
      <c r="G693" s="235"/>
    </row>
    <row r="694" spans="2:7" x14ac:dyDescent="0.2">
      <c r="B694" s="310"/>
      <c r="C694" s="310"/>
      <c r="D694" s="310"/>
      <c r="E694" s="310"/>
      <c r="F694" s="310"/>
      <c r="G694" s="310"/>
    </row>
    <row r="695" spans="2:7" ht="13.5" thickBot="1" x14ac:dyDescent="0.25"/>
    <row r="696" spans="2:7" x14ac:dyDescent="0.2">
      <c r="B696" s="1737"/>
      <c r="C696" s="1738"/>
      <c r="D696" s="1738"/>
      <c r="E696" s="1738"/>
      <c r="F696" s="1738"/>
      <c r="G696" s="1739"/>
    </row>
    <row r="697" spans="2:7" x14ac:dyDescent="0.2">
      <c r="B697" s="244"/>
      <c r="C697" s="245"/>
      <c r="D697" s="246" t="s">
        <v>1038</v>
      </c>
      <c r="E697" s="247"/>
      <c r="F697" s="248"/>
      <c r="G697" s="249"/>
    </row>
    <row r="698" spans="2:7" x14ac:dyDescent="0.2">
      <c r="B698" s="244"/>
      <c r="C698" s="250"/>
      <c r="D698" s="246" t="s">
        <v>180</v>
      </c>
      <c r="E698" s="251" t="s">
        <v>991</v>
      </c>
      <c r="F698" s="248"/>
      <c r="G698" s="249"/>
    </row>
    <row r="699" spans="2:7" x14ac:dyDescent="0.2">
      <c r="B699" s="244"/>
      <c r="C699" s="250"/>
      <c r="D699" s="246" t="s">
        <v>696</v>
      </c>
      <c r="E699" s="252">
        <v>1</v>
      </c>
      <c r="F699" s="248"/>
      <c r="G699" s="249"/>
    </row>
    <row r="700" spans="2:7" x14ac:dyDescent="0.2">
      <c r="B700" s="253"/>
      <c r="C700" s="248"/>
      <c r="D700" s="248"/>
      <c r="E700" s="248"/>
      <c r="F700" s="248"/>
      <c r="G700" s="249"/>
    </row>
    <row r="701" spans="2:7" x14ac:dyDescent="0.2">
      <c r="B701" s="1740" t="s">
        <v>999</v>
      </c>
      <c r="C701" s="1741"/>
      <c r="D701" s="1741"/>
      <c r="E701" s="1741"/>
      <c r="F701" s="1741"/>
      <c r="G701" s="1742"/>
    </row>
    <row r="702" spans="2:7" x14ac:dyDescent="0.2">
      <c r="B702" s="254"/>
      <c r="C702" s="255" t="s">
        <v>1037</v>
      </c>
      <c r="D702" s="256" t="s">
        <v>119</v>
      </c>
      <c r="E702" s="256" t="s">
        <v>1008</v>
      </c>
      <c r="F702" s="256" t="s">
        <v>1009</v>
      </c>
      <c r="G702" s="257" t="s">
        <v>1036</v>
      </c>
    </row>
    <row r="703" spans="2:7" x14ac:dyDescent="0.2">
      <c r="B703" s="258"/>
      <c r="C703" s="311" t="s">
        <v>1076</v>
      </c>
      <c r="D703" s="269" t="s">
        <v>991</v>
      </c>
      <c r="E703" s="261">
        <v>1</v>
      </c>
      <c r="F703" s="267">
        <v>51600</v>
      </c>
      <c r="G703" s="268">
        <v>51600</v>
      </c>
    </row>
    <row r="704" spans="2:7" x14ac:dyDescent="0.2">
      <c r="B704" s="258"/>
      <c r="C704" s="311" t="s">
        <v>1075</v>
      </c>
      <c r="D704" s="269" t="s">
        <v>991</v>
      </c>
      <c r="E704" s="261">
        <v>1</v>
      </c>
      <c r="F704" s="267">
        <v>184212</v>
      </c>
      <c r="G704" s="268">
        <v>184212</v>
      </c>
    </row>
    <row r="705" spans="2:7" x14ac:dyDescent="0.2">
      <c r="B705" s="258"/>
      <c r="C705" s="264" t="s">
        <v>1074</v>
      </c>
      <c r="D705" s="269" t="s">
        <v>991</v>
      </c>
      <c r="E705" s="261">
        <v>1</v>
      </c>
      <c r="F705" s="267">
        <v>177905</v>
      </c>
      <c r="G705" s="268">
        <v>177905</v>
      </c>
    </row>
    <row r="706" spans="2:7" x14ac:dyDescent="0.2">
      <c r="B706" s="258"/>
      <c r="C706" s="264"/>
      <c r="D706" s="173"/>
      <c r="E706" s="174"/>
      <c r="F706" s="267">
        <v>0</v>
      </c>
      <c r="G706" s="268">
        <v>0</v>
      </c>
    </row>
    <row r="707" spans="2:7" x14ac:dyDescent="0.2">
      <c r="B707" s="258"/>
      <c r="C707" s="264"/>
      <c r="D707" s="173"/>
      <c r="E707" s="174"/>
      <c r="F707" s="267">
        <v>0</v>
      </c>
      <c r="G707" s="268">
        <v>0</v>
      </c>
    </row>
    <row r="708" spans="2:7" x14ac:dyDescent="0.2">
      <c r="B708" s="258"/>
      <c r="C708" s="264"/>
      <c r="D708" s="269"/>
      <c r="E708" s="270"/>
      <c r="F708" s="267">
        <v>0</v>
      </c>
      <c r="G708" s="268">
        <v>0</v>
      </c>
    </row>
    <row r="709" spans="2:7" x14ac:dyDescent="0.2">
      <c r="B709" s="258"/>
      <c r="C709" s="264"/>
      <c r="D709" s="269"/>
      <c r="E709" s="270"/>
      <c r="F709" s="267">
        <v>0</v>
      </c>
      <c r="G709" s="268">
        <v>0</v>
      </c>
    </row>
    <row r="710" spans="2:7" x14ac:dyDescent="0.2">
      <c r="B710" s="258"/>
      <c r="C710" s="264"/>
      <c r="D710" s="269"/>
      <c r="E710" s="270"/>
      <c r="F710" s="267">
        <v>0</v>
      </c>
      <c r="G710" s="268">
        <v>0</v>
      </c>
    </row>
    <row r="711" spans="2:7" x14ac:dyDescent="0.2">
      <c r="B711" s="258"/>
      <c r="C711" s="264"/>
      <c r="D711" s="269"/>
      <c r="E711" s="270"/>
      <c r="F711" s="267">
        <v>0</v>
      </c>
      <c r="G711" s="268">
        <v>0</v>
      </c>
    </row>
    <row r="712" spans="2:7" x14ac:dyDescent="0.2">
      <c r="B712" s="258"/>
      <c r="C712" s="264"/>
      <c r="D712" s="269"/>
      <c r="E712" s="270"/>
      <c r="F712" s="267">
        <v>0</v>
      </c>
      <c r="G712" s="268">
        <v>0</v>
      </c>
    </row>
    <row r="713" spans="2:7" x14ac:dyDescent="0.2">
      <c r="B713" s="258"/>
      <c r="C713" s="264"/>
      <c r="D713" s="269"/>
      <c r="E713" s="270"/>
      <c r="F713" s="267">
        <v>0</v>
      </c>
      <c r="G713" s="268">
        <v>0</v>
      </c>
    </row>
    <row r="714" spans="2:7" x14ac:dyDescent="0.2">
      <c r="B714" s="258"/>
      <c r="C714" s="264"/>
      <c r="D714" s="269"/>
      <c r="E714" s="270"/>
      <c r="F714" s="267">
        <v>0</v>
      </c>
      <c r="G714" s="268">
        <v>0</v>
      </c>
    </row>
    <row r="715" spans="2:7" x14ac:dyDescent="0.2">
      <c r="B715" s="258"/>
      <c r="C715" s="264"/>
      <c r="D715" s="269"/>
      <c r="E715" s="270"/>
      <c r="F715" s="267">
        <v>0</v>
      </c>
      <c r="G715" s="268">
        <v>0</v>
      </c>
    </row>
    <row r="716" spans="2:7" x14ac:dyDescent="0.2">
      <c r="B716" s="258"/>
      <c r="C716" s="264"/>
      <c r="D716" s="269"/>
      <c r="E716" s="270"/>
      <c r="F716" s="267">
        <v>0</v>
      </c>
      <c r="G716" s="268">
        <v>0</v>
      </c>
    </row>
    <row r="717" spans="2:7" x14ac:dyDescent="0.2">
      <c r="B717" s="258"/>
      <c r="C717" s="264"/>
      <c r="D717" s="269"/>
      <c r="E717" s="270"/>
      <c r="F717" s="267">
        <v>0</v>
      </c>
      <c r="G717" s="268">
        <v>0</v>
      </c>
    </row>
    <row r="718" spans="2:7" x14ac:dyDescent="0.2">
      <c r="B718" s="258"/>
      <c r="C718" s="264"/>
      <c r="D718" s="269"/>
      <c r="E718" s="270"/>
      <c r="F718" s="267">
        <v>0</v>
      </c>
      <c r="G718" s="268">
        <v>0</v>
      </c>
    </row>
    <row r="719" spans="2:7" x14ac:dyDescent="0.2">
      <c r="B719" s="258"/>
      <c r="C719" s="264"/>
      <c r="D719" s="269"/>
      <c r="E719" s="270"/>
      <c r="F719" s="267">
        <v>0</v>
      </c>
      <c r="G719" s="268">
        <v>0</v>
      </c>
    </row>
    <row r="720" spans="2:7" x14ac:dyDescent="0.2">
      <c r="B720" s="258"/>
      <c r="C720" s="264"/>
      <c r="D720" s="269"/>
      <c r="E720" s="270"/>
      <c r="F720" s="267">
        <v>0</v>
      </c>
      <c r="G720" s="268">
        <v>0</v>
      </c>
    </row>
    <row r="721" spans="2:7" x14ac:dyDescent="0.2">
      <c r="B721" s="258"/>
      <c r="C721" s="264"/>
      <c r="D721" s="269"/>
      <c r="E721" s="270"/>
      <c r="F721" s="267">
        <v>0</v>
      </c>
      <c r="G721" s="268">
        <v>0</v>
      </c>
    </row>
    <row r="722" spans="2:7" x14ac:dyDescent="0.2">
      <c r="B722" s="258"/>
      <c r="C722" s="264"/>
      <c r="D722" s="269"/>
      <c r="E722" s="270"/>
      <c r="F722" s="267">
        <v>0</v>
      </c>
      <c r="G722" s="268">
        <v>0</v>
      </c>
    </row>
    <row r="723" spans="2:7" x14ac:dyDescent="0.2">
      <c r="B723" s="258"/>
      <c r="C723" s="264"/>
      <c r="D723" s="269"/>
      <c r="E723" s="270"/>
      <c r="F723" s="267">
        <v>0</v>
      </c>
      <c r="G723" s="268">
        <v>0</v>
      </c>
    </row>
    <row r="724" spans="2:7" x14ac:dyDescent="0.2">
      <c r="B724" s="258"/>
      <c r="C724" s="264"/>
      <c r="D724" s="269"/>
      <c r="E724" s="270"/>
      <c r="F724" s="267">
        <v>0</v>
      </c>
      <c r="G724" s="268">
        <v>0</v>
      </c>
    </row>
    <row r="725" spans="2:7" x14ac:dyDescent="0.2">
      <c r="B725" s="258"/>
      <c r="C725" s="264"/>
      <c r="D725" s="269"/>
      <c r="E725" s="270"/>
      <c r="F725" s="267">
        <v>0</v>
      </c>
      <c r="G725" s="268">
        <v>0</v>
      </c>
    </row>
    <row r="726" spans="2:7" x14ac:dyDescent="0.2">
      <c r="B726" s="258"/>
      <c r="C726" s="264"/>
      <c r="D726" s="269"/>
      <c r="E726" s="270"/>
      <c r="F726" s="267">
        <v>0</v>
      </c>
      <c r="G726" s="268">
        <v>0</v>
      </c>
    </row>
    <row r="727" spans="2:7" x14ac:dyDescent="0.2">
      <c r="B727" s="258"/>
      <c r="C727" s="271"/>
      <c r="D727" s="269"/>
      <c r="E727" s="270"/>
      <c r="F727" s="267">
        <v>0</v>
      </c>
      <c r="G727" s="268">
        <v>0</v>
      </c>
    </row>
    <row r="728" spans="2:7" x14ac:dyDescent="0.2">
      <c r="B728" s="258"/>
      <c r="C728" s="272" t="s">
        <v>1026</v>
      </c>
      <c r="D728" s="273"/>
      <c r="E728" s="274"/>
      <c r="F728" s="275"/>
      <c r="G728" s="184"/>
    </row>
    <row r="729" spans="2:7" ht="13.5" thickBot="1" x14ac:dyDescent="0.25">
      <c r="B729" s="258"/>
      <c r="C729" s="276"/>
      <c r="D729" s="277"/>
      <c r="E729" s="277"/>
      <c r="F729" s="278" t="s">
        <v>1025</v>
      </c>
      <c r="G729" s="279">
        <v>413717</v>
      </c>
    </row>
    <row r="730" spans="2:7" x14ac:dyDescent="0.2">
      <c r="B730" s="258"/>
      <c r="C730" s="280"/>
      <c r="D730" s="281"/>
      <c r="E730" s="281"/>
      <c r="F730" s="281"/>
      <c r="G730" s="282"/>
    </row>
    <row r="731" spans="2:7" x14ac:dyDescent="0.2">
      <c r="B731" s="258"/>
      <c r="C731" s="283" t="s">
        <v>1024</v>
      </c>
      <c r="D731" s="1721" t="s">
        <v>385</v>
      </c>
      <c r="E731" s="1722"/>
      <c r="F731" s="284" t="s">
        <v>395</v>
      </c>
      <c r="G731" s="285" t="s">
        <v>1014</v>
      </c>
    </row>
    <row r="732" spans="2:7" x14ac:dyDescent="0.2">
      <c r="B732" s="286"/>
      <c r="C732" s="259" t="s">
        <v>1022</v>
      </c>
      <c r="D732" s="1732">
        <v>74400</v>
      </c>
      <c r="E732" s="1733"/>
      <c r="F732" s="287">
        <v>0.5</v>
      </c>
      <c r="G732" s="288">
        <v>37200</v>
      </c>
    </row>
    <row r="733" spans="2:7" x14ac:dyDescent="0.2">
      <c r="B733" s="286"/>
      <c r="C733" s="289"/>
      <c r="D733" s="1725"/>
      <c r="E733" s="1726"/>
      <c r="F733" s="290"/>
      <c r="G733" s="291"/>
    </row>
    <row r="734" spans="2:7" x14ac:dyDescent="0.2">
      <c r="B734" s="258"/>
      <c r="C734" s="292"/>
      <c r="D734" s="1727"/>
      <c r="E734" s="1728"/>
      <c r="F734" s="293"/>
      <c r="G734" s="294">
        <v>0</v>
      </c>
    </row>
    <row r="735" spans="2:7" ht="13.5" thickBot="1" x14ac:dyDescent="0.25">
      <c r="B735" s="258"/>
      <c r="C735" s="276"/>
      <c r="D735" s="295"/>
      <c r="E735" s="281"/>
      <c r="F735" s="278" t="s">
        <v>1021</v>
      </c>
      <c r="G735" s="279">
        <v>37200</v>
      </c>
    </row>
    <row r="736" spans="2:7" x14ac:dyDescent="0.2">
      <c r="B736" s="258"/>
      <c r="C736" s="276"/>
      <c r="D736" s="281"/>
      <c r="E736" s="281"/>
      <c r="F736" s="281"/>
      <c r="G736" s="282"/>
    </row>
    <row r="737" spans="2:7" x14ac:dyDescent="0.2">
      <c r="B737" s="258"/>
      <c r="C737" s="283" t="s">
        <v>1020</v>
      </c>
      <c r="D737" s="1721" t="s">
        <v>385</v>
      </c>
      <c r="E737" s="1722"/>
      <c r="F737" s="284" t="s">
        <v>395</v>
      </c>
      <c r="G737" s="285" t="s">
        <v>1014</v>
      </c>
    </row>
    <row r="738" spans="2:7" x14ac:dyDescent="0.2">
      <c r="B738" s="286"/>
      <c r="C738" s="259" t="s">
        <v>1044</v>
      </c>
      <c r="D738" s="1723" t="s">
        <v>1018</v>
      </c>
      <c r="E738" s="1724"/>
      <c r="F738" s="296">
        <v>0.02</v>
      </c>
      <c r="G738" s="288">
        <v>2141.4974358974355</v>
      </c>
    </row>
    <row r="739" spans="2:7" x14ac:dyDescent="0.2">
      <c r="B739" s="286"/>
      <c r="C739" s="259"/>
      <c r="D739" s="1725"/>
      <c r="E739" s="1726"/>
      <c r="F739" s="297"/>
      <c r="G739" s="298">
        <v>0</v>
      </c>
    </row>
    <row r="740" spans="2:7" x14ac:dyDescent="0.2">
      <c r="B740" s="258"/>
      <c r="C740" s="292"/>
      <c r="D740" s="1727"/>
      <c r="E740" s="1728"/>
      <c r="F740" s="293"/>
      <c r="G740" s="299">
        <v>0</v>
      </c>
    </row>
    <row r="741" spans="2:7" ht="13.5" thickBot="1" x14ac:dyDescent="0.25">
      <c r="B741" s="258"/>
      <c r="C741" s="276"/>
      <c r="D741" s="281"/>
      <c r="E741" s="281"/>
      <c r="F741" s="278" t="s">
        <v>1017</v>
      </c>
      <c r="G741" s="279">
        <v>2141</v>
      </c>
    </row>
    <row r="742" spans="2:7" x14ac:dyDescent="0.2">
      <c r="B742" s="258"/>
      <c r="C742" s="276"/>
      <c r="D742" s="281"/>
      <c r="E742" s="281"/>
      <c r="F742" s="281"/>
      <c r="G742" s="282"/>
    </row>
    <row r="743" spans="2:7" x14ac:dyDescent="0.2">
      <c r="B743" s="258"/>
      <c r="C743" s="283" t="s">
        <v>1016</v>
      </c>
      <c r="D743" s="1729" t="s">
        <v>1043</v>
      </c>
      <c r="E743" s="1722"/>
      <c r="F743" s="195" t="s">
        <v>395</v>
      </c>
      <c r="G743" s="196" t="s">
        <v>1014</v>
      </c>
    </row>
    <row r="744" spans="2:7" ht="14.25" x14ac:dyDescent="0.25">
      <c r="B744" s="300"/>
      <c r="C744" s="259" t="s">
        <v>1042</v>
      </c>
      <c r="D744" s="1730">
        <v>214149.74358974356</v>
      </c>
      <c r="E744" s="1731"/>
      <c r="F744" s="301">
        <v>0.5</v>
      </c>
      <c r="G744" s="201">
        <v>107074.87179487178</v>
      </c>
    </row>
    <row r="745" spans="2:7" x14ac:dyDescent="0.2">
      <c r="B745" s="300"/>
      <c r="C745" s="259"/>
      <c r="D745" s="1725"/>
      <c r="E745" s="1726"/>
      <c r="F745" s="302"/>
      <c r="G745" s="298">
        <v>0</v>
      </c>
    </row>
    <row r="746" spans="2:7" x14ac:dyDescent="0.2">
      <c r="B746" s="303"/>
      <c r="C746" s="292"/>
      <c r="D746" s="1727"/>
      <c r="E746" s="1728"/>
      <c r="F746" s="304"/>
      <c r="G746" s="299">
        <v>0</v>
      </c>
    </row>
    <row r="747" spans="2:7" ht="13.5" thickBot="1" x14ac:dyDescent="0.25">
      <c r="B747" s="258"/>
      <c r="C747" s="276"/>
      <c r="D747" s="305"/>
      <c r="E747" s="305"/>
      <c r="F747" s="278" t="s">
        <v>1012</v>
      </c>
      <c r="G747" s="279">
        <v>107075</v>
      </c>
    </row>
    <row r="748" spans="2:7" x14ac:dyDescent="0.2">
      <c r="B748" s="258"/>
      <c r="C748" s="276"/>
      <c r="D748" s="276"/>
      <c r="E748" s="276"/>
      <c r="F748" s="276"/>
      <c r="G748" s="306"/>
    </row>
    <row r="749" spans="2:7" x14ac:dyDescent="0.2">
      <c r="B749" s="148" t="s">
        <v>1011</v>
      </c>
      <c r="C749" s="149"/>
      <c r="D749" s="149"/>
      <c r="E749" s="150"/>
      <c r="F749" s="150"/>
      <c r="G749" s="307">
        <v>560133</v>
      </c>
    </row>
    <row r="750" spans="2:7" x14ac:dyDescent="0.2">
      <c r="B750" s="258" t="s">
        <v>1010</v>
      </c>
      <c r="C750" s="276"/>
      <c r="D750" s="308"/>
      <c r="E750" s="308"/>
      <c r="F750" s="308"/>
      <c r="G750" s="309"/>
    </row>
    <row r="751" spans="2:7" x14ac:dyDescent="0.2">
      <c r="B751" s="227"/>
      <c r="C751" s="228"/>
      <c r="D751" s="228"/>
      <c r="E751" s="228"/>
      <c r="F751" s="228"/>
      <c r="G751" s="229"/>
    </row>
    <row r="752" spans="2:7" x14ac:dyDescent="0.2">
      <c r="B752" s="230"/>
      <c r="C752" s="231"/>
      <c r="D752" s="231"/>
      <c r="E752" s="231"/>
      <c r="F752" s="231"/>
      <c r="G752" s="232"/>
    </row>
    <row r="753" spans="2:7" x14ac:dyDescent="0.2">
      <c r="B753" s="230"/>
      <c r="C753" s="231"/>
      <c r="D753" s="231"/>
      <c r="E753" s="231"/>
      <c r="F753" s="231"/>
      <c r="G753" s="232"/>
    </row>
    <row r="754" spans="2:7" x14ac:dyDescent="0.2">
      <c r="B754" s="230"/>
      <c r="C754" s="231"/>
      <c r="D754" s="231"/>
      <c r="E754" s="231"/>
      <c r="F754" s="231"/>
      <c r="G754" s="232"/>
    </row>
    <row r="755" spans="2:7" x14ac:dyDescent="0.2">
      <c r="B755" s="230"/>
      <c r="C755" s="231"/>
      <c r="D755" s="231"/>
      <c r="E755" s="231"/>
      <c r="F755" s="231"/>
      <c r="G755" s="232"/>
    </row>
    <row r="756" spans="2:7" x14ac:dyDescent="0.2">
      <c r="B756" s="230"/>
      <c r="C756" s="231"/>
      <c r="D756" s="231"/>
      <c r="E756" s="231"/>
      <c r="F756" s="231"/>
      <c r="G756" s="232"/>
    </row>
    <row r="757" spans="2:7" x14ac:dyDescent="0.2">
      <c r="B757" s="230"/>
      <c r="C757" s="231"/>
      <c r="D757" s="231"/>
      <c r="E757" s="231"/>
      <c r="F757" s="231"/>
      <c r="G757" s="232"/>
    </row>
    <row r="758" spans="2:7" ht="13.5" thickBot="1" x14ac:dyDescent="0.25">
      <c r="B758" s="230"/>
      <c r="C758" s="729"/>
      <c r="D758" s="231"/>
      <c r="E758" s="231"/>
      <c r="F758" s="231"/>
      <c r="G758" s="232"/>
    </row>
    <row r="759" spans="2:7" x14ac:dyDescent="0.2">
      <c r="B759" s="230"/>
      <c r="C759" s="231" t="s">
        <v>1449</v>
      </c>
      <c r="D759" s="231"/>
      <c r="E759" s="1743" t="s">
        <v>865</v>
      </c>
      <c r="F759" s="1743"/>
      <c r="G759" s="1744"/>
    </row>
    <row r="760" spans="2:7" x14ac:dyDescent="0.2">
      <c r="B760" s="230"/>
      <c r="C760" s="231" t="s">
        <v>1450</v>
      </c>
      <c r="D760" s="231"/>
      <c r="E760" s="1745" t="s">
        <v>866</v>
      </c>
      <c r="F760" s="1745"/>
      <c r="G760" s="1746"/>
    </row>
    <row r="761" spans="2:7" x14ac:dyDescent="0.2">
      <c r="B761" s="230"/>
      <c r="C761" s="231"/>
      <c r="D761" s="231"/>
      <c r="E761" s="1745" t="s">
        <v>867</v>
      </c>
      <c r="F761" s="1745"/>
      <c r="G761" s="1746"/>
    </row>
    <row r="762" spans="2:7" ht="13.5" thickBot="1" x14ac:dyDescent="0.25">
      <c r="B762" s="233"/>
      <c r="C762" s="234"/>
      <c r="D762" s="234"/>
      <c r="E762" s="234"/>
      <c r="F762" s="234"/>
      <c r="G762" s="235"/>
    </row>
    <row r="763" spans="2:7" x14ac:dyDescent="0.2">
      <c r="B763" s="310"/>
      <c r="C763" s="310"/>
      <c r="D763" s="310"/>
      <c r="E763" s="310"/>
      <c r="F763" s="310"/>
      <c r="G763" s="310"/>
    </row>
    <row r="764" spans="2:7" ht="13.5" thickBot="1" x14ac:dyDescent="0.25"/>
    <row r="765" spans="2:7" x14ac:dyDescent="0.2">
      <c r="B765" s="1737"/>
      <c r="C765" s="1738"/>
      <c r="D765" s="1738"/>
      <c r="E765" s="1738"/>
      <c r="F765" s="1738"/>
      <c r="G765" s="1739"/>
    </row>
    <row r="766" spans="2:7" x14ac:dyDescent="0.2">
      <c r="B766" s="244"/>
      <c r="C766" s="245"/>
      <c r="D766" s="246" t="s">
        <v>1038</v>
      </c>
      <c r="E766" s="247"/>
      <c r="F766" s="248"/>
      <c r="G766" s="249"/>
    </row>
    <row r="767" spans="2:7" x14ac:dyDescent="0.2">
      <c r="B767" s="244"/>
      <c r="C767" s="250"/>
      <c r="D767" s="246" t="s">
        <v>180</v>
      </c>
      <c r="E767" s="251" t="s">
        <v>991</v>
      </c>
      <c r="F767" s="248"/>
      <c r="G767" s="249"/>
    </row>
    <row r="768" spans="2:7" x14ac:dyDescent="0.2">
      <c r="B768" s="244"/>
      <c r="C768" s="250"/>
      <c r="D768" s="246" t="s">
        <v>696</v>
      </c>
      <c r="E768" s="252">
        <v>1</v>
      </c>
      <c r="F768" s="248"/>
      <c r="G768" s="249"/>
    </row>
    <row r="769" spans="2:7" x14ac:dyDescent="0.2">
      <c r="B769" s="253"/>
      <c r="C769" s="248"/>
      <c r="D769" s="248"/>
      <c r="E769" s="248"/>
      <c r="F769" s="248"/>
      <c r="G769" s="249"/>
    </row>
    <row r="770" spans="2:7" x14ac:dyDescent="0.2">
      <c r="B770" s="1747" t="s">
        <v>998</v>
      </c>
      <c r="C770" s="1748"/>
      <c r="D770" s="1748"/>
      <c r="E770" s="1748"/>
      <c r="F770" s="1748"/>
      <c r="G770" s="1749"/>
    </row>
    <row r="771" spans="2:7" x14ac:dyDescent="0.2">
      <c r="B771" s="735"/>
      <c r="C771" s="255" t="s">
        <v>1037</v>
      </c>
      <c r="D771" s="255" t="s">
        <v>119</v>
      </c>
      <c r="E771" s="255" t="s">
        <v>1008</v>
      </c>
      <c r="F771" s="255" t="s">
        <v>1009</v>
      </c>
      <c r="G771" s="736" t="s">
        <v>1036</v>
      </c>
    </row>
    <row r="772" spans="2:7" x14ac:dyDescent="0.2">
      <c r="B772" s="737"/>
      <c r="C772" s="311" t="s">
        <v>1080</v>
      </c>
      <c r="D772" s="269" t="s">
        <v>991</v>
      </c>
      <c r="E772" s="261">
        <v>1</v>
      </c>
      <c r="F772" s="267">
        <v>51600</v>
      </c>
      <c r="G772" s="738">
        <v>51600</v>
      </c>
    </row>
    <row r="773" spans="2:7" x14ac:dyDescent="0.2">
      <c r="B773" s="739"/>
      <c r="C773" s="311" t="s">
        <v>1079</v>
      </c>
      <c r="D773" s="269" t="s">
        <v>991</v>
      </c>
      <c r="E773" s="261">
        <v>1</v>
      </c>
      <c r="F773" s="267">
        <v>185497.19999999998</v>
      </c>
      <c r="G773" s="738">
        <v>185497.19999999998</v>
      </c>
    </row>
    <row r="774" spans="2:7" x14ac:dyDescent="0.2">
      <c r="B774" s="739"/>
      <c r="C774" s="311" t="s">
        <v>1078</v>
      </c>
      <c r="D774" s="269" t="s">
        <v>991</v>
      </c>
      <c r="E774" s="261">
        <v>1</v>
      </c>
      <c r="F774" s="267">
        <v>485234.39999999997</v>
      </c>
      <c r="G774" s="738">
        <v>485234.39999999997</v>
      </c>
    </row>
    <row r="775" spans="2:7" x14ac:dyDescent="0.2">
      <c r="B775" s="739"/>
      <c r="C775" s="264" t="s">
        <v>1077</v>
      </c>
      <c r="D775" s="269" t="s">
        <v>991</v>
      </c>
      <c r="E775" s="261">
        <v>1</v>
      </c>
      <c r="F775" s="267">
        <v>72000</v>
      </c>
      <c r="G775" s="738">
        <v>72000</v>
      </c>
    </row>
    <row r="776" spans="2:7" x14ac:dyDescent="0.2">
      <c r="B776" s="739"/>
      <c r="C776" s="264"/>
      <c r="D776" s="173"/>
      <c r="E776" s="174"/>
      <c r="F776" s="267">
        <v>0</v>
      </c>
      <c r="G776" s="738">
        <v>0</v>
      </c>
    </row>
    <row r="777" spans="2:7" x14ac:dyDescent="0.2">
      <c r="B777" s="739"/>
      <c r="C777" s="264"/>
      <c r="D777" s="269"/>
      <c r="E777" s="270"/>
      <c r="F777" s="267">
        <v>0</v>
      </c>
      <c r="G777" s="738">
        <v>0</v>
      </c>
    </row>
    <row r="778" spans="2:7" x14ac:dyDescent="0.2">
      <c r="B778" s="739"/>
      <c r="C778" s="264"/>
      <c r="D778" s="269"/>
      <c r="E778" s="270"/>
      <c r="F778" s="267">
        <v>0</v>
      </c>
      <c r="G778" s="738">
        <v>0</v>
      </c>
    </row>
    <row r="779" spans="2:7" x14ac:dyDescent="0.2">
      <c r="B779" s="739"/>
      <c r="C779" s="264"/>
      <c r="D779" s="269"/>
      <c r="E779" s="270"/>
      <c r="F779" s="267">
        <v>0</v>
      </c>
      <c r="G779" s="738">
        <v>0</v>
      </c>
    </row>
    <row r="780" spans="2:7" x14ac:dyDescent="0.2">
      <c r="B780" s="739"/>
      <c r="C780" s="271"/>
      <c r="D780" s="740"/>
      <c r="E780" s="741"/>
      <c r="F780" s="742">
        <v>0</v>
      </c>
      <c r="G780" s="743">
        <v>0</v>
      </c>
    </row>
    <row r="781" spans="2:7" x14ac:dyDescent="0.2">
      <c r="B781" s="258"/>
      <c r="C781" s="730"/>
      <c r="D781" s="731"/>
      <c r="E781" s="732"/>
      <c r="F781" s="733">
        <v>0</v>
      </c>
      <c r="G781" s="734">
        <v>0</v>
      </c>
    </row>
    <row r="782" spans="2:7" x14ac:dyDescent="0.2">
      <c r="B782" s="258"/>
      <c r="C782" s="264"/>
      <c r="D782" s="269"/>
      <c r="E782" s="270"/>
      <c r="F782" s="267">
        <v>0</v>
      </c>
      <c r="G782" s="268">
        <v>0</v>
      </c>
    </row>
    <row r="783" spans="2:7" x14ac:dyDescent="0.2">
      <c r="B783" s="258"/>
      <c r="C783" s="264"/>
      <c r="D783" s="269"/>
      <c r="E783" s="270"/>
      <c r="F783" s="267">
        <v>0</v>
      </c>
      <c r="G783" s="268">
        <v>0</v>
      </c>
    </row>
    <row r="784" spans="2:7" x14ac:dyDescent="0.2">
      <c r="B784" s="258"/>
      <c r="C784" s="264"/>
      <c r="D784" s="269"/>
      <c r="E784" s="270"/>
      <c r="F784" s="267">
        <v>0</v>
      </c>
      <c r="G784" s="268">
        <v>0</v>
      </c>
    </row>
    <row r="785" spans="2:7" x14ac:dyDescent="0.2">
      <c r="B785" s="258"/>
      <c r="C785" s="264"/>
      <c r="D785" s="269"/>
      <c r="E785" s="270"/>
      <c r="F785" s="267">
        <v>0</v>
      </c>
      <c r="G785" s="268">
        <v>0</v>
      </c>
    </row>
    <row r="786" spans="2:7" x14ac:dyDescent="0.2">
      <c r="B786" s="258"/>
      <c r="C786" s="264"/>
      <c r="D786" s="269"/>
      <c r="E786" s="270"/>
      <c r="F786" s="267">
        <v>0</v>
      </c>
      <c r="G786" s="268">
        <v>0</v>
      </c>
    </row>
    <row r="787" spans="2:7" x14ac:dyDescent="0.2">
      <c r="B787" s="258"/>
      <c r="C787" s="264"/>
      <c r="D787" s="269"/>
      <c r="E787" s="270"/>
      <c r="F787" s="267">
        <v>0</v>
      </c>
      <c r="G787" s="268">
        <v>0</v>
      </c>
    </row>
    <row r="788" spans="2:7" x14ac:dyDescent="0.2">
      <c r="B788" s="258"/>
      <c r="C788" s="264"/>
      <c r="D788" s="269"/>
      <c r="E788" s="270"/>
      <c r="F788" s="267">
        <v>0</v>
      </c>
      <c r="G788" s="268">
        <v>0</v>
      </c>
    </row>
    <row r="789" spans="2:7" x14ac:dyDescent="0.2">
      <c r="B789" s="258"/>
      <c r="C789" s="264"/>
      <c r="D789" s="269"/>
      <c r="E789" s="270"/>
      <c r="F789" s="267">
        <v>0</v>
      </c>
      <c r="G789" s="268">
        <v>0</v>
      </c>
    </row>
    <row r="790" spans="2:7" x14ac:dyDescent="0.2">
      <c r="B790" s="258"/>
      <c r="C790" s="264"/>
      <c r="D790" s="269"/>
      <c r="E790" s="270"/>
      <c r="F790" s="267">
        <v>0</v>
      </c>
      <c r="G790" s="268">
        <v>0</v>
      </c>
    </row>
    <row r="791" spans="2:7" x14ac:dyDescent="0.2">
      <c r="B791" s="258"/>
      <c r="C791" s="264"/>
      <c r="D791" s="269"/>
      <c r="E791" s="270"/>
      <c r="F791" s="267">
        <v>0</v>
      </c>
      <c r="G791" s="268">
        <v>0</v>
      </c>
    </row>
    <row r="792" spans="2:7" x14ac:dyDescent="0.2">
      <c r="B792" s="258"/>
      <c r="C792" s="264"/>
      <c r="D792" s="269"/>
      <c r="E792" s="270"/>
      <c r="F792" s="267">
        <v>0</v>
      </c>
      <c r="G792" s="268">
        <v>0</v>
      </c>
    </row>
    <row r="793" spans="2:7" x14ac:dyDescent="0.2">
      <c r="B793" s="258"/>
      <c r="C793" s="264"/>
      <c r="D793" s="269"/>
      <c r="E793" s="270"/>
      <c r="F793" s="267">
        <v>0</v>
      </c>
      <c r="G793" s="268">
        <v>0</v>
      </c>
    </row>
    <row r="794" spans="2:7" x14ac:dyDescent="0.2">
      <c r="B794" s="258"/>
      <c r="C794" s="264"/>
      <c r="D794" s="269"/>
      <c r="E794" s="270"/>
      <c r="F794" s="267">
        <v>0</v>
      </c>
      <c r="G794" s="268">
        <v>0</v>
      </c>
    </row>
    <row r="795" spans="2:7" x14ac:dyDescent="0.2">
      <c r="B795" s="258"/>
      <c r="C795" s="264"/>
      <c r="D795" s="269"/>
      <c r="E795" s="270"/>
      <c r="F795" s="267">
        <v>0</v>
      </c>
      <c r="G795" s="268">
        <v>0</v>
      </c>
    </row>
    <row r="796" spans="2:7" x14ac:dyDescent="0.2">
      <c r="B796" s="258"/>
      <c r="C796" s="271"/>
      <c r="D796" s="269"/>
      <c r="E796" s="270"/>
      <c r="F796" s="267">
        <v>0</v>
      </c>
      <c r="G796" s="268">
        <v>0</v>
      </c>
    </row>
    <row r="797" spans="2:7" x14ac:dyDescent="0.2">
      <c r="B797" s="258"/>
      <c r="C797" s="272" t="s">
        <v>1026</v>
      </c>
      <c r="D797" s="273"/>
      <c r="E797" s="274"/>
      <c r="F797" s="275"/>
      <c r="G797" s="184"/>
    </row>
    <row r="798" spans="2:7" ht="13.5" thickBot="1" x14ac:dyDescent="0.25">
      <c r="B798" s="258"/>
      <c r="C798" s="276"/>
      <c r="D798" s="277"/>
      <c r="E798" s="277"/>
      <c r="F798" s="278" t="s">
        <v>1025</v>
      </c>
      <c r="G798" s="279">
        <v>794332</v>
      </c>
    </row>
    <row r="799" spans="2:7" x14ac:dyDescent="0.2">
      <c r="B799" s="258"/>
      <c r="C799" s="280"/>
      <c r="D799" s="281"/>
      <c r="E799" s="281"/>
      <c r="F799" s="281"/>
      <c r="G799" s="282"/>
    </row>
    <row r="800" spans="2:7" x14ac:dyDescent="0.2">
      <c r="B800" s="258"/>
      <c r="C800" s="283" t="s">
        <v>1024</v>
      </c>
      <c r="D800" s="1721" t="s">
        <v>385</v>
      </c>
      <c r="E800" s="1722"/>
      <c r="F800" s="284" t="s">
        <v>395</v>
      </c>
      <c r="G800" s="285" t="s">
        <v>1014</v>
      </c>
    </row>
    <row r="801" spans="2:7" x14ac:dyDescent="0.2">
      <c r="B801" s="286"/>
      <c r="C801" s="259" t="s">
        <v>1022</v>
      </c>
      <c r="D801" s="1732">
        <v>74400</v>
      </c>
      <c r="E801" s="1733"/>
      <c r="F801" s="287">
        <v>1</v>
      </c>
      <c r="G801" s="288">
        <v>74400</v>
      </c>
    </row>
    <row r="802" spans="2:7" x14ac:dyDescent="0.2">
      <c r="B802" s="286"/>
      <c r="C802" s="289"/>
      <c r="D802" s="1725"/>
      <c r="E802" s="1726"/>
      <c r="F802" s="290"/>
      <c r="G802" s="291"/>
    </row>
    <row r="803" spans="2:7" x14ac:dyDescent="0.2">
      <c r="B803" s="258"/>
      <c r="C803" s="292"/>
      <c r="D803" s="1727"/>
      <c r="E803" s="1728"/>
      <c r="F803" s="293"/>
      <c r="G803" s="294">
        <v>0</v>
      </c>
    </row>
    <row r="804" spans="2:7" ht="13.5" thickBot="1" x14ac:dyDescent="0.25">
      <c r="B804" s="258"/>
      <c r="C804" s="276"/>
      <c r="D804" s="295"/>
      <c r="E804" s="281"/>
      <c r="F804" s="278" t="s">
        <v>1021</v>
      </c>
      <c r="G804" s="279">
        <v>74400</v>
      </c>
    </row>
    <row r="805" spans="2:7" x14ac:dyDescent="0.2">
      <c r="B805" s="258"/>
      <c r="C805" s="276"/>
      <c r="D805" s="281"/>
      <c r="E805" s="281"/>
      <c r="F805" s="281"/>
      <c r="G805" s="282"/>
    </row>
    <row r="806" spans="2:7" x14ac:dyDescent="0.2">
      <c r="B806" s="258"/>
      <c r="C806" s="283" t="s">
        <v>1020</v>
      </c>
      <c r="D806" s="1721" t="s">
        <v>385</v>
      </c>
      <c r="E806" s="1722"/>
      <c r="F806" s="284" t="s">
        <v>395</v>
      </c>
      <c r="G806" s="285" t="s">
        <v>1014</v>
      </c>
    </row>
    <row r="807" spans="2:7" x14ac:dyDescent="0.2">
      <c r="B807" s="286"/>
      <c r="C807" s="259" t="s">
        <v>1044</v>
      </c>
      <c r="D807" s="1723" t="s">
        <v>1018</v>
      </c>
      <c r="E807" s="1724"/>
      <c r="F807" s="296">
        <v>0.02</v>
      </c>
      <c r="G807" s="288">
        <v>4282.994871794871</v>
      </c>
    </row>
    <row r="808" spans="2:7" x14ac:dyDescent="0.2">
      <c r="B808" s="286"/>
      <c r="C808" s="259"/>
      <c r="D808" s="1725"/>
      <c r="E808" s="1726"/>
      <c r="F808" s="297"/>
      <c r="G808" s="298">
        <v>0</v>
      </c>
    </row>
    <row r="809" spans="2:7" x14ac:dyDescent="0.2">
      <c r="B809" s="258"/>
      <c r="C809" s="292"/>
      <c r="D809" s="1727"/>
      <c r="E809" s="1728"/>
      <c r="F809" s="293"/>
      <c r="G809" s="299">
        <v>0</v>
      </c>
    </row>
    <row r="810" spans="2:7" ht="13.5" thickBot="1" x14ac:dyDescent="0.25">
      <c r="B810" s="258"/>
      <c r="C810" s="276"/>
      <c r="D810" s="281"/>
      <c r="E810" s="281"/>
      <c r="F810" s="278" t="s">
        <v>1017</v>
      </c>
      <c r="G810" s="279">
        <v>4283</v>
      </c>
    </row>
    <row r="811" spans="2:7" x14ac:dyDescent="0.2">
      <c r="B811" s="258"/>
      <c r="C811" s="276"/>
      <c r="D811" s="281"/>
      <c r="E811" s="281"/>
      <c r="F811" s="281"/>
      <c r="G811" s="282"/>
    </row>
    <row r="812" spans="2:7" x14ac:dyDescent="0.2">
      <c r="B812" s="258"/>
      <c r="C812" s="283" t="s">
        <v>1016</v>
      </c>
      <c r="D812" s="1729" t="s">
        <v>1043</v>
      </c>
      <c r="E812" s="1722"/>
      <c r="F812" s="195" t="s">
        <v>395</v>
      </c>
      <c r="G812" s="196" t="s">
        <v>1014</v>
      </c>
    </row>
    <row r="813" spans="2:7" ht="14.25" x14ac:dyDescent="0.25">
      <c r="B813" s="300"/>
      <c r="C813" s="259" t="s">
        <v>1042</v>
      </c>
      <c r="D813" s="1730">
        <v>214149.74358974356</v>
      </c>
      <c r="E813" s="1731"/>
      <c r="F813" s="301">
        <v>1</v>
      </c>
      <c r="G813" s="201">
        <v>214149.74358974356</v>
      </c>
    </row>
    <row r="814" spans="2:7" x14ac:dyDescent="0.2">
      <c r="B814" s="300"/>
      <c r="C814" s="259"/>
      <c r="D814" s="1725"/>
      <c r="E814" s="1726"/>
      <c r="F814" s="302"/>
      <c r="G814" s="298">
        <v>0</v>
      </c>
    </row>
    <row r="815" spans="2:7" x14ac:dyDescent="0.2">
      <c r="B815" s="303"/>
      <c r="C815" s="292"/>
      <c r="D815" s="1727"/>
      <c r="E815" s="1728"/>
      <c r="F815" s="304"/>
      <c r="G815" s="299">
        <v>0</v>
      </c>
    </row>
    <row r="816" spans="2:7" ht="13.5" thickBot="1" x14ac:dyDescent="0.25">
      <c r="B816" s="258"/>
      <c r="C816" s="276"/>
      <c r="D816" s="305"/>
      <c r="E816" s="305"/>
      <c r="F816" s="278" t="s">
        <v>1012</v>
      </c>
      <c r="G816" s="279">
        <v>214150</v>
      </c>
    </row>
    <row r="817" spans="2:7" x14ac:dyDescent="0.2">
      <c r="B817" s="258"/>
      <c r="C817" s="276"/>
      <c r="D817" s="276"/>
      <c r="E817" s="276"/>
      <c r="F817" s="276"/>
      <c r="G817" s="306"/>
    </row>
    <row r="818" spans="2:7" x14ac:dyDescent="0.2">
      <c r="B818" s="148" t="s">
        <v>1011</v>
      </c>
      <c r="C818" s="149"/>
      <c r="D818" s="149"/>
      <c r="E818" s="150"/>
      <c r="F818" s="150"/>
      <c r="G818" s="307">
        <v>1087165</v>
      </c>
    </row>
    <row r="819" spans="2:7" x14ac:dyDescent="0.2">
      <c r="B819" s="258" t="s">
        <v>1010</v>
      </c>
      <c r="C819" s="276"/>
      <c r="D819" s="308"/>
      <c r="E819" s="308"/>
      <c r="F819" s="308"/>
      <c r="G819" s="309"/>
    </row>
    <row r="820" spans="2:7" x14ac:dyDescent="0.2">
      <c r="B820" s="227"/>
      <c r="C820" s="228"/>
      <c r="D820" s="228"/>
      <c r="E820" s="228"/>
      <c r="F820" s="228"/>
      <c r="G820" s="229"/>
    </row>
    <row r="821" spans="2:7" x14ac:dyDescent="0.2">
      <c r="B821" s="230"/>
      <c r="C821" s="231"/>
      <c r="D821" s="231"/>
      <c r="E821" s="231"/>
      <c r="F821" s="231"/>
      <c r="G821" s="232"/>
    </row>
    <row r="822" spans="2:7" x14ac:dyDescent="0.2">
      <c r="B822" s="230"/>
      <c r="C822" s="231"/>
      <c r="D822" s="231"/>
      <c r="E822" s="231"/>
      <c r="F822" s="231"/>
      <c r="G822" s="232"/>
    </row>
    <row r="823" spans="2:7" x14ac:dyDescent="0.2">
      <c r="B823" s="230"/>
      <c r="C823" s="231"/>
      <c r="D823" s="231"/>
      <c r="E823" s="231"/>
      <c r="F823" s="231"/>
      <c r="G823" s="232"/>
    </row>
    <row r="824" spans="2:7" x14ac:dyDescent="0.2">
      <c r="B824" s="230"/>
      <c r="C824" s="231"/>
      <c r="D824" s="231"/>
      <c r="E824" s="231"/>
      <c r="F824" s="231"/>
      <c r="G824" s="232"/>
    </row>
    <row r="825" spans="2:7" x14ac:dyDescent="0.2">
      <c r="B825" s="230"/>
      <c r="C825" s="231"/>
      <c r="D825" s="231"/>
      <c r="E825" s="231"/>
      <c r="F825" s="231"/>
      <c r="G825" s="232"/>
    </row>
    <row r="826" spans="2:7" x14ac:dyDescent="0.2">
      <c r="B826" s="230"/>
      <c r="C826" s="231"/>
      <c r="D826" s="231"/>
      <c r="E826" s="231"/>
      <c r="F826" s="231"/>
      <c r="G826" s="232"/>
    </row>
    <row r="827" spans="2:7" ht="13.5" thickBot="1" x14ac:dyDescent="0.25">
      <c r="B827" s="230"/>
      <c r="C827" s="729"/>
      <c r="D827" s="231"/>
      <c r="E827" s="231"/>
      <c r="F827" s="231"/>
      <c r="G827" s="232"/>
    </row>
    <row r="828" spans="2:7" x14ac:dyDescent="0.2">
      <c r="B828" s="230"/>
      <c r="C828" s="231" t="s">
        <v>1449</v>
      </c>
      <c r="D828" s="231"/>
      <c r="E828" s="1743" t="s">
        <v>865</v>
      </c>
      <c r="F828" s="1743"/>
      <c r="G828" s="1744"/>
    </row>
    <row r="829" spans="2:7" x14ac:dyDescent="0.2">
      <c r="B829" s="230"/>
      <c r="C829" s="231" t="s">
        <v>1450</v>
      </c>
      <c r="D829" s="231"/>
      <c r="E829" s="1745" t="s">
        <v>866</v>
      </c>
      <c r="F829" s="1745"/>
      <c r="G829" s="1746"/>
    </row>
    <row r="830" spans="2:7" x14ac:dyDescent="0.2">
      <c r="B830" s="230"/>
      <c r="C830" s="231"/>
      <c r="D830" s="231"/>
      <c r="E830" s="1745" t="s">
        <v>867</v>
      </c>
      <c r="F830" s="1745"/>
      <c r="G830" s="1746"/>
    </row>
    <row r="831" spans="2:7" ht="13.5" thickBot="1" x14ac:dyDescent="0.25">
      <c r="B831" s="233"/>
      <c r="C831" s="234"/>
      <c r="D831" s="234"/>
      <c r="E831" s="234"/>
      <c r="F831" s="234"/>
      <c r="G831" s="235"/>
    </row>
    <row r="832" spans="2:7" x14ac:dyDescent="0.2">
      <c r="B832" s="310"/>
      <c r="C832" s="310"/>
      <c r="D832" s="310"/>
      <c r="E832" s="310"/>
      <c r="F832" s="310"/>
      <c r="G832" s="310"/>
    </row>
    <row r="833" spans="2:7" ht="13.5" thickBot="1" x14ac:dyDescent="0.25"/>
    <row r="834" spans="2:7" x14ac:dyDescent="0.2">
      <c r="B834" s="1737"/>
      <c r="C834" s="1738"/>
      <c r="D834" s="1738"/>
      <c r="E834" s="1738"/>
      <c r="F834" s="1738"/>
      <c r="G834" s="1739"/>
    </row>
    <row r="835" spans="2:7" x14ac:dyDescent="0.2">
      <c r="B835" s="244"/>
      <c r="C835" s="245"/>
      <c r="D835" s="246" t="s">
        <v>1038</v>
      </c>
      <c r="E835" s="247"/>
      <c r="F835" s="248"/>
      <c r="G835" s="249"/>
    </row>
    <row r="836" spans="2:7" x14ac:dyDescent="0.2">
      <c r="B836" s="244"/>
      <c r="C836" s="250"/>
      <c r="D836" s="246" t="s">
        <v>180</v>
      </c>
      <c r="E836" s="251" t="s">
        <v>991</v>
      </c>
      <c r="F836" s="248"/>
      <c r="G836" s="249"/>
    </row>
    <row r="837" spans="2:7" x14ac:dyDescent="0.2">
      <c r="B837" s="244"/>
      <c r="C837" s="250"/>
      <c r="D837" s="246" t="s">
        <v>696</v>
      </c>
      <c r="E837" s="252">
        <v>1</v>
      </c>
      <c r="F837" s="248"/>
      <c r="G837" s="249"/>
    </row>
    <row r="838" spans="2:7" x14ac:dyDescent="0.2">
      <c r="B838" s="253"/>
      <c r="C838" s="248"/>
      <c r="D838" s="248"/>
      <c r="E838" s="248"/>
      <c r="F838" s="248"/>
      <c r="G838" s="249"/>
    </row>
    <row r="839" spans="2:7" x14ac:dyDescent="0.2">
      <c r="B839" s="1740" t="s">
        <v>997</v>
      </c>
      <c r="C839" s="1741"/>
      <c r="D839" s="1741"/>
      <c r="E839" s="1741"/>
      <c r="F839" s="1741"/>
      <c r="G839" s="1742"/>
    </row>
    <row r="840" spans="2:7" x14ac:dyDescent="0.2">
      <c r="B840" s="254"/>
      <c r="C840" s="255" t="s">
        <v>1037</v>
      </c>
      <c r="D840" s="256" t="s">
        <v>119</v>
      </c>
      <c r="E840" s="256" t="s">
        <v>1008</v>
      </c>
      <c r="F840" s="256" t="s">
        <v>1009</v>
      </c>
      <c r="G840" s="257" t="s">
        <v>1036</v>
      </c>
    </row>
    <row r="841" spans="2:7" x14ac:dyDescent="0.2">
      <c r="B841" s="258"/>
      <c r="C841" s="311" t="s">
        <v>1085</v>
      </c>
      <c r="D841" s="269" t="s">
        <v>991</v>
      </c>
      <c r="E841" s="261">
        <v>1</v>
      </c>
      <c r="F841" s="267">
        <v>61901.2</v>
      </c>
      <c r="G841" s="268">
        <v>61901.2</v>
      </c>
    </row>
    <row r="842" spans="2:7" x14ac:dyDescent="0.2">
      <c r="B842" s="258"/>
      <c r="C842" s="311" t="s">
        <v>1084</v>
      </c>
      <c r="D842" s="269" t="s">
        <v>991</v>
      </c>
      <c r="E842" s="261">
        <v>1</v>
      </c>
      <c r="F842" s="267">
        <v>180070.8</v>
      </c>
      <c r="G842" s="268">
        <v>180070.8</v>
      </c>
    </row>
    <row r="843" spans="2:7" x14ac:dyDescent="0.2">
      <c r="B843" s="258"/>
      <c r="C843" s="311" t="s">
        <v>1083</v>
      </c>
      <c r="D843" s="269" t="s">
        <v>991</v>
      </c>
      <c r="E843" s="261">
        <v>3</v>
      </c>
      <c r="F843" s="267">
        <v>40698</v>
      </c>
      <c r="G843" s="268">
        <v>122094</v>
      </c>
    </row>
    <row r="844" spans="2:7" x14ac:dyDescent="0.2">
      <c r="B844" s="258"/>
      <c r="C844" s="311" t="s">
        <v>1082</v>
      </c>
      <c r="D844" s="269" t="s">
        <v>991</v>
      </c>
      <c r="E844" s="261">
        <v>1</v>
      </c>
      <c r="F844" s="267">
        <v>108000</v>
      </c>
      <c r="G844" s="268">
        <v>108000</v>
      </c>
    </row>
    <row r="845" spans="2:7" x14ac:dyDescent="0.2">
      <c r="B845" s="258"/>
      <c r="C845" s="264" t="s">
        <v>1081</v>
      </c>
      <c r="D845" s="269" t="s">
        <v>991</v>
      </c>
      <c r="E845" s="261">
        <v>1</v>
      </c>
      <c r="F845" s="267">
        <v>60000</v>
      </c>
      <c r="G845" s="268">
        <v>60000</v>
      </c>
    </row>
    <row r="846" spans="2:7" x14ac:dyDescent="0.2">
      <c r="B846" s="258"/>
      <c r="C846" s="264"/>
      <c r="D846" s="269"/>
      <c r="E846" s="270"/>
      <c r="F846" s="267">
        <v>0</v>
      </c>
      <c r="G846" s="268">
        <v>0</v>
      </c>
    </row>
    <row r="847" spans="2:7" x14ac:dyDescent="0.2">
      <c r="B847" s="258"/>
      <c r="C847" s="264"/>
      <c r="D847" s="269"/>
      <c r="E847" s="270"/>
      <c r="F847" s="267">
        <v>0</v>
      </c>
      <c r="G847" s="268">
        <v>0</v>
      </c>
    </row>
    <row r="848" spans="2:7" x14ac:dyDescent="0.2">
      <c r="B848" s="258"/>
      <c r="C848" s="264"/>
      <c r="D848" s="269"/>
      <c r="E848" s="270"/>
      <c r="F848" s="267">
        <v>0</v>
      </c>
      <c r="G848" s="268">
        <v>0</v>
      </c>
    </row>
    <row r="849" spans="2:7" x14ac:dyDescent="0.2">
      <c r="B849" s="258"/>
      <c r="C849" s="264"/>
      <c r="D849" s="269"/>
      <c r="E849" s="270"/>
      <c r="F849" s="267">
        <v>0</v>
      </c>
      <c r="G849" s="268">
        <v>0</v>
      </c>
    </row>
    <row r="850" spans="2:7" x14ac:dyDescent="0.2">
      <c r="B850" s="258"/>
      <c r="C850" s="264"/>
      <c r="D850" s="269"/>
      <c r="E850" s="270"/>
      <c r="F850" s="267">
        <v>0</v>
      </c>
      <c r="G850" s="268">
        <v>0</v>
      </c>
    </row>
    <row r="851" spans="2:7" x14ac:dyDescent="0.2">
      <c r="B851" s="258"/>
      <c r="C851" s="264"/>
      <c r="D851" s="269"/>
      <c r="E851" s="270"/>
      <c r="F851" s="267">
        <v>0</v>
      </c>
      <c r="G851" s="268">
        <v>0</v>
      </c>
    </row>
    <row r="852" spans="2:7" x14ac:dyDescent="0.2">
      <c r="B852" s="258"/>
      <c r="C852" s="264"/>
      <c r="D852" s="269"/>
      <c r="E852" s="270"/>
      <c r="F852" s="267">
        <v>0</v>
      </c>
      <c r="G852" s="268">
        <v>0</v>
      </c>
    </row>
    <row r="853" spans="2:7" x14ac:dyDescent="0.2">
      <c r="B853" s="258"/>
      <c r="C853" s="264"/>
      <c r="D853" s="269"/>
      <c r="E853" s="270"/>
      <c r="F853" s="267">
        <v>0</v>
      </c>
      <c r="G853" s="268">
        <v>0</v>
      </c>
    </row>
    <row r="854" spans="2:7" x14ac:dyDescent="0.2">
      <c r="B854" s="258"/>
      <c r="C854" s="264"/>
      <c r="D854" s="269"/>
      <c r="E854" s="270"/>
      <c r="F854" s="267">
        <v>0</v>
      </c>
      <c r="G854" s="268">
        <v>0</v>
      </c>
    </row>
    <row r="855" spans="2:7" x14ac:dyDescent="0.2">
      <c r="B855" s="258"/>
      <c r="C855" s="264"/>
      <c r="D855" s="269"/>
      <c r="E855" s="270"/>
      <c r="F855" s="267">
        <v>0</v>
      </c>
      <c r="G855" s="268">
        <v>0</v>
      </c>
    </row>
    <row r="856" spans="2:7" x14ac:dyDescent="0.2">
      <c r="B856" s="258"/>
      <c r="C856" s="264"/>
      <c r="D856" s="269"/>
      <c r="E856" s="270"/>
      <c r="F856" s="267">
        <v>0</v>
      </c>
      <c r="G856" s="268">
        <v>0</v>
      </c>
    </row>
    <row r="857" spans="2:7" x14ac:dyDescent="0.2">
      <c r="B857" s="258"/>
      <c r="C857" s="264"/>
      <c r="D857" s="269"/>
      <c r="E857" s="270"/>
      <c r="F857" s="267">
        <v>0</v>
      </c>
      <c r="G857" s="268">
        <v>0</v>
      </c>
    </row>
    <row r="858" spans="2:7" x14ac:dyDescent="0.2">
      <c r="B858" s="258"/>
      <c r="C858" s="264"/>
      <c r="D858" s="269"/>
      <c r="E858" s="270"/>
      <c r="F858" s="267">
        <v>0</v>
      </c>
      <c r="G858" s="268">
        <v>0</v>
      </c>
    </row>
    <row r="859" spans="2:7" x14ac:dyDescent="0.2">
      <c r="B859" s="258"/>
      <c r="C859" s="264"/>
      <c r="D859" s="269"/>
      <c r="E859" s="270"/>
      <c r="F859" s="267">
        <v>0</v>
      </c>
      <c r="G859" s="268">
        <v>0</v>
      </c>
    </row>
    <row r="860" spans="2:7" x14ac:dyDescent="0.2">
      <c r="B860" s="258"/>
      <c r="C860" s="264"/>
      <c r="D860" s="269"/>
      <c r="E860" s="270"/>
      <c r="F860" s="267">
        <v>0</v>
      </c>
      <c r="G860" s="268">
        <v>0</v>
      </c>
    </row>
    <row r="861" spans="2:7" x14ac:dyDescent="0.2">
      <c r="B861" s="258"/>
      <c r="C861" s="264"/>
      <c r="D861" s="269"/>
      <c r="E861" s="270"/>
      <c r="F861" s="267">
        <v>0</v>
      </c>
      <c r="G861" s="268">
        <v>0</v>
      </c>
    </row>
    <row r="862" spans="2:7" x14ac:dyDescent="0.2">
      <c r="B862" s="258"/>
      <c r="C862" s="264"/>
      <c r="D862" s="269"/>
      <c r="E862" s="270"/>
      <c r="F862" s="267">
        <v>0</v>
      </c>
      <c r="G862" s="268">
        <v>0</v>
      </c>
    </row>
    <row r="863" spans="2:7" x14ac:dyDescent="0.2">
      <c r="B863" s="258"/>
      <c r="C863" s="264"/>
      <c r="D863" s="269"/>
      <c r="E863" s="270"/>
      <c r="F863" s="267">
        <v>0</v>
      </c>
      <c r="G863" s="268">
        <v>0</v>
      </c>
    </row>
    <row r="864" spans="2:7" x14ac:dyDescent="0.2">
      <c r="B864" s="258"/>
      <c r="C864" s="264"/>
      <c r="D864" s="269"/>
      <c r="E864" s="270"/>
      <c r="F864" s="267">
        <v>0</v>
      </c>
      <c r="G864" s="268">
        <v>0</v>
      </c>
    </row>
    <row r="865" spans="2:7" x14ac:dyDescent="0.2">
      <c r="B865" s="258"/>
      <c r="C865" s="271"/>
      <c r="D865" s="269"/>
      <c r="E865" s="270"/>
      <c r="F865" s="267">
        <v>0</v>
      </c>
      <c r="G865" s="268">
        <v>0</v>
      </c>
    </row>
    <row r="866" spans="2:7" x14ac:dyDescent="0.2">
      <c r="B866" s="258"/>
      <c r="C866" s="272" t="s">
        <v>1026</v>
      </c>
      <c r="D866" s="273"/>
      <c r="E866" s="274"/>
      <c r="F866" s="275"/>
      <c r="G866" s="184"/>
    </row>
    <row r="867" spans="2:7" ht="13.5" thickBot="1" x14ac:dyDescent="0.25">
      <c r="B867" s="258"/>
      <c r="C867" s="276"/>
      <c r="D867" s="277"/>
      <c r="E867" s="277"/>
      <c r="F867" s="278" t="s">
        <v>1025</v>
      </c>
      <c r="G867" s="279">
        <v>532066</v>
      </c>
    </row>
    <row r="868" spans="2:7" x14ac:dyDescent="0.2">
      <c r="B868" s="258"/>
      <c r="C868" s="280"/>
      <c r="D868" s="281"/>
      <c r="E868" s="281"/>
      <c r="F868" s="281"/>
      <c r="G868" s="282"/>
    </row>
    <row r="869" spans="2:7" x14ac:dyDescent="0.2">
      <c r="B869" s="258"/>
      <c r="C869" s="283" t="s">
        <v>1024</v>
      </c>
      <c r="D869" s="1721" t="s">
        <v>385</v>
      </c>
      <c r="E869" s="1722"/>
      <c r="F869" s="284" t="s">
        <v>395</v>
      </c>
      <c r="G869" s="285" t="s">
        <v>1014</v>
      </c>
    </row>
    <row r="870" spans="2:7" x14ac:dyDescent="0.2">
      <c r="B870" s="286"/>
      <c r="C870" s="259" t="s">
        <v>1022</v>
      </c>
      <c r="D870" s="1732">
        <v>74400</v>
      </c>
      <c r="E870" s="1733"/>
      <c r="F870" s="287">
        <v>0.5</v>
      </c>
      <c r="G870" s="288">
        <v>37200</v>
      </c>
    </row>
    <row r="871" spans="2:7" x14ac:dyDescent="0.2">
      <c r="B871" s="286"/>
      <c r="C871" s="289"/>
      <c r="D871" s="1725"/>
      <c r="E871" s="1726"/>
      <c r="F871" s="290"/>
      <c r="G871" s="291"/>
    </row>
    <row r="872" spans="2:7" x14ac:dyDescent="0.2">
      <c r="B872" s="258"/>
      <c r="C872" s="292"/>
      <c r="D872" s="1727"/>
      <c r="E872" s="1728"/>
      <c r="F872" s="293"/>
      <c r="G872" s="294">
        <v>0</v>
      </c>
    </row>
    <row r="873" spans="2:7" ht="13.5" thickBot="1" x14ac:dyDescent="0.25">
      <c r="B873" s="258"/>
      <c r="C873" s="276"/>
      <c r="D873" s="295"/>
      <c r="E873" s="281"/>
      <c r="F873" s="278" t="s">
        <v>1021</v>
      </c>
      <c r="G873" s="279">
        <v>37200</v>
      </c>
    </row>
    <row r="874" spans="2:7" x14ac:dyDescent="0.2">
      <c r="B874" s="258"/>
      <c r="C874" s="276"/>
      <c r="D874" s="281"/>
      <c r="E874" s="281"/>
      <c r="F874" s="281"/>
      <c r="G874" s="282"/>
    </row>
    <row r="875" spans="2:7" x14ac:dyDescent="0.2">
      <c r="B875" s="258"/>
      <c r="C875" s="283" t="s">
        <v>1020</v>
      </c>
      <c r="D875" s="1721" t="s">
        <v>385</v>
      </c>
      <c r="E875" s="1722"/>
      <c r="F875" s="284" t="s">
        <v>395</v>
      </c>
      <c r="G875" s="285" t="s">
        <v>1014</v>
      </c>
    </row>
    <row r="876" spans="2:7" x14ac:dyDescent="0.2">
      <c r="B876" s="286"/>
      <c r="C876" s="259" t="s">
        <v>1044</v>
      </c>
      <c r="D876" s="1723" t="s">
        <v>1018</v>
      </c>
      <c r="E876" s="1724"/>
      <c r="F876" s="296">
        <v>0.02</v>
      </c>
      <c r="G876" s="288">
        <v>2141.4974358974355</v>
      </c>
    </row>
    <row r="877" spans="2:7" x14ac:dyDescent="0.2">
      <c r="B877" s="286"/>
      <c r="C877" s="259"/>
      <c r="D877" s="1725"/>
      <c r="E877" s="1726"/>
      <c r="F877" s="297"/>
      <c r="G877" s="298">
        <v>0</v>
      </c>
    </row>
    <row r="878" spans="2:7" x14ac:dyDescent="0.2">
      <c r="B878" s="258"/>
      <c r="C878" s="292"/>
      <c r="D878" s="1727"/>
      <c r="E878" s="1728"/>
      <c r="F878" s="293"/>
      <c r="G878" s="299">
        <v>0</v>
      </c>
    </row>
    <row r="879" spans="2:7" ht="13.5" thickBot="1" x14ac:dyDescent="0.25">
      <c r="B879" s="258"/>
      <c r="C879" s="276"/>
      <c r="D879" s="281"/>
      <c r="E879" s="281"/>
      <c r="F879" s="278" t="s">
        <v>1017</v>
      </c>
      <c r="G879" s="279">
        <v>2141</v>
      </c>
    </row>
    <row r="880" spans="2:7" x14ac:dyDescent="0.2">
      <c r="B880" s="258"/>
      <c r="C880" s="276"/>
      <c r="D880" s="281"/>
      <c r="E880" s="281"/>
      <c r="F880" s="281"/>
      <c r="G880" s="282"/>
    </row>
    <row r="881" spans="2:7" x14ac:dyDescent="0.2">
      <c r="B881" s="258"/>
      <c r="C881" s="283" t="s">
        <v>1016</v>
      </c>
      <c r="D881" s="1729" t="s">
        <v>1043</v>
      </c>
      <c r="E881" s="1722"/>
      <c r="F881" s="195" t="s">
        <v>395</v>
      </c>
      <c r="G881" s="196" t="s">
        <v>1014</v>
      </c>
    </row>
    <row r="882" spans="2:7" ht="14.25" x14ac:dyDescent="0.25">
      <c r="B882" s="300"/>
      <c r="C882" s="259" t="s">
        <v>1042</v>
      </c>
      <c r="D882" s="1730">
        <v>214149.74358974356</v>
      </c>
      <c r="E882" s="1731"/>
      <c r="F882" s="301">
        <v>0.5</v>
      </c>
      <c r="G882" s="201">
        <v>107074.87179487178</v>
      </c>
    </row>
    <row r="883" spans="2:7" x14ac:dyDescent="0.2">
      <c r="B883" s="300"/>
      <c r="C883" s="259"/>
      <c r="D883" s="1725"/>
      <c r="E883" s="1726"/>
      <c r="F883" s="302"/>
      <c r="G883" s="298">
        <v>0</v>
      </c>
    </row>
    <row r="884" spans="2:7" x14ac:dyDescent="0.2">
      <c r="B884" s="303"/>
      <c r="C884" s="292"/>
      <c r="D884" s="1727"/>
      <c r="E884" s="1728"/>
      <c r="F884" s="304"/>
      <c r="G884" s="299">
        <v>0</v>
      </c>
    </row>
    <row r="885" spans="2:7" ht="13.5" thickBot="1" x14ac:dyDescent="0.25">
      <c r="B885" s="258"/>
      <c r="C885" s="276"/>
      <c r="D885" s="305"/>
      <c r="E885" s="305"/>
      <c r="F885" s="278" t="s">
        <v>1012</v>
      </c>
      <c r="G885" s="279">
        <v>107075</v>
      </c>
    </row>
    <row r="886" spans="2:7" x14ac:dyDescent="0.2">
      <c r="B886" s="258"/>
      <c r="C886" s="276"/>
      <c r="D886" s="276"/>
      <c r="E886" s="276"/>
      <c r="F886" s="276"/>
      <c r="G886" s="306"/>
    </row>
    <row r="887" spans="2:7" x14ac:dyDescent="0.2">
      <c r="B887" s="148" t="s">
        <v>1011</v>
      </c>
      <c r="C887" s="149"/>
      <c r="D887" s="149"/>
      <c r="E887" s="150"/>
      <c r="F887" s="150"/>
      <c r="G887" s="307">
        <v>678482</v>
      </c>
    </row>
    <row r="888" spans="2:7" x14ac:dyDescent="0.2">
      <c r="B888" s="258" t="s">
        <v>1010</v>
      </c>
      <c r="C888" s="276"/>
      <c r="D888" s="308"/>
      <c r="E888" s="308"/>
      <c r="F888" s="308"/>
      <c r="G888" s="309"/>
    </row>
    <row r="889" spans="2:7" x14ac:dyDescent="0.2">
      <c r="B889" s="227"/>
      <c r="C889" s="228"/>
      <c r="D889" s="228"/>
      <c r="E889" s="228"/>
      <c r="F889" s="228"/>
      <c r="G889" s="229"/>
    </row>
    <row r="890" spans="2:7" x14ac:dyDescent="0.2">
      <c r="B890" s="230"/>
      <c r="C890" s="231"/>
      <c r="D890" s="231"/>
      <c r="E890" s="231"/>
      <c r="F890" s="231"/>
      <c r="G890" s="232"/>
    </row>
    <row r="891" spans="2:7" x14ac:dyDescent="0.2">
      <c r="B891" s="230"/>
      <c r="C891" s="231"/>
      <c r="D891" s="231"/>
      <c r="E891" s="231"/>
      <c r="F891" s="231"/>
      <c r="G891" s="232"/>
    </row>
    <row r="892" spans="2:7" x14ac:dyDescent="0.2">
      <c r="B892" s="230"/>
      <c r="C892" s="231"/>
      <c r="D892" s="231"/>
      <c r="E892" s="231"/>
      <c r="F892" s="231"/>
      <c r="G892" s="232"/>
    </row>
    <row r="893" spans="2:7" x14ac:dyDescent="0.2">
      <c r="B893" s="230"/>
      <c r="C893" s="231"/>
      <c r="D893" s="231"/>
      <c r="E893" s="231"/>
      <c r="F893" s="231"/>
      <c r="G893" s="232"/>
    </row>
    <row r="894" spans="2:7" x14ac:dyDescent="0.2">
      <c r="B894" s="230"/>
      <c r="C894" s="231"/>
      <c r="D894" s="231"/>
      <c r="E894" s="231"/>
      <c r="F894" s="231"/>
      <c r="G894" s="232"/>
    </row>
    <row r="895" spans="2:7" x14ac:dyDescent="0.2">
      <c r="B895" s="230"/>
      <c r="C895" s="231"/>
      <c r="D895" s="231"/>
      <c r="E895" s="231"/>
      <c r="F895" s="231"/>
      <c r="G895" s="232"/>
    </row>
    <row r="896" spans="2:7" ht="13.5" thickBot="1" x14ac:dyDescent="0.25">
      <c r="B896" s="230"/>
      <c r="C896" s="729"/>
      <c r="D896" s="231"/>
      <c r="E896" s="231"/>
      <c r="F896" s="231"/>
      <c r="G896" s="232"/>
    </row>
    <row r="897" spans="2:7" x14ac:dyDescent="0.2">
      <c r="B897" s="230"/>
      <c r="C897" s="231" t="s">
        <v>1449</v>
      </c>
      <c r="D897" s="231"/>
      <c r="E897" s="1743" t="s">
        <v>865</v>
      </c>
      <c r="F897" s="1743"/>
      <c r="G897" s="1744"/>
    </row>
    <row r="898" spans="2:7" x14ac:dyDescent="0.2">
      <c r="B898" s="230"/>
      <c r="C898" s="231" t="s">
        <v>1450</v>
      </c>
      <c r="D898" s="231"/>
      <c r="E898" s="1745" t="s">
        <v>866</v>
      </c>
      <c r="F898" s="1745"/>
      <c r="G898" s="1746"/>
    </row>
    <row r="899" spans="2:7" x14ac:dyDescent="0.2">
      <c r="B899" s="230"/>
      <c r="C899" s="231"/>
      <c r="D899" s="231"/>
      <c r="E899" s="1745" t="s">
        <v>867</v>
      </c>
      <c r="F899" s="1745"/>
      <c r="G899" s="1746"/>
    </row>
    <row r="900" spans="2:7" ht="13.5" thickBot="1" x14ac:dyDescent="0.25">
      <c r="B900" s="233"/>
      <c r="C900" s="234"/>
      <c r="D900" s="234"/>
      <c r="E900" s="234"/>
      <c r="F900" s="234"/>
      <c r="G900" s="235"/>
    </row>
    <row r="901" spans="2:7" x14ac:dyDescent="0.2">
      <c r="B901" s="310"/>
      <c r="C901" s="310"/>
      <c r="D901" s="310"/>
      <c r="E901" s="310"/>
      <c r="F901" s="310"/>
      <c r="G901" s="310"/>
    </row>
    <row r="902" spans="2:7" ht="13.5" thickBot="1" x14ac:dyDescent="0.25"/>
    <row r="903" spans="2:7" x14ac:dyDescent="0.2">
      <c r="B903" s="1737"/>
      <c r="C903" s="1738"/>
      <c r="D903" s="1738"/>
      <c r="E903" s="1738"/>
      <c r="F903" s="1738"/>
      <c r="G903" s="1739"/>
    </row>
    <row r="904" spans="2:7" x14ac:dyDescent="0.2">
      <c r="B904" s="244"/>
      <c r="C904" s="245"/>
      <c r="D904" s="246" t="s">
        <v>1038</v>
      </c>
      <c r="E904" s="247"/>
      <c r="F904" s="248"/>
      <c r="G904" s="249"/>
    </row>
    <row r="905" spans="2:7" x14ac:dyDescent="0.2">
      <c r="B905" s="244"/>
      <c r="C905" s="250"/>
      <c r="D905" s="246" t="s">
        <v>180</v>
      </c>
      <c r="E905" s="251" t="s">
        <v>991</v>
      </c>
      <c r="F905" s="248"/>
      <c r="G905" s="249"/>
    </row>
    <row r="906" spans="2:7" x14ac:dyDescent="0.2">
      <c r="B906" s="244"/>
      <c r="C906" s="250"/>
      <c r="D906" s="246" t="s">
        <v>696</v>
      </c>
      <c r="E906" s="252">
        <v>1</v>
      </c>
      <c r="F906" s="248"/>
      <c r="G906" s="249"/>
    </row>
    <row r="907" spans="2:7" x14ac:dyDescent="0.2">
      <c r="B907" s="253"/>
      <c r="C907" s="248"/>
      <c r="D907" s="248"/>
      <c r="E907" s="248"/>
      <c r="F907" s="248"/>
      <c r="G907" s="249"/>
    </row>
    <row r="908" spans="2:7" x14ac:dyDescent="0.2">
      <c r="B908" s="1740" t="s">
        <v>996</v>
      </c>
      <c r="C908" s="1741"/>
      <c r="D908" s="1741"/>
      <c r="E908" s="1741"/>
      <c r="F908" s="1741"/>
      <c r="G908" s="1742"/>
    </row>
    <row r="909" spans="2:7" x14ac:dyDescent="0.2">
      <c r="B909" s="254"/>
      <c r="C909" s="255" t="s">
        <v>1037</v>
      </c>
      <c r="D909" s="256" t="s">
        <v>119</v>
      </c>
      <c r="E909" s="256" t="s">
        <v>1008</v>
      </c>
      <c r="F909" s="256" t="s">
        <v>1009</v>
      </c>
      <c r="G909" s="257" t="s">
        <v>1036</v>
      </c>
    </row>
    <row r="910" spans="2:7" x14ac:dyDescent="0.2">
      <c r="B910" s="258"/>
      <c r="C910" s="264" t="s">
        <v>1088</v>
      </c>
      <c r="D910" s="269" t="s">
        <v>9</v>
      </c>
      <c r="E910" s="261">
        <v>1</v>
      </c>
      <c r="F910" s="267">
        <v>5240</v>
      </c>
      <c r="G910" s="268">
        <v>5240</v>
      </c>
    </row>
    <row r="911" spans="2:7" x14ac:dyDescent="0.2">
      <c r="B911" s="258"/>
      <c r="C911" s="172" t="s">
        <v>1032</v>
      </c>
      <c r="D911" s="173" t="s">
        <v>991</v>
      </c>
      <c r="E911" s="177">
        <v>0.5</v>
      </c>
      <c r="F911" s="170">
        <v>756</v>
      </c>
      <c r="G911" s="268">
        <v>378</v>
      </c>
    </row>
    <row r="912" spans="2:7" x14ac:dyDescent="0.2">
      <c r="B912" s="258"/>
      <c r="C912" s="264" t="s">
        <v>1087</v>
      </c>
      <c r="D912" s="173" t="s">
        <v>9</v>
      </c>
      <c r="E912" s="174">
        <v>1</v>
      </c>
      <c r="F912" s="170">
        <v>7568.4</v>
      </c>
      <c r="G912" s="268">
        <v>7568.4</v>
      </c>
    </row>
    <row r="913" spans="2:7" x14ac:dyDescent="0.2">
      <c r="B913" s="258"/>
      <c r="C913" s="264" t="s">
        <v>1071</v>
      </c>
      <c r="D913" s="269" t="s">
        <v>991</v>
      </c>
      <c r="E913" s="270">
        <v>1</v>
      </c>
      <c r="F913" s="267">
        <v>101.8</v>
      </c>
      <c r="G913" s="268">
        <v>101.8</v>
      </c>
    </row>
    <row r="914" spans="2:7" x14ac:dyDescent="0.2">
      <c r="B914" s="258"/>
      <c r="C914" s="172" t="s">
        <v>1086</v>
      </c>
      <c r="D914" s="176" t="s">
        <v>474</v>
      </c>
      <c r="E914" s="178">
        <v>0.15</v>
      </c>
      <c r="F914" s="170">
        <v>27958.7</v>
      </c>
      <c r="G914" s="268">
        <v>4193.8050000000003</v>
      </c>
    </row>
    <row r="915" spans="2:7" x14ac:dyDescent="0.2">
      <c r="B915" s="258"/>
      <c r="C915" s="264"/>
      <c r="D915" s="269"/>
      <c r="E915" s="270"/>
      <c r="F915" s="267">
        <v>0</v>
      </c>
      <c r="G915" s="268">
        <v>0</v>
      </c>
    </row>
    <row r="916" spans="2:7" x14ac:dyDescent="0.2">
      <c r="B916" s="258"/>
      <c r="C916" s="264"/>
      <c r="D916" s="269"/>
      <c r="E916" s="270"/>
      <c r="F916" s="267">
        <v>0</v>
      </c>
      <c r="G916" s="268">
        <v>0</v>
      </c>
    </row>
    <row r="917" spans="2:7" x14ac:dyDescent="0.2">
      <c r="B917" s="258"/>
      <c r="C917" s="264"/>
      <c r="D917" s="269"/>
      <c r="E917" s="270"/>
      <c r="F917" s="267">
        <v>0</v>
      </c>
      <c r="G917" s="268">
        <v>0</v>
      </c>
    </row>
    <row r="918" spans="2:7" x14ac:dyDescent="0.2">
      <c r="B918" s="258"/>
      <c r="C918" s="264"/>
      <c r="D918" s="269"/>
      <c r="E918" s="270"/>
      <c r="F918" s="267">
        <v>0</v>
      </c>
      <c r="G918" s="268">
        <v>0</v>
      </c>
    </row>
    <row r="919" spans="2:7" x14ac:dyDescent="0.2">
      <c r="B919" s="258"/>
      <c r="C919" s="264"/>
      <c r="D919" s="269"/>
      <c r="E919" s="270"/>
      <c r="F919" s="267">
        <v>0</v>
      </c>
      <c r="G919" s="268">
        <v>0</v>
      </c>
    </row>
    <row r="920" spans="2:7" x14ac:dyDescent="0.2">
      <c r="B920" s="258"/>
      <c r="C920" s="264"/>
      <c r="D920" s="269"/>
      <c r="E920" s="270"/>
      <c r="F920" s="267">
        <v>0</v>
      </c>
      <c r="G920" s="268">
        <v>0</v>
      </c>
    </row>
    <row r="921" spans="2:7" x14ac:dyDescent="0.2">
      <c r="B921" s="258"/>
      <c r="C921" s="264"/>
      <c r="D921" s="269"/>
      <c r="E921" s="270"/>
      <c r="F921" s="267">
        <v>0</v>
      </c>
      <c r="G921" s="268">
        <v>0</v>
      </c>
    </row>
    <row r="922" spans="2:7" x14ac:dyDescent="0.2">
      <c r="B922" s="258"/>
      <c r="C922" s="264"/>
      <c r="D922" s="269"/>
      <c r="E922" s="270"/>
      <c r="F922" s="267">
        <v>0</v>
      </c>
      <c r="G922" s="268">
        <v>0</v>
      </c>
    </row>
    <row r="923" spans="2:7" x14ac:dyDescent="0.2">
      <c r="B923" s="258"/>
      <c r="C923" s="264"/>
      <c r="D923" s="269"/>
      <c r="E923" s="270"/>
      <c r="F923" s="267">
        <v>0</v>
      </c>
      <c r="G923" s="268">
        <v>0</v>
      </c>
    </row>
    <row r="924" spans="2:7" x14ac:dyDescent="0.2">
      <c r="B924" s="258"/>
      <c r="C924" s="264"/>
      <c r="D924" s="269"/>
      <c r="E924" s="270"/>
      <c r="F924" s="267">
        <v>0</v>
      </c>
      <c r="G924" s="268">
        <v>0</v>
      </c>
    </row>
    <row r="925" spans="2:7" x14ac:dyDescent="0.2">
      <c r="B925" s="258"/>
      <c r="C925" s="264"/>
      <c r="D925" s="269"/>
      <c r="E925" s="270"/>
      <c r="F925" s="267">
        <v>0</v>
      </c>
      <c r="G925" s="268">
        <v>0</v>
      </c>
    </row>
    <row r="926" spans="2:7" x14ac:dyDescent="0.2">
      <c r="B926" s="258"/>
      <c r="C926" s="264"/>
      <c r="D926" s="269"/>
      <c r="E926" s="270"/>
      <c r="F926" s="267">
        <v>0</v>
      </c>
      <c r="G926" s="268">
        <v>0</v>
      </c>
    </row>
    <row r="927" spans="2:7" x14ac:dyDescent="0.2">
      <c r="B927" s="258"/>
      <c r="C927" s="264"/>
      <c r="D927" s="269"/>
      <c r="E927" s="270"/>
      <c r="F927" s="267">
        <v>0</v>
      </c>
      <c r="G927" s="268">
        <v>0</v>
      </c>
    </row>
    <row r="928" spans="2:7" x14ac:dyDescent="0.2">
      <c r="B928" s="258"/>
      <c r="C928" s="264"/>
      <c r="D928" s="269"/>
      <c r="E928" s="270"/>
      <c r="F928" s="267">
        <v>0</v>
      </c>
      <c r="G928" s="268">
        <v>0</v>
      </c>
    </row>
    <row r="929" spans="2:7" x14ac:dyDescent="0.2">
      <c r="B929" s="258"/>
      <c r="C929" s="264"/>
      <c r="D929" s="269"/>
      <c r="E929" s="270"/>
      <c r="F929" s="267">
        <v>0</v>
      </c>
      <c r="G929" s="268">
        <v>0</v>
      </c>
    </row>
    <row r="930" spans="2:7" x14ac:dyDescent="0.2">
      <c r="B930" s="258"/>
      <c r="C930" s="264"/>
      <c r="D930" s="269"/>
      <c r="E930" s="270"/>
      <c r="F930" s="267">
        <v>0</v>
      </c>
      <c r="G930" s="268">
        <v>0</v>
      </c>
    </row>
    <row r="931" spans="2:7" x14ac:dyDescent="0.2">
      <c r="B931" s="258"/>
      <c r="C931" s="264"/>
      <c r="D931" s="269"/>
      <c r="E931" s="270"/>
      <c r="F931" s="267">
        <v>0</v>
      </c>
      <c r="G931" s="268">
        <v>0</v>
      </c>
    </row>
    <row r="932" spans="2:7" x14ac:dyDescent="0.2">
      <c r="B932" s="258"/>
      <c r="C932" s="264"/>
      <c r="D932" s="269"/>
      <c r="E932" s="270"/>
      <c r="F932" s="267">
        <v>0</v>
      </c>
      <c r="G932" s="268">
        <v>0</v>
      </c>
    </row>
    <row r="933" spans="2:7" x14ac:dyDescent="0.2">
      <c r="B933" s="258"/>
      <c r="C933" s="264"/>
      <c r="D933" s="269"/>
      <c r="E933" s="270"/>
      <c r="F933" s="267">
        <v>0</v>
      </c>
      <c r="G933" s="268">
        <v>0</v>
      </c>
    </row>
    <row r="934" spans="2:7" x14ac:dyDescent="0.2">
      <c r="B934" s="258"/>
      <c r="C934" s="271"/>
      <c r="D934" s="269"/>
      <c r="E934" s="270"/>
      <c r="F934" s="267">
        <v>0</v>
      </c>
      <c r="G934" s="268">
        <v>0</v>
      </c>
    </row>
    <row r="935" spans="2:7" x14ac:dyDescent="0.2">
      <c r="B935" s="258"/>
      <c r="C935" s="272" t="s">
        <v>1026</v>
      </c>
      <c r="D935" s="273"/>
      <c r="E935" s="274"/>
      <c r="F935" s="275"/>
      <c r="G935" s="184">
        <v>874.10024999999996</v>
      </c>
    </row>
    <row r="936" spans="2:7" ht="13.5" thickBot="1" x14ac:dyDescent="0.25">
      <c r="B936" s="258"/>
      <c r="C936" s="276"/>
      <c r="D936" s="277"/>
      <c r="E936" s="277"/>
      <c r="F936" s="278" t="s">
        <v>1025</v>
      </c>
      <c r="G936" s="279">
        <v>18356</v>
      </c>
    </row>
    <row r="937" spans="2:7" x14ac:dyDescent="0.2">
      <c r="B937" s="258"/>
      <c r="C937" s="280"/>
      <c r="D937" s="281"/>
      <c r="E937" s="281"/>
      <c r="F937" s="281"/>
      <c r="G937" s="282"/>
    </row>
    <row r="938" spans="2:7" x14ac:dyDescent="0.2">
      <c r="B938" s="258"/>
      <c r="C938" s="283" t="s">
        <v>1024</v>
      </c>
      <c r="D938" s="1721" t="s">
        <v>385</v>
      </c>
      <c r="E938" s="1722"/>
      <c r="F938" s="284" t="s">
        <v>395</v>
      </c>
      <c r="G938" s="285" t="s">
        <v>1014</v>
      </c>
    </row>
    <row r="939" spans="2:7" x14ac:dyDescent="0.2">
      <c r="B939" s="286"/>
      <c r="C939" s="259" t="s">
        <v>1022</v>
      </c>
      <c r="D939" s="1732">
        <v>74400</v>
      </c>
      <c r="E939" s="1733"/>
      <c r="F939" s="287">
        <v>0.01</v>
      </c>
      <c r="G939" s="288">
        <v>744</v>
      </c>
    </row>
    <row r="940" spans="2:7" x14ac:dyDescent="0.2">
      <c r="B940" s="286"/>
      <c r="C940" s="289"/>
      <c r="D940" s="1725"/>
      <c r="E940" s="1726"/>
      <c r="F940" s="290"/>
      <c r="G940" s="291"/>
    </row>
    <row r="941" spans="2:7" x14ac:dyDescent="0.2">
      <c r="B941" s="258"/>
      <c r="C941" s="292"/>
      <c r="D941" s="1727"/>
      <c r="E941" s="1728"/>
      <c r="F941" s="293"/>
      <c r="G941" s="294">
        <v>0</v>
      </c>
    </row>
    <row r="942" spans="2:7" ht="13.5" thickBot="1" x14ac:dyDescent="0.25">
      <c r="B942" s="258"/>
      <c r="C942" s="276"/>
      <c r="D942" s="295"/>
      <c r="E942" s="281"/>
      <c r="F942" s="278" t="s">
        <v>1021</v>
      </c>
      <c r="G942" s="279">
        <v>744</v>
      </c>
    </row>
    <row r="943" spans="2:7" x14ac:dyDescent="0.2">
      <c r="B943" s="258"/>
      <c r="C943" s="276"/>
      <c r="D943" s="281"/>
      <c r="E943" s="281"/>
      <c r="F943" s="281"/>
      <c r="G943" s="282"/>
    </row>
    <row r="944" spans="2:7" x14ac:dyDescent="0.2">
      <c r="B944" s="258"/>
      <c r="C944" s="283" t="s">
        <v>1020</v>
      </c>
      <c r="D944" s="1721" t="s">
        <v>385</v>
      </c>
      <c r="E944" s="1722"/>
      <c r="F944" s="284" t="s">
        <v>395</v>
      </c>
      <c r="G944" s="285" t="s">
        <v>1014</v>
      </c>
    </row>
    <row r="945" spans="2:7" x14ac:dyDescent="0.2">
      <c r="B945" s="286"/>
      <c r="C945" s="259" t="s">
        <v>1044</v>
      </c>
      <c r="D945" s="1723" t="s">
        <v>1018</v>
      </c>
      <c r="E945" s="1724"/>
      <c r="F945" s="296">
        <v>0.02</v>
      </c>
      <c r="G945" s="288">
        <v>214.14974358974359</v>
      </c>
    </row>
    <row r="946" spans="2:7" x14ac:dyDescent="0.2">
      <c r="B946" s="286"/>
      <c r="C946" s="259"/>
      <c r="D946" s="1725"/>
      <c r="E946" s="1726"/>
      <c r="F946" s="297"/>
      <c r="G946" s="298">
        <v>0</v>
      </c>
    </row>
    <row r="947" spans="2:7" x14ac:dyDescent="0.2">
      <c r="B947" s="258"/>
      <c r="C947" s="292"/>
      <c r="D947" s="1727"/>
      <c r="E947" s="1728"/>
      <c r="F947" s="293"/>
      <c r="G947" s="299">
        <v>0</v>
      </c>
    </row>
    <row r="948" spans="2:7" ht="13.5" thickBot="1" x14ac:dyDescent="0.25">
      <c r="B948" s="258"/>
      <c r="C948" s="276"/>
      <c r="D948" s="281"/>
      <c r="E948" s="281"/>
      <c r="F948" s="278" t="s">
        <v>1017</v>
      </c>
      <c r="G948" s="279">
        <v>214</v>
      </c>
    </row>
    <row r="949" spans="2:7" x14ac:dyDescent="0.2">
      <c r="B949" s="258"/>
      <c r="C949" s="276"/>
      <c r="D949" s="281"/>
      <c r="E949" s="281"/>
      <c r="F949" s="281"/>
      <c r="G949" s="282"/>
    </row>
    <row r="950" spans="2:7" x14ac:dyDescent="0.2">
      <c r="B950" s="258"/>
      <c r="C950" s="283" t="s">
        <v>1016</v>
      </c>
      <c r="D950" s="1729" t="s">
        <v>1043</v>
      </c>
      <c r="E950" s="1722"/>
      <c r="F950" s="195" t="s">
        <v>395</v>
      </c>
      <c r="G950" s="196" t="s">
        <v>1014</v>
      </c>
    </row>
    <row r="951" spans="2:7" ht="14.25" x14ac:dyDescent="0.25">
      <c r="B951" s="300"/>
      <c r="C951" s="259" t="s">
        <v>1042</v>
      </c>
      <c r="D951" s="1730">
        <v>214149.74358974356</v>
      </c>
      <c r="E951" s="1731"/>
      <c r="F951" s="301">
        <v>0.05</v>
      </c>
      <c r="G951" s="201">
        <v>10707.48717948718</v>
      </c>
    </row>
    <row r="952" spans="2:7" x14ac:dyDescent="0.2">
      <c r="B952" s="300"/>
      <c r="C952" s="259"/>
      <c r="D952" s="1725"/>
      <c r="E952" s="1726"/>
      <c r="F952" s="302"/>
      <c r="G952" s="298">
        <v>0</v>
      </c>
    </row>
    <row r="953" spans="2:7" x14ac:dyDescent="0.2">
      <c r="B953" s="303"/>
      <c r="C953" s="292"/>
      <c r="D953" s="1727"/>
      <c r="E953" s="1728"/>
      <c r="F953" s="304"/>
      <c r="G953" s="299">
        <v>0</v>
      </c>
    </row>
    <row r="954" spans="2:7" ht="13.5" thickBot="1" x14ac:dyDescent="0.25">
      <c r="B954" s="258"/>
      <c r="C954" s="276"/>
      <c r="D954" s="305"/>
      <c r="E954" s="305"/>
      <c r="F954" s="278" t="s">
        <v>1012</v>
      </c>
      <c r="G954" s="279">
        <v>10707</v>
      </c>
    </row>
    <row r="955" spans="2:7" x14ac:dyDescent="0.2">
      <c r="B955" s="258"/>
      <c r="C955" s="276"/>
      <c r="D955" s="276"/>
      <c r="E955" s="276"/>
      <c r="F955" s="276"/>
      <c r="G955" s="306"/>
    </row>
    <row r="956" spans="2:7" x14ac:dyDescent="0.2">
      <c r="B956" s="148" t="s">
        <v>1011</v>
      </c>
      <c r="C956" s="149"/>
      <c r="D956" s="149"/>
      <c r="E956" s="150"/>
      <c r="F956" s="150"/>
      <c r="G956" s="307">
        <v>30021</v>
      </c>
    </row>
    <row r="957" spans="2:7" x14ac:dyDescent="0.2">
      <c r="B957" s="258" t="s">
        <v>1010</v>
      </c>
      <c r="C957" s="276"/>
      <c r="D957" s="308"/>
      <c r="E957" s="308"/>
      <c r="F957" s="308"/>
      <c r="G957" s="309"/>
    </row>
    <row r="958" spans="2:7" x14ac:dyDescent="0.2">
      <c r="B958" s="227"/>
      <c r="C958" s="228"/>
      <c r="D958" s="228"/>
      <c r="E958" s="228"/>
      <c r="F958" s="228"/>
      <c r="G958" s="229"/>
    </row>
    <row r="959" spans="2:7" x14ac:dyDescent="0.2">
      <c r="B959" s="230"/>
      <c r="C959" s="231"/>
      <c r="D959" s="231"/>
      <c r="E959" s="231"/>
      <c r="F959" s="231"/>
      <c r="G959" s="232"/>
    </row>
    <row r="960" spans="2:7" x14ac:dyDescent="0.2">
      <c r="B960" s="230"/>
      <c r="C960" s="231"/>
      <c r="D960" s="231"/>
      <c r="E960" s="231"/>
      <c r="F960" s="231"/>
      <c r="G960" s="232"/>
    </row>
    <row r="961" spans="2:7" x14ac:dyDescent="0.2">
      <c r="B961" s="230"/>
      <c r="C961" s="231"/>
      <c r="D961" s="231"/>
      <c r="E961" s="231"/>
      <c r="F961" s="231"/>
      <c r="G961" s="232"/>
    </row>
    <row r="962" spans="2:7" x14ac:dyDescent="0.2">
      <c r="B962" s="230"/>
      <c r="C962" s="231"/>
      <c r="D962" s="231"/>
      <c r="E962" s="231"/>
      <c r="F962" s="231"/>
      <c r="G962" s="232"/>
    </row>
    <row r="963" spans="2:7" x14ac:dyDescent="0.2">
      <c r="B963" s="230"/>
      <c r="C963" s="231"/>
      <c r="D963" s="231"/>
      <c r="E963" s="231"/>
      <c r="F963" s="231"/>
      <c r="G963" s="232"/>
    </row>
    <row r="964" spans="2:7" x14ac:dyDescent="0.2">
      <c r="B964" s="230"/>
      <c r="C964" s="231"/>
      <c r="D964" s="231"/>
      <c r="E964" s="231"/>
      <c r="F964" s="231"/>
      <c r="G964" s="232"/>
    </row>
    <row r="965" spans="2:7" ht="13.5" thickBot="1" x14ac:dyDescent="0.25">
      <c r="B965" s="230"/>
      <c r="C965" s="729"/>
      <c r="D965" s="231"/>
      <c r="E965" s="231"/>
      <c r="F965" s="231"/>
      <c r="G965" s="232"/>
    </row>
    <row r="966" spans="2:7" x14ac:dyDescent="0.2">
      <c r="B966" s="230"/>
      <c r="C966" s="231" t="s">
        <v>1449</v>
      </c>
      <c r="D966" s="231"/>
      <c r="E966" s="1743" t="s">
        <v>865</v>
      </c>
      <c r="F966" s="1743"/>
      <c r="G966" s="1744"/>
    </row>
    <row r="967" spans="2:7" x14ac:dyDescent="0.2">
      <c r="B967" s="230"/>
      <c r="C967" s="231" t="s">
        <v>1450</v>
      </c>
      <c r="D967" s="231"/>
      <c r="E967" s="1745" t="s">
        <v>866</v>
      </c>
      <c r="F967" s="1745"/>
      <c r="G967" s="1746"/>
    </row>
    <row r="968" spans="2:7" x14ac:dyDescent="0.2">
      <c r="B968" s="230"/>
      <c r="C968" s="231"/>
      <c r="D968" s="231"/>
      <c r="E968" s="1745" t="s">
        <v>867</v>
      </c>
      <c r="F968" s="1745"/>
      <c r="G968" s="1746"/>
    </row>
    <row r="969" spans="2:7" ht="13.5" thickBot="1" x14ac:dyDescent="0.25">
      <c r="B969" s="233"/>
      <c r="C969" s="234"/>
      <c r="D969" s="234"/>
      <c r="E969" s="234"/>
      <c r="F969" s="234"/>
      <c r="G969" s="235"/>
    </row>
    <row r="970" spans="2:7" x14ac:dyDescent="0.2">
      <c r="B970" s="310"/>
      <c r="C970" s="310"/>
      <c r="D970" s="310"/>
      <c r="E970" s="310"/>
      <c r="F970" s="310"/>
      <c r="G970" s="310"/>
    </row>
    <row r="971" spans="2:7" ht="13.5" thickBot="1" x14ac:dyDescent="0.25"/>
    <row r="972" spans="2:7" x14ac:dyDescent="0.2">
      <c r="B972" s="1737"/>
      <c r="C972" s="1738"/>
      <c r="D972" s="1738"/>
      <c r="E972" s="1738"/>
      <c r="F972" s="1738"/>
      <c r="G972" s="1739"/>
    </row>
    <row r="973" spans="2:7" x14ac:dyDescent="0.2">
      <c r="B973" s="244"/>
      <c r="C973" s="245"/>
      <c r="D973" s="246" t="s">
        <v>1038</v>
      </c>
      <c r="E973" s="247"/>
      <c r="F973" s="248"/>
      <c r="G973" s="249"/>
    </row>
    <row r="974" spans="2:7" x14ac:dyDescent="0.2">
      <c r="B974" s="244"/>
      <c r="C974" s="250"/>
      <c r="D974" s="246" t="s">
        <v>180</v>
      </c>
      <c r="E974" s="251" t="s">
        <v>991</v>
      </c>
      <c r="F974" s="248"/>
      <c r="G974" s="249"/>
    </row>
    <row r="975" spans="2:7" x14ac:dyDescent="0.2">
      <c r="B975" s="244"/>
      <c r="C975" s="250"/>
      <c r="D975" s="246" t="s">
        <v>696</v>
      </c>
      <c r="E975" s="252">
        <v>1</v>
      </c>
      <c r="F975" s="248"/>
      <c r="G975" s="249"/>
    </row>
    <row r="976" spans="2:7" x14ac:dyDescent="0.2">
      <c r="B976" s="253"/>
      <c r="C976" s="248"/>
      <c r="D976" s="248"/>
      <c r="E976" s="248"/>
      <c r="F976" s="248"/>
      <c r="G976" s="249"/>
    </row>
    <row r="977" spans="2:7" x14ac:dyDescent="0.2">
      <c r="B977" s="1740" t="s">
        <v>995</v>
      </c>
      <c r="C977" s="1741"/>
      <c r="D977" s="1741"/>
      <c r="E977" s="1741"/>
      <c r="F977" s="1741"/>
      <c r="G977" s="1742"/>
    </row>
    <row r="978" spans="2:7" x14ac:dyDescent="0.2">
      <c r="B978" s="254"/>
      <c r="C978" s="255" t="s">
        <v>1037</v>
      </c>
      <c r="D978" s="256" t="s">
        <v>119</v>
      </c>
      <c r="E978" s="256" t="s">
        <v>1008</v>
      </c>
      <c r="F978" s="256" t="s">
        <v>1009</v>
      </c>
      <c r="G978" s="257" t="s">
        <v>1036</v>
      </c>
    </row>
    <row r="979" spans="2:7" x14ac:dyDescent="0.2">
      <c r="B979" s="258"/>
      <c r="C979" s="264" t="s">
        <v>1089</v>
      </c>
      <c r="D979" s="173" t="s">
        <v>991</v>
      </c>
      <c r="E979" s="174">
        <v>1</v>
      </c>
      <c r="F979" s="170">
        <v>140950</v>
      </c>
      <c r="G979" s="268">
        <v>140950</v>
      </c>
    </row>
    <row r="980" spans="2:7" x14ac:dyDescent="0.2">
      <c r="B980" s="258"/>
      <c r="C980" s="264"/>
      <c r="D980" s="269"/>
      <c r="E980" s="270"/>
      <c r="F980" s="267">
        <v>0</v>
      </c>
      <c r="G980" s="268">
        <v>0</v>
      </c>
    </row>
    <row r="981" spans="2:7" x14ac:dyDescent="0.2">
      <c r="B981" s="258"/>
      <c r="C981" s="264"/>
      <c r="D981" s="269"/>
      <c r="E981" s="270"/>
      <c r="F981" s="267">
        <v>0</v>
      </c>
      <c r="G981" s="268">
        <v>0</v>
      </c>
    </row>
    <row r="982" spans="2:7" x14ac:dyDescent="0.2">
      <c r="B982" s="258"/>
      <c r="C982" s="264"/>
      <c r="D982" s="269"/>
      <c r="E982" s="270"/>
      <c r="F982" s="267">
        <v>0</v>
      </c>
      <c r="G982" s="268">
        <v>0</v>
      </c>
    </row>
    <row r="983" spans="2:7" x14ac:dyDescent="0.2">
      <c r="B983" s="258"/>
      <c r="C983" s="264"/>
      <c r="D983" s="269"/>
      <c r="E983" s="270"/>
      <c r="F983" s="267">
        <v>0</v>
      </c>
      <c r="G983" s="268">
        <v>0</v>
      </c>
    </row>
    <row r="984" spans="2:7" x14ac:dyDescent="0.2">
      <c r="B984" s="258"/>
      <c r="C984" s="264"/>
      <c r="D984" s="269"/>
      <c r="E984" s="270"/>
      <c r="F984" s="267">
        <v>0</v>
      </c>
      <c r="G984" s="268">
        <v>0</v>
      </c>
    </row>
    <row r="985" spans="2:7" x14ac:dyDescent="0.2">
      <c r="B985" s="258"/>
      <c r="C985" s="264"/>
      <c r="D985" s="269"/>
      <c r="E985" s="270"/>
      <c r="F985" s="267">
        <v>0</v>
      </c>
      <c r="G985" s="268">
        <v>0</v>
      </c>
    </row>
    <row r="986" spans="2:7" x14ac:dyDescent="0.2">
      <c r="B986" s="258"/>
      <c r="C986" s="264"/>
      <c r="D986" s="269"/>
      <c r="E986" s="270"/>
      <c r="F986" s="267">
        <v>0</v>
      </c>
      <c r="G986" s="268">
        <v>0</v>
      </c>
    </row>
    <row r="987" spans="2:7" x14ac:dyDescent="0.2">
      <c r="B987" s="258"/>
      <c r="C987" s="264"/>
      <c r="D987" s="269"/>
      <c r="E987" s="270"/>
      <c r="F987" s="267">
        <v>0</v>
      </c>
      <c r="G987" s="268">
        <v>0</v>
      </c>
    </row>
    <row r="988" spans="2:7" x14ac:dyDescent="0.2">
      <c r="B988" s="258"/>
      <c r="C988" s="264"/>
      <c r="D988" s="269"/>
      <c r="E988" s="270"/>
      <c r="F988" s="267">
        <v>0</v>
      </c>
      <c r="G988" s="268">
        <v>0</v>
      </c>
    </row>
    <row r="989" spans="2:7" x14ac:dyDescent="0.2">
      <c r="B989" s="258"/>
      <c r="C989" s="264"/>
      <c r="D989" s="269"/>
      <c r="E989" s="270"/>
      <c r="F989" s="267">
        <v>0</v>
      </c>
      <c r="G989" s="268">
        <v>0</v>
      </c>
    </row>
    <row r="990" spans="2:7" x14ac:dyDescent="0.2">
      <c r="B990" s="258"/>
      <c r="C990" s="264"/>
      <c r="D990" s="269"/>
      <c r="E990" s="270"/>
      <c r="F990" s="267">
        <v>0</v>
      </c>
      <c r="G990" s="268">
        <v>0</v>
      </c>
    </row>
    <row r="991" spans="2:7" x14ac:dyDescent="0.2">
      <c r="B991" s="258"/>
      <c r="C991" s="264"/>
      <c r="D991" s="269"/>
      <c r="E991" s="270"/>
      <c r="F991" s="267">
        <v>0</v>
      </c>
      <c r="G991" s="268">
        <v>0</v>
      </c>
    </row>
    <row r="992" spans="2:7" x14ac:dyDescent="0.2">
      <c r="B992" s="258"/>
      <c r="C992" s="264"/>
      <c r="D992" s="269"/>
      <c r="E992" s="270"/>
      <c r="F992" s="267">
        <v>0</v>
      </c>
      <c r="G992" s="268">
        <v>0</v>
      </c>
    </row>
    <row r="993" spans="2:7" x14ac:dyDescent="0.2">
      <c r="B993" s="258"/>
      <c r="C993" s="264"/>
      <c r="D993" s="269"/>
      <c r="E993" s="270"/>
      <c r="F993" s="267">
        <v>0</v>
      </c>
      <c r="G993" s="268">
        <v>0</v>
      </c>
    </row>
    <row r="994" spans="2:7" x14ac:dyDescent="0.2">
      <c r="B994" s="258"/>
      <c r="C994" s="264"/>
      <c r="D994" s="269"/>
      <c r="E994" s="270"/>
      <c r="F994" s="267">
        <v>0</v>
      </c>
      <c r="G994" s="268">
        <v>0</v>
      </c>
    </row>
    <row r="995" spans="2:7" x14ac:dyDescent="0.2">
      <c r="B995" s="258"/>
      <c r="C995" s="264"/>
      <c r="D995" s="269"/>
      <c r="E995" s="270"/>
      <c r="F995" s="267">
        <v>0</v>
      </c>
      <c r="G995" s="268">
        <v>0</v>
      </c>
    </row>
    <row r="996" spans="2:7" x14ac:dyDescent="0.2">
      <c r="B996" s="258"/>
      <c r="C996" s="264"/>
      <c r="D996" s="269"/>
      <c r="E996" s="270"/>
      <c r="F996" s="267">
        <v>0</v>
      </c>
      <c r="G996" s="268">
        <v>0</v>
      </c>
    </row>
    <row r="997" spans="2:7" x14ac:dyDescent="0.2">
      <c r="B997" s="258"/>
      <c r="C997" s="264"/>
      <c r="D997" s="269"/>
      <c r="E997" s="270"/>
      <c r="F997" s="267">
        <v>0</v>
      </c>
      <c r="G997" s="268">
        <v>0</v>
      </c>
    </row>
    <row r="998" spans="2:7" x14ac:dyDescent="0.2">
      <c r="B998" s="258"/>
      <c r="C998" s="264"/>
      <c r="D998" s="269"/>
      <c r="E998" s="270"/>
      <c r="F998" s="267">
        <v>0</v>
      </c>
      <c r="G998" s="268">
        <v>0</v>
      </c>
    </row>
    <row r="999" spans="2:7" x14ac:dyDescent="0.2">
      <c r="B999" s="258"/>
      <c r="C999" s="264"/>
      <c r="D999" s="269"/>
      <c r="E999" s="270"/>
      <c r="F999" s="267">
        <v>0</v>
      </c>
      <c r="G999" s="268">
        <v>0</v>
      </c>
    </row>
    <row r="1000" spans="2:7" x14ac:dyDescent="0.2">
      <c r="B1000" s="258"/>
      <c r="C1000" s="264"/>
      <c r="D1000" s="269"/>
      <c r="E1000" s="270"/>
      <c r="F1000" s="267">
        <v>0</v>
      </c>
      <c r="G1000" s="268">
        <v>0</v>
      </c>
    </row>
    <row r="1001" spans="2:7" x14ac:dyDescent="0.2">
      <c r="B1001" s="258"/>
      <c r="C1001" s="264"/>
      <c r="D1001" s="269"/>
      <c r="E1001" s="270"/>
      <c r="F1001" s="267">
        <v>0</v>
      </c>
      <c r="G1001" s="268">
        <v>0</v>
      </c>
    </row>
    <row r="1002" spans="2:7" x14ac:dyDescent="0.2">
      <c r="B1002" s="258"/>
      <c r="C1002" s="264"/>
      <c r="D1002" s="269"/>
      <c r="E1002" s="270"/>
      <c r="F1002" s="267">
        <v>0</v>
      </c>
      <c r="G1002" s="268">
        <v>0</v>
      </c>
    </row>
    <row r="1003" spans="2:7" x14ac:dyDescent="0.2">
      <c r="B1003" s="258"/>
      <c r="C1003" s="271"/>
      <c r="D1003" s="269"/>
      <c r="E1003" s="270"/>
      <c r="F1003" s="267">
        <v>0</v>
      </c>
      <c r="G1003" s="268">
        <v>0</v>
      </c>
    </row>
    <row r="1004" spans="2:7" x14ac:dyDescent="0.2">
      <c r="B1004" s="258"/>
      <c r="C1004" s="272" t="s">
        <v>1026</v>
      </c>
      <c r="D1004" s="273"/>
      <c r="E1004" s="274"/>
      <c r="F1004" s="275"/>
      <c r="G1004" s="184"/>
    </row>
    <row r="1005" spans="2:7" ht="13.5" thickBot="1" x14ac:dyDescent="0.25">
      <c r="B1005" s="258"/>
      <c r="C1005" s="276"/>
      <c r="D1005" s="277"/>
      <c r="E1005" s="277"/>
      <c r="F1005" s="278" t="s">
        <v>1025</v>
      </c>
      <c r="G1005" s="279">
        <v>140950</v>
      </c>
    </row>
    <row r="1006" spans="2:7" x14ac:dyDescent="0.2">
      <c r="B1006" s="258"/>
      <c r="C1006" s="280"/>
      <c r="D1006" s="281"/>
      <c r="E1006" s="281"/>
      <c r="F1006" s="281"/>
      <c r="G1006" s="282"/>
    </row>
    <row r="1007" spans="2:7" x14ac:dyDescent="0.2">
      <c r="B1007" s="258"/>
      <c r="C1007" s="283" t="s">
        <v>1024</v>
      </c>
      <c r="D1007" s="1721" t="s">
        <v>385</v>
      </c>
      <c r="E1007" s="1722"/>
      <c r="F1007" s="284" t="s">
        <v>395</v>
      </c>
      <c r="G1007" s="285" t="s">
        <v>1014</v>
      </c>
    </row>
    <row r="1008" spans="2:7" x14ac:dyDescent="0.2">
      <c r="B1008" s="286"/>
      <c r="C1008" s="259" t="s">
        <v>1022</v>
      </c>
      <c r="D1008" s="1732">
        <v>74400</v>
      </c>
      <c r="E1008" s="1733"/>
      <c r="F1008" s="287">
        <v>0.5</v>
      </c>
      <c r="G1008" s="288">
        <v>37200</v>
      </c>
    </row>
    <row r="1009" spans="2:7" x14ac:dyDescent="0.2">
      <c r="B1009" s="286"/>
      <c r="C1009" s="289"/>
      <c r="D1009" s="1725"/>
      <c r="E1009" s="1726"/>
      <c r="F1009" s="290"/>
      <c r="G1009" s="291"/>
    </row>
    <row r="1010" spans="2:7" x14ac:dyDescent="0.2">
      <c r="B1010" s="258"/>
      <c r="C1010" s="292"/>
      <c r="D1010" s="1727"/>
      <c r="E1010" s="1728"/>
      <c r="F1010" s="293"/>
      <c r="G1010" s="294">
        <v>0</v>
      </c>
    </row>
    <row r="1011" spans="2:7" ht="13.5" thickBot="1" x14ac:dyDescent="0.25">
      <c r="B1011" s="258"/>
      <c r="C1011" s="276"/>
      <c r="D1011" s="295"/>
      <c r="E1011" s="281"/>
      <c r="F1011" s="278" t="s">
        <v>1021</v>
      </c>
      <c r="G1011" s="279">
        <v>37200</v>
      </c>
    </row>
    <row r="1012" spans="2:7" x14ac:dyDescent="0.2">
      <c r="B1012" s="258"/>
      <c r="C1012" s="276"/>
      <c r="D1012" s="281"/>
      <c r="E1012" s="281"/>
      <c r="F1012" s="281"/>
      <c r="G1012" s="282"/>
    </row>
    <row r="1013" spans="2:7" x14ac:dyDescent="0.2">
      <c r="B1013" s="258"/>
      <c r="C1013" s="283" t="s">
        <v>1020</v>
      </c>
      <c r="D1013" s="1721" t="s">
        <v>385</v>
      </c>
      <c r="E1013" s="1722"/>
      <c r="F1013" s="284" t="s">
        <v>395</v>
      </c>
      <c r="G1013" s="285" t="s">
        <v>1014</v>
      </c>
    </row>
    <row r="1014" spans="2:7" x14ac:dyDescent="0.2">
      <c r="B1014" s="286"/>
      <c r="C1014" s="259" t="s">
        <v>1044</v>
      </c>
      <c r="D1014" s="1723" t="s">
        <v>1018</v>
      </c>
      <c r="E1014" s="1724"/>
      <c r="F1014" s="296">
        <v>0.02</v>
      </c>
      <c r="G1014" s="288">
        <v>1912.0512820512822</v>
      </c>
    </row>
    <row r="1015" spans="2:7" x14ac:dyDescent="0.2">
      <c r="B1015" s="286"/>
      <c r="C1015" s="259"/>
      <c r="D1015" s="1725"/>
      <c r="E1015" s="1726"/>
      <c r="F1015" s="297"/>
      <c r="G1015" s="298">
        <v>0</v>
      </c>
    </row>
    <row r="1016" spans="2:7" x14ac:dyDescent="0.2">
      <c r="B1016" s="258"/>
      <c r="C1016" s="292"/>
      <c r="D1016" s="1727"/>
      <c r="E1016" s="1728"/>
      <c r="F1016" s="293"/>
      <c r="G1016" s="299">
        <v>0</v>
      </c>
    </row>
    <row r="1017" spans="2:7" ht="13.5" thickBot="1" x14ac:dyDescent="0.25">
      <c r="B1017" s="258"/>
      <c r="C1017" s="276"/>
      <c r="D1017" s="281"/>
      <c r="E1017" s="281"/>
      <c r="F1017" s="278" t="s">
        <v>1017</v>
      </c>
      <c r="G1017" s="279">
        <v>1912</v>
      </c>
    </row>
    <row r="1018" spans="2:7" x14ac:dyDescent="0.2">
      <c r="B1018" s="258"/>
      <c r="C1018" s="276"/>
      <c r="D1018" s="281"/>
      <c r="E1018" s="281"/>
      <c r="F1018" s="281"/>
      <c r="G1018" s="282"/>
    </row>
    <row r="1019" spans="2:7" x14ac:dyDescent="0.2">
      <c r="B1019" s="258"/>
      <c r="C1019" s="283" t="s">
        <v>1016</v>
      </c>
      <c r="D1019" s="1729" t="s">
        <v>1043</v>
      </c>
      <c r="E1019" s="1722"/>
      <c r="F1019" s="195" t="s">
        <v>395</v>
      </c>
      <c r="G1019" s="196" t="s">
        <v>1014</v>
      </c>
    </row>
    <row r="1020" spans="2:7" ht="14.25" x14ac:dyDescent="0.25">
      <c r="B1020" s="300"/>
      <c r="C1020" s="259" t="s">
        <v>1013</v>
      </c>
      <c r="D1020" s="1730">
        <v>191205.12820512822</v>
      </c>
      <c r="E1020" s="1731"/>
      <c r="F1020" s="301">
        <v>0.5</v>
      </c>
      <c r="G1020" s="201">
        <v>95602.564102564109</v>
      </c>
    </row>
    <row r="1021" spans="2:7" x14ac:dyDescent="0.2">
      <c r="B1021" s="300"/>
      <c r="C1021" s="259"/>
      <c r="D1021" s="1725"/>
      <c r="E1021" s="1726"/>
      <c r="F1021" s="302"/>
      <c r="G1021" s="298">
        <v>0</v>
      </c>
    </row>
    <row r="1022" spans="2:7" x14ac:dyDescent="0.2">
      <c r="B1022" s="303"/>
      <c r="C1022" s="292"/>
      <c r="D1022" s="1727"/>
      <c r="E1022" s="1728"/>
      <c r="F1022" s="304"/>
      <c r="G1022" s="299">
        <v>0</v>
      </c>
    </row>
    <row r="1023" spans="2:7" ht="13.5" thickBot="1" x14ac:dyDescent="0.25">
      <c r="B1023" s="258"/>
      <c r="C1023" s="276"/>
      <c r="D1023" s="305"/>
      <c r="E1023" s="305"/>
      <c r="F1023" s="278" t="s">
        <v>1012</v>
      </c>
      <c r="G1023" s="279">
        <v>95603</v>
      </c>
    </row>
    <row r="1024" spans="2:7" x14ac:dyDescent="0.2">
      <c r="B1024" s="258"/>
      <c r="C1024" s="276"/>
      <c r="D1024" s="276"/>
      <c r="E1024" s="276"/>
      <c r="F1024" s="276"/>
      <c r="G1024" s="306"/>
    </row>
    <row r="1025" spans="2:7" x14ac:dyDescent="0.2">
      <c r="B1025" s="148" t="s">
        <v>1011</v>
      </c>
      <c r="C1025" s="149"/>
      <c r="D1025" s="149"/>
      <c r="E1025" s="150"/>
      <c r="F1025" s="150"/>
      <c r="G1025" s="307">
        <v>275665</v>
      </c>
    </row>
    <row r="1026" spans="2:7" x14ac:dyDescent="0.2">
      <c r="B1026" s="258" t="s">
        <v>1010</v>
      </c>
      <c r="C1026" s="276"/>
      <c r="D1026" s="308"/>
      <c r="E1026" s="308"/>
      <c r="F1026" s="308"/>
      <c r="G1026" s="309"/>
    </row>
    <row r="1027" spans="2:7" x14ac:dyDescent="0.2">
      <c r="B1027" s="227"/>
      <c r="C1027" s="228"/>
      <c r="D1027" s="228"/>
      <c r="E1027" s="228"/>
      <c r="F1027" s="228"/>
      <c r="G1027" s="229"/>
    </row>
    <row r="1028" spans="2:7" x14ac:dyDescent="0.2">
      <c r="B1028" s="230"/>
      <c r="C1028" s="231"/>
      <c r="D1028" s="231"/>
      <c r="E1028" s="231"/>
      <c r="F1028" s="231"/>
      <c r="G1028" s="232"/>
    </row>
    <row r="1029" spans="2:7" x14ac:dyDescent="0.2">
      <c r="B1029" s="230"/>
      <c r="C1029" s="231"/>
      <c r="D1029" s="231"/>
      <c r="E1029" s="231"/>
      <c r="F1029" s="231"/>
      <c r="G1029" s="232"/>
    </row>
    <row r="1030" spans="2:7" x14ac:dyDescent="0.2">
      <c r="B1030" s="230"/>
      <c r="C1030" s="231"/>
      <c r="D1030" s="231"/>
      <c r="E1030" s="231"/>
      <c r="F1030" s="231"/>
      <c r="G1030" s="232"/>
    </row>
    <row r="1031" spans="2:7" x14ac:dyDescent="0.2">
      <c r="B1031" s="230"/>
      <c r="C1031" s="231"/>
      <c r="D1031" s="231"/>
      <c r="E1031" s="231"/>
      <c r="F1031" s="231"/>
      <c r="G1031" s="232"/>
    </row>
    <row r="1032" spans="2:7" x14ac:dyDescent="0.2">
      <c r="B1032" s="230"/>
      <c r="C1032" s="231"/>
      <c r="D1032" s="231"/>
      <c r="E1032" s="231"/>
      <c r="F1032" s="231"/>
      <c r="G1032" s="232"/>
    </row>
    <row r="1033" spans="2:7" x14ac:dyDescent="0.2">
      <c r="B1033" s="230"/>
      <c r="C1033" s="231"/>
      <c r="D1033" s="231"/>
      <c r="E1033" s="231"/>
      <c r="F1033" s="231"/>
      <c r="G1033" s="232"/>
    </row>
    <row r="1034" spans="2:7" ht="13.5" thickBot="1" x14ac:dyDescent="0.25">
      <c r="B1034" s="230"/>
      <c r="C1034" s="729"/>
      <c r="D1034" s="231"/>
      <c r="E1034" s="231"/>
      <c r="F1034" s="231"/>
      <c r="G1034" s="232"/>
    </row>
    <row r="1035" spans="2:7" x14ac:dyDescent="0.2">
      <c r="B1035" s="230"/>
      <c r="C1035" s="231" t="s">
        <v>1449</v>
      </c>
      <c r="D1035" s="231"/>
      <c r="E1035" s="1743" t="s">
        <v>865</v>
      </c>
      <c r="F1035" s="1743"/>
      <c r="G1035" s="1744"/>
    </row>
    <row r="1036" spans="2:7" x14ac:dyDescent="0.2">
      <c r="B1036" s="230"/>
      <c r="C1036" s="231" t="s">
        <v>1450</v>
      </c>
      <c r="D1036" s="231"/>
      <c r="E1036" s="1745" t="s">
        <v>866</v>
      </c>
      <c r="F1036" s="1745"/>
      <c r="G1036" s="1746"/>
    </row>
    <row r="1037" spans="2:7" x14ac:dyDescent="0.2">
      <c r="B1037" s="230"/>
      <c r="C1037" s="231"/>
      <c r="D1037" s="231"/>
      <c r="E1037" s="1745" t="s">
        <v>867</v>
      </c>
      <c r="F1037" s="1745"/>
      <c r="G1037" s="1746"/>
    </row>
    <row r="1038" spans="2:7" ht="13.5" thickBot="1" x14ac:dyDescent="0.25">
      <c r="B1038" s="233"/>
      <c r="C1038" s="234"/>
      <c r="D1038" s="234"/>
      <c r="E1038" s="234"/>
      <c r="F1038" s="234"/>
      <c r="G1038" s="235"/>
    </row>
    <row r="1039" spans="2:7" x14ac:dyDescent="0.2">
      <c r="B1039" s="310"/>
      <c r="C1039" s="310"/>
      <c r="D1039" s="310"/>
      <c r="E1039" s="310"/>
      <c r="F1039" s="310"/>
      <c r="G1039" s="310"/>
    </row>
    <row r="1040" spans="2:7" ht="13.5" thickBot="1" x14ac:dyDescent="0.25"/>
    <row r="1041" spans="2:7" x14ac:dyDescent="0.2">
      <c r="B1041" s="1737"/>
      <c r="C1041" s="1738"/>
      <c r="D1041" s="1738"/>
      <c r="E1041" s="1738"/>
      <c r="F1041" s="1738"/>
      <c r="G1041" s="1739"/>
    </row>
    <row r="1042" spans="2:7" x14ac:dyDescent="0.2">
      <c r="B1042" s="244"/>
      <c r="C1042" s="245"/>
      <c r="D1042" s="246" t="s">
        <v>1038</v>
      </c>
      <c r="E1042" s="247"/>
      <c r="F1042" s="248"/>
      <c r="G1042" s="249"/>
    </row>
    <row r="1043" spans="2:7" x14ac:dyDescent="0.2">
      <c r="B1043" s="244"/>
      <c r="C1043" s="250"/>
      <c r="D1043" s="246" t="s">
        <v>180</v>
      </c>
      <c r="E1043" s="251" t="s">
        <v>991</v>
      </c>
      <c r="F1043" s="248"/>
      <c r="G1043" s="249"/>
    </row>
    <row r="1044" spans="2:7" x14ac:dyDescent="0.2">
      <c r="B1044" s="244"/>
      <c r="C1044" s="250"/>
      <c r="D1044" s="246" t="s">
        <v>696</v>
      </c>
      <c r="E1044" s="252">
        <v>1</v>
      </c>
      <c r="F1044" s="248"/>
      <c r="G1044" s="249"/>
    </row>
    <row r="1045" spans="2:7" x14ac:dyDescent="0.2">
      <c r="B1045" s="253"/>
      <c r="C1045" s="248"/>
      <c r="D1045" s="248"/>
      <c r="E1045" s="248"/>
      <c r="F1045" s="248"/>
      <c r="G1045" s="249"/>
    </row>
    <row r="1046" spans="2:7" x14ac:dyDescent="0.2">
      <c r="B1046" s="1740" t="s">
        <v>994</v>
      </c>
      <c r="C1046" s="1741"/>
      <c r="D1046" s="1741"/>
      <c r="E1046" s="1741"/>
      <c r="F1046" s="1741"/>
      <c r="G1046" s="1742"/>
    </row>
    <row r="1047" spans="2:7" x14ac:dyDescent="0.2">
      <c r="B1047" s="254"/>
      <c r="C1047" s="255" t="s">
        <v>1037</v>
      </c>
      <c r="D1047" s="256" t="s">
        <v>119</v>
      </c>
      <c r="E1047" s="256" t="s">
        <v>1008</v>
      </c>
      <c r="F1047" s="256" t="s">
        <v>1009</v>
      </c>
      <c r="G1047" s="257" t="s">
        <v>1036</v>
      </c>
    </row>
    <row r="1048" spans="2:7" x14ac:dyDescent="0.2">
      <c r="B1048" s="258"/>
      <c r="C1048" s="264" t="s">
        <v>1090</v>
      </c>
      <c r="D1048" s="173" t="s">
        <v>991</v>
      </c>
      <c r="E1048" s="174">
        <v>1</v>
      </c>
      <c r="F1048" s="170">
        <v>156950</v>
      </c>
      <c r="G1048" s="268">
        <v>156950</v>
      </c>
    </row>
    <row r="1049" spans="2:7" x14ac:dyDescent="0.2">
      <c r="B1049" s="258"/>
      <c r="C1049" s="264"/>
      <c r="D1049" s="173"/>
      <c r="E1049" s="174"/>
      <c r="F1049" s="267">
        <v>0</v>
      </c>
      <c r="G1049" s="268">
        <v>0</v>
      </c>
    </row>
    <row r="1050" spans="2:7" x14ac:dyDescent="0.2">
      <c r="B1050" s="258"/>
      <c r="C1050" s="264"/>
      <c r="D1050" s="269"/>
      <c r="E1050" s="270"/>
      <c r="F1050" s="267">
        <v>0</v>
      </c>
      <c r="G1050" s="268">
        <v>0</v>
      </c>
    </row>
    <row r="1051" spans="2:7" x14ac:dyDescent="0.2">
      <c r="B1051" s="258"/>
      <c r="C1051" s="264"/>
      <c r="D1051" s="269"/>
      <c r="E1051" s="270"/>
      <c r="F1051" s="267">
        <v>0</v>
      </c>
      <c r="G1051" s="268">
        <v>0</v>
      </c>
    </row>
    <row r="1052" spans="2:7" x14ac:dyDescent="0.2">
      <c r="B1052" s="258"/>
      <c r="C1052" s="264"/>
      <c r="D1052" s="269"/>
      <c r="E1052" s="270"/>
      <c r="F1052" s="267">
        <v>0</v>
      </c>
      <c r="G1052" s="268">
        <v>0</v>
      </c>
    </row>
    <row r="1053" spans="2:7" x14ac:dyDescent="0.2">
      <c r="B1053" s="258"/>
      <c r="C1053" s="264"/>
      <c r="D1053" s="269"/>
      <c r="E1053" s="270"/>
      <c r="F1053" s="267">
        <v>0</v>
      </c>
      <c r="G1053" s="268">
        <v>0</v>
      </c>
    </row>
    <row r="1054" spans="2:7" x14ac:dyDescent="0.2">
      <c r="B1054" s="258"/>
      <c r="C1054" s="264"/>
      <c r="D1054" s="269"/>
      <c r="E1054" s="270"/>
      <c r="F1054" s="267">
        <v>0</v>
      </c>
      <c r="G1054" s="268">
        <v>0</v>
      </c>
    </row>
    <row r="1055" spans="2:7" x14ac:dyDescent="0.2">
      <c r="B1055" s="258"/>
      <c r="C1055" s="264"/>
      <c r="D1055" s="269"/>
      <c r="E1055" s="270"/>
      <c r="F1055" s="267">
        <v>0</v>
      </c>
      <c r="G1055" s="268">
        <v>0</v>
      </c>
    </row>
    <row r="1056" spans="2:7" x14ac:dyDescent="0.2">
      <c r="B1056" s="258"/>
      <c r="C1056" s="264"/>
      <c r="D1056" s="269"/>
      <c r="E1056" s="270"/>
      <c r="F1056" s="267">
        <v>0</v>
      </c>
      <c r="G1056" s="268">
        <v>0</v>
      </c>
    </row>
    <row r="1057" spans="2:7" x14ac:dyDescent="0.2">
      <c r="B1057" s="258"/>
      <c r="C1057" s="264"/>
      <c r="D1057" s="269"/>
      <c r="E1057" s="270"/>
      <c r="F1057" s="267">
        <v>0</v>
      </c>
      <c r="G1057" s="268">
        <v>0</v>
      </c>
    </row>
    <row r="1058" spans="2:7" x14ac:dyDescent="0.2">
      <c r="B1058" s="258"/>
      <c r="C1058" s="264"/>
      <c r="D1058" s="269"/>
      <c r="E1058" s="270"/>
      <c r="F1058" s="267">
        <v>0</v>
      </c>
      <c r="G1058" s="268">
        <v>0</v>
      </c>
    </row>
    <row r="1059" spans="2:7" x14ac:dyDescent="0.2">
      <c r="B1059" s="258"/>
      <c r="C1059" s="264"/>
      <c r="D1059" s="269"/>
      <c r="E1059" s="270"/>
      <c r="F1059" s="267">
        <v>0</v>
      </c>
      <c r="G1059" s="268">
        <v>0</v>
      </c>
    </row>
    <row r="1060" spans="2:7" x14ac:dyDescent="0.2">
      <c r="B1060" s="258"/>
      <c r="C1060" s="264"/>
      <c r="D1060" s="269"/>
      <c r="E1060" s="270"/>
      <c r="F1060" s="267">
        <v>0</v>
      </c>
      <c r="G1060" s="268">
        <v>0</v>
      </c>
    </row>
    <row r="1061" spans="2:7" x14ac:dyDescent="0.2">
      <c r="B1061" s="258"/>
      <c r="C1061" s="264"/>
      <c r="D1061" s="269"/>
      <c r="E1061" s="270"/>
      <c r="F1061" s="267">
        <v>0</v>
      </c>
      <c r="G1061" s="268">
        <v>0</v>
      </c>
    </row>
    <row r="1062" spans="2:7" x14ac:dyDescent="0.2">
      <c r="B1062" s="258"/>
      <c r="C1062" s="264"/>
      <c r="D1062" s="269"/>
      <c r="E1062" s="270"/>
      <c r="F1062" s="267">
        <v>0</v>
      </c>
      <c r="G1062" s="268">
        <v>0</v>
      </c>
    </row>
    <row r="1063" spans="2:7" x14ac:dyDescent="0.2">
      <c r="B1063" s="258"/>
      <c r="C1063" s="264"/>
      <c r="D1063" s="269"/>
      <c r="E1063" s="270"/>
      <c r="F1063" s="267">
        <v>0</v>
      </c>
      <c r="G1063" s="268">
        <v>0</v>
      </c>
    </row>
    <row r="1064" spans="2:7" x14ac:dyDescent="0.2">
      <c r="B1064" s="258"/>
      <c r="C1064" s="264"/>
      <c r="D1064" s="269"/>
      <c r="E1064" s="270"/>
      <c r="F1064" s="267">
        <v>0</v>
      </c>
      <c r="G1064" s="268">
        <v>0</v>
      </c>
    </row>
    <row r="1065" spans="2:7" x14ac:dyDescent="0.2">
      <c r="B1065" s="258"/>
      <c r="C1065" s="264"/>
      <c r="D1065" s="269"/>
      <c r="E1065" s="270"/>
      <c r="F1065" s="267">
        <v>0</v>
      </c>
      <c r="G1065" s="268">
        <v>0</v>
      </c>
    </row>
    <row r="1066" spans="2:7" x14ac:dyDescent="0.2">
      <c r="B1066" s="258"/>
      <c r="C1066" s="264"/>
      <c r="D1066" s="269"/>
      <c r="E1066" s="270"/>
      <c r="F1066" s="267">
        <v>0</v>
      </c>
      <c r="G1066" s="268">
        <v>0</v>
      </c>
    </row>
    <row r="1067" spans="2:7" x14ac:dyDescent="0.2">
      <c r="B1067" s="258"/>
      <c r="C1067" s="264"/>
      <c r="D1067" s="269"/>
      <c r="E1067" s="270"/>
      <c r="F1067" s="267">
        <v>0</v>
      </c>
      <c r="G1067" s="268">
        <v>0</v>
      </c>
    </row>
    <row r="1068" spans="2:7" x14ac:dyDescent="0.2">
      <c r="B1068" s="258"/>
      <c r="C1068" s="264"/>
      <c r="D1068" s="269"/>
      <c r="E1068" s="270"/>
      <c r="F1068" s="267">
        <v>0</v>
      </c>
      <c r="G1068" s="268">
        <v>0</v>
      </c>
    </row>
    <row r="1069" spans="2:7" x14ac:dyDescent="0.2">
      <c r="B1069" s="258"/>
      <c r="C1069" s="264"/>
      <c r="D1069" s="269"/>
      <c r="E1069" s="270"/>
      <c r="F1069" s="267">
        <v>0</v>
      </c>
      <c r="G1069" s="268">
        <v>0</v>
      </c>
    </row>
    <row r="1070" spans="2:7" x14ac:dyDescent="0.2">
      <c r="B1070" s="258"/>
      <c r="C1070" s="264"/>
      <c r="D1070" s="269"/>
      <c r="E1070" s="270"/>
      <c r="F1070" s="267">
        <v>0</v>
      </c>
      <c r="G1070" s="268">
        <v>0</v>
      </c>
    </row>
    <row r="1071" spans="2:7" x14ac:dyDescent="0.2">
      <c r="B1071" s="258"/>
      <c r="C1071" s="264"/>
      <c r="D1071" s="269"/>
      <c r="E1071" s="270"/>
      <c r="F1071" s="267">
        <v>0</v>
      </c>
      <c r="G1071" s="268">
        <v>0</v>
      </c>
    </row>
    <row r="1072" spans="2:7" x14ac:dyDescent="0.2">
      <c r="B1072" s="258"/>
      <c r="C1072" s="271"/>
      <c r="D1072" s="269"/>
      <c r="E1072" s="270"/>
      <c r="F1072" s="267">
        <v>0</v>
      </c>
      <c r="G1072" s="268">
        <v>0</v>
      </c>
    </row>
    <row r="1073" spans="2:7" x14ac:dyDescent="0.2">
      <c r="B1073" s="258"/>
      <c r="C1073" s="272" t="s">
        <v>1026</v>
      </c>
      <c r="D1073" s="273"/>
      <c r="E1073" s="274"/>
      <c r="F1073" s="275"/>
      <c r="G1073" s="184"/>
    </row>
    <row r="1074" spans="2:7" ht="13.5" thickBot="1" x14ac:dyDescent="0.25">
      <c r="B1074" s="258"/>
      <c r="C1074" s="276"/>
      <c r="D1074" s="277"/>
      <c r="E1074" s="277"/>
      <c r="F1074" s="278" t="s">
        <v>1025</v>
      </c>
      <c r="G1074" s="279">
        <v>156950</v>
      </c>
    </row>
    <row r="1075" spans="2:7" x14ac:dyDescent="0.2">
      <c r="B1075" s="258"/>
      <c r="C1075" s="280"/>
      <c r="D1075" s="281"/>
      <c r="E1075" s="281"/>
      <c r="F1075" s="281"/>
      <c r="G1075" s="282"/>
    </row>
    <row r="1076" spans="2:7" x14ac:dyDescent="0.2">
      <c r="B1076" s="258"/>
      <c r="C1076" s="283" t="s">
        <v>1024</v>
      </c>
      <c r="D1076" s="1721" t="s">
        <v>385</v>
      </c>
      <c r="E1076" s="1722"/>
      <c r="F1076" s="284" t="s">
        <v>395</v>
      </c>
      <c r="G1076" s="285" t="s">
        <v>1014</v>
      </c>
    </row>
    <row r="1077" spans="2:7" x14ac:dyDescent="0.2">
      <c r="B1077" s="286"/>
      <c r="C1077" s="259" t="s">
        <v>1022</v>
      </c>
      <c r="D1077" s="1732">
        <v>74400</v>
      </c>
      <c r="E1077" s="1733"/>
      <c r="F1077" s="287">
        <v>0.1</v>
      </c>
      <c r="G1077" s="288">
        <v>7440</v>
      </c>
    </row>
    <row r="1078" spans="2:7" x14ac:dyDescent="0.2">
      <c r="B1078" s="286"/>
      <c r="C1078" s="289"/>
      <c r="D1078" s="1725"/>
      <c r="E1078" s="1726"/>
      <c r="F1078" s="290"/>
      <c r="G1078" s="291"/>
    </row>
    <row r="1079" spans="2:7" x14ac:dyDescent="0.2">
      <c r="B1079" s="258"/>
      <c r="C1079" s="292"/>
      <c r="D1079" s="1727"/>
      <c r="E1079" s="1728"/>
      <c r="F1079" s="293"/>
      <c r="G1079" s="294">
        <v>0</v>
      </c>
    </row>
    <row r="1080" spans="2:7" ht="13.5" thickBot="1" x14ac:dyDescent="0.25">
      <c r="B1080" s="258"/>
      <c r="C1080" s="276"/>
      <c r="D1080" s="295"/>
      <c r="E1080" s="281"/>
      <c r="F1080" s="278" t="s">
        <v>1021</v>
      </c>
      <c r="G1080" s="279">
        <v>7440</v>
      </c>
    </row>
    <row r="1081" spans="2:7" x14ac:dyDescent="0.2">
      <c r="B1081" s="258"/>
      <c r="C1081" s="276"/>
      <c r="D1081" s="281"/>
      <c r="E1081" s="281"/>
      <c r="F1081" s="281"/>
      <c r="G1081" s="282"/>
    </row>
    <row r="1082" spans="2:7" x14ac:dyDescent="0.2">
      <c r="B1082" s="258"/>
      <c r="C1082" s="283" t="s">
        <v>1020</v>
      </c>
      <c r="D1082" s="1721" t="s">
        <v>385</v>
      </c>
      <c r="E1082" s="1722"/>
      <c r="F1082" s="284" t="s">
        <v>395</v>
      </c>
      <c r="G1082" s="285" t="s">
        <v>1014</v>
      </c>
    </row>
    <row r="1083" spans="2:7" x14ac:dyDescent="0.2">
      <c r="B1083" s="286"/>
      <c r="C1083" s="259" t="s">
        <v>1044</v>
      </c>
      <c r="D1083" s="1723" t="s">
        <v>1018</v>
      </c>
      <c r="E1083" s="1724"/>
      <c r="F1083" s="296">
        <v>0.02</v>
      </c>
      <c r="G1083" s="288">
        <v>2294.4615384615386</v>
      </c>
    </row>
    <row r="1084" spans="2:7" x14ac:dyDescent="0.2">
      <c r="B1084" s="286"/>
      <c r="C1084" s="259"/>
      <c r="D1084" s="1725"/>
      <c r="E1084" s="1726"/>
      <c r="F1084" s="297"/>
      <c r="G1084" s="298">
        <v>0</v>
      </c>
    </row>
    <row r="1085" spans="2:7" x14ac:dyDescent="0.2">
      <c r="B1085" s="258"/>
      <c r="C1085" s="292"/>
      <c r="D1085" s="1727"/>
      <c r="E1085" s="1728"/>
      <c r="F1085" s="293"/>
      <c r="G1085" s="299">
        <v>0</v>
      </c>
    </row>
    <row r="1086" spans="2:7" ht="13.5" thickBot="1" x14ac:dyDescent="0.25">
      <c r="B1086" s="258"/>
      <c r="C1086" s="276"/>
      <c r="D1086" s="281"/>
      <c r="E1086" s="281"/>
      <c r="F1086" s="278" t="s">
        <v>1017</v>
      </c>
      <c r="G1086" s="279">
        <v>2294</v>
      </c>
    </row>
    <row r="1087" spans="2:7" x14ac:dyDescent="0.2">
      <c r="B1087" s="258"/>
      <c r="C1087" s="276"/>
      <c r="D1087" s="281"/>
      <c r="E1087" s="281"/>
      <c r="F1087" s="281"/>
      <c r="G1087" s="282"/>
    </row>
    <row r="1088" spans="2:7" x14ac:dyDescent="0.2">
      <c r="B1088" s="258"/>
      <c r="C1088" s="283" t="s">
        <v>1016</v>
      </c>
      <c r="D1088" s="1729" t="s">
        <v>1043</v>
      </c>
      <c r="E1088" s="1722"/>
      <c r="F1088" s="195" t="s">
        <v>395</v>
      </c>
      <c r="G1088" s="196" t="s">
        <v>1014</v>
      </c>
    </row>
    <row r="1089" spans="2:7" ht="14.25" x14ac:dyDescent="0.25">
      <c r="B1089" s="300"/>
      <c r="C1089" s="259" t="s">
        <v>1013</v>
      </c>
      <c r="D1089" s="1730">
        <v>191205.12820512822</v>
      </c>
      <c r="E1089" s="1731"/>
      <c r="F1089" s="301">
        <v>0.6</v>
      </c>
      <c r="G1089" s="201">
        <v>114723.07692307692</v>
      </c>
    </row>
    <row r="1090" spans="2:7" x14ac:dyDescent="0.2">
      <c r="B1090" s="300"/>
      <c r="C1090" s="259"/>
      <c r="D1090" s="1725"/>
      <c r="E1090" s="1726"/>
      <c r="F1090" s="302"/>
      <c r="G1090" s="298">
        <v>0</v>
      </c>
    </row>
    <row r="1091" spans="2:7" x14ac:dyDescent="0.2">
      <c r="B1091" s="303"/>
      <c r="C1091" s="292"/>
      <c r="D1091" s="1727"/>
      <c r="E1091" s="1728"/>
      <c r="F1091" s="304"/>
      <c r="G1091" s="299">
        <v>0</v>
      </c>
    </row>
    <row r="1092" spans="2:7" ht="13.5" thickBot="1" x14ac:dyDescent="0.25">
      <c r="B1092" s="258"/>
      <c r="C1092" s="276"/>
      <c r="D1092" s="305"/>
      <c r="E1092" s="305"/>
      <c r="F1092" s="278" t="s">
        <v>1012</v>
      </c>
      <c r="G1092" s="279">
        <v>114723</v>
      </c>
    </row>
    <row r="1093" spans="2:7" x14ac:dyDescent="0.2">
      <c r="B1093" s="258"/>
      <c r="C1093" s="276"/>
      <c r="D1093" s="276"/>
      <c r="E1093" s="276"/>
      <c r="F1093" s="276"/>
      <c r="G1093" s="306"/>
    </row>
    <row r="1094" spans="2:7" x14ac:dyDescent="0.2">
      <c r="B1094" s="148" t="s">
        <v>1011</v>
      </c>
      <c r="C1094" s="149"/>
      <c r="D1094" s="149"/>
      <c r="E1094" s="150"/>
      <c r="F1094" s="150"/>
      <c r="G1094" s="307">
        <v>281407</v>
      </c>
    </row>
    <row r="1095" spans="2:7" x14ac:dyDescent="0.2">
      <c r="B1095" s="258" t="s">
        <v>1010</v>
      </c>
      <c r="C1095" s="276"/>
      <c r="D1095" s="308"/>
      <c r="E1095" s="308"/>
      <c r="F1095" s="308"/>
      <c r="G1095" s="309"/>
    </row>
    <row r="1096" spans="2:7" x14ac:dyDescent="0.2">
      <c r="B1096" s="227"/>
      <c r="C1096" s="228"/>
      <c r="D1096" s="228"/>
      <c r="E1096" s="228"/>
      <c r="F1096" s="228"/>
      <c r="G1096" s="229"/>
    </row>
    <row r="1097" spans="2:7" x14ac:dyDescent="0.2">
      <c r="B1097" s="230"/>
      <c r="C1097" s="231"/>
      <c r="D1097" s="231"/>
      <c r="E1097" s="231"/>
      <c r="F1097" s="231"/>
      <c r="G1097" s="232"/>
    </row>
    <row r="1098" spans="2:7" x14ac:dyDescent="0.2">
      <c r="B1098" s="230"/>
      <c r="C1098" s="231"/>
      <c r="D1098" s="231"/>
      <c r="E1098" s="231"/>
      <c r="F1098" s="231"/>
      <c r="G1098" s="232"/>
    </row>
    <row r="1099" spans="2:7" x14ac:dyDescent="0.2">
      <c r="B1099" s="230"/>
      <c r="C1099" s="231"/>
      <c r="D1099" s="231"/>
      <c r="E1099" s="231"/>
      <c r="F1099" s="231"/>
      <c r="G1099" s="232"/>
    </row>
    <row r="1100" spans="2:7" x14ac:dyDescent="0.2">
      <c r="B1100" s="230"/>
      <c r="C1100" s="231"/>
      <c r="D1100" s="231"/>
      <c r="E1100" s="231"/>
      <c r="F1100" s="231"/>
      <c r="G1100" s="232"/>
    </row>
    <row r="1101" spans="2:7" x14ac:dyDescent="0.2">
      <c r="B1101" s="230"/>
      <c r="C1101" s="231"/>
      <c r="D1101" s="231"/>
      <c r="E1101" s="231"/>
      <c r="F1101" s="231"/>
      <c r="G1101" s="232"/>
    </row>
    <row r="1102" spans="2:7" x14ac:dyDescent="0.2">
      <c r="B1102" s="230"/>
      <c r="C1102" s="231"/>
      <c r="D1102" s="231"/>
      <c r="E1102" s="231"/>
      <c r="F1102" s="231"/>
      <c r="G1102" s="232"/>
    </row>
    <row r="1103" spans="2:7" ht="13.5" thickBot="1" x14ac:dyDescent="0.25">
      <c r="B1103" s="230"/>
      <c r="C1103" s="729"/>
      <c r="D1103" s="231"/>
      <c r="E1103" s="231"/>
      <c r="F1103" s="231"/>
      <c r="G1103" s="232"/>
    </row>
    <row r="1104" spans="2:7" x14ac:dyDescent="0.2">
      <c r="B1104" s="230"/>
      <c r="C1104" s="231" t="s">
        <v>1449</v>
      </c>
      <c r="D1104" s="231"/>
      <c r="E1104" s="1743" t="s">
        <v>865</v>
      </c>
      <c r="F1104" s="1743"/>
      <c r="G1104" s="1744"/>
    </row>
    <row r="1105" spans="2:7" x14ac:dyDescent="0.2">
      <c r="B1105" s="230"/>
      <c r="C1105" s="231" t="s">
        <v>1450</v>
      </c>
      <c r="D1105" s="231"/>
      <c r="E1105" s="1745" t="s">
        <v>866</v>
      </c>
      <c r="F1105" s="1745"/>
      <c r="G1105" s="1746"/>
    </row>
    <row r="1106" spans="2:7" x14ac:dyDescent="0.2">
      <c r="B1106" s="230"/>
      <c r="C1106" s="231"/>
      <c r="D1106" s="231"/>
      <c r="E1106" s="1745" t="s">
        <v>867</v>
      </c>
      <c r="F1106" s="1745"/>
      <c r="G1106" s="1746"/>
    </row>
    <row r="1107" spans="2:7" ht="13.5" thickBot="1" x14ac:dyDescent="0.25">
      <c r="B1107" s="233"/>
      <c r="C1107" s="234"/>
      <c r="D1107" s="234"/>
      <c r="E1107" s="234"/>
      <c r="F1107" s="234"/>
      <c r="G1107" s="235"/>
    </row>
    <row r="1108" spans="2:7" x14ac:dyDescent="0.2">
      <c r="B1108" s="310"/>
      <c r="C1108" s="310"/>
      <c r="D1108" s="310"/>
      <c r="E1108" s="310"/>
      <c r="F1108" s="310"/>
      <c r="G1108" s="310"/>
    </row>
    <row r="1109" spans="2:7" ht="13.5" thickBot="1" x14ac:dyDescent="0.25"/>
    <row r="1110" spans="2:7" x14ac:dyDescent="0.2">
      <c r="B1110" s="1737"/>
      <c r="C1110" s="1738"/>
      <c r="D1110" s="1738"/>
      <c r="E1110" s="1738"/>
      <c r="F1110" s="1738"/>
      <c r="G1110" s="1739"/>
    </row>
    <row r="1111" spans="2:7" x14ac:dyDescent="0.2">
      <c r="B1111" s="244"/>
      <c r="C1111" s="245"/>
      <c r="D1111" s="246" t="s">
        <v>1038</v>
      </c>
      <c r="E1111" s="247"/>
      <c r="F1111" s="248"/>
      <c r="G1111" s="249"/>
    </row>
    <row r="1112" spans="2:7" x14ac:dyDescent="0.2">
      <c r="B1112" s="244"/>
      <c r="C1112" s="250"/>
      <c r="D1112" s="246" t="s">
        <v>180</v>
      </c>
      <c r="E1112" s="251" t="s">
        <v>991</v>
      </c>
      <c r="F1112" s="248"/>
      <c r="G1112" s="249"/>
    </row>
    <row r="1113" spans="2:7" x14ac:dyDescent="0.2">
      <c r="B1113" s="244"/>
      <c r="C1113" s="250"/>
      <c r="D1113" s="246" t="s">
        <v>696</v>
      </c>
      <c r="E1113" s="252">
        <v>1</v>
      </c>
      <c r="F1113" s="248"/>
      <c r="G1113" s="249"/>
    </row>
    <row r="1114" spans="2:7" x14ac:dyDescent="0.2">
      <c r="B1114" s="253"/>
      <c r="C1114" s="248"/>
      <c r="D1114" s="248"/>
      <c r="E1114" s="248"/>
      <c r="F1114" s="248"/>
      <c r="G1114" s="249"/>
    </row>
    <row r="1115" spans="2:7" x14ac:dyDescent="0.2">
      <c r="B1115" s="1740" t="s">
        <v>993</v>
      </c>
      <c r="C1115" s="1741"/>
      <c r="D1115" s="1741"/>
      <c r="E1115" s="1741"/>
      <c r="F1115" s="1741"/>
      <c r="G1115" s="1742"/>
    </row>
    <row r="1116" spans="2:7" x14ac:dyDescent="0.2">
      <c r="B1116" s="254"/>
      <c r="C1116" s="255" t="s">
        <v>1037</v>
      </c>
      <c r="D1116" s="256" t="s">
        <v>119</v>
      </c>
      <c r="E1116" s="256" t="s">
        <v>1008</v>
      </c>
      <c r="F1116" s="256" t="s">
        <v>1009</v>
      </c>
      <c r="G1116" s="257" t="s">
        <v>1036</v>
      </c>
    </row>
    <row r="1117" spans="2:7" x14ac:dyDescent="0.2">
      <c r="B1117" s="258"/>
      <c r="C1117" s="264" t="s">
        <v>1091</v>
      </c>
      <c r="D1117" s="173" t="s">
        <v>9</v>
      </c>
      <c r="E1117" s="174">
        <v>1</v>
      </c>
      <c r="F1117" s="170">
        <v>49051.799999999996</v>
      </c>
      <c r="G1117" s="268">
        <v>49051.799999999996</v>
      </c>
    </row>
    <row r="1118" spans="2:7" x14ac:dyDescent="0.2">
      <c r="B1118" s="258"/>
      <c r="C1118" s="172" t="s">
        <v>1086</v>
      </c>
      <c r="D1118" s="176" t="s">
        <v>474</v>
      </c>
      <c r="E1118" s="178">
        <v>0.16</v>
      </c>
      <c r="F1118" s="170">
        <v>27958.7</v>
      </c>
      <c r="G1118" s="317">
        <v>4473.3919999999998</v>
      </c>
    </row>
    <row r="1119" spans="2:7" x14ac:dyDescent="0.2">
      <c r="B1119" s="258"/>
      <c r="C1119" s="264"/>
      <c r="D1119" s="269"/>
      <c r="E1119" s="270"/>
      <c r="F1119" s="267">
        <v>0</v>
      </c>
      <c r="G1119" s="268">
        <v>0</v>
      </c>
    </row>
    <row r="1120" spans="2:7" x14ac:dyDescent="0.2">
      <c r="B1120" s="258"/>
      <c r="C1120" s="264"/>
      <c r="D1120" s="269"/>
      <c r="E1120" s="270"/>
      <c r="F1120" s="267">
        <v>0</v>
      </c>
      <c r="G1120" s="268">
        <v>0</v>
      </c>
    </row>
    <row r="1121" spans="2:7" x14ac:dyDescent="0.2">
      <c r="B1121" s="258"/>
      <c r="C1121" s="264"/>
      <c r="D1121" s="269"/>
      <c r="E1121" s="270"/>
      <c r="F1121" s="267">
        <v>0</v>
      </c>
      <c r="G1121" s="268">
        <v>0</v>
      </c>
    </row>
    <row r="1122" spans="2:7" x14ac:dyDescent="0.2">
      <c r="B1122" s="258"/>
      <c r="C1122" s="264"/>
      <c r="D1122" s="269"/>
      <c r="E1122" s="270"/>
      <c r="F1122" s="267">
        <v>0</v>
      </c>
      <c r="G1122" s="268">
        <v>0</v>
      </c>
    </row>
    <row r="1123" spans="2:7" x14ac:dyDescent="0.2">
      <c r="B1123" s="258"/>
      <c r="C1123" s="264"/>
      <c r="D1123" s="269"/>
      <c r="E1123" s="270"/>
      <c r="F1123" s="267">
        <v>0</v>
      </c>
      <c r="G1123" s="268">
        <v>0</v>
      </c>
    </row>
    <row r="1124" spans="2:7" x14ac:dyDescent="0.2">
      <c r="B1124" s="258"/>
      <c r="C1124" s="264"/>
      <c r="D1124" s="269"/>
      <c r="E1124" s="270"/>
      <c r="F1124" s="267">
        <v>0</v>
      </c>
      <c r="G1124" s="268">
        <v>0</v>
      </c>
    </row>
    <row r="1125" spans="2:7" x14ac:dyDescent="0.2">
      <c r="B1125" s="258"/>
      <c r="C1125" s="264"/>
      <c r="D1125" s="269"/>
      <c r="E1125" s="270"/>
      <c r="F1125" s="267">
        <v>0</v>
      </c>
      <c r="G1125" s="268">
        <v>0</v>
      </c>
    </row>
    <row r="1126" spans="2:7" x14ac:dyDescent="0.2">
      <c r="B1126" s="258"/>
      <c r="C1126" s="264"/>
      <c r="D1126" s="269"/>
      <c r="E1126" s="270"/>
      <c r="F1126" s="267">
        <v>0</v>
      </c>
      <c r="G1126" s="268">
        <v>0</v>
      </c>
    </row>
    <row r="1127" spans="2:7" x14ac:dyDescent="0.2">
      <c r="B1127" s="258"/>
      <c r="C1127" s="264"/>
      <c r="D1127" s="269"/>
      <c r="E1127" s="270"/>
      <c r="F1127" s="267">
        <v>0</v>
      </c>
      <c r="G1127" s="268">
        <v>0</v>
      </c>
    </row>
    <row r="1128" spans="2:7" x14ac:dyDescent="0.2">
      <c r="B1128" s="258"/>
      <c r="C1128" s="264"/>
      <c r="D1128" s="269"/>
      <c r="E1128" s="270"/>
      <c r="F1128" s="267">
        <v>0</v>
      </c>
      <c r="G1128" s="268">
        <v>0</v>
      </c>
    </row>
    <row r="1129" spans="2:7" x14ac:dyDescent="0.2">
      <c r="B1129" s="258"/>
      <c r="C1129" s="264"/>
      <c r="D1129" s="269"/>
      <c r="E1129" s="270"/>
      <c r="F1129" s="267">
        <v>0</v>
      </c>
      <c r="G1129" s="268">
        <v>0</v>
      </c>
    </row>
    <row r="1130" spans="2:7" x14ac:dyDescent="0.2">
      <c r="B1130" s="258"/>
      <c r="C1130" s="264"/>
      <c r="D1130" s="269"/>
      <c r="E1130" s="270"/>
      <c r="F1130" s="267">
        <v>0</v>
      </c>
      <c r="G1130" s="268">
        <v>0</v>
      </c>
    </row>
    <row r="1131" spans="2:7" x14ac:dyDescent="0.2">
      <c r="B1131" s="258"/>
      <c r="C1131" s="264"/>
      <c r="D1131" s="269"/>
      <c r="E1131" s="270"/>
      <c r="F1131" s="267">
        <v>0</v>
      </c>
      <c r="G1131" s="268">
        <v>0</v>
      </c>
    </row>
    <row r="1132" spans="2:7" x14ac:dyDescent="0.2">
      <c r="B1132" s="258"/>
      <c r="C1132" s="264"/>
      <c r="D1132" s="269"/>
      <c r="E1132" s="270"/>
      <c r="F1132" s="267">
        <v>0</v>
      </c>
      <c r="G1132" s="268">
        <v>0</v>
      </c>
    </row>
    <row r="1133" spans="2:7" x14ac:dyDescent="0.2">
      <c r="B1133" s="258"/>
      <c r="C1133" s="264"/>
      <c r="D1133" s="269"/>
      <c r="E1133" s="270"/>
      <c r="F1133" s="267">
        <v>0</v>
      </c>
      <c r="G1133" s="268">
        <v>0</v>
      </c>
    </row>
    <row r="1134" spans="2:7" x14ac:dyDescent="0.2">
      <c r="B1134" s="258"/>
      <c r="C1134" s="264"/>
      <c r="D1134" s="269"/>
      <c r="E1134" s="270"/>
      <c r="F1134" s="267">
        <v>0</v>
      </c>
      <c r="G1134" s="268">
        <v>0</v>
      </c>
    </row>
    <row r="1135" spans="2:7" x14ac:dyDescent="0.2">
      <c r="B1135" s="258"/>
      <c r="C1135" s="264"/>
      <c r="D1135" s="269"/>
      <c r="E1135" s="270"/>
      <c r="F1135" s="267">
        <v>0</v>
      </c>
      <c r="G1135" s="268">
        <v>0</v>
      </c>
    </row>
    <row r="1136" spans="2:7" x14ac:dyDescent="0.2">
      <c r="B1136" s="258"/>
      <c r="C1136" s="264"/>
      <c r="D1136" s="269"/>
      <c r="E1136" s="270"/>
      <c r="F1136" s="267">
        <v>0</v>
      </c>
      <c r="G1136" s="268">
        <v>0</v>
      </c>
    </row>
    <row r="1137" spans="2:7" x14ac:dyDescent="0.2">
      <c r="B1137" s="258"/>
      <c r="C1137" s="264"/>
      <c r="D1137" s="269"/>
      <c r="E1137" s="270"/>
      <c r="F1137" s="267">
        <v>0</v>
      </c>
      <c r="G1137" s="268">
        <v>0</v>
      </c>
    </row>
    <row r="1138" spans="2:7" x14ac:dyDescent="0.2">
      <c r="B1138" s="258"/>
      <c r="C1138" s="264"/>
      <c r="D1138" s="269"/>
      <c r="E1138" s="270"/>
      <c r="F1138" s="267">
        <v>0</v>
      </c>
      <c r="G1138" s="268">
        <v>0</v>
      </c>
    </row>
    <row r="1139" spans="2:7" x14ac:dyDescent="0.2">
      <c r="B1139" s="258"/>
      <c r="C1139" s="264"/>
      <c r="D1139" s="269"/>
      <c r="E1139" s="270"/>
      <c r="F1139" s="267">
        <v>0</v>
      </c>
      <c r="G1139" s="268">
        <v>0</v>
      </c>
    </row>
    <row r="1140" spans="2:7" x14ac:dyDescent="0.2">
      <c r="B1140" s="258"/>
      <c r="C1140" s="264"/>
      <c r="D1140" s="269"/>
      <c r="E1140" s="270"/>
      <c r="F1140" s="267">
        <v>0</v>
      </c>
      <c r="G1140" s="268">
        <v>0</v>
      </c>
    </row>
    <row r="1141" spans="2:7" x14ac:dyDescent="0.2">
      <c r="B1141" s="258"/>
      <c r="C1141" s="271"/>
      <c r="D1141" s="269"/>
      <c r="E1141" s="270"/>
      <c r="F1141" s="267">
        <v>0</v>
      </c>
      <c r="G1141" s="268">
        <v>0</v>
      </c>
    </row>
    <row r="1142" spans="2:7" x14ac:dyDescent="0.2">
      <c r="B1142" s="258"/>
      <c r="C1142" s="272" t="s">
        <v>1026</v>
      </c>
      <c r="D1142" s="273"/>
      <c r="E1142" s="274"/>
      <c r="F1142" s="275"/>
      <c r="G1142" s="184"/>
    </row>
    <row r="1143" spans="2:7" ht="13.5" thickBot="1" x14ac:dyDescent="0.25">
      <c r="B1143" s="258"/>
      <c r="C1143" s="276"/>
      <c r="D1143" s="277"/>
      <c r="E1143" s="277"/>
      <c r="F1143" s="278" t="s">
        <v>1025</v>
      </c>
      <c r="G1143" s="279">
        <v>53525</v>
      </c>
    </row>
    <row r="1144" spans="2:7" x14ac:dyDescent="0.2">
      <c r="B1144" s="258"/>
      <c r="C1144" s="280"/>
      <c r="D1144" s="281"/>
      <c r="E1144" s="281"/>
      <c r="F1144" s="281"/>
      <c r="G1144" s="282"/>
    </row>
    <row r="1145" spans="2:7" x14ac:dyDescent="0.2">
      <c r="B1145" s="258"/>
      <c r="C1145" s="283" t="s">
        <v>1024</v>
      </c>
      <c r="D1145" s="1721" t="s">
        <v>385</v>
      </c>
      <c r="E1145" s="1722"/>
      <c r="F1145" s="284" t="s">
        <v>395</v>
      </c>
      <c r="G1145" s="285" t="s">
        <v>1014</v>
      </c>
    </row>
    <row r="1146" spans="2:7" x14ac:dyDescent="0.2">
      <c r="B1146" s="286"/>
      <c r="C1146" s="259" t="s">
        <v>1022</v>
      </c>
      <c r="D1146" s="1732">
        <v>74400</v>
      </c>
      <c r="E1146" s="1733"/>
      <c r="F1146" s="287">
        <v>0.05</v>
      </c>
      <c r="G1146" s="288">
        <v>3720</v>
      </c>
    </row>
    <row r="1147" spans="2:7" x14ac:dyDescent="0.2">
      <c r="B1147" s="286"/>
      <c r="C1147" s="289"/>
      <c r="D1147" s="1725"/>
      <c r="E1147" s="1726"/>
      <c r="F1147" s="290"/>
      <c r="G1147" s="291"/>
    </row>
    <row r="1148" spans="2:7" x14ac:dyDescent="0.2">
      <c r="B1148" s="258"/>
      <c r="C1148" s="292"/>
      <c r="D1148" s="1727"/>
      <c r="E1148" s="1728"/>
      <c r="F1148" s="293"/>
      <c r="G1148" s="294">
        <v>0</v>
      </c>
    </row>
    <row r="1149" spans="2:7" ht="13.5" thickBot="1" x14ac:dyDescent="0.25">
      <c r="B1149" s="258"/>
      <c r="C1149" s="276"/>
      <c r="D1149" s="295"/>
      <c r="E1149" s="281"/>
      <c r="F1149" s="278" t="s">
        <v>1021</v>
      </c>
      <c r="G1149" s="279">
        <v>3720</v>
      </c>
    </row>
    <row r="1150" spans="2:7" x14ac:dyDescent="0.2">
      <c r="B1150" s="258"/>
      <c r="C1150" s="276"/>
      <c r="D1150" s="281"/>
      <c r="E1150" s="281"/>
      <c r="F1150" s="281"/>
      <c r="G1150" s="282"/>
    </row>
    <row r="1151" spans="2:7" x14ac:dyDescent="0.2">
      <c r="B1151" s="258"/>
      <c r="C1151" s="283" t="s">
        <v>1020</v>
      </c>
      <c r="D1151" s="1721" t="s">
        <v>385</v>
      </c>
      <c r="E1151" s="1722"/>
      <c r="F1151" s="284" t="s">
        <v>395</v>
      </c>
      <c r="G1151" s="285" t="s">
        <v>1014</v>
      </c>
    </row>
    <row r="1152" spans="2:7" x14ac:dyDescent="0.2">
      <c r="B1152" s="286"/>
      <c r="C1152" s="259" t="s">
        <v>1044</v>
      </c>
      <c r="D1152" s="1723" t="s">
        <v>1018</v>
      </c>
      <c r="E1152" s="1724"/>
      <c r="F1152" s="296">
        <v>0.02</v>
      </c>
      <c r="G1152" s="288">
        <v>382.41025641025647</v>
      </c>
    </row>
    <row r="1153" spans="2:7" x14ac:dyDescent="0.2">
      <c r="B1153" s="286"/>
      <c r="C1153" s="259"/>
      <c r="D1153" s="1725"/>
      <c r="E1153" s="1726"/>
      <c r="F1153" s="297"/>
      <c r="G1153" s="298">
        <v>0</v>
      </c>
    </row>
    <row r="1154" spans="2:7" x14ac:dyDescent="0.2">
      <c r="B1154" s="258"/>
      <c r="C1154" s="292"/>
      <c r="D1154" s="1727"/>
      <c r="E1154" s="1728"/>
      <c r="F1154" s="293"/>
      <c r="G1154" s="299">
        <v>0</v>
      </c>
    </row>
    <row r="1155" spans="2:7" ht="13.5" thickBot="1" x14ac:dyDescent="0.25">
      <c r="B1155" s="258"/>
      <c r="C1155" s="276"/>
      <c r="D1155" s="281"/>
      <c r="E1155" s="281"/>
      <c r="F1155" s="278" t="s">
        <v>1017</v>
      </c>
      <c r="G1155" s="279">
        <v>382</v>
      </c>
    </row>
    <row r="1156" spans="2:7" x14ac:dyDescent="0.2">
      <c r="B1156" s="258"/>
      <c r="C1156" s="276"/>
      <c r="D1156" s="281"/>
      <c r="E1156" s="281"/>
      <c r="F1156" s="281"/>
      <c r="G1156" s="282"/>
    </row>
    <row r="1157" spans="2:7" x14ac:dyDescent="0.2">
      <c r="B1157" s="258"/>
      <c r="C1157" s="283" t="s">
        <v>1016</v>
      </c>
      <c r="D1157" s="1729" t="s">
        <v>1043</v>
      </c>
      <c r="E1157" s="1722"/>
      <c r="F1157" s="195" t="s">
        <v>395</v>
      </c>
      <c r="G1157" s="196" t="s">
        <v>1014</v>
      </c>
    </row>
    <row r="1158" spans="2:7" ht="14.25" x14ac:dyDescent="0.25">
      <c r="B1158" s="300"/>
      <c r="C1158" s="259" t="s">
        <v>1013</v>
      </c>
      <c r="D1158" s="1730">
        <v>191205.12820512822</v>
      </c>
      <c r="E1158" s="1731"/>
      <c r="F1158" s="301">
        <v>0.1</v>
      </c>
      <c r="G1158" s="201">
        <v>19120.512820512824</v>
      </c>
    </row>
    <row r="1159" spans="2:7" x14ac:dyDescent="0.2">
      <c r="B1159" s="300"/>
      <c r="C1159" s="259"/>
      <c r="D1159" s="1725"/>
      <c r="E1159" s="1726"/>
      <c r="F1159" s="302"/>
      <c r="G1159" s="298">
        <v>0</v>
      </c>
    </row>
    <row r="1160" spans="2:7" x14ac:dyDescent="0.2">
      <c r="B1160" s="303"/>
      <c r="C1160" s="292"/>
      <c r="D1160" s="1727"/>
      <c r="E1160" s="1728"/>
      <c r="F1160" s="304"/>
      <c r="G1160" s="299">
        <v>0</v>
      </c>
    </row>
    <row r="1161" spans="2:7" ht="13.5" thickBot="1" x14ac:dyDescent="0.25">
      <c r="B1161" s="258"/>
      <c r="C1161" s="276"/>
      <c r="D1161" s="305"/>
      <c r="E1161" s="305"/>
      <c r="F1161" s="278" t="s">
        <v>1012</v>
      </c>
      <c r="G1161" s="279">
        <v>19121</v>
      </c>
    </row>
    <row r="1162" spans="2:7" x14ac:dyDescent="0.2">
      <c r="B1162" s="258"/>
      <c r="C1162" s="276"/>
      <c r="D1162" s="276"/>
      <c r="E1162" s="276"/>
      <c r="F1162" s="276"/>
      <c r="G1162" s="306"/>
    </row>
    <row r="1163" spans="2:7" x14ac:dyDescent="0.2">
      <c r="B1163" s="148" t="s">
        <v>1011</v>
      </c>
      <c r="C1163" s="149"/>
      <c r="D1163" s="149"/>
      <c r="E1163" s="150"/>
      <c r="F1163" s="150"/>
      <c r="G1163" s="307">
        <v>76748</v>
      </c>
    </row>
    <row r="1164" spans="2:7" x14ac:dyDescent="0.2">
      <c r="B1164" s="258" t="s">
        <v>1010</v>
      </c>
      <c r="C1164" s="276"/>
      <c r="D1164" s="308"/>
      <c r="E1164" s="308"/>
      <c r="F1164" s="308"/>
      <c r="G1164" s="309"/>
    </row>
    <row r="1165" spans="2:7" x14ac:dyDescent="0.2">
      <c r="B1165" s="227"/>
      <c r="C1165" s="228"/>
      <c r="D1165" s="228"/>
      <c r="E1165" s="228"/>
      <c r="F1165" s="228"/>
      <c r="G1165" s="229"/>
    </row>
    <row r="1166" spans="2:7" x14ac:dyDescent="0.2">
      <c r="B1166" s="230"/>
      <c r="C1166" s="231"/>
      <c r="D1166" s="231"/>
      <c r="E1166" s="231"/>
      <c r="F1166" s="231"/>
      <c r="G1166" s="232"/>
    </row>
    <row r="1167" spans="2:7" x14ac:dyDescent="0.2">
      <c r="B1167" s="230"/>
      <c r="C1167" s="231"/>
      <c r="D1167" s="231"/>
      <c r="E1167" s="231"/>
      <c r="F1167" s="231"/>
      <c r="G1167" s="232"/>
    </row>
    <row r="1168" spans="2:7" x14ac:dyDescent="0.2">
      <c r="B1168" s="230"/>
      <c r="C1168" s="231"/>
      <c r="D1168" s="231"/>
      <c r="E1168" s="231"/>
      <c r="F1168" s="231"/>
      <c r="G1168" s="232"/>
    </row>
    <row r="1169" spans="2:7" x14ac:dyDescent="0.2">
      <c r="B1169" s="230"/>
      <c r="C1169" s="231"/>
      <c r="D1169" s="231"/>
      <c r="E1169" s="231"/>
      <c r="F1169" s="231"/>
      <c r="G1169" s="232"/>
    </row>
    <row r="1170" spans="2:7" x14ac:dyDescent="0.2">
      <c r="B1170" s="230"/>
      <c r="C1170" s="231"/>
      <c r="D1170" s="231"/>
      <c r="E1170" s="231"/>
      <c r="F1170" s="231"/>
      <c r="G1170" s="232"/>
    </row>
    <row r="1171" spans="2:7" x14ac:dyDescent="0.2">
      <c r="B1171" s="230"/>
      <c r="C1171" s="231"/>
      <c r="D1171" s="231"/>
      <c r="E1171" s="231"/>
      <c r="F1171" s="231"/>
      <c r="G1171" s="232"/>
    </row>
    <row r="1172" spans="2:7" ht="13.5" thickBot="1" x14ac:dyDescent="0.25">
      <c r="B1172" s="230"/>
      <c r="C1172" s="729"/>
      <c r="D1172" s="231"/>
      <c r="E1172" s="231"/>
      <c r="F1172" s="231"/>
      <c r="G1172" s="232"/>
    </row>
    <row r="1173" spans="2:7" x14ac:dyDescent="0.2">
      <c r="B1173" s="230"/>
      <c r="C1173" s="231" t="s">
        <v>1449</v>
      </c>
      <c r="D1173" s="231"/>
      <c r="E1173" s="1743" t="s">
        <v>865</v>
      </c>
      <c r="F1173" s="1743"/>
      <c r="G1173" s="1744"/>
    </row>
    <row r="1174" spans="2:7" x14ac:dyDescent="0.2">
      <c r="B1174" s="230"/>
      <c r="C1174" s="231" t="s">
        <v>1450</v>
      </c>
      <c r="D1174" s="231"/>
      <c r="E1174" s="1745" t="s">
        <v>866</v>
      </c>
      <c r="F1174" s="1745"/>
      <c r="G1174" s="1746"/>
    </row>
    <row r="1175" spans="2:7" x14ac:dyDescent="0.2">
      <c r="B1175" s="230"/>
      <c r="C1175" s="231"/>
      <c r="D1175" s="231"/>
      <c r="E1175" s="1745" t="s">
        <v>867</v>
      </c>
      <c r="F1175" s="1745"/>
      <c r="G1175" s="1746"/>
    </row>
    <row r="1176" spans="2:7" ht="13.5" thickBot="1" x14ac:dyDescent="0.25">
      <c r="B1176" s="233"/>
      <c r="C1176" s="234"/>
      <c r="D1176" s="234"/>
      <c r="E1176" s="234"/>
      <c r="F1176" s="234"/>
      <c r="G1176" s="235"/>
    </row>
    <row r="1177" spans="2:7" x14ac:dyDescent="0.2">
      <c r="B1177" s="310"/>
      <c r="C1177" s="310"/>
      <c r="D1177" s="310"/>
      <c r="E1177" s="310"/>
      <c r="F1177" s="310"/>
      <c r="G1177" s="310"/>
    </row>
    <row r="1178" spans="2:7" ht="13.5" thickBot="1" x14ac:dyDescent="0.25"/>
    <row r="1179" spans="2:7" x14ac:dyDescent="0.2">
      <c r="B1179" s="1737"/>
      <c r="C1179" s="1738"/>
      <c r="D1179" s="1738"/>
      <c r="E1179" s="1738"/>
      <c r="F1179" s="1738"/>
      <c r="G1179" s="1739"/>
    </row>
    <row r="1180" spans="2:7" x14ac:dyDescent="0.2">
      <c r="B1180" s="244"/>
      <c r="C1180" s="245"/>
      <c r="D1180" s="246" t="s">
        <v>1038</v>
      </c>
      <c r="E1180" s="247"/>
      <c r="F1180" s="248"/>
      <c r="G1180" s="249"/>
    </row>
    <row r="1181" spans="2:7" x14ac:dyDescent="0.2">
      <c r="B1181" s="244"/>
      <c r="C1181" s="250"/>
      <c r="D1181" s="246" t="s">
        <v>180</v>
      </c>
      <c r="E1181" s="251" t="s">
        <v>991</v>
      </c>
      <c r="F1181" s="248"/>
      <c r="G1181" s="249"/>
    </row>
    <row r="1182" spans="2:7" x14ac:dyDescent="0.2">
      <c r="B1182" s="244"/>
      <c r="C1182" s="250"/>
      <c r="D1182" s="246" t="s">
        <v>696</v>
      </c>
      <c r="E1182" s="252">
        <v>1</v>
      </c>
      <c r="F1182" s="248"/>
      <c r="G1182" s="249"/>
    </row>
    <row r="1183" spans="2:7" x14ac:dyDescent="0.2">
      <c r="B1183" s="253"/>
      <c r="C1183" s="248"/>
      <c r="D1183" s="248"/>
      <c r="E1183" s="248"/>
      <c r="F1183" s="248"/>
      <c r="G1183" s="249"/>
    </row>
    <row r="1184" spans="2:7" x14ac:dyDescent="0.2">
      <c r="B1184" s="1740" t="s">
        <v>992</v>
      </c>
      <c r="C1184" s="1741"/>
      <c r="D1184" s="1741"/>
      <c r="E1184" s="1741"/>
      <c r="F1184" s="1741"/>
      <c r="G1184" s="1742"/>
    </row>
    <row r="1185" spans="2:7" x14ac:dyDescent="0.2">
      <c r="B1185" s="254"/>
      <c r="C1185" s="255" t="s">
        <v>1037</v>
      </c>
      <c r="D1185" s="256" t="s">
        <v>119</v>
      </c>
      <c r="E1185" s="256" t="s">
        <v>1008</v>
      </c>
      <c r="F1185" s="256" t="s">
        <v>1009</v>
      </c>
      <c r="G1185" s="257" t="s">
        <v>1036</v>
      </c>
    </row>
    <row r="1186" spans="2:7" x14ac:dyDescent="0.2">
      <c r="B1186" s="258"/>
      <c r="C1186" s="264" t="s">
        <v>1092</v>
      </c>
      <c r="D1186" s="173" t="s">
        <v>991</v>
      </c>
      <c r="E1186" s="174">
        <v>1</v>
      </c>
      <c r="F1186" s="170">
        <v>9400</v>
      </c>
      <c r="G1186" s="268">
        <v>9400</v>
      </c>
    </row>
    <row r="1187" spans="2:7" x14ac:dyDescent="0.2">
      <c r="B1187" s="258"/>
      <c r="C1187" s="264"/>
      <c r="D1187" s="173"/>
      <c r="E1187" s="174"/>
      <c r="F1187" s="267">
        <v>0</v>
      </c>
      <c r="G1187" s="268">
        <v>0</v>
      </c>
    </row>
    <row r="1188" spans="2:7" x14ac:dyDescent="0.2">
      <c r="B1188" s="258"/>
      <c r="C1188" s="264"/>
      <c r="D1188" s="269"/>
      <c r="E1188" s="270"/>
      <c r="F1188" s="267">
        <v>0</v>
      </c>
      <c r="G1188" s="268">
        <v>0</v>
      </c>
    </row>
    <row r="1189" spans="2:7" x14ac:dyDescent="0.2">
      <c r="B1189" s="258"/>
      <c r="C1189" s="264"/>
      <c r="D1189" s="269"/>
      <c r="E1189" s="270"/>
      <c r="F1189" s="267">
        <v>0</v>
      </c>
      <c r="G1189" s="268">
        <v>0</v>
      </c>
    </row>
    <row r="1190" spans="2:7" x14ac:dyDescent="0.2">
      <c r="B1190" s="258"/>
      <c r="C1190" s="264"/>
      <c r="D1190" s="269"/>
      <c r="E1190" s="270"/>
      <c r="F1190" s="267">
        <v>0</v>
      </c>
      <c r="G1190" s="268">
        <v>0</v>
      </c>
    </row>
    <row r="1191" spans="2:7" x14ac:dyDescent="0.2">
      <c r="B1191" s="258"/>
      <c r="C1191" s="264"/>
      <c r="D1191" s="269"/>
      <c r="E1191" s="270"/>
      <c r="F1191" s="267">
        <v>0</v>
      </c>
      <c r="G1191" s="268">
        <v>0</v>
      </c>
    </row>
    <row r="1192" spans="2:7" x14ac:dyDescent="0.2">
      <c r="B1192" s="258"/>
      <c r="C1192" s="264"/>
      <c r="D1192" s="269"/>
      <c r="E1192" s="270"/>
      <c r="F1192" s="267">
        <v>0</v>
      </c>
      <c r="G1192" s="268">
        <v>0</v>
      </c>
    </row>
    <row r="1193" spans="2:7" x14ac:dyDescent="0.2">
      <c r="B1193" s="258"/>
      <c r="C1193" s="264"/>
      <c r="D1193" s="269"/>
      <c r="E1193" s="270"/>
      <c r="F1193" s="267">
        <v>0</v>
      </c>
      <c r="G1193" s="268">
        <v>0</v>
      </c>
    </row>
    <row r="1194" spans="2:7" x14ac:dyDescent="0.2">
      <c r="B1194" s="258"/>
      <c r="C1194" s="264"/>
      <c r="D1194" s="269"/>
      <c r="E1194" s="270"/>
      <c r="F1194" s="267">
        <v>0</v>
      </c>
      <c r="G1194" s="268">
        <v>0</v>
      </c>
    </row>
    <row r="1195" spans="2:7" x14ac:dyDescent="0.2">
      <c r="B1195" s="258"/>
      <c r="C1195" s="264"/>
      <c r="D1195" s="269"/>
      <c r="E1195" s="270"/>
      <c r="F1195" s="267">
        <v>0</v>
      </c>
      <c r="G1195" s="268">
        <v>0</v>
      </c>
    </row>
    <row r="1196" spans="2:7" x14ac:dyDescent="0.2">
      <c r="B1196" s="258"/>
      <c r="C1196" s="264"/>
      <c r="D1196" s="269"/>
      <c r="E1196" s="270"/>
      <c r="F1196" s="267">
        <v>0</v>
      </c>
      <c r="G1196" s="268">
        <v>0</v>
      </c>
    </row>
    <row r="1197" spans="2:7" x14ac:dyDescent="0.2">
      <c r="B1197" s="258"/>
      <c r="C1197" s="264"/>
      <c r="D1197" s="269"/>
      <c r="E1197" s="270"/>
      <c r="F1197" s="267">
        <v>0</v>
      </c>
      <c r="G1197" s="268">
        <v>0</v>
      </c>
    </row>
    <row r="1198" spans="2:7" x14ac:dyDescent="0.2">
      <c r="B1198" s="258"/>
      <c r="C1198" s="264"/>
      <c r="D1198" s="269"/>
      <c r="E1198" s="270"/>
      <c r="F1198" s="267">
        <v>0</v>
      </c>
      <c r="G1198" s="268">
        <v>0</v>
      </c>
    </row>
    <row r="1199" spans="2:7" x14ac:dyDescent="0.2">
      <c r="B1199" s="258"/>
      <c r="C1199" s="264"/>
      <c r="D1199" s="269"/>
      <c r="E1199" s="270"/>
      <c r="F1199" s="267">
        <v>0</v>
      </c>
      <c r="G1199" s="268">
        <v>0</v>
      </c>
    </row>
    <row r="1200" spans="2:7" x14ac:dyDescent="0.2">
      <c r="B1200" s="258"/>
      <c r="C1200" s="264"/>
      <c r="D1200" s="269"/>
      <c r="E1200" s="270"/>
      <c r="F1200" s="267">
        <v>0</v>
      </c>
      <c r="G1200" s="268">
        <v>0</v>
      </c>
    </row>
    <row r="1201" spans="2:7" x14ac:dyDescent="0.2">
      <c r="B1201" s="258"/>
      <c r="C1201" s="264"/>
      <c r="D1201" s="269"/>
      <c r="E1201" s="270"/>
      <c r="F1201" s="267">
        <v>0</v>
      </c>
      <c r="G1201" s="268">
        <v>0</v>
      </c>
    </row>
    <row r="1202" spans="2:7" x14ac:dyDescent="0.2">
      <c r="B1202" s="258"/>
      <c r="C1202" s="264"/>
      <c r="D1202" s="269"/>
      <c r="E1202" s="270"/>
      <c r="F1202" s="267">
        <v>0</v>
      </c>
      <c r="G1202" s="268">
        <v>0</v>
      </c>
    </row>
    <row r="1203" spans="2:7" x14ac:dyDescent="0.2">
      <c r="B1203" s="258"/>
      <c r="C1203" s="264"/>
      <c r="D1203" s="269"/>
      <c r="E1203" s="270"/>
      <c r="F1203" s="267">
        <v>0</v>
      </c>
      <c r="G1203" s="268">
        <v>0</v>
      </c>
    </row>
    <row r="1204" spans="2:7" x14ac:dyDescent="0.2">
      <c r="B1204" s="258"/>
      <c r="C1204" s="264"/>
      <c r="D1204" s="269"/>
      <c r="E1204" s="270"/>
      <c r="F1204" s="267">
        <v>0</v>
      </c>
      <c r="G1204" s="268">
        <v>0</v>
      </c>
    </row>
    <row r="1205" spans="2:7" x14ac:dyDescent="0.2">
      <c r="B1205" s="258"/>
      <c r="C1205" s="264"/>
      <c r="D1205" s="269"/>
      <c r="E1205" s="270"/>
      <c r="F1205" s="267">
        <v>0</v>
      </c>
      <c r="G1205" s="268">
        <v>0</v>
      </c>
    </row>
    <row r="1206" spans="2:7" x14ac:dyDescent="0.2">
      <c r="B1206" s="258"/>
      <c r="C1206" s="264"/>
      <c r="D1206" s="269"/>
      <c r="E1206" s="270"/>
      <c r="F1206" s="267">
        <v>0</v>
      </c>
      <c r="G1206" s="268">
        <v>0</v>
      </c>
    </row>
    <row r="1207" spans="2:7" x14ac:dyDescent="0.2">
      <c r="B1207" s="258"/>
      <c r="C1207" s="264"/>
      <c r="D1207" s="269"/>
      <c r="E1207" s="270"/>
      <c r="F1207" s="267">
        <v>0</v>
      </c>
      <c r="G1207" s="268">
        <v>0</v>
      </c>
    </row>
    <row r="1208" spans="2:7" x14ac:dyDescent="0.2">
      <c r="B1208" s="258"/>
      <c r="C1208" s="264"/>
      <c r="D1208" s="269"/>
      <c r="E1208" s="270"/>
      <c r="F1208" s="267">
        <v>0</v>
      </c>
      <c r="G1208" s="268">
        <v>0</v>
      </c>
    </row>
    <row r="1209" spans="2:7" x14ac:dyDescent="0.2">
      <c r="B1209" s="258"/>
      <c r="C1209" s="264"/>
      <c r="D1209" s="269"/>
      <c r="E1209" s="270"/>
      <c r="F1209" s="267">
        <v>0</v>
      </c>
      <c r="G1209" s="268">
        <v>0</v>
      </c>
    </row>
    <row r="1210" spans="2:7" x14ac:dyDescent="0.2">
      <c r="B1210" s="258"/>
      <c r="C1210" s="271"/>
      <c r="D1210" s="269"/>
      <c r="E1210" s="270"/>
      <c r="F1210" s="267">
        <v>0</v>
      </c>
      <c r="G1210" s="268">
        <v>0</v>
      </c>
    </row>
    <row r="1211" spans="2:7" x14ac:dyDescent="0.2">
      <c r="B1211" s="258"/>
      <c r="C1211" s="272" t="s">
        <v>1026</v>
      </c>
      <c r="D1211" s="273"/>
      <c r="E1211" s="274"/>
      <c r="F1211" s="275"/>
      <c r="G1211" s="184"/>
    </row>
    <row r="1212" spans="2:7" ht="13.5" thickBot="1" x14ac:dyDescent="0.25">
      <c r="B1212" s="258"/>
      <c r="C1212" s="276"/>
      <c r="D1212" s="277"/>
      <c r="E1212" s="277"/>
      <c r="F1212" s="278" t="s">
        <v>1025</v>
      </c>
      <c r="G1212" s="279">
        <v>9400</v>
      </c>
    </row>
    <row r="1213" spans="2:7" x14ac:dyDescent="0.2">
      <c r="B1213" s="258"/>
      <c r="C1213" s="280"/>
      <c r="D1213" s="281"/>
      <c r="E1213" s="281"/>
      <c r="F1213" s="281"/>
      <c r="G1213" s="282"/>
    </row>
    <row r="1214" spans="2:7" x14ac:dyDescent="0.2">
      <c r="B1214" s="258"/>
      <c r="C1214" s="283" t="s">
        <v>1024</v>
      </c>
      <c r="D1214" s="1721" t="s">
        <v>385</v>
      </c>
      <c r="E1214" s="1722"/>
      <c r="F1214" s="284" t="s">
        <v>395</v>
      </c>
      <c r="G1214" s="285" t="s">
        <v>1014</v>
      </c>
    </row>
    <row r="1215" spans="2:7" x14ac:dyDescent="0.2">
      <c r="B1215" s="286"/>
      <c r="C1215" s="259" t="s">
        <v>1022</v>
      </c>
      <c r="D1215" s="1732">
        <v>74400</v>
      </c>
      <c r="E1215" s="1733"/>
      <c r="F1215" s="287">
        <v>0.01</v>
      </c>
      <c r="G1215" s="288">
        <v>744</v>
      </c>
    </row>
    <row r="1216" spans="2:7" x14ac:dyDescent="0.2">
      <c r="B1216" s="286"/>
      <c r="C1216" s="289"/>
      <c r="D1216" s="1725"/>
      <c r="E1216" s="1726"/>
      <c r="F1216" s="290"/>
      <c r="G1216" s="291"/>
    </row>
    <row r="1217" spans="2:7" x14ac:dyDescent="0.2">
      <c r="B1217" s="258"/>
      <c r="C1217" s="292"/>
      <c r="D1217" s="1727"/>
      <c r="E1217" s="1728"/>
      <c r="F1217" s="293"/>
      <c r="G1217" s="294">
        <v>0</v>
      </c>
    </row>
    <row r="1218" spans="2:7" ht="13.5" thickBot="1" x14ac:dyDescent="0.25">
      <c r="B1218" s="258"/>
      <c r="C1218" s="276"/>
      <c r="D1218" s="295"/>
      <c r="E1218" s="281"/>
      <c r="F1218" s="278" t="s">
        <v>1021</v>
      </c>
      <c r="G1218" s="279">
        <v>744</v>
      </c>
    </row>
    <row r="1219" spans="2:7" x14ac:dyDescent="0.2">
      <c r="B1219" s="258"/>
      <c r="C1219" s="276"/>
      <c r="D1219" s="281"/>
      <c r="E1219" s="281"/>
      <c r="F1219" s="281"/>
      <c r="G1219" s="282"/>
    </row>
    <row r="1220" spans="2:7" x14ac:dyDescent="0.2">
      <c r="B1220" s="258"/>
      <c r="C1220" s="283" t="s">
        <v>1020</v>
      </c>
      <c r="D1220" s="1721" t="s">
        <v>385</v>
      </c>
      <c r="E1220" s="1722"/>
      <c r="F1220" s="284" t="s">
        <v>395</v>
      </c>
      <c r="G1220" s="285" t="s">
        <v>1014</v>
      </c>
    </row>
    <row r="1221" spans="2:7" x14ac:dyDescent="0.2">
      <c r="B1221" s="286"/>
      <c r="C1221" s="259" t="s">
        <v>1044</v>
      </c>
      <c r="D1221" s="1723" t="s">
        <v>1018</v>
      </c>
      <c r="E1221" s="1724"/>
      <c r="F1221" s="296">
        <v>0.02</v>
      </c>
      <c r="G1221" s="288">
        <v>956.02564102564111</v>
      </c>
    </row>
    <row r="1222" spans="2:7" x14ac:dyDescent="0.2">
      <c r="B1222" s="286"/>
      <c r="C1222" s="259"/>
      <c r="D1222" s="1725"/>
      <c r="E1222" s="1726"/>
      <c r="F1222" s="297"/>
      <c r="G1222" s="298">
        <v>0</v>
      </c>
    </row>
    <row r="1223" spans="2:7" x14ac:dyDescent="0.2">
      <c r="B1223" s="258"/>
      <c r="C1223" s="292"/>
      <c r="D1223" s="1727"/>
      <c r="E1223" s="1728"/>
      <c r="F1223" s="293"/>
      <c r="G1223" s="299">
        <v>0</v>
      </c>
    </row>
    <row r="1224" spans="2:7" ht="13.5" thickBot="1" x14ac:dyDescent="0.25">
      <c r="B1224" s="258"/>
      <c r="C1224" s="276"/>
      <c r="D1224" s="281"/>
      <c r="E1224" s="281"/>
      <c r="F1224" s="278" t="s">
        <v>1017</v>
      </c>
      <c r="G1224" s="279">
        <v>956</v>
      </c>
    </row>
    <row r="1225" spans="2:7" x14ac:dyDescent="0.2">
      <c r="B1225" s="258"/>
      <c r="C1225" s="276"/>
      <c r="D1225" s="281"/>
      <c r="E1225" s="281"/>
      <c r="F1225" s="281"/>
      <c r="G1225" s="282"/>
    </row>
    <row r="1226" spans="2:7" x14ac:dyDescent="0.2">
      <c r="B1226" s="258"/>
      <c r="C1226" s="283" t="s">
        <v>1016</v>
      </c>
      <c r="D1226" s="1729" t="s">
        <v>1043</v>
      </c>
      <c r="E1226" s="1722"/>
      <c r="F1226" s="195" t="s">
        <v>395</v>
      </c>
      <c r="G1226" s="196" t="s">
        <v>1014</v>
      </c>
    </row>
    <row r="1227" spans="2:7" ht="14.25" x14ac:dyDescent="0.25">
      <c r="B1227" s="300"/>
      <c r="C1227" s="259" t="s">
        <v>1013</v>
      </c>
      <c r="D1227" s="1730">
        <v>191205.12820512822</v>
      </c>
      <c r="E1227" s="1731"/>
      <c r="F1227" s="301">
        <v>0.25</v>
      </c>
      <c r="G1227" s="201">
        <v>47801.282051282054</v>
      </c>
    </row>
    <row r="1228" spans="2:7" x14ac:dyDescent="0.2">
      <c r="B1228" s="300"/>
      <c r="C1228" s="259"/>
      <c r="D1228" s="1725"/>
      <c r="E1228" s="1726"/>
      <c r="F1228" s="302"/>
      <c r="G1228" s="298">
        <v>0</v>
      </c>
    </row>
    <row r="1229" spans="2:7" x14ac:dyDescent="0.2">
      <c r="B1229" s="303"/>
      <c r="C1229" s="292"/>
      <c r="D1229" s="1727"/>
      <c r="E1229" s="1728"/>
      <c r="F1229" s="304"/>
      <c r="G1229" s="299">
        <v>0</v>
      </c>
    </row>
    <row r="1230" spans="2:7" ht="13.5" thickBot="1" x14ac:dyDescent="0.25">
      <c r="B1230" s="258"/>
      <c r="C1230" s="276"/>
      <c r="D1230" s="305"/>
      <c r="E1230" s="305"/>
      <c r="F1230" s="278" t="s">
        <v>1012</v>
      </c>
      <c r="G1230" s="279">
        <v>47801</v>
      </c>
    </row>
    <row r="1231" spans="2:7" x14ac:dyDescent="0.2">
      <c r="B1231" s="258"/>
      <c r="C1231" s="276"/>
      <c r="D1231" s="276"/>
      <c r="E1231" s="276"/>
      <c r="F1231" s="276"/>
      <c r="G1231" s="306"/>
    </row>
    <row r="1232" spans="2:7" x14ac:dyDescent="0.2">
      <c r="B1232" s="148" t="s">
        <v>1011</v>
      </c>
      <c r="C1232" s="149"/>
      <c r="D1232" s="149"/>
      <c r="E1232" s="150"/>
      <c r="F1232" s="150"/>
      <c r="G1232" s="307">
        <v>58901</v>
      </c>
    </row>
    <row r="1233" spans="2:7" x14ac:dyDescent="0.2">
      <c r="B1233" s="258" t="s">
        <v>1010</v>
      </c>
      <c r="C1233" s="276"/>
      <c r="D1233" s="308"/>
      <c r="E1233" s="308"/>
      <c r="F1233" s="308"/>
      <c r="G1233" s="309"/>
    </row>
    <row r="1234" spans="2:7" x14ac:dyDescent="0.2">
      <c r="B1234" s="227"/>
      <c r="C1234" s="228"/>
      <c r="D1234" s="228"/>
      <c r="E1234" s="228"/>
      <c r="F1234" s="228"/>
      <c r="G1234" s="229"/>
    </row>
    <row r="1235" spans="2:7" x14ac:dyDescent="0.2">
      <c r="B1235" s="230"/>
      <c r="C1235" s="231"/>
      <c r="D1235" s="231"/>
      <c r="E1235" s="231"/>
      <c r="F1235" s="231"/>
      <c r="G1235" s="232"/>
    </row>
    <row r="1236" spans="2:7" x14ac:dyDescent="0.2">
      <c r="B1236" s="230"/>
      <c r="C1236" s="231"/>
      <c r="D1236" s="231"/>
      <c r="E1236" s="231"/>
      <c r="F1236" s="231"/>
      <c r="G1236" s="232"/>
    </row>
    <row r="1237" spans="2:7" x14ac:dyDescent="0.2">
      <c r="B1237" s="230"/>
      <c r="C1237" s="231"/>
      <c r="D1237" s="231"/>
      <c r="E1237" s="231"/>
      <c r="F1237" s="231"/>
      <c r="G1237" s="232"/>
    </row>
    <row r="1238" spans="2:7" x14ac:dyDescent="0.2">
      <c r="B1238" s="230"/>
      <c r="C1238" s="231"/>
      <c r="D1238" s="231"/>
      <c r="E1238" s="231"/>
      <c r="F1238" s="231"/>
      <c r="G1238" s="232"/>
    </row>
    <row r="1239" spans="2:7" x14ac:dyDescent="0.2">
      <c r="B1239" s="230"/>
      <c r="C1239" s="231"/>
      <c r="D1239" s="231"/>
      <c r="E1239" s="231"/>
      <c r="F1239" s="231"/>
      <c r="G1239" s="232"/>
    </row>
    <row r="1240" spans="2:7" x14ac:dyDescent="0.2">
      <c r="B1240" s="230"/>
      <c r="C1240" s="231"/>
      <c r="D1240" s="231"/>
      <c r="E1240" s="231"/>
      <c r="F1240" s="231"/>
      <c r="G1240" s="232"/>
    </row>
    <row r="1241" spans="2:7" ht="13.5" thickBot="1" x14ac:dyDescent="0.25">
      <c r="B1241" s="230"/>
      <c r="C1241" s="729"/>
      <c r="D1241" s="231"/>
      <c r="E1241" s="231"/>
      <c r="F1241" s="231"/>
      <c r="G1241" s="232"/>
    </row>
    <row r="1242" spans="2:7" x14ac:dyDescent="0.2">
      <c r="B1242" s="230"/>
      <c r="C1242" s="231" t="s">
        <v>1449</v>
      </c>
      <c r="D1242" s="231"/>
      <c r="E1242" s="1743" t="s">
        <v>865</v>
      </c>
      <c r="F1242" s="1743"/>
      <c r="G1242" s="1744"/>
    </row>
    <row r="1243" spans="2:7" x14ac:dyDescent="0.2">
      <c r="B1243" s="230"/>
      <c r="C1243" s="231" t="s">
        <v>1450</v>
      </c>
      <c r="D1243" s="231"/>
      <c r="E1243" s="1745" t="s">
        <v>866</v>
      </c>
      <c r="F1243" s="1745"/>
      <c r="G1243" s="1746"/>
    </row>
    <row r="1244" spans="2:7" x14ac:dyDescent="0.2">
      <c r="B1244" s="230"/>
      <c r="C1244" s="231"/>
      <c r="D1244" s="231"/>
      <c r="E1244" s="1745" t="s">
        <v>867</v>
      </c>
      <c r="F1244" s="1745"/>
      <c r="G1244" s="1746"/>
    </row>
    <row r="1245" spans="2:7" ht="13.5" thickBot="1" x14ac:dyDescent="0.25">
      <c r="B1245" s="233"/>
      <c r="C1245" s="234"/>
      <c r="D1245" s="234"/>
      <c r="E1245" s="234"/>
      <c r="F1245" s="234"/>
      <c r="G1245" s="235"/>
    </row>
    <row r="1248" spans="2:7" ht="13.5" thickBot="1" x14ac:dyDescent="0.25"/>
    <row r="1249" spans="2:7" ht="13.5" thickBot="1" x14ac:dyDescent="0.25">
      <c r="B1249" s="1674" t="s">
        <v>1138</v>
      </c>
      <c r="C1249" s="1675"/>
      <c r="D1249" s="1675"/>
      <c r="E1249" s="1675"/>
      <c r="F1249" s="1675"/>
      <c r="G1249" s="1676"/>
    </row>
    <row r="1250" spans="2:7" ht="13.5" thickBot="1" x14ac:dyDescent="0.25">
      <c r="B1250" s="746"/>
      <c r="C1250" s="747"/>
      <c r="D1250" s="747"/>
      <c r="E1250" s="747"/>
      <c r="F1250" s="747"/>
      <c r="G1250" s="748"/>
    </row>
    <row r="1251" spans="2:7" ht="13.5" thickBot="1" x14ac:dyDescent="0.25">
      <c r="B1251" s="1674" t="s">
        <v>1137</v>
      </c>
      <c r="C1251" s="1675"/>
      <c r="D1251" s="1675"/>
      <c r="E1251" s="1675"/>
      <c r="F1251" s="1676"/>
      <c r="G1251" s="748"/>
    </row>
    <row r="1252" spans="2:7" x14ac:dyDescent="0.2">
      <c r="B1252" s="1712" t="s">
        <v>1136</v>
      </c>
      <c r="C1252" s="1713"/>
      <c r="D1252" s="1713"/>
      <c r="E1252" s="1714"/>
      <c r="F1252" s="107">
        <v>1300000</v>
      </c>
      <c r="G1252" s="748"/>
    </row>
    <row r="1253" spans="2:7" x14ac:dyDescent="0.2">
      <c r="B1253" s="1734" t="s">
        <v>1135</v>
      </c>
      <c r="C1253" s="1735"/>
      <c r="D1253" s="1735"/>
      <c r="E1253" s="1736"/>
      <c r="F1253" s="106">
        <v>50000</v>
      </c>
      <c r="G1253" s="748"/>
    </row>
    <row r="1254" spans="2:7" ht="13.5" thickBot="1" x14ac:dyDescent="0.25">
      <c r="B1254" s="1709" t="s">
        <v>1134</v>
      </c>
      <c r="C1254" s="1710"/>
      <c r="D1254" s="1710"/>
      <c r="E1254" s="1711"/>
      <c r="F1254" s="105">
        <v>117172</v>
      </c>
      <c r="G1254" s="748"/>
    </row>
    <row r="1255" spans="2:7" ht="13.5" thickBot="1" x14ac:dyDescent="0.25">
      <c r="B1255" s="1718" t="s">
        <v>1133</v>
      </c>
      <c r="C1255" s="1719"/>
      <c r="D1255" s="1719"/>
      <c r="E1255" s="1719"/>
      <c r="F1255" s="1720"/>
      <c r="G1255" s="748"/>
    </row>
    <row r="1256" spans="2:7" x14ac:dyDescent="0.2">
      <c r="B1256" s="1712" t="s">
        <v>1132</v>
      </c>
      <c r="C1256" s="1713"/>
      <c r="D1256" s="1713"/>
      <c r="E1256" s="1714"/>
      <c r="F1256" s="103">
        <v>8.3333333333333329E-2</v>
      </c>
      <c r="G1256" s="748"/>
    </row>
    <row r="1257" spans="2:7" x14ac:dyDescent="0.2">
      <c r="B1257" s="1715" t="s">
        <v>1131</v>
      </c>
      <c r="C1257" s="1716"/>
      <c r="D1257" s="1716"/>
      <c r="E1257" s="1717"/>
      <c r="F1257" s="102">
        <v>1.2E-2</v>
      </c>
      <c r="G1257" s="748"/>
    </row>
    <row r="1258" spans="2:7" x14ac:dyDescent="0.2">
      <c r="B1258" s="1715" t="s">
        <v>1130</v>
      </c>
      <c r="C1258" s="1716"/>
      <c r="D1258" s="1716"/>
      <c r="E1258" s="1717"/>
      <c r="F1258" s="102">
        <v>8.3333333333333329E-2</v>
      </c>
      <c r="G1258" s="748"/>
    </row>
    <row r="1259" spans="2:7" x14ac:dyDescent="0.2">
      <c r="B1259" s="1715" t="s">
        <v>1129</v>
      </c>
      <c r="C1259" s="1716"/>
      <c r="D1259" s="1716"/>
      <c r="E1259" s="1717"/>
      <c r="F1259" s="102">
        <v>4.1666666666666664E-2</v>
      </c>
      <c r="G1259" s="748"/>
    </row>
    <row r="1260" spans="2:7" ht="13.5" thickBot="1" x14ac:dyDescent="0.25">
      <c r="B1260" s="1709" t="s">
        <v>1128</v>
      </c>
      <c r="C1260" s="1710"/>
      <c r="D1260" s="1710"/>
      <c r="E1260" s="1711"/>
      <c r="F1260" s="104">
        <v>2.4E-2</v>
      </c>
      <c r="G1260" s="748"/>
    </row>
    <row r="1261" spans="2:7" ht="13.5" thickBot="1" x14ac:dyDescent="0.25">
      <c r="B1261" s="1718" t="s">
        <v>1127</v>
      </c>
      <c r="C1261" s="1719"/>
      <c r="D1261" s="1719"/>
      <c r="E1261" s="1719"/>
      <c r="F1261" s="1720"/>
      <c r="G1261" s="748"/>
    </row>
    <row r="1262" spans="2:7" x14ac:dyDescent="0.2">
      <c r="B1262" s="1712" t="s">
        <v>1126</v>
      </c>
      <c r="C1262" s="1713"/>
      <c r="D1262" s="1713"/>
      <c r="E1262" s="1714"/>
      <c r="F1262" s="103">
        <v>8.5000000000000006E-2</v>
      </c>
      <c r="G1262" s="748"/>
    </row>
    <row r="1263" spans="2:7" x14ac:dyDescent="0.2">
      <c r="B1263" s="1715" t="s">
        <v>1125</v>
      </c>
      <c r="C1263" s="1716"/>
      <c r="D1263" s="1716"/>
      <c r="E1263" s="1717"/>
      <c r="F1263" s="102">
        <v>0.12130000000000001</v>
      </c>
      <c r="G1263" s="748"/>
    </row>
    <row r="1264" spans="2:7" ht="13.5" thickBot="1" x14ac:dyDescent="0.25">
      <c r="B1264" s="1709" t="s">
        <v>1124</v>
      </c>
      <c r="C1264" s="1710"/>
      <c r="D1264" s="1710"/>
      <c r="E1264" s="1711"/>
      <c r="F1264" s="104">
        <v>6.9599999999999995E-2</v>
      </c>
      <c r="G1264" s="748"/>
    </row>
    <row r="1265" spans="2:7" ht="13.5" thickBot="1" x14ac:dyDescent="0.25">
      <c r="B1265" s="1718" t="s">
        <v>1123</v>
      </c>
      <c r="C1265" s="1719"/>
      <c r="D1265" s="1719"/>
      <c r="E1265" s="1719"/>
      <c r="F1265" s="1720"/>
      <c r="G1265" s="748"/>
    </row>
    <row r="1266" spans="2:7" x14ac:dyDescent="0.2">
      <c r="B1266" s="1712" t="s">
        <v>1122</v>
      </c>
      <c r="C1266" s="1713"/>
      <c r="D1266" s="1713"/>
      <c r="E1266" s="1714"/>
      <c r="F1266" s="103">
        <v>0.02</v>
      </c>
      <c r="G1266" s="748"/>
    </row>
    <row r="1267" spans="2:7" x14ac:dyDescent="0.2">
      <c r="B1267" s="1715" t="s">
        <v>1121</v>
      </c>
      <c r="C1267" s="1716"/>
      <c r="D1267" s="1716"/>
      <c r="E1267" s="1717"/>
      <c r="F1267" s="102">
        <v>0.03</v>
      </c>
      <c r="G1267" s="748"/>
    </row>
    <row r="1268" spans="2:7" ht="13.5" thickBot="1" x14ac:dyDescent="0.25">
      <c r="B1268" s="1709" t="s">
        <v>1120</v>
      </c>
      <c r="C1268" s="1710"/>
      <c r="D1268" s="1710"/>
      <c r="E1268" s="1711"/>
      <c r="F1268" s="100">
        <v>0.04</v>
      </c>
      <c r="G1268" s="748"/>
    </row>
    <row r="1269" spans="2:7" ht="13.5" thickBot="1" x14ac:dyDescent="0.25">
      <c r="B1269" s="749"/>
      <c r="C1269" s="750"/>
      <c r="D1269" s="750"/>
      <c r="E1269" s="750"/>
      <c r="F1269" s="750"/>
      <c r="G1269" s="748"/>
    </row>
    <row r="1270" spans="2:7" ht="13.5" thickBot="1" x14ac:dyDescent="0.25">
      <c r="B1270" s="1695" t="s">
        <v>1119</v>
      </c>
      <c r="C1270" s="1696"/>
      <c r="D1270" s="1696"/>
      <c r="E1270" s="1697"/>
      <c r="F1270" s="99">
        <v>0.61023333333333341</v>
      </c>
      <c r="G1270" s="748"/>
    </row>
    <row r="1271" spans="2:7" ht="13.5" thickBot="1" x14ac:dyDescent="0.25">
      <c r="B1271" s="746"/>
      <c r="C1271" s="747"/>
      <c r="D1271" s="750"/>
      <c r="E1271" s="747"/>
      <c r="F1271" s="747"/>
      <c r="G1271" s="748"/>
    </row>
    <row r="1272" spans="2:7" ht="13.5" thickBot="1" x14ac:dyDescent="0.25">
      <c r="B1272" s="1674" t="s">
        <v>1118</v>
      </c>
      <c r="C1272" s="1675"/>
      <c r="D1272" s="1675"/>
      <c r="E1272" s="1675"/>
      <c r="F1272" s="1676"/>
      <c r="G1272" s="748"/>
    </row>
    <row r="1273" spans="2:7" x14ac:dyDescent="0.2">
      <c r="B1273" s="1712" t="s">
        <v>1117</v>
      </c>
      <c r="C1273" s="1713"/>
      <c r="D1273" s="1713"/>
      <c r="E1273" s="1714"/>
      <c r="F1273" s="101">
        <v>0.36699999999999999</v>
      </c>
      <c r="G1273" s="748"/>
    </row>
    <row r="1274" spans="2:7" ht="13.5" thickBot="1" x14ac:dyDescent="0.25">
      <c r="B1274" s="1709" t="s">
        <v>1116</v>
      </c>
      <c r="C1274" s="1710"/>
      <c r="D1274" s="1710"/>
      <c r="E1274" s="1711"/>
      <c r="F1274" s="100">
        <v>1.1299999999999999E-2</v>
      </c>
      <c r="G1274" s="748"/>
    </row>
    <row r="1275" spans="2:7" ht="13.5" thickBot="1" x14ac:dyDescent="0.25">
      <c r="B1275" s="749"/>
      <c r="C1275" s="750"/>
      <c r="D1275" s="750"/>
      <c r="E1275" s="750"/>
      <c r="F1275" s="750"/>
      <c r="G1275" s="748"/>
    </row>
    <row r="1276" spans="2:7" ht="13.5" thickBot="1" x14ac:dyDescent="0.25">
      <c r="B1276" s="1695" t="s">
        <v>1115</v>
      </c>
      <c r="C1276" s="1696"/>
      <c r="D1276" s="1696"/>
      <c r="E1276" s="1697"/>
      <c r="F1276" s="99">
        <v>0.37829999999999997</v>
      </c>
      <c r="G1276" s="748"/>
    </row>
    <row r="1277" spans="2:7" ht="13.5" thickBot="1" x14ac:dyDescent="0.25">
      <c r="B1277" s="749"/>
      <c r="C1277" s="750"/>
      <c r="D1277" s="750"/>
      <c r="E1277" s="750"/>
      <c r="F1277" s="750"/>
      <c r="G1277" s="748"/>
    </row>
    <row r="1278" spans="2:7" ht="13.5" thickBot="1" x14ac:dyDescent="0.25">
      <c r="B1278" s="1695" t="s">
        <v>1114</v>
      </c>
      <c r="C1278" s="1696"/>
      <c r="D1278" s="1696"/>
      <c r="E1278" s="1697"/>
      <c r="F1278" s="99">
        <v>0.98853333333333337</v>
      </c>
      <c r="G1278" s="748"/>
    </row>
    <row r="1279" spans="2:7" x14ac:dyDescent="0.2">
      <c r="B1279" s="749"/>
      <c r="C1279" s="750"/>
      <c r="D1279" s="750"/>
      <c r="E1279" s="750"/>
      <c r="F1279" s="750"/>
      <c r="G1279" s="748"/>
    </row>
    <row r="1280" spans="2:7" ht="13.5" thickBot="1" x14ac:dyDescent="0.25">
      <c r="B1280" s="746"/>
      <c r="C1280" s="751"/>
      <c r="D1280" s="752"/>
      <c r="E1280" s="747"/>
      <c r="F1280" s="747"/>
      <c r="G1280" s="748"/>
    </row>
    <row r="1281" spans="2:7" ht="13.5" thickBot="1" x14ac:dyDescent="0.25">
      <c r="B1281" s="1674" t="s">
        <v>1113</v>
      </c>
      <c r="C1281" s="1675"/>
      <c r="D1281" s="1675"/>
      <c r="E1281" s="1675"/>
      <c r="F1281" s="1676"/>
      <c r="G1281" s="748"/>
    </row>
    <row r="1282" spans="2:7" ht="13.5" thickBot="1" x14ac:dyDescent="0.25">
      <c r="B1282" s="746"/>
      <c r="C1282" s="747"/>
      <c r="D1282" s="747"/>
      <c r="E1282" s="747"/>
      <c r="F1282" s="747"/>
      <c r="G1282" s="748"/>
    </row>
    <row r="1283" spans="2:7" ht="13.5" thickBot="1" x14ac:dyDescent="0.25">
      <c r="B1283" s="92" t="s">
        <v>1098</v>
      </c>
      <c r="C1283" s="1678" t="s">
        <v>1112</v>
      </c>
      <c r="D1283" s="1679"/>
      <c r="E1283" s="1680"/>
      <c r="F1283" s="98" t="s">
        <v>289</v>
      </c>
      <c r="G1283" s="748"/>
    </row>
    <row r="1284" spans="2:7" x14ac:dyDescent="0.2">
      <c r="B1284" s="1681">
        <v>1</v>
      </c>
      <c r="C1284" s="1685" t="s">
        <v>1111</v>
      </c>
      <c r="D1284" s="1686"/>
      <c r="E1284" s="1687"/>
      <c r="F1284" s="97">
        <v>57692.307692307695</v>
      </c>
      <c r="G1284" s="748"/>
    </row>
    <row r="1285" spans="2:7" ht="13.5" thickBot="1" x14ac:dyDescent="0.25">
      <c r="B1285" s="1682"/>
      <c r="C1285" s="1698" t="s">
        <v>1103</v>
      </c>
      <c r="D1285" s="1699"/>
      <c r="E1285" s="1700"/>
      <c r="F1285" s="96">
        <v>38461.538461538461</v>
      </c>
      <c r="G1285" s="748"/>
    </row>
    <row r="1286" spans="2:7" x14ac:dyDescent="0.2">
      <c r="B1286" s="1683"/>
      <c r="C1286" s="1703" t="s">
        <v>1102</v>
      </c>
      <c r="D1286" s="1704"/>
      <c r="E1286" s="1705"/>
      <c r="F1286" s="726">
        <v>96153.846153846156</v>
      </c>
      <c r="G1286" s="748"/>
    </row>
    <row r="1287" spans="2:7" ht="13.5" thickBot="1" x14ac:dyDescent="0.25">
      <c r="B1287" s="1684"/>
      <c r="C1287" s="1706" t="s">
        <v>1110</v>
      </c>
      <c r="D1287" s="1707"/>
      <c r="E1287" s="1708"/>
      <c r="F1287" s="727">
        <v>95051.282051282062</v>
      </c>
      <c r="G1287" s="748"/>
    </row>
    <row r="1288" spans="2:7" ht="13.5" thickBot="1" x14ac:dyDescent="0.25">
      <c r="B1288" s="1674" t="s">
        <v>1109</v>
      </c>
      <c r="C1288" s="1675"/>
      <c r="D1288" s="1675"/>
      <c r="E1288" s="1677"/>
      <c r="F1288" s="93">
        <v>191205.12820512822</v>
      </c>
      <c r="G1288" s="748"/>
    </row>
    <row r="1289" spans="2:7" ht="13.5" thickBot="1" x14ac:dyDescent="0.25">
      <c r="B1289" s="749"/>
      <c r="C1289" s="750"/>
      <c r="D1289" s="750"/>
      <c r="E1289" s="750"/>
      <c r="F1289" s="750"/>
      <c r="G1289" s="748"/>
    </row>
    <row r="1290" spans="2:7" ht="13.5" thickBot="1" x14ac:dyDescent="0.25">
      <c r="B1290" s="92" t="s">
        <v>1098</v>
      </c>
      <c r="C1290" s="1678" t="s">
        <v>1108</v>
      </c>
      <c r="D1290" s="1679"/>
      <c r="E1290" s="1680"/>
      <c r="F1290" s="98"/>
      <c r="G1290" s="748"/>
    </row>
    <row r="1291" spans="2:7" x14ac:dyDescent="0.2">
      <c r="B1291" s="1681">
        <v>2</v>
      </c>
      <c r="C1291" s="1685" t="s">
        <v>1107</v>
      </c>
      <c r="D1291" s="1686"/>
      <c r="E1291" s="1687"/>
      <c r="F1291" s="97">
        <v>57692.307692307695</v>
      </c>
      <c r="G1291" s="748"/>
    </row>
    <row r="1292" spans="2:7" ht="13.5" thickBot="1" x14ac:dyDescent="0.25">
      <c r="B1292" s="1682"/>
      <c r="C1292" s="1689" t="s">
        <v>1103</v>
      </c>
      <c r="D1292" s="1690"/>
      <c r="E1292" s="1691"/>
      <c r="F1292" s="96">
        <v>38461.538461538461</v>
      </c>
      <c r="G1292" s="748"/>
    </row>
    <row r="1293" spans="2:7" x14ac:dyDescent="0.2">
      <c r="B1293" s="1682"/>
      <c r="C1293" s="1689" t="s">
        <v>1102</v>
      </c>
      <c r="D1293" s="1690"/>
      <c r="E1293" s="1691"/>
      <c r="F1293" s="726">
        <v>96153.846153846156</v>
      </c>
      <c r="G1293" s="748"/>
    </row>
    <row r="1294" spans="2:7" ht="13.5" thickBot="1" x14ac:dyDescent="0.25">
      <c r="B1294" s="1688"/>
      <c r="C1294" s="1692" t="s">
        <v>1101</v>
      </c>
      <c r="D1294" s="1693"/>
      <c r="E1294" s="1694"/>
      <c r="F1294" s="727">
        <v>95051.282051282062</v>
      </c>
      <c r="G1294" s="748"/>
    </row>
    <row r="1295" spans="2:7" ht="13.5" thickBot="1" x14ac:dyDescent="0.25">
      <c r="B1295" s="1674" t="s">
        <v>1106</v>
      </c>
      <c r="C1295" s="1675"/>
      <c r="D1295" s="1675"/>
      <c r="E1295" s="1677"/>
      <c r="F1295" s="93">
        <v>191205.12820512822</v>
      </c>
      <c r="G1295" s="748"/>
    </row>
    <row r="1296" spans="2:7" ht="13.5" thickBot="1" x14ac:dyDescent="0.25">
      <c r="B1296" s="746"/>
      <c r="C1296" s="751"/>
      <c r="D1296" s="750"/>
      <c r="E1296" s="750"/>
      <c r="F1296" s="751"/>
      <c r="G1296" s="748"/>
    </row>
    <row r="1297" spans="2:7" ht="13.5" thickBot="1" x14ac:dyDescent="0.25">
      <c r="B1297" s="92" t="s">
        <v>1098</v>
      </c>
      <c r="C1297" s="1678" t="s">
        <v>1105</v>
      </c>
      <c r="D1297" s="1679"/>
      <c r="E1297" s="1680"/>
      <c r="F1297" s="98"/>
      <c r="G1297" s="748"/>
    </row>
    <row r="1298" spans="2:7" x14ac:dyDescent="0.2">
      <c r="B1298" s="1681">
        <v>3</v>
      </c>
      <c r="C1298" s="1685" t="s">
        <v>1104</v>
      </c>
      <c r="D1298" s="1686"/>
      <c r="E1298" s="1687"/>
      <c r="F1298" s="97">
        <v>69230.769230769234</v>
      </c>
      <c r="G1298" s="748"/>
    </row>
    <row r="1299" spans="2:7" ht="13.5" thickBot="1" x14ac:dyDescent="0.25">
      <c r="B1299" s="1682"/>
      <c r="C1299" s="1698" t="s">
        <v>1103</v>
      </c>
      <c r="D1299" s="1699"/>
      <c r="E1299" s="1700"/>
      <c r="F1299" s="96">
        <v>38461.538461538461</v>
      </c>
      <c r="G1299" s="748"/>
    </row>
    <row r="1300" spans="2:7" x14ac:dyDescent="0.2">
      <c r="B1300" s="1683"/>
      <c r="C1300" s="1701" t="s">
        <v>1102</v>
      </c>
      <c r="D1300" s="1686"/>
      <c r="E1300" s="1687"/>
      <c r="F1300" s="95">
        <v>107692.30769230769</v>
      </c>
      <c r="G1300" s="748"/>
    </row>
    <row r="1301" spans="2:7" ht="13.5" thickBot="1" x14ac:dyDescent="0.25">
      <c r="B1301" s="1684"/>
      <c r="C1301" s="1702" t="s">
        <v>1101</v>
      </c>
      <c r="D1301" s="1693"/>
      <c r="E1301" s="1694"/>
      <c r="F1301" s="94">
        <v>106457.43589743589</v>
      </c>
      <c r="G1301" s="748"/>
    </row>
    <row r="1302" spans="2:7" ht="13.5" thickBot="1" x14ac:dyDescent="0.25">
      <c r="B1302" s="1674" t="s">
        <v>1100</v>
      </c>
      <c r="C1302" s="1675"/>
      <c r="D1302" s="1675"/>
      <c r="E1302" s="1677"/>
      <c r="F1302" s="93">
        <v>214149.74358974356</v>
      </c>
      <c r="G1302" s="748"/>
    </row>
    <row r="1303" spans="2:7" x14ac:dyDescent="0.2">
      <c r="B1303" s="746"/>
      <c r="C1303" s="747"/>
      <c r="D1303" s="750"/>
      <c r="E1303" s="750"/>
      <c r="F1303" s="747"/>
      <c r="G1303" s="748"/>
    </row>
    <row r="1304" spans="2:7" ht="13.5" thickBot="1" x14ac:dyDescent="0.25">
      <c r="B1304" s="749"/>
      <c r="C1304" s="753"/>
      <c r="D1304" s="754"/>
      <c r="E1304" s="755"/>
      <c r="F1304" s="755"/>
      <c r="G1304" s="748"/>
    </row>
    <row r="1305" spans="2:7" ht="13.5" thickBot="1" x14ac:dyDescent="0.25">
      <c r="B1305" s="1674" t="s">
        <v>1099</v>
      </c>
      <c r="C1305" s="1675"/>
      <c r="D1305" s="1675"/>
      <c r="E1305" s="1675"/>
      <c r="F1305" s="1676"/>
      <c r="G1305" s="748"/>
    </row>
    <row r="1306" spans="2:7" ht="13.5" thickBot="1" x14ac:dyDescent="0.25">
      <c r="B1306" s="749"/>
      <c r="C1306" s="753"/>
      <c r="D1306" s="754"/>
      <c r="E1306" s="755"/>
      <c r="F1306" s="755"/>
      <c r="G1306" s="748"/>
    </row>
    <row r="1307" spans="2:7" ht="13.5" thickBot="1" x14ac:dyDescent="0.25">
      <c r="B1307" s="92" t="s">
        <v>1098</v>
      </c>
      <c r="C1307" s="92" t="s">
        <v>525</v>
      </c>
      <c r="D1307" s="92" t="s">
        <v>1097</v>
      </c>
      <c r="E1307" s="92" t="s">
        <v>1096</v>
      </c>
      <c r="F1307" s="91" t="s">
        <v>1095</v>
      </c>
      <c r="G1307" s="748"/>
    </row>
    <row r="1308" spans="2:7" x14ac:dyDescent="0.2">
      <c r="B1308" s="318">
        <v>1</v>
      </c>
      <c r="C1308" s="90" t="s">
        <v>1013</v>
      </c>
      <c r="D1308" s="89">
        <v>96153.846153846156</v>
      </c>
      <c r="E1308" s="89">
        <v>95051.282051282062</v>
      </c>
      <c r="F1308" s="88">
        <v>191205.12820512822</v>
      </c>
      <c r="G1308" s="748"/>
    </row>
    <row r="1309" spans="2:7" x14ac:dyDescent="0.2">
      <c r="B1309" s="319">
        <v>2</v>
      </c>
      <c r="C1309" s="87" t="s">
        <v>1094</v>
      </c>
      <c r="D1309" s="86">
        <v>96153.846153846156</v>
      </c>
      <c r="E1309" s="86">
        <v>95051.282051282062</v>
      </c>
      <c r="F1309" s="85">
        <v>191205.12820512822</v>
      </c>
      <c r="G1309" s="748"/>
    </row>
    <row r="1310" spans="2:7" ht="13.5" thickBot="1" x14ac:dyDescent="0.25">
      <c r="B1310" s="320">
        <v>3</v>
      </c>
      <c r="C1310" s="84" t="s">
        <v>1093</v>
      </c>
      <c r="D1310" s="83">
        <v>107692.30769230769</v>
      </c>
      <c r="E1310" s="83">
        <v>106457.43589743589</v>
      </c>
      <c r="F1310" s="82">
        <v>214149.74358974356</v>
      </c>
      <c r="G1310" s="748"/>
    </row>
    <row r="1311" spans="2:7" x14ac:dyDescent="0.2">
      <c r="B1311" s="756"/>
      <c r="G1311" s="748"/>
    </row>
    <row r="1312" spans="2:7" x14ac:dyDescent="0.2">
      <c r="B1312" s="756"/>
      <c r="G1312" s="748"/>
    </row>
    <row r="1313" spans="2:7" x14ac:dyDescent="0.2">
      <c r="B1313" s="757"/>
      <c r="C1313" s="744"/>
      <c r="D1313" s="744"/>
      <c r="E1313" s="744"/>
      <c r="F1313" s="744"/>
      <c r="G1313" s="758"/>
    </row>
    <row r="1314" spans="2:7" x14ac:dyDescent="0.2">
      <c r="B1314" s="757"/>
      <c r="C1314" s="744"/>
      <c r="D1314" s="744"/>
      <c r="E1314" s="744"/>
      <c r="F1314" s="744"/>
      <c r="G1314" s="758"/>
    </row>
    <row r="1315" spans="2:7" x14ac:dyDescent="0.2">
      <c r="B1315" s="757"/>
      <c r="C1315" s="744"/>
      <c r="D1315" s="744"/>
      <c r="E1315" s="744"/>
      <c r="F1315" s="744"/>
      <c r="G1315" s="758"/>
    </row>
    <row r="1316" spans="2:7" x14ac:dyDescent="0.2">
      <c r="B1316" s="757"/>
      <c r="C1316" s="744"/>
      <c r="D1316" s="744"/>
      <c r="E1316" s="744"/>
      <c r="F1316" s="744"/>
      <c r="G1316" s="758"/>
    </row>
    <row r="1317" spans="2:7" x14ac:dyDescent="0.2">
      <c r="B1317" s="757"/>
      <c r="C1317" s="744"/>
      <c r="D1317" s="744"/>
      <c r="E1317" s="744"/>
      <c r="F1317" s="744"/>
      <c r="G1317" s="758"/>
    </row>
    <row r="1318" spans="2:7" x14ac:dyDescent="0.2">
      <c r="B1318" s="757"/>
      <c r="C1318" s="744"/>
      <c r="D1318" s="744"/>
      <c r="E1318" s="744"/>
      <c r="F1318" s="744"/>
      <c r="G1318" s="758"/>
    </row>
    <row r="1319" spans="2:7" x14ac:dyDescent="0.2">
      <c r="B1319" s="757"/>
      <c r="C1319" s="744"/>
      <c r="D1319" s="744"/>
      <c r="E1319" s="744"/>
      <c r="F1319" s="744"/>
      <c r="G1319" s="758"/>
    </row>
    <row r="1320" spans="2:7" ht="13.5" thickBot="1" x14ac:dyDescent="0.25">
      <c r="B1320" s="757"/>
      <c r="C1320" s="745"/>
      <c r="D1320" s="744"/>
      <c r="E1320" s="744"/>
      <c r="F1320" s="744"/>
      <c r="G1320" s="758"/>
    </row>
    <row r="1321" spans="2:7" x14ac:dyDescent="0.2">
      <c r="B1321" s="757"/>
      <c r="C1321" s="762" t="s">
        <v>1449</v>
      </c>
      <c r="D1321" s="744"/>
      <c r="E1321" s="1757" t="s">
        <v>865</v>
      </c>
      <c r="F1321" s="1757"/>
      <c r="G1321" s="1758"/>
    </row>
    <row r="1322" spans="2:7" x14ac:dyDescent="0.2">
      <c r="B1322" s="757"/>
      <c r="C1322" s="744" t="s">
        <v>1450</v>
      </c>
      <c r="D1322" s="744"/>
      <c r="E1322" s="1755" t="s">
        <v>866</v>
      </c>
      <c r="F1322" s="1755"/>
      <c r="G1322" s="1756"/>
    </row>
    <row r="1323" spans="2:7" x14ac:dyDescent="0.2">
      <c r="B1323" s="757"/>
      <c r="C1323" s="744"/>
      <c r="D1323" s="744"/>
      <c r="E1323" s="1755" t="s">
        <v>867</v>
      </c>
      <c r="F1323" s="1755"/>
      <c r="G1323" s="1756"/>
    </row>
    <row r="1324" spans="2:7" ht="13.5" thickBot="1" x14ac:dyDescent="0.25">
      <c r="B1324" s="759"/>
      <c r="C1324" s="760"/>
      <c r="D1324" s="760"/>
      <c r="E1324" s="760"/>
      <c r="F1324" s="760"/>
      <c r="G1324" s="761"/>
    </row>
  </sheetData>
  <mergeCells count="333">
    <mergeCell ref="E1323:G1323"/>
    <mergeCell ref="B1249:G1249"/>
    <mergeCell ref="E1106:G1106"/>
    <mergeCell ref="E1173:G1173"/>
    <mergeCell ref="E1174:G1174"/>
    <mergeCell ref="E1175:G1175"/>
    <mergeCell ref="E1242:G1242"/>
    <mergeCell ref="E1243:G1243"/>
    <mergeCell ref="E1244:G1244"/>
    <mergeCell ref="E1321:G1321"/>
    <mergeCell ref="E1322:G1322"/>
    <mergeCell ref="D1159:E1159"/>
    <mergeCell ref="D1160:E1160"/>
    <mergeCell ref="D1151:E1151"/>
    <mergeCell ref="D1152:E1152"/>
    <mergeCell ref="D1153:E1153"/>
    <mergeCell ref="D1154:E1154"/>
    <mergeCell ref="D1157:E1157"/>
    <mergeCell ref="D1158:E1158"/>
    <mergeCell ref="B1179:G1179"/>
    <mergeCell ref="B1184:G1184"/>
    <mergeCell ref="D1214:E1214"/>
    <mergeCell ref="D1217:E1217"/>
    <mergeCell ref="B1255:F1255"/>
    <mergeCell ref="D734:E734"/>
    <mergeCell ref="B696:G696"/>
    <mergeCell ref="B701:G701"/>
    <mergeCell ref="D731:E731"/>
    <mergeCell ref="D732:E732"/>
    <mergeCell ref="D664:E664"/>
    <mergeCell ref="D733:E733"/>
    <mergeCell ref="D676:E676"/>
    <mergeCell ref="D677:E677"/>
    <mergeCell ref="D668:E668"/>
    <mergeCell ref="D669:E669"/>
    <mergeCell ref="D670:E670"/>
    <mergeCell ref="D671:E671"/>
    <mergeCell ref="D674:E674"/>
    <mergeCell ref="D675:E675"/>
    <mergeCell ref="D665:E665"/>
    <mergeCell ref="E690:G690"/>
    <mergeCell ref="E691:G691"/>
    <mergeCell ref="E692:G692"/>
    <mergeCell ref="E552:G552"/>
    <mergeCell ref="E553:G553"/>
    <mergeCell ref="E554:G554"/>
    <mergeCell ref="D538:E538"/>
    <mergeCell ref="D539:E539"/>
    <mergeCell ref="D530:E530"/>
    <mergeCell ref="D531:E531"/>
    <mergeCell ref="D532:E532"/>
    <mergeCell ref="D533:E533"/>
    <mergeCell ref="D536:E536"/>
    <mergeCell ref="D537:E537"/>
    <mergeCell ref="D596:E596"/>
    <mergeCell ref="B558:G558"/>
    <mergeCell ref="B627:G627"/>
    <mergeCell ref="B632:G632"/>
    <mergeCell ref="D662:E662"/>
    <mergeCell ref="D663:E663"/>
    <mergeCell ref="D262:E262"/>
    <mergeCell ref="D253:E253"/>
    <mergeCell ref="D254:E254"/>
    <mergeCell ref="D455:E455"/>
    <mergeCell ref="D456:E456"/>
    <mergeCell ref="D457:E457"/>
    <mergeCell ref="E621:G621"/>
    <mergeCell ref="E622:G622"/>
    <mergeCell ref="E623:G623"/>
    <mergeCell ref="D458:E458"/>
    <mergeCell ref="B419:G419"/>
    <mergeCell ref="B424:G424"/>
    <mergeCell ref="E413:G413"/>
    <mergeCell ref="E414:G414"/>
    <mergeCell ref="E415:G415"/>
    <mergeCell ref="E483:G483"/>
    <mergeCell ref="D527:E527"/>
    <mergeCell ref="B489:G489"/>
    <mergeCell ref="E135:G135"/>
    <mergeCell ref="E136:G136"/>
    <mergeCell ref="E137:G137"/>
    <mergeCell ref="E205:G205"/>
    <mergeCell ref="E206:G206"/>
    <mergeCell ref="E207:G207"/>
    <mergeCell ref="E275:G275"/>
    <mergeCell ref="E276:G276"/>
    <mergeCell ref="E277:G277"/>
    <mergeCell ref="D248:E248"/>
    <mergeCell ref="D249:E249"/>
    <mergeCell ref="D255:E255"/>
    <mergeCell ref="D256:E256"/>
    <mergeCell ref="D259:E259"/>
    <mergeCell ref="D261:E261"/>
    <mergeCell ref="D260:E260"/>
    <mergeCell ref="D250:E250"/>
    <mergeCell ref="D461:E461"/>
    <mergeCell ref="D469:E469"/>
    <mergeCell ref="D470:E470"/>
    <mergeCell ref="D467:E467"/>
    <mergeCell ref="D468:E468"/>
    <mergeCell ref="D462:E462"/>
    <mergeCell ref="D463:E463"/>
    <mergeCell ref="D464:E464"/>
    <mergeCell ref="D526:E526"/>
    <mergeCell ref="E484:G484"/>
    <mergeCell ref="E485:G485"/>
    <mergeCell ref="B494:G494"/>
    <mergeCell ref="D524:E524"/>
    <mergeCell ref="D525:E525"/>
    <mergeCell ref="D330:E330"/>
    <mergeCell ref="D331:E331"/>
    <mergeCell ref="D392:E392"/>
    <mergeCell ref="D399:E399"/>
    <mergeCell ref="D397:E397"/>
    <mergeCell ref="D398:E398"/>
    <mergeCell ref="D400:E400"/>
    <mergeCell ref="D393:E393"/>
    <mergeCell ref="D394:E394"/>
    <mergeCell ref="B281:G281"/>
    <mergeCell ref="B286:G286"/>
    <mergeCell ref="D316:E316"/>
    <mergeCell ref="D317:E317"/>
    <mergeCell ref="D318:E318"/>
    <mergeCell ref="D322:E322"/>
    <mergeCell ref="D323:E323"/>
    <mergeCell ref="D324:E324"/>
    <mergeCell ref="D325:E325"/>
    <mergeCell ref="D319:E319"/>
    <mergeCell ref="C1:G1"/>
    <mergeCell ref="B6:G6"/>
    <mergeCell ref="B72:G72"/>
    <mergeCell ref="B77:G77"/>
    <mergeCell ref="B141:G141"/>
    <mergeCell ref="B146:G146"/>
    <mergeCell ref="B211:G211"/>
    <mergeCell ref="B216:G216"/>
    <mergeCell ref="D247:E247"/>
    <mergeCell ref="D184:E184"/>
    <mergeCell ref="D191:E191"/>
    <mergeCell ref="D189:E189"/>
    <mergeCell ref="D192:E192"/>
    <mergeCell ref="D185:E185"/>
    <mergeCell ref="D186:E186"/>
    <mergeCell ref="D190:E190"/>
    <mergeCell ref="D177:E177"/>
    <mergeCell ref="D178:E178"/>
    <mergeCell ref="D180:E180"/>
    <mergeCell ref="D179:E179"/>
    <mergeCell ref="D183:E183"/>
    <mergeCell ref="E64:G64"/>
    <mergeCell ref="E65:G65"/>
    <mergeCell ref="E66:G66"/>
    <mergeCell ref="B563:G563"/>
    <mergeCell ref="D593:E593"/>
    <mergeCell ref="D594:E594"/>
    <mergeCell ref="D328:E328"/>
    <mergeCell ref="D595:E595"/>
    <mergeCell ref="D607:E607"/>
    <mergeCell ref="D608:E608"/>
    <mergeCell ref="D599:E599"/>
    <mergeCell ref="D600:E600"/>
    <mergeCell ref="D601:E601"/>
    <mergeCell ref="D602:E602"/>
    <mergeCell ref="D605:E605"/>
    <mergeCell ref="D606:E606"/>
    <mergeCell ref="D329:E329"/>
    <mergeCell ref="D391:E391"/>
    <mergeCell ref="B350:G350"/>
    <mergeCell ref="B355:G355"/>
    <mergeCell ref="D385:E385"/>
    <mergeCell ref="D386:E386"/>
    <mergeCell ref="D388:E388"/>
    <mergeCell ref="D387:E387"/>
    <mergeCell ref="E344:G344"/>
    <mergeCell ref="E345:G345"/>
    <mergeCell ref="E346:G346"/>
    <mergeCell ref="D746:E746"/>
    <mergeCell ref="D737:E737"/>
    <mergeCell ref="D738:E738"/>
    <mergeCell ref="D739:E739"/>
    <mergeCell ref="D740:E740"/>
    <mergeCell ref="D743:E743"/>
    <mergeCell ref="D744:E744"/>
    <mergeCell ref="D803:E803"/>
    <mergeCell ref="B765:G765"/>
    <mergeCell ref="B770:G770"/>
    <mergeCell ref="D800:E800"/>
    <mergeCell ref="D801:E801"/>
    <mergeCell ref="D802:E802"/>
    <mergeCell ref="E759:G759"/>
    <mergeCell ref="E760:G760"/>
    <mergeCell ref="E761:G761"/>
    <mergeCell ref="D745:E745"/>
    <mergeCell ref="D814:E814"/>
    <mergeCell ref="D815:E815"/>
    <mergeCell ref="D806:E806"/>
    <mergeCell ref="D807:E807"/>
    <mergeCell ref="D808:E808"/>
    <mergeCell ref="D809:E809"/>
    <mergeCell ref="D812:E812"/>
    <mergeCell ref="D813:E813"/>
    <mergeCell ref="D872:E872"/>
    <mergeCell ref="B834:G834"/>
    <mergeCell ref="B839:G839"/>
    <mergeCell ref="D869:E869"/>
    <mergeCell ref="D870:E870"/>
    <mergeCell ref="D871:E871"/>
    <mergeCell ref="E828:G828"/>
    <mergeCell ref="E829:G829"/>
    <mergeCell ref="E830:G830"/>
    <mergeCell ref="D883:E883"/>
    <mergeCell ref="D884:E884"/>
    <mergeCell ref="D875:E875"/>
    <mergeCell ref="D876:E876"/>
    <mergeCell ref="D877:E877"/>
    <mergeCell ref="D878:E878"/>
    <mergeCell ref="D881:E881"/>
    <mergeCell ref="D882:E882"/>
    <mergeCell ref="D941:E941"/>
    <mergeCell ref="B903:G903"/>
    <mergeCell ref="B908:G908"/>
    <mergeCell ref="D938:E938"/>
    <mergeCell ref="D939:E939"/>
    <mergeCell ref="D940:E940"/>
    <mergeCell ref="E897:G897"/>
    <mergeCell ref="E898:G898"/>
    <mergeCell ref="E899:G899"/>
    <mergeCell ref="D952:E952"/>
    <mergeCell ref="D953:E953"/>
    <mergeCell ref="D944:E944"/>
    <mergeCell ref="D945:E945"/>
    <mergeCell ref="D946:E946"/>
    <mergeCell ref="D947:E947"/>
    <mergeCell ref="D950:E950"/>
    <mergeCell ref="D951:E951"/>
    <mergeCell ref="D1010:E1010"/>
    <mergeCell ref="B972:G972"/>
    <mergeCell ref="B977:G977"/>
    <mergeCell ref="D1007:E1007"/>
    <mergeCell ref="D1008:E1008"/>
    <mergeCell ref="D1009:E1009"/>
    <mergeCell ref="E966:G966"/>
    <mergeCell ref="E967:G967"/>
    <mergeCell ref="E968:G968"/>
    <mergeCell ref="D1021:E1021"/>
    <mergeCell ref="D1022:E1022"/>
    <mergeCell ref="D1013:E1013"/>
    <mergeCell ref="D1014:E1014"/>
    <mergeCell ref="D1015:E1015"/>
    <mergeCell ref="D1016:E1016"/>
    <mergeCell ref="D1019:E1019"/>
    <mergeCell ref="D1020:E1020"/>
    <mergeCell ref="D1079:E1079"/>
    <mergeCell ref="B1041:G1041"/>
    <mergeCell ref="B1046:G1046"/>
    <mergeCell ref="D1076:E1076"/>
    <mergeCell ref="D1077:E1077"/>
    <mergeCell ref="D1078:E1078"/>
    <mergeCell ref="E1035:G1035"/>
    <mergeCell ref="E1036:G1036"/>
    <mergeCell ref="E1037:G1037"/>
    <mergeCell ref="D1090:E1090"/>
    <mergeCell ref="D1091:E1091"/>
    <mergeCell ref="D1082:E1082"/>
    <mergeCell ref="D1083:E1083"/>
    <mergeCell ref="D1084:E1084"/>
    <mergeCell ref="D1085:E1085"/>
    <mergeCell ref="D1088:E1088"/>
    <mergeCell ref="D1089:E1089"/>
    <mergeCell ref="D1148:E1148"/>
    <mergeCell ref="B1110:G1110"/>
    <mergeCell ref="B1115:G1115"/>
    <mergeCell ref="D1145:E1145"/>
    <mergeCell ref="D1146:E1146"/>
    <mergeCell ref="D1147:E1147"/>
    <mergeCell ref="E1104:G1104"/>
    <mergeCell ref="E1105:G1105"/>
    <mergeCell ref="D1220:E1220"/>
    <mergeCell ref="D1221:E1221"/>
    <mergeCell ref="D1222:E1222"/>
    <mergeCell ref="D1223:E1223"/>
    <mergeCell ref="D1226:E1226"/>
    <mergeCell ref="D1227:E1227"/>
    <mergeCell ref="D1215:E1215"/>
    <mergeCell ref="D1216:E1216"/>
    <mergeCell ref="B1259:E1259"/>
    <mergeCell ref="B1256:E1256"/>
    <mergeCell ref="B1257:E1257"/>
    <mergeCell ref="B1258:E1258"/>
    <mergeCell ref="B1251:F1251"/>
    <mergeCell ref="B1252:E1252"/>
    <mergeCell ref="B1253:E1253"/>
    <mergeCell ref="B1254:E1254"/>
    <mergeCell ref="D1228:E1228"/>
    <mergeCell ref="D1229:E1229"/>
    <mergeCell ref="B1260:E1260"/>
    <mergeCell ref="B1276:E1276"/>
    <mergeCell ref="B1262:E1262"/>
    <mergeCell ref="B1263:E1263"/>
    <mergeCell ref="B1264:E1264"/>
    <mergeCell ref="B1265:F1265"/>
    <mergeCell ref="B1266:E1266"/>
    <mergeCell ref="B1267:E1267"/>
    <mergeCell ref="B1268:E1268"/>
    <mergeCell ref="B1261:F1261"/>
    <mergeCell ref="B1270:E1270"/>
    <mergeCell ref="B1272:F1272"/>
    <mergeCell ref="B1273:E1273"/>
    <mergeCell ref="B1274:E1274"/>
    <mergeCell ref="B1288:E1288"/>
    <mergeCell ref="B1278:E1278"/>
    <mergeCell ref="C1283:E1283"/>
    <mergeCell ref="B1284:B1287"/>
    <mergeCell ref="C1284:E1284"/>
    <mergeCell ref="C1299:E1299"/>
    <mergeCell ref="C1300:E1300"/>
    <mergeCell ref="C1301:E1301"/>
    <mergeCell ref="C1285:E1285"/>
    <mergeCell ref="C1286:E1286"/>
    <mergeCell ref="C1287:E1287"/>
    <mergeCell ref="B1281:F1281"/>
    <mergeCell ref="B1305:F1305"/>
    <mergeCell ref="B1302:E1302"/>
    <mergeCell ref="B1295:E1295"/>
    <mergeCell ref="C1297:E1297"/>
    <mergeCell ref="B1298:B1301"/>
    <mergeCell ref="C1298:E1298"/>
    <mergeCell ref="C1290:E1290"/>
    <mergeCell ref="B1291:B1294"/>
    <mergeCell ref="C1291:E1291"/>
    <mergeCell ref="C1292:E1292"/>
    <mergeCell ref="C1293:E1293"/>
    <mergeCell ref="C1294:E1294"/>
  </mergeCells>
  <printOptions horizontalCentered="1" verticalCentered="1"/>
  <pageMargins left="0.3" right="0.3" top="0.3" bottom="0.3" header="0.3" footer="0.3"/>
  <pageSetup scale="65" orientation="portrait" r:id="rId1"/>
  <rowBreaks count="19" manualBreakCount="19">
    <brk id="70" max="7" man="1"/>
    <brk id="139" max="7" man="1"/>
    <brk id="209" max="7" man="1"/>
    <brk id="279" max="7" man="1"/>
    <brk id="348" max="7" man="1"/>
    <brk id="417" max="7" man="1"/>
    <brk id="487" max="7" man="1"/>
    <brk id="556" max="7" man="1"/>
    <brk id="625" max="7" man="1"/>
    <brk id="694" max="7" man="1"/>
    <brk id="763" max="7" man="1"/>
    <brk id="832" max="7" man="1"/>
    <brk id="901" max="7" man="1"/>
    <brk id="970" max="7" man="1"/>
    <brk id="1039" max="7" man="1"/>
    <brk id="1108" max="7" man="1"/>
    <brk id="1177" max="7" man="1"/>
    <brk id="1246" max="7" man="1"/>
    <brk id="1325" max="7"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8003E-7EF2-4640-88B1-E930A1656C24}">
  <dimension ref="B1:V253"/>
  <sheetViews>
    <sheetView view="pageBreakPreview" zoomScale="80" zoomScaleNormal="100" zoomScaleSheetLayoutView="80" workbookViewId="0">
      <selection activeCell="B2" sqref="B2:J4"/>
    </sheetView>
  </sheetViews>
  <sheetFormatPr baseColWidth="10" defaultRowHeight="12.75" x14ac:dyDescent="0.2"/>
  <cols>
    <col min="1" max="1" width="5.7109375" customWidth="1"/>
    <col min="11" max="11" width="6.28515625" customWidth="1"/>
  </cols>
  <sheetData>
    <row r="1" spans="2:22" ht="13.5" thickBot="1" x14ac:dyDescent="0.25"/>
    <row r="2" spans="2:22" ht="15" customHeight="1" x14ac:dyDescent="0.2">
      <c r="B2" s="1344" t="s">
        <v>1422</v>
      </c>
      <c r="C2" s="1345"/>
      <c r="D2" s="1345"/>
      <c r="E2" s="1345"/>
      <c r="F2" s="1345"/>
      <c r="G2" s="1345"/>
      <c r="H2" s="1345"/>
      <c r="I2" s="1345"/>
      <c r="J2" s="1346"/>
      <c r="K2" s="79"/>
      <c r="L2" s="79"/>
      <c r="M2" s="79"/>
      <c r="S2" s="79"/>
      <c r="T2" s="79"/>
      <c r="U2" s="79"/>
      <c r="V2" s="79"/>
    </row>
    <row r="3" spans="2:22" ht="15" customHeight="1" x14ac:dyDescent="0.2">
      <c r="B3" s="1347"/>
      <c r="C3" s="1348"/>
      <c r="D3" s="1348"/>
      <c r="E3" s="1348"/>
      <c r="F3" s="1348"/>
      <c r="G3" s="1348"/>
      <c r="H3" s="1348"/>
      <c r="I3" s="1348"/>
      <c r="J3" s="1349"/>
    </row>
    <row r="4" spans="2:22" ht="15" customHeight="1" x14ac:dyDescent="0.2">
      <c r="B4" s="1595"/>
      <c r="C4" s="1596"/>
      <c r="D4" s="1596"/>
      <c r="E4" s="1596"/>
      <c r="F4" s="1596"/>
      <c r="G4" s="1596"/>
      <c r="H4" s="1596"/>
      <c r="I4" s="1596"/>
      <c r="J4" s="1597"/>
    </row>
    <row r="5" spans="2:22" ht="15" customHeight="1" x14ac:dyDescent="0.2">
      <c r="B5" s="337"/>
      <c r="C5" s="76"/>
      <c r="D5" s="76"/>
      <c r="E5" s="76"/>
      <c r="F5" s="76"/>
      <c r="G5" s="76"/>
      <c r="H5" s="76"/>
      <c r="I5" s="76"/>
      <c r="J5" s="338"/>
    </row>
    <row r="6" spans="2:22" ht="15" customHeight="1" x14ac:dyDescent="0.2">
      <c r="B6" s="1593" t="s">
        <v>38</v>
      </c>
      <c r="C6" s="1594"/>
      <c r="D6" s="325" t="s">
        <v>419</v>
      </c>
      <c r="E6" s="1592" t="s">
        <v>673</v>
      </c>
      <c r="F6" s="1055"/>
      <c r="G6" s="1048"/>
      <c r="H6" s="1336"/>
      <c r="I6" s="1580" t="s">
        <v>1425</v>
      </c>
      <c r="J6" s="1584"/>
    </row>
    <row r="7" spans="2:22" ht="15" customHeight="1" x14ac:dyDescent="0.2">
      <c r="B7" s="1759" t="s">
        <v>115</v>
      </c>
      <c r="C7" s="1587"/>
      <c r="D7" s="1587"/>
      <c r="E7" s="1582" t="s">
        <v>201</v>
      </c>
      <c r="F7" s="1050"/>
      <c r="G7" s="80">
        <f>G9*G8</f>
        <v>40</v>
      </c>
      <c r="H7" s="1583"/>
      <c r="I7" s="1052"/>
      <c r="J7" s="1332"/>
    </row>
    <row r="8" spans="2:22" ht="15" customHeight="1" x14ac:dyDescent="0.2">
      <c r="B8" s="1588"/>
      <c r="C8" s="1589"/>
      <c r="D8" s="1589"/>
      <c r="E8" s="1582" t="s">
        <v>132</v>
      </c>
      <c r="F8" s="1050"/>
      <c r="G8" s="47">
        <v>1</v>
      </c>
      <c r="H8" s="1029"/>
      <c r="I8" s="939"/>
      <c r="J8" s="1030"/>
    </row>
    <row r="9" spans="2:22" ht="15" customHeight="1" x14ac:dyDescent="0.2">
      <c r="B9" s="1588"/>
      <c r="C9" s="1589"/>
      <c r="D9" s="1589"/>
      <c r="E9" s="1582" t="s">
        <v>674</v>
      </c>
      <c r="F9" s="1050"/>
      <c r="G9" s="47">
        <v>40</v>
      </c>
      <c r="H9" s="1029"/>
      <c r="I9" s="939"/>
      <c r="J9" s="1030"/>
    </row>
    <row r="10" spans="2:22" ht="15" customHeight="1" x14ac:dyDescent="0.2">
      <c r="B10" s="1588"/>
      <c r="C10" s="1589"/>
      <c r="D10" s="1589"/>
      <c r="E10" s="1582" t="s">
        <v>675</v>
      </c>
      <c r="F10" s="1050"/>
      <c r="G10" s="47"/>
      <c r="H10" s="1029"/>
      <c r="I10" s="939"/>
      <c r="J10" s="1030"/>
    </row>
    <row r="11" spans="2:22" ht="15" customHeight="1" x14ac:dyDescent="0.2">
      <c r="B11" s="1588"/>
      <c r="C11" s="1589"/>
      <c r="D11" s="1589"/>
      <c r="E11" s="1582" t="s">
        <v>676</v>
      </c>
      <c r="F11" s="1050"/>
      <c r="G11" s="47"/>
      <c r="H11" s="1029"/>
      <c r="I11" s="939"/>
      <c r="J11" s="1030"/>
    </row>
    <row r="12" spans="2:22" ht="15" customHeight="1" x14ac:dyDescent="0.2">
      <c r="B12" s="1588"/>
      <c r="C12" s="1589"/>
      <c r="D12" s="1589"/>
      <c r="E12" s="1582" t="s">
        <v>677</v>
      </c>
      <c r="F12" s="1050"/>
      <c r="G12" s="47"/>
      <c r="H12" s="1029"/>
      <c r="I12" s="939"/>
      <c r="J12" s="1030"/>
    </row>
    <row r="13" spans="2:22" ht="15" customHeight="1" x14ac:dyDescent="0.2">
      <c r="B13" s="1588"/>
      <c r="C13" s="1589"/>
      <c r="D13" s="1589"/>
      <c r="E13" s="1582" t="s">
        <v>678</v>
      </c>
      <c r="F13" s="1050"/>
      <c r="G13" s="47"/>
      <c r="H13" s="1029"/>
      <c r="I13" s="939"/>
      <c r="J13" s="1030"/>
    </row>
    <row r="14" spans="2:22" ht="15" customHeight="1" x14ac:dyDescent="0.2">
      <c r="B14" s="1588"/>
      <c r="C14" s="1589"/>
      <c r="D14" s="1589"/>
      <c r="E14" s="1582" t="s">
        <v>679</v>
      </c>
      <c r="F14" s="1050"/>
      <c r="G14" s="47"/>
      <c r="H14" s="1029"/>
      <c r="I14" s="939"/>
      <c r="J14" s="1030"/>
    </row>
    <row r="15" spans="2:22" ht="15" customHeight="1" x14ac:dyDescent="0.2">
      <c r="B15" s="1590"/>
      <c r="C15" s="1591"/>
      <c r="D15" s="1591"/>
      <c r="E15" s="1582" t="s">
        <v>680</v>
      </c>
      <c r="F15" s="1050"/>
      <c r="G15" s="47"/>
      <c r="H15" s="1031"/>
      <c r="I15" s="1032"/>
      <c r="J15" s="1033"/>
    </row>
    <row r="16" spans="2:22" ht="15" customHeight="1" x14ac:dyDescent="0.2">
      <c r="B16" s="337"/>
      <c r="C16" s="76"/>
      <c r="D16" s="76"/>
      <c r="E16" s="76"/>
      <c r="F16" s="76"/>
      <c r="G16" s="76"/>
      <c r="H16" s="76"/>
      <c r="I16" s="76"/>
      <c r="J16" s="338"/>
    </row>
    <row r="17" spans="2:10" ht="15" customHeight="1" x14ac:dyDescent="0.2">
      <c r="B17" s="1593" t="s">
        <v>38</v>
      </c>
      <c r="C17" s="1594"/>
      <c r="D17" s="325" t="s">
        <v>424</v>
      </c>
      <c r="E17" s="1592" t="s">
        <v>673</v>
      </c>
      <c r="F17" s="1055"/>
      <c r="G17" s="1048"/>
      <c r="H17" s="1336"/>
      <c r="I17" s="1580" t="s">
        <v>1426</v>
      </c>
      <c r="J17" s="1584"/>
    </row>
    <row r="18" spans="2:10" ht="15" customHeight="1" x14ac:dyDescent="0.2">
      <c r="B18" s="1350" t="s">
        <v>116</v>
      </c>
      <c r="C18" s="1052"/>
      <c r="D18" s="1053"/>
      <c r="E18" s="1135" t="s">
        <v>201</v>
      </c>
      <c r="F18" s="1050"/>
      <c r="G18" s="80">
        <f>G19</f>
        <v>1</v>
      </c>
      <c r="H18" s="1583"/>
      <c r="I18" s="1052"/>
      <c r="J18" s="1332"/>
    </row>
    <row r="19" spans="2:10" ht="15" customHeight="1" x14ac:dyDescent="0.2">
      <c r="B19" s="1351"/>
      <c r="C19" s="939"/>
      <c r="D19" s="1054"/>
      <c r="E19" s="1135" t="s">
        <v>132</v>
      </c>
      <c r="F19" s="1050"/>
      <c r="G19" s="47">
        <v>1</v>
      </c>
      <c r="H19" s="1029"/>
      <c r="I19" s="939"/>
      <c r="J19" s="1030"/>
    </row>
    <row r="20" spans="2:10" ht="15" customHeight="1" x14ac:dyDescent="0.2">
      <c r="B20" s="1351"/>
      <c r="C20" s="939"/>
      <c r="D20" s="1054"/>
      <c r="E20" s="1135" t="s">
        <v>674</v>
      </c>
      <c r="F20" s="1050"/>
      <c r="G20" s="47"/>
      <c r="H20" s="1029"/>
      <c r="I20" s="939"/>
      <c r="J20" s="1030"/>
    </row>
    <row r="21" spans="2:10" ht="15" customHeight="1" x14ac:dyDescent="0.2">
      <c r="B21" s="1351"/>
      <c r="C21" s="939"/>
      <c r="D21" s="1054"/>
      <c r="E21" s="1135" t="s">
        <v>675</v>
      </c>
      <c r="F21" s="1050"/>
      <c r="G21" s="47"/>
      <c r="H21" s="1029"/>
      <c r="I21" s="939"/>
      <c r="J21" s="1030"/>
    </row>
    <row r="22" spans="2:10" ht="12.75" customHeight="1" x14ac:dyDescent="0.2">
      <c r="B22" s="1351"/>
      <c r="C22" s="939"/>
      <c r="D22" s="1054"/>
      <c r="E22" s="1135" t="s">
        <v>676</v>
      </c>
      <c r="F22" s="1050"/>
      <c r="G22" s="47"/>
      <c r="H22" s="1029"/>
      <c r="I22" s="939"/>
      <c r="J22" s="1030"/>
    </row>
    <row r="23" spans="2:10" ht="12.75" customHeight="1" x14ac:dyDescent="0.2">
      <c r="B23" s="1351"/>
      <c r="C23" s="939"/>
      <c r="D23" s="1054"/>
      <c r="E23" s="1135" t="s">
        <v>677</v>
      </c>
      <c r="F23" s="1050"/>
      <c r="G23" s="47"/>
      <c r="H23" s="1029"/>
      <c r="I23" s="939"/>
      <c r="J23" s="1030"/>
    </row>
    <row r="24" spans="2:10" ht="12.75" customHeight="1" x14ac:dyDescent="0.2">
      <c r="B24" s="1351"/>
      <c r="C24" s="939"/>
      <c r="D24" s="1054"/>
      <c r="E24" s="1135" t="s">
        <v>678</v>
      </c>
      <c r="F24" s="1050"/>
      <c r="G24" s="47"/>
      <c r="H24" s="1029"/>
      <c r="I24" s="939"/>
      <c r="J24" s="1030"/>
    </row>
    <row r="25" spans="2:10" ht="12.75" customHeight="1" x14ac:dyDescent="0.2">
      <c r="B25" s="1351"/>
      <c r="C25" s="939"/>
      <c r="D25" s="1054"/>
      <c r="E25" s="1135" t="s">
        <v>679</v>
      </c>
      <c r="F25" s="1050"/>
      <c r="G25" s="47"/>
      <c r="H25" s="1029"/>
      <c r="I25" s="939"/>
      <c r="J25" s="1030"/>
    </row>
    <row r="26" spans="2:10" ht="12.75" customHeight="1" x14ac:dyDescent="0.2">
      <c r="B26" s="1352"/>
      <c r="C26" s="1032"/>
      <c r="D26" s="1055"/>
      <c r="E26" s="1135" t="s">
        <v>680</v>
      </c>
      <c r="F26" s="1050"/>
      <c r="G26" s="47"/>
      <c r="H26" s="1031"/>
      <c r="I26" s="1032"/>
      <c r="J26" s="1033"/>
    </row>
    <row r="27" spans="2:10" ht="12.75" customHeight="1" x14ac:dyDescent="0.25">
      <c r="B27" s="465"/>
      <c r="C27" s="79"/>
      <c r="D27" s="76"/>
      <c r="E27" s="78"/>
      <c r="F27" s="78"/>
      <c r="G27" s="78"/>
      <c r="H27" s="78"/>
      <c r="I27" s="78"/>
      <c r="J27" s="340"/>
    </row>
    <row r="28" spans="2:10" ht="15" customHeight="1" x14ac:dyDescent="0.2">
      <c r="B28" s="1593" t="s">
        <v>38</v>
      </c>
      <c r="C28" s="1594"/>
      <c r="D28" s="325" t="s">
        <v>424</v>
      </c>
      <c r="E28" s="1592" t="s">
        <v>673</v>
      </c>
      <c r="F28" s="1055"/>
      <c r="G28" s="1048"/>
      <c r="H28" s="1336"/>
      <c r="I28" s="1580" t="s">
        <v>1427</v>
      </c>
      <c r="J28" s="1584"/>
    </row>
    <row r="29" spans="2:10" ht="15" customHeight="1" x14ac:dyDescent="0.2">
      <c r="B29" s="1350" t="s">
        <v>117</v>
      </c>
      <c r="C29" s="1052"/>
      <c r="D29" s="1053"/>
      <c r="E29" s="1135" t="s">
        <v>201</v>
      </c>
      <c r="F29" s="1050"/>
      <c r="G29" s="80">
        <f>G30</f>
        <v>1</v>
      </c>
      <c r="H29" s="1583"/>
      <c r="I29" s="1052"/>
      <c r="J29" s="1332"/>
    </row>
    <row r="30" spans="2:10" ht="15" customHeight="1" x14ac:dyDescent="0.2">
      <c r="B30" s="1351"/>
      <c r="C30" s="939"/>
      <c r="D30" s="1054"/>
      <c r="E30" s="1135" t="s">
        <v>132</v>
      </c>
      <c r="F30" s="1050"/>
      <c r="G30" s="47">
        <v>1</v>
      </c>
      <c r="H30" s="1029"/>
      <c r="I30" s="939"/>
      <c r="J30" s="1030"/>
    </row>
    <row r="31" spans="2:10" ht="15" customHeight="1" x14ac:dyDescent="0.2">
      <c r="B31" s="1351"/>
      <c r="C31" s="939"/>
      <c r="D31" s="1054"/>
      <c r="E31" s="1135" t="s">
        <v>674</v>
      </c>
      <c r="F31" s="1050"/>
      <c r="G31" s="47"/>
      <c r="H31" s="1029"/>
      <c r="I31" s="939"/>
      <c r="J31" s="1030"/>
    </row>
    <row r="32" spans="2:10" ht="15" customHeight="1" x14ac:dyDescent="0.2">
      <c r="B32" s="1351"/>
      <c r="C32" s="939"/>
      <c r="D32" s="1054"/>
      <c r="E32" s="1135" t="s">
        <v>675</v>
      </c>
      <c r="F32" s="1050"/>
      <c r="G32" s="47"/>
      <c r="H32" s="1029"/>
      <c r="I32" s="939"/>
      <c r="J32" s="1030"/>
    </row>
    <row r="33" spans="2:10" ht="12.75" customHeight="1" x14ac:dyDescent="0.2">
      <c r="B33" s="1351"/>
      <c r="C33" s="939"/>
      <c r="D33" s="1054"/>
      <c r="E33" s="1135" t="s">
        <v>676</v>
      </c>
      <c r="F33" s="1050"/>
      <c r="G33" s="47"/>
      <c r="H33" s="1029"/>
      <c r="I33" s="939"/>
      <c r="J33" s="1030"/>
    </row>
    <row r="34" spans="2:10" ht="12.75" customHeight="1" x14ac:dyDescent="0.2">
      <c r="B34" s="1351"/>
      <c r="C34" s="939"/>
      <c r="D34" s="1054"/>
      <c r="E34" s="1135" t="s">
        <v>677</v>
      </c>
      <c r="F34" s="1050"/>
      <c r="G34" s="47"/>
      <c r="H34" s="1029"/>
      <c r="I34" s="939"/>
      <c r="J34" s="1030"/>
    </row>
    <row r="35" spans="2:10" ht="12.75" customHeight="1" x14ac:dyDescent="0.2">
      <c r="B35" s="1351"/>
      <c r="C35" s="939"/>
      <c r="D35" s="1054"/>
      <c r="E35" s="1135" t="s">
        <v>678</v>
      </c>
      <c r="F35" s="1050"/>
      <c r="G35" s="47"/>
      <c r="H35" s="1029"/>
      <c r="I35" s="939"/>
      <c r="J35" s="1030"/>
    </row>
    <row r="36" spans="2:10" ht="12.75" customHeight="1" x14ac:dyDescent="0.2">
      <c r="B36" s="1351"/>
      <c r="C36" s="939"/>
      <c r="D36" s="1054"/>
      <c r="E36" s="1135" t="s">
        <v>679</v>
      </c>
      <c r="F36" s="1050"/>
      <c r="G36" s="47"/>
      <c r="H36" s="1029"/>
      <c r="I36" s="939"/>
      <c r="J36" s="1030"/>
    </row>
    <row r="37" spans="2:10" ht="12.75" customHeight="1" x14ac:dyDescent="0.2">
      <c r="B37" s="1352"/>
      <c r="C37" s="1032"/>
      <c r="D37" s="1055"/>
      <c r="E37" s="1135" t="s">
        <v>680</v>
      </c>
      <c r="F37" s="1050"/>
      <c r="G37" s="47"/>
      <c r="H37" s="1031"/>
      <c r="I37" s="1032"/>
      <c r="J37" s="1033"/>
    </row>
    <row r="38" spans="2:10" x14ac:dyDescent="0.2">
      <c r="B38" s="337"/>
      <c r="C38" s="76"/>
      <c r="D38" s="76"/>
      <c r="E38" s="76"/>
      <c r="F38" s="76"/>
      <c r="G38" s="76"/>
      <c r="H38" s="76"/>
      <c r="I38" s="76"/>
      <c r="J38" s="338"/>
    </row>
    <row r="39" spans="2:10" ht="15" customHeight="1" x14ac:dyDescent="0.2">
      <c r="B39" s="1593" t="s">
        <v>38</v>
      </c>
      <c r="C39" s="1594"/>
      <c r="D39" s="325" t="s">
        <v>424</v>
      </c>
      <c r="E39" s="1592" t="s">
        <v>673</v>
      </c>
      <c r="F39" s="1055"/>
      <c r="G39" s="1048"/>
      <c r="H39" s="1336"/>
      <c r="I39" s="1580" t="s">
        <v>1428</v>
      </c>
      <c r="J39" s="1584"/>
    </row>
    <row r="40" spans="2:10" ht="15" customHeight="1" x14ac:dyDescent="0.2">
      <c r="B40" s="1350" t="s">
        <v>1007</v>
      </c>
      <c r="C40" s="1052"/>
      <c r="D40" s="1053"/>
      <c r="E40" s="1135" t="s">
        <v>201</v>
      </c>
      <c r="F40" s="1050"/>
      <c r="G40" s="80">
        <f>G41</f>
        <v>6</v>
      </c>
      <c r="H40" s="1583"/>
      <c r="I40" s="1052"/>
      <c r="J40" s="1332"/>
    </row>
    <row r="41" spans="2:10" ht="15" customHeight="1" x14ac:dyDescent="0.2">
      <c r="B41" s="1351"/>
      <c r="C41" s="939"/>
      <c r="D41" s="1054"/>
      <c r="E41" s="1135" t="s">
        <v>132</v>
      </c>
      <c r="F41" s="1050"/>
      <c r="G41" s="47">
        <v>6</v>
      </c>
      <c r="H41" s="1029"/>
      <c r="I41" s="939"/>
      <c r="J41" s="1030"/>
    </row>
    <row r="42" spans="2:10" ht="15" customHeight="1" x14ac:dyDescent="0.2">
      <c r="B42" s="1351"/>
      <c r="C42" s="939"/>
      <c r="D42" s="1054"/>
      <c r="E42" s="1135" t="s">
        <v>674</v>
      </c>
      <c r="F42" s="1050"/>
      <c r="G42" s="47"/>
      <c r="H42" s="1029"/>
      <c r="I42" s="939"/>
      <c r="J42" s="1030"/>
    </row>
    <row r="43" spans="2:10" ht="15" customHeight="1" x14ac:dyDescent="0.2">
      <c r="B43" s="1351"/>
      <c r="C43" s="939"/>
      <c r="D43" s="1054"/>
      <c r="E43" s="1135" t="s">
        <v>675</v>
      </c>
      <c r="F43" s="1050"/>
      <c r="G43" s="47"/>
      <c r="H43" s="1029"/>
      <c r="I43" s="939"/>
      <c r="J43" s="1030"/>
    </row>
    <row r="44" spans="2:10" ht="12.75" customHeight="1" x14ac:dyDescent="0.2">
      <c r="B44" s="1351"/>
      <c r="C44" s="939"/>
      <c r="D44" s="1054"/>
      <c r="E44" s="1135" t="s">
        <v>676</v>
      </c>
      <c r="F44" s="1050"/>
      <c r="G44" s="47"/>
      <c r="H44" s="1029"/>
      <c r="I44" s="939"/>
      <c r="J44" s="1030"/>
    </row>
    <row r="45" spans="2:10" ht="12.75" customHeight="1" x14ac:dyDescent="0.2">
      <c r="B45" s="1351"/>
      <c r="C45" s="939"/>
      <c r="D45" s="1054"/>
      <c r="E45" s="1135" t="s">
        <v>677</v>
      </c>
      <c r="F45" s="1050"/>
      <c r="G45" s="47"/>
      <c r="H45" s="1029"/>
      <c r="I45" s="939"/>
      <c r="J45" s="1030"/>
    </row>
    <row r="46" spans="2:10" ht="12.75" customHeight="1" x14ac:dyDescent="0.2">
      <c r="B46" s="1351"/>
      <c r="C46" s="939"/>
      <c r="D46" s="1054"/>
      <c r="E46" s="1135" t="s">
        <v>678</v>
      </c>
      <c r="F46" s="1050"/>
      <c r="G46" s="47"/>
      <c r="H46" s="1029"/>
      <c r="I46" s="939"/>
      <c r="J46" s="1030"/>
    </row>
    <row r="47" spans="2:10" ht="12.75" customHeight="1" x14ac:dyDescent="0.2">
      <c r="B47" s="1351"/>
      <c r="C47" s="939"/>
      <c r="D47" s="1054"/>
      <c r="E47" s="1135" t="s">
        <v>679</v>
      </c>
      <c r="F47" s="1050"/>
      <c r="G47" s="47"/>
      <c r="H47" s="1029"/>
      <c r="I47" s="939"/>
      <c r="J47" s="1030"/>
    </row>
    <row r="48" spans="2:10" ht="12.75" customHeight="1" x14ac:dyDescent="0.2">
      <c r="B48" s="1352"/>
      <c r="C48" s="1032"/>
      <c r="D48" s="1055"/>
      <c r="E48" s="1135" t="s">
        <v>680</v>
      </c>
      <c r="F48" s="1050"/>
      <c r="G48" s="47"/>
      <c r="H48" s="1031"/>
      <c r="I48" s="1032"/>
      <c r="J48" s="1033"/>
    </row>
    <row r="49" spans="2:10" x14ac:dyDescent="0.2">
      <c r="B49" s="337"/>
      <c r="C49" s="76"/>
      <c r="D49" s="76"/>
      <c r="E49" s="76"/>
      <c r="F49" s="76"/>
      <c r="G49" s="76"/>
      <c r="H49" s="76"/>
      <c r="I49" s="76"/>
      <c r="J49" s="338"/>
    </row>
    <row r="50" spans="2:10" ht="15" customHeight="1" x14ac:dyDescent="0.2">
      <c r="B50" s="1593" t="s">
        <v>38</v>
      </c>
      <c r="C50" s="1594"/>
      <c r="D50" s="325" t="s">
        <v>424</v>
      </c>
      <c r="E50" s="1592" t="s">
        <v>673</v>
      </c>
      <c r="F50" s="1055"/>
      <c r="G50" s="1048"/>
      <c r="H50" s="1336"/>
      <c r="I50" s="1580" t="s">
        <v>1429</v>
      </c>
      <c r="J50" s="1584"/>
    </row>
    <row r="51" spans="2:10" ht="15" customHeight="1" x14ac:dyDescent="0.2">
      <c r="B51" s="1350" t="s">
        <v>1006</v>
      </c>
      <c r="C51" s="1052"/>
      <c r="D51" s="1053"/>
      <c r="E51" s="1135" t="s">
        <v>201</v>
      </c>
      <c r="F51" s="1050"/>
      <c r="G51" s="80">
        <f>G52</f>
        <v>3</v>
      </c>
      <c r="H51" s="1583"/>
      <c r="I51" s="1052"/>
      <c r="J51" s="1332"/>
    </row>
    <row r="52" spans="2:10" ht="15" customHeight="1" x14ac:dyDescent="0.2">
      <c r="B52" s="1351"/>
      <c r="C52" s="939"/>
      <c r="D52" s="1054"/>
      <c r="E52" s="1135" t="s">
        <v>132</v>
      </c>
      <c r="F52" s="1050"/>
      <c r="G52" s="47">
        <v>3</v>
      </c>
      <c r="H52" s="1029"/>
      <c r="I52" s="939"/>
      <c r="J52" s="1030"/>
    </row>
    <row r="53" spans="2:10" ht="15" customHeight="1" x14ac:dyDescent="0.2">
      <c r="B53" s="1351"/>
      <c r="C53" s="939"/>
      <c r="D53" s="1054"/>
      <c r="E53" s="1135" t="s">
        <v>674</v>
      </c>
      <c r="F53" s="1050"/>
      <c r="G53" s="47"/>
      <c r="H53" s="1029"/>
      <c r="I53" s="939"/>
      <c r="J53" s="1030"/>
    </row>
    <row r="54" spans="2:10" ht="15" customHeight="1" x14ac:dyDescent="0.2">
      <c r="B54" s="1351"/>
      <c r="C54" s="939"/>
      <c r="D54" s="1054"/>
      <c r="E54" s="1135" t="s">
        <v>675</v>
      </c>
      <c r="F54" s="1050"/>
      <c r="G54" s="47"/>
      <c r="H54" s="1029"/>
      <c r="I54" s="939"/>
      <c r="J54" s="1030"/>
    </row>
    <row r="55" spans="2:10" ht="12.75" customHeight="1" x14ac:dyDescent="0.2">
      <c r="B55" s="1351"/>
      <c r="C55" s="939"/>
      <c r="D55" s="1054"/>
      <c r="E55" s="1135" t="s">
        <v>676</v>
      </c>
      <c r="F55" s="1050"/>
      <c r="G55" s="47"/>
      <c r="H55" s="1029"/>
      <c r="I55" s="939"/>
      <c r="J55" s="1030"/>
    </row>
    <row r="56" spans="2:10" ht="12.75" customHeight="1" x14ac:dyDescent="0.2">
      <c r="B56" s="1351"/>
      <c r="C56" s="939"/>
      <c r="D56" s="1054"/>
      <c r="E56" s="1135" t="s">
        <v>677</v>
      </c>
      <c r="F56" s="1050"/>
      <c r="G56" s="47"/>
      <c r="H56" s="1029"/>
      <c r="I56" s="939"/>
      <c r="J56" s="1030"/>
    </row>
    <row r="57" spans="2:10" ht="12.75" customHeight="1" x14ac:dyDescent="0.2">
      <c r="B57" s="1351"/>
      <c r="C57" s="939"/>
      <c r="D57" s="1054"/>
      <c r="E57" s="1135" t="s">
        <v>678</v>
      </c>
      <c r="F57" s="1050"/>
      <c r="G57" s="47"/>
      <c r="H57" s="1029"/>
      <c r="I57" s="939"/>
      <c r="J57" s="1030"/>
    </row>
    <row r="58" spans="2:10" ht="12.75" customHeight="1" x14ac:dyDescent="0.2">
      <c r="B58" s="1351"/>
      <c r="C58" s="939"/>
      <c r="D58" s="1054"/>
      <c r="E58" s="1135" t="s">
        <v>679</v>
      </c>
      <c r="F58" s="1050"/>
      <c r="G58" s="47"/>
      <c r="H58" s="1029"/>
      <c r="I58" s="939"/>
      <c r="J58" s="1030"/>
    </row>
    <row r="59" spans="2:10" ht="12.75" customHeight="1" x14ac:dyDescent="0.2">
      <c r="B59" s="1352"/>
      <c r="C59" s="1032"/>
      <c r="D59" s="1055"/>
      <c r="E59" s="1135" t="s">
        <v>680</v>
      </c>
      <c r="F59" s="1050"/>
      <c r="G59" s="47"/>
      <c r="H59" s="1031"/>
      <c r="I59" s="1032"/>
      <c r="J59" s="1033"/>
    </row>
    <row r="60" spans="2:10" x14ac:dyDescent="0.2">
      <c r="B60" s="337"/>
      <c r="C60" s="76"/>
      <c r="D60" s="76"/>
      <c r="E60" s="76"/>
      <c r="F60" s="76"/>
      <c r="G60" s="76"/>
      <c r="H60" s="76"/>
      <c r="I60" s="76"/>
      <c r="J60" s="338"/>
    </row>
    <row r="61" spans="2:10" ht="15" customHeight="1" x14ac:dyDescent="0.2">
      <c r="B61" s="1593" t="s">
        <v>38</v>
      </c>
      <c r="C61" s="1594"/>
      <c r="D61" s="325" t="s">
        <v>424</v>
      </c>
      <c r="E61" s="1592" t="s">
        <v>673</v>
      </c>
      <c r="F61" s="1055"/>
      <c r="G61" s="1048"/>
      <c r="H61" s="1336"/>
      <c r="I61" s="1580" t="s">
        <v>1430</v>
      </c>
      <c r="J61" s="1584"/>
    </row>
    <row r="62" spans="2:10" ht="15" customHeight="1" x14ac:dyDescent="0.2">
      <c r="B62" s="1350" t="s">
        <v>1005</v>
      </c>
      <c r="C62" s="1052"/>
      <c r="D62" s="1053"/>
      <c r="E62" s="1135" t="s">
        <v>201</v>
      </c>
      <c r="F62" s="1050"/>
      <c r="G62" s="80">
        <f>G63</f>
        <v>8</v>
      </c>
      <c r="H62" s="1583"/>
      <c r="I62" s="1052"/>
      <c r="J62" s="1332"/>
    </row>
    <row r="63" spans="2:10" ht="15" customHeight="1" x14ac:dyDescent="0.2">
      <c r="B63" s="1351"/>
      <c r="C63" s="939"/>
      <c r="D63" s="1054"/>
      <c r="E63" s="1135" t="s">
        <v>132</v>
      </c>
      <c r="F63" s="1050"/>
      <c r="G63" s="47">
        <v>8</v>
      </c>
      <c r="H63" s="1029"/>
      <c r="I63" s="939"/>
      <c r="J63" s="1030"/>
    </row>
    <row r="64" spans="2:10" ht="15" customHeight="1" x14ac:dyDescent="0.2">
      <c r="B64" s="1351"/>
      <c r="C64" s="939"/>
      <c r="D64" s="1054"/>
      <c r="E64" s="1135" t="s">
        <v>674</v>
      </c>
      <c r="F64" s="1050"/>
      <c r="G64" s="47"/>
      <c r="H64" s="1029"/>
      <c r="I64" s="939"/>
      <c r="J64" s="1030"/>
    </row>
    <row r="65" spans="2:10" ht="15" customHeight="1" x14ac:dyDescent="0.2">
      <c r="B65" s="1351"/>
      <c r="C65" s="939"/>
      <c r="D65" s="1054"/>
      <c r="E65" s="1135" t="s">
        <v>675</v>
      </c>
      <c r="F65" s="1050"/>
      <c r="G65" s="47"/>
      <c r="H65" s="1029"/>
      <c r="I65" s="939"/>
      <c r="J65" s="1030"/>
    </row>
    <row r="66" spans="2:10" ht="12.75" customHeight="1" x14ac:dyDescent="0.2">
      <c r="B66" s="1351"/>
      <c r="C66" s="939"/>
      <c r="D66" s="1054"/>
      <c r="E66" s="1135" t="s">
        <v>676</v>
      </c>
      <c r="F66" s="1050"/>
      <c r="G66" s="47"/>
      <c r="H66" s="1029"/>
      <c r="I66" s="939"/>
      <c r="J66" s="1030"/>
    </row>
    <row r="67" spans="2:10" ht="12.75" customHeight="1" x14ac:dyDescent="0.2">
      <c r="B67" s="1351"/>
      <c r="C67" s="939"/>
      <c r="D67" s="1054"/>
      <c r="E67" s="1135" t="s">
        <v>677</v>
      </c>
      <c r="F67" s="1050"/>
      <c r="G67" s="47"/>
      <c r="H67" s="1029"/>
      <c r="I67" s="939"/>
      <c r="J67" s="1030"/>
    </row>
    <row r="68" spans="2:10" ht="12.75" customHeight="1" x14ac:dyDescent="0.2">
      <c r="B68" s="1351"/>
      <c r="C68" s="939"/>
      <c r="D68" s="1054"/>
      <c r="E68" s="1135" t="s">
        <v>678</v>
      </c>
      <c r="F68" s="1050"/>
      <c r="G68" s="47"/>
      <c r="H68" s="1029"/>
      <c r="I68" s="939"/>
      <c r="J68" s="1030"/>
    </row>
    <row r="69" spans="2:10" ht="12.75" customHeight="1" x14ac:dyDescent="0.2">
      <c r="B69" s="1351"/>
      <c r="C69" s="939"/>
      <c r="D69" s="1054"/>
      <c r="E69" s="1135" t="s">
        <v>679</v>
      </c>
      <c r="F69" s="1050"/>
      <c r="G69" s="47"/>
      <c r="H69" s="1029"/>
      <c r="I69" s="939"/>
      <c r="J69" s="1030"/>
    </row>
    <row r="70" spans="2:10" ht="12.75" customHeight="1" x14ac:dyDescent="0.2">
      <c r="B70" s="1352"/>
      <c r="C70" s="1032"/>
      <c r="D70" s="1055"/>
      <c r="E70" s="1135" t="s">
        <v>680</v>
      </c>
      <c r="F70" s="1050"/>
      <c r="G70" s="47"/>
      <c r="H70" s="1031"/>
      <c r="I70" s="1032"/>
      <c r="J70" s="1033"/>
    </row>
    <row r="71" spans="2:10" x14ac:dyDescent="0.2">
      <c r="B71" s="337"/>
      <c r="C71" s="76"/>
      <c r="D71" s="76"/>
      <c r="E71" s="76"/>
      <c r="F71" s="76"/>
      <c r="G71" s="76"/>
      <c r="H71" s="76"/>
      <c r="I71" s="76"/>
      <c r="J71" s="338"/>
    </row>
    <row r="72" spans="2:10" ht="15" customHeight="1" x14ac:dyDescent="0.2">
      <c r="B72" s="1593" t="s">
        <v>38</v>
      </c>
      <c r="C72" s="1594"/>
      <c r="D72" s="325" t="s">
        <v>424</v>
      </c>
      <c r="E72" s="1592" t="s">
        <v>673</v>
      </c>
      <c r="F72" s="1055"/>
      <c r="G72" s="1048"/>
      <c r="H72" s="1336"/>
      <c r="I72" s="1580" t="s">
        <v>1431</v>
      </c>
      <c r="J72" s="1584"/>
    </row>
    <row r="73" spans="2:10" ht="22.9" customHeight="1" x14ac:dyDescent="0.2">
      <c r="B73" s="1350" t="s">
        <v>1004</v>
      </c>
      <c r="C73" s="1052"/>
      <c r="D73" s="1053"/>
      <c r="E73" s="1135" t="s">
        <v>201</v>
      </c>
      <c r="F73" s="1050"/>
      <c r="G73" s="80">
        <f>G74</f>
        <v>1</v>
      </c>
      <c r="H73" s="1583"/>
      <c r="I73" s="1052"/>
      <c r="J73" s="1332"/>
    </row>
    <row r="74" spans="2:10" ht="20.45" customHeight="1" x14ac:dyDescent="0.2">
      <c r="B74" s="1351"/>
      <c r="C74" s="939"/>
      <c r="D74" s="1054"/>
      <c r="E74" s="1135" t="s">
        <v>132</v>
      </c>
      <c r="F74" s="1050"/>
      <c r="G74" s="47">
        <v>1</v>
      </c>
      <c r="H74" s="1029"/>
      <c r="I74" s="939"/>
      <c r="J74" s="1030"/>
    </row>
    <row r="75" spans="2:10" ht="18" customHeight="1" x14ac:dyDescent="0.2">
      <c r="B75" s="1351"/>
      <c r="C75" s="939"/>
      <c r="D75" s="1054"/>
      <c r="E75" s="1135" t="s">
        <v>674</v>
      </c>
      <c r="F75" s="1050"/>
      <c r="G75" s="47"/>
      <c r="H75" s="1029"/>
      <c r="I75" s="939"/>
      <c r="J75" s="1030"/>
    </row>
    <row r="76" spans="2:10" ht="19.149999999999999" customHeight="1" x14ac:dyDescent="0.2">
      <c r="B76" s="1351"/>
      <c r="C76" s="939"/>
      <c r="D76" s="1054"/>
      <c r="E76" s="1135" t="s">
        <v>675</v>
      </c>
      <c r="F76" s="1050"/>
      <c r="G76" s="47"/>
      <c r="H76" s="1029"/>
      <c r="I76" s="939"/>
      <c r="J76" s="1030"/>
    </row>
    <row r="77" spans="2:10" ht="17.45" customHeight="1" x14ac:dyDescent="0.2">
      <c r="B77" s="1351"/>
      <c r="C77" s="939"/>
      <c r="D77" s="1054"/>
      <c r="E77" s="1135" t="s">
        <v>676</v>
      </c>
      <c r="F77" s="1050"/>
      <c r="G77" s="47"/>
      <c r="H77" s="1029"/>
      <c r="I77" s="939"/>
      <c r="J77" s="1030"/>
    </row>
    <row r="78" spans="2:10" ht="16.899999999999999" customHeight="1" x14ac:dyDescent="0.2">
      <c r="B78" s="1351"/>
      <c r="C78" s="939"/>
      <c r="D78" s="1054"/>
      <c r="E78" s="1135" t="s">
        <v>677</v>
      </c>
      <c r="F78" s="1050"/>
      <c r="G78" s="47"/>
      <c r="H78" s="1029"/>
      <c r="I78" s="939"/>
      <c r="J78" s="1030"/>
    </row>
    <row r="79" spans="2:10" ht="16.149999999999999" customHeight="1" x14ac:dyDescent="0.2">
      <c r="B79" s="1351"/>
      <c r="C79" s="939"/>
      <c r="D79" s="1054"/>
      <c r="E79" s="1135" t="s">
        <v>678</v>
      </c>
      <c r="F79" s="1050"/>
      <c r="G79" s="47"/>
      <c r="H79" s="1029"/>
      <c r="I79" s="939"/>
      <c r="J79" s="1030"/>
    </row>
    <row r="80" spans="2:10" ht="18" customHeight="1" x14ac:dyDescent="0.2">
      <c r="B80" s="1351"/>
      <c r="C80" s="939"/>
      <c r="D80" s="1054"/>
      <c r="E80" s="1135" t="s">
        <v>679</v>
      </c>
      <c r="F80" s="1050"/>
      <c r="G80" s="47"/>
      <c r="H80" s="1029"/>
      <c r="I80" s="939"/>
      <c r="J80" s="1030"/>
    </row>
    <row r="81" spans="2:10" ht="19.899999999999999" customHeight="1" x14ac:dyDescent="0.2">
      <c r="B81" s="1352"/>
      <c r="C81" s="1032"/>
      <c r="D81" s="1055"/>
      <c r="E81" s="1135" t="s">
        <v>680</v>
      </c>
      <c r="F81" s="1050"/>
      <c r="G81" s="47"/>
      <c r="H81" s="1031"/>
      <c r="I81" s="1032"/>
      <c r="J81" s="1033"/>
    </row>
    <row r="82" spans="2:10" x14ac:dyDescent="0.2">
      <c r="B82" s="337"/>
      <c r="C82" s="76"/>
      <c r="D82" s="76"/>
      <c r="E82" s="76"/>
      <c r="F82" s="76"/>
      <c r="G82" s="76"/>
      <c r="H82" s="76"/>
      <c r="I82" s="76"/>
      <c r="J82" s="338"/>
    </row>
    <row r="83" spans="2:10" ht="15" customHeight="1" x14ac:dyDescent="0.2">
      <c r="B83" s="1593" t="s">
        <v>38</v>
      </c>
      <c r="C83" s="1594"/>
      <c r="D83" s="325" t="s">
        <v>424</v>
      </c>
      <c r="E83" s="1592" t="s">
        <v>673</v>
      </c>
      <c r="F83" s="1055"/>
      <c r="G83" s="1048"/>
      <c r="H83" s="1336"/>
      <c r="I83" s="1580" t="s">
        <v>1432</v>
      </c>
      <c r="J83" s="1584"/>
    </row>
    <row r="84" spans="2:10" ht="24" customHeight="1" x14ac:dyDescent="0.2">
      <c r="B84" s="1350" t="s">
        <v>1003</v>
      </c>
      <c r="C84" s="1052"/>
      <c r="D84" s="1053"/>
      <c r="E84" s="1135" t="s">
        <v>201</v>
      </c>
      <c r="F84" s="1050"/>
      <c r="G84" s="80">
        <f>G85</f>
        <v>3</v>
      </c>
      <c r="H84" s="1583"/>
      <c r="I84" s="1052"/>
      <c r="J84" s="1332"/>
    </row>
    <row r="85" spans="2:10" ht="24" customHeight="1" x14ac:dyDescent="0.2">
      <c r="B85" s="1351"/>
      <c r="C85" s="939"/>
      <c r="D85" s="1054"/>
      <c r="E85" s="1135" t="s">
        <v>132</v>
      </c>
      <c r="F85" s="1050"/>
      <c r="G85" s="47">
        <v>3</v>
      </c>
      <c r="H85" s="1029"/>
      <c r="I85" s="939"/>
      <c r="J85" s="1030"/>
    </row>
    <row r="86" spans="2:10" ht="22.15" customHeight="1" x14ac:dyDescent="0.2">
      <c r="B86" s="1351"/>
      <c r="C86" s="939"/>
      <c r="D86" s="1054"/>
      <c r="E86" s="1135" t="s">
        <v>674</v>
      </c>
      <c r="F86" s="1050"/>
      <c r="G86" s="47"/>
      <c r="H86" s="1029"/>
      <c r="I86" s="939"/>
      <c r="J86" s="1030"/>
    </row>
    <row r="87" spans="2:10" ht="22.9" customHeight="1" x14ac:dyDescent="0.2">
      <c r="B87" s="1351"/>
      <c r="C87" s="939"/>
      <c r="D87" s="1054"/>
      <c r="E87" s="1135" t="s">
        <v>675</v>
      </c>
      <c r="F87" s="1050"/>
      <c r="G87" s="47"/>
      <c r="H87" s="1029"/>
      <c r="I87" s="939"/>
      <c r="J87" s="1030"/>
    </row>
    <row r="88" spans="2:10" ht="19.899999999999999" customHeight="1" x14ac:dyDescent="0.2">
      <c r="B88" s="1351"/>
      <c r="C88" s="939"/>
      <c r="D88" s="1054"/>
      <c r="E88" s="1135" t="s">
        <v>676</v>
      </c>
      <c r="F88" s="1050"/>
      <c r="G88" s="47"/>
      <c r="H88" s="1029"/>
      <c r="I88" s="939"/>
      <c r="J88" s="1030"/>
    </row>
    <row r="89" spans="2:10" ht="18.600000000000001" customHeight="1" x14ac:dyDescent="0.2">
      <c r="B89" s="1351"/>
      <c r="C89" s="939"/>
      <c r="D89" s="1054"/>
      <c r="E89" s="1135" t="s">
        <v>677</v>
      </c>
      <c r="F89" s="1050"/>
      <c r="G89" s="47"/>
      <c r="H89" s="1029"/>
      <c r="I89" s="939"/>
      <c r="J89" s="1030"/>
    </row>
    <row r="90" spans="2:10" ht="18.600000000000001" customHeight="1" x14ac:dyDescent="0.2">
      <c r="B90" s="1351"/>
      <c r="C90" s="939"/>
      <c r="D90" s="1054"/>
      <c r="E90" s="1135" t="s">
        <v>678</v>
      </c>
      <c r="F90" s="1050"/>
      <c r="G90" s="47"/>
      <c r="H90" s="1029"/>
      <c r="I90" s="939"/>
      <c r="J90" s="1030"/>
    </row>
    <row r="91" spans="2:10" ht="21" customHeight="1" x14ac:dyDescent="0.2">
      <c r="B91" s="1351"/>
      <c r="C91" s="939"/>
      <c r="D91" s="1054"/>
      <c r="E91" s="1135" t="s">
        <v>679</v>
      </c>
      <c r="F91" s="1050"/>
      <c r="G91" s="47"/>
      <c r="H91" s="1029"/>
      <c r="I91" s="939"/>
      <c r="J91" s="1030"/>
    </row>
    <row r="92" spans="2:10" ht="12.75" customHeight="1" x14ac:dyDescent="0.2">
      <c r="B92" s="1352"/>
      <c r="C92" s="1032"/>
      <c r="D92" s="1055"/>
      <c r="E92" s="1135" t="s">
        <v>680</v>
      </c>
      <c r="F92" s="1050"/>
      <c r="G92" s="47"/>
      <c r="H92" s="1031"/>
      <c r="I92" s="1032"/>
      <c r="J92" s="1033"/>
    </row>
    <row r="93" spans="2:10" x14ac:dyDescent="0.2">
      <c r="B93" s="337"/>
      <c r="C93" s="76"/>
      <c r="D93" s="76"/>
      <c r="E93" s="76"/>
      <c r="F93" s="76"/>
      <c r="G93" s="76"/>
      <c r="H93" s="76"/>
      <c r="I93" s="76"/>
      <c r="J93" s="338"/>
    </row>
    <row r="94" spans="2:10" ht="15" customHeight="1" x14ac:dyDescent="0.2">
      <c r="B94" s="1593" t="s">
        <v>38</v>
      </c>
      <c r="C94" s="1594"/>
      <c r="D94" s="325" t="s">
        <v>424</v>
      </c>
      <c r="E94" s="1592" t="s">
        <v>673</v>
      </c>
      <c r="F94" s="1055"/>
      <c r="G94" s="1048"/>
      <c r="H94" s="1336"/>
      <c r="I94" s="1580" t="s">
        <v>1433</v>
      </c>
      <c r="J94" s="1584"/>
    </row>
    <row r="95" spans="2:10" ht="15" customHeight="1" x14ac:dyDescent="0.2">
      <c r="B95" s="1350" t="s">
        <v>1002</v>
      </c>
      <c r="C95" s="1052"/>
      <c r="D95" s="1053"/>
      <c r="E95" s="1135" t="s">
        <v>201</v>
      </c>
      <c r="F95" s="1050"/>
      <c r="G95" s="80">
        <f>G96</f>
        <v>1</v>
      </c>
      <c r="H95" s="1583"/>
      <c r="I95" s="1052"/>
      <c r="J95" s="1332"/>
    </row>
    <row r="96" spans="2:10" ht="15" customHeight="1" x14ac:dyDescent="0.2">
      <c r="B96" s="1351"/>
      <c r="C96" s="939"/>
      <c r="D96" s="1054"/>
      <c r="E96" s="1135" t="s">
        <v>132</v>
      </c>
      <c r="F96" s="1050"/>
      <c r="G96" s="47">
        <v>1</v>
      </c>
      <c r="H96" s="1029"/>
      <c r="I96" s="939"/>
      <c r="J96" s="1030"/>
    </row>
    <row r="97" spans="2:10" ht="15" customHeight="1" x14ac:dyDescent="0.2">
      <c r="B97" s="1351"/>
      <c r="C97" s="939"/>
      <c r="D97" s="1054"/>
      <c r="E97" s="1135" t="s">
        <v>674</v>
      </c>
      <c r="F97" s="1050"/>
      <c r="G97" s="47"/>
      <c r="H97" s="1029"/>
      <c r="I97" s="939"/>
      <c r="J97" s="1030"/>
    </row>
    <row r="98" spans="2:10" ht="15" customHeight="1" x14ac:dyDescent="0.2">
      <c r="B98" s="1351"/>
      <c r="C98" s="939"/>
      <c r="D98" s="1054"/>
      <c r="E98" s="1135" t="s">
        <v>675</v>
      </c>
      <c r="F98" s="1050"/>
      <c r="G98" s="47"/>
      <c r="H98" s="1029"/>
      <c r="I98" s="939"/>
      <c r="J98" s="1030"/>
    </row>
    <row r="99" spans="2:10" ht="12.75" customHeight="1" x14ac:dyDescent="0.2">
      <c r="B99" s="1351"/>
      <c r="C99" s="939"/>
      <c r="D99" s="1054"/>
      <c r="E99" s="1135" t="s">
        <v>676</v>
      </c>
      <c r="F99" s="1050"/>
      <c r="G99" s="47"/>
      <c r="H99" s="1029"/>
      <c r="I99" s="939"/>
      <c r="J99" s="1030"/>
    </row>
    <row r="100" spans="2:10" ht="12.75" customHeight="1" x14ac:dyDescent="0.2">
      <c r="B100" s="1351"/>
      <c r="C100" s="939"/>
      <c r="D100" s="1054"/>
      <c r="E100" s="1135" t="s">
        <v>677</v>
      </c>
      <c r="F100" s="1050"/>
      <c r="G100" s="47"/>
      <c r="H100" s="1029"/>
      <c r="I100" s="939"/>
      <c r="J100" s="1030"/>
    </row>
    <row r="101" spans="2:10" ht="12.75" customHeight="1" x14ac:dyDescent="0.2">
      <c r="B101" s="1351"/>
      <c r="C101" s="939"/>
      <c r="D101" s="1054"/>
      <c r="E101" s="1135" t="s">
        <v>678</v>
      </c>
      <c r="F101" s="1050"/>
      <c r="G101" s="47"/>
      <c r="H101" s="1029"/>
      <c r="I101" s="939"/>
      <c r="J101" s="1030"/>
    </row>
    <row r="102" spans="2:10" ht="12.75" customHeight="1" x14ac:dyDescent="0.2">
      <c r="B102" s="1351"/>
      <c r="C102" s="939"/>
      <c r="D102" s="1054"/>
      <c r="E102" s="1135" t="s">
        <v>679</v>
      </c>
      <c r="F102" s="1050"/>
      <c r="G102" s="47"/>
      <c r="H102" s="1029"/>
      <c r="I102" s="939"/>
      <c r="J102" s="1030"/>
    </row>
    <row r="103" spans="2:10" ht="12.75" customHeight="1" x14ac:dyDescent="0.2">
      <c r="B103" s="1352"/>
      <c r="C103" s="1032"/>
      <c r="D103" s="1055"/>
      <c r="E103" s="1135" t="s">
        <v>680</v>
      </c>
      <c r="F103" s="1050"/>
      <c r="G103" s="47"/>
      <c r="H103" s="1031"/>
      <c r="I103" s="1032"/>
      <c r="J103" s="1033"/>
    </row>
    <row r="104" spans="2:10" x14ac:dyDescent="0.2">
      <c r="B104" s="337"/>
      <c r="C104" s="76"/>
      <c r="D104" s="76"/>
      <c r="E104" s="76"/>
      <c r="F104" s="76"/>
      <c r="G104" s="76"/>
      <c r="H104" s="76"/>
      <c r="I104" s="76"/>
      <c r="J104" s="338"/>
    </row>
    <row r="105" spans="2:10" ht="15" customHeight="1" x14ac:dyDescent="0.2">
      <c r="B105" s="1593" t="s">
        <v>38</v>
      </c>
      <c r="C105" s="1594"/>
      <c r="D105" s="325" t="s">
        <v>424</v>
      </c>
      <c r="E105" s="1592" t="s">
        <v>673</v>
      </c>
      <c r="F105" s="1055"/>
      <c r="G105" s="1048"/>
      <c r="H105" s="1336"/>
      <c r="I105" s="1580" t="s">
        <v>1434</v>
      </c>
      <c r="J105" s="1584"/>
    </row>
    <row r="106" spans="2:10" ht="15" customHeight="1" x14ac:dyDescent="0.2">
      <c r="B106" s="1350" t="s">
        <v>1233</v>
      </c>
      <c r="C106" s="1052"/>
      <c r="D106" s="1053"/>
      <c r="E106" s="1135" t="s">
        <v>201</v>
      </c>
      <c r="F106" s="1050"/>
      <c r="G106" s="80">
        <f>G107</f>
        <v>1</v>
      </c>
      <c r="H106" s="1583"/>
      <c r="I106" s="1052"/>
      <c r="J106" s="1332"/>
    </row>
    <row r="107" spans="2:10" ht="15" customHeight="1" x14ac:dyDescent="0.2">
      <c r="B107" s="1351"/>
      <c r="C107" s="939"/>
      <c r="D107" s="1054"/>
      <c r="E107" s="1135" t="s">
        <v>132</v>
      </c>
      <c r="F107" s="1050"/>
      <c r="G107" s="47">
        <v>1</v>
      </c>
      <c r="H107" s="1029"/>
      <c r="I107" s="939"/>
      <c r="J107" s="1030"/>
    </row>
    <row r="108" spans="2:10" ht="15" customHeight="1" x14ac:dyDescent="0.2">
      <c r="B108" s="1351"/>
      <c r="C108" s="939"/>
      <c r="D108" s="1054"/>
      <c r="E108" s="1135" t="s">
        <v>674</v>
      </c>
      <c r="F108" s="1050"/>
      <c r="G108" s="47"/>
      <c r="H108" s="1029"/>
      <c r="I108" s="939"/>
      <c r="J108" s="1030"/>
    </row>
    <row r="109" spans="2:10" ht="15" customHeight="1" x14ac:dyDescent="0.2">
      <c r="B109" s="1351"/>
      <c r="C109" s="939"/>
      <c r="D109" s="1054"/>
      <c r="E109" s="1135" t="s">
        <v>675</v>
      </c>
      <c r="F109" s="1050"/>
      <c r="G109" s="47"/>
      <c r="H109" s="1029"/>
      <c r="I109" s="939"/>
      <c r="J109" s="1030"/>
    </row>
    <row r="110" spans="2:10" ht="12.75" customHeight="1" x14ac:dyDescent="0.2">
      <c r="B110" s="1351"/>
      <c r="C110" s="939"/>
      <c r="D110" s="1054"/>
      <c r="E110" s="1135" t="s">
        <v>676</v>
      </c>
      <c r="F110" s="1050"/>
      <c r="G110" s="47"/>
      <c r="H110" s="1029"/>
      <c r="I110" s="939"/>
      <c r="J110" s="1030"/>
    </row>
    <row r="111" spans="2:10" ht="12.75" customHeight="1" x14ac:dyDescent="0.2">
      <c r="B111" s="1351"/>
      <c r="C111" s="939"/>
      <c r="D111" s="1054"/>
      <c r="E111" s="1135" t="s">
        <v>677</v>
      </c>
      <c r="F111" s="1050"/>
      <c r="G111" s="47"/>
      <c r="H111" s="1029"/>
      <c r="I111" s="939"/>
      <c r="J111" s="1030"/>
    </row>
    <row r="112" spans="2:10" ht="12.75" customHeight="1" x14ac:dyDescent="0.2">
      <c r="B112" s="1351"/>
      <c r="C112" s="939"/>
      <c r="D112" s="1054"/>
      <c r="E112" s="1135" t="s">
        <v>678</v>
      </c>
      <c r="F112" s="1050"/>
      <c r="G112" s="47"/>
      <c r="H112" s="1029"/>
      <c r="I112" s="939"/>
      <c r="J112" s="1030"/>
    </row>
    <row r="113" spans="2:10" ht="12.75" customHeight="1" x14ac:dyDescent="0.2">
      <c r="B113" s="1351"/>
      <c r="C113" s="939"/>
      <c r="D113" s="1054"/>
      <c r="E113" s="1135" t="s">
        <v>679</v>
      </c>
      <c r="F113" s="1050"/>
      <c r="G113" s="47"/>
      <c r="H113" s="1029"/>
      <c r="I113" s="939"/>
      <c r="J113" s="1030"/>
    </row>
    <row r="114" spans="2:10" ht="12.75" customHeight="1" x14ac:dyDescent="0.2">
      <c r="B114" s="1352"/>
      <c r="C114" s="1032"/>
      <c r="D114" s="1055"/>
      <c r="E114" s="1135" t="s">
        <v>680</v>
      </c>
      <c r="F114" s="1050"/>
      <c r="G114" s="47"/>
      <c r="H114" s="1031"/>
      <c r="I114" s="1032"/>
      <c r="J114" s="1033"/>
    </row>
    <row r="115" spans="2:10" x14ac:dyDescent="0.2">
      <c r="B115" s="337"/>
      <c r="C115" s="76"/>
      <c r="D115" s="76"/>
      <c r="E115" s="76"/>
      <c r="F115" s="76"/>
      <c r="G115" s="76"/>
      <c r="H115" s="76"/>
      <c r="I115" s="76"/>
      <c r="J115" s="338"/>
    </row>
    <row r="116" spans="2:10" ht="15" customHeight="1" x14ac:dyDescent="0.2">
      <c r="B116" s="1593" t="s">
        <v>38</v>
      </c>
      <c r="C116" s="1594"/>
      <c r="D116" s="325" t="s">
        <v>424</v>
      </c>
      <c r="E116" s="1592" t="s">
        <v>673</v>
      </c>
      <c r="F116" s="1055"/>
      <c r="G116" s="1048"/>
      <c r="H116" s="1336"/>
      <c r="I116" s="1580" t="s">
        <v>1435</v>
      </c>
      <c r="J116" s="1584"/>
    </row>
    <row r="117" spans="2:10" ht="19.149999999999999" customHeight="1" x14ac:dyDescent="0.2">
      <c r="B117" s="1350" t="s">
        <v>1001</v>
      </c>
      <c r="C117" s="1052"/>
      <c r="D117" s="1053"/>
      <c r="E117" s="1135" t="s">
        <v>201</v>
      </c>
      <c r="F117" s="1050"/>
      <c r="G117" s="80">
        <f>G118</f>
        <v>1</v>
      </c>
      <c r="H117" s="1583"/>
      <c r="I117" s="1052"/>
      <c r="J117" s="1332"/>
    </row>
    <row r="118" spans="2:10" ht="19.149999999999999" customHeight="1" x14ac:dyDescent="0.2">
      <c r="B118" s="1351"/>
      <c r="C118" s="939"/>
      <c r="D118" s="1054"/>
      <c r="E118" s="1135" t="s">
        <v>132</v>
      </c>
      <c r="F118" s="1050"/>
      <c r="G118" s="47">
        <v>1</v>
      </c>
      <c r="H118" s="1029"/>
      <c r="I118" s="939"/>
      <c r="J118" s="1030"/>
    </row>
    <row r="119" spans="2:10" ht="19.149999999999999" customHeight="1" x14ac:dyDescent="0.2">
      <c r="B119" s="1351"/>
      <c r="C119" s="939"/>
      <c r="D119" s="1054"/>
      <c r="E119" s="1135" t="s">
        <v>674</v>
      </c>
      <c r="F119" s="1050"/>
      <c r="G119" s="47"/>
      <c r="H119" s="1029"/>
      <c r="I119" s="939"/>
      <c r="J119" s="1030"/>
    </row>
    <row r="120" spans="2:10" ht="19.149999999999999" customHeight="1" x14ac:dyDescent="0.2">
      <c r="B120" s="1351"/>
      <c r="C120" s="939"/>
      <c r="D120" s="1054"/>
      <c r="E120" s="1135" t="s">
        <v>675</v>
      </c>
      <c r="F120" s="1050"/>
      <c r="G120" s="47"/>
      <c r="H120" s="1029"/>
      <c r="I120" s="939"/>
      <c r="J120" s="1030"/>
    </row>
    <row r="121" spans="2:10" ht="19.149999999999999" customHeight="1" x14ac:dyDescent="0.2">
      <c r="B121" s="1351"/>
      <c r="C121" s="939"/>
      <c r="D121" s="1054"/>
      <c r="E121" s="1135" t="s">
        <v>676</v>
      </c>
      <c r="F121" s="1050"/>
      <c r="G121" s="47"/>
      <c r="H121" s="1029"/>
      <c r="I121" s="939"/>
      <c r="J121" s="1030"/>
    </row>
    <row r="122" spans="2:10" ht="19.149999999999999" customHeight="1" x14ac:dyDescent="0.2">
      <c r="B122" s="1351"/>
      <c r="C122" s="939"/>
      <c r="D122" s="1054"/>
      <c r="E122" s="1135" t="s">
        <v>677</v>
      </c>
      <c r="F122" s="1050"/>
      <c r="G122" s="47"/>
      <c r="H122" s="1029"/>
      <c r="I122" s="939"/>
      <c r="J122" s="1030"/>
    </row>
    <row r="123" spans="2:10" ht="19.149999999999999" customHeight="1" x14ac:dyDescent="0.2">
      <c r="B123" s="1351"/>
      <c r="C123" s="939"/>
      <c r="D123" s="1054"/>
      <c r="E123" s="1135" t="s">
        <v>678</v>
      </c>
      <c r="F123" s="1050"/>
      <c r="G123" s="47"/>
      <c r="H123" s="1029"/>
      <c r="I123" s="939"/>
      <c r="J123" s="1030"/>
    </row>
    <row r="124" spans="2:10" ht="19.149999999999999" customHeight="1" x14ac:dyDescent="0.2">
      <c r="B124" s="1351"/>
      <c r="C124" s="939"/>
      <c r="D124" s="1054"/>
      <c r="E124" s="1135" t="s">
        <v>679</v>
      </c>
      <c r="F124" s="1050"/>
      <c r="G124" s="47"/>
      <c r="H124" s="1029"/>
      <c r="I124" s="939"/>
      <c r="J124" s="1030"/>
    </row>
    <row r="125" spans="2:10" ht="19.149999999999999" customHeight="1" x14ac:dyDescent="0.2">
      <c r="B125" s="1352"/>
      <c r="C125" s="1032"/>
      <c r="D125" s="1055"/>
      <c r="E125" s="1135" t="s">
        <v>680</v>
      </c>
      <c r="F125" s="1050"/>
      <c r="G125" s="47"/>
      <c r="H125" s="1031"/>
      <c r="I125" s="1032"/>
      <c r="J125" s="1033"/>
    </row>
    <row r="126" spans="2:10" x14ac:dyDescent="0.2">
      <c r="B126" s="337"/>
      <c r="C126" s="76"/>
      <c r="D126" s="76"/>
      <c r="E126" s="76"/>
      <c r="F126" s="76"/>
      <c r="G126" s="76"/>
      <c r="H126" s="76"/>
      <c r="I126" s="76"/>
      <c r="J126" s="338"/>
    </row>
    <row r="127" spans="2:10" ht="15" customHeight="1" x14ac:dyDescent="0.2">
      <c r="B127" s="1593" t="s">
        <v>38</v>
      </c>
      <c r="C127" s="1594"/>
      <c r="D127" s="325" t="s">
        <v>419</v>
      </c>
      <c r="E127" s="1592" t="s">
        <v>673</v>
      </c>
      <c r="F127" s="1055"/>
      <c r="G127" s="1048"/>
      <c r="H127" s="1336"/>
      <c r="I127" s="1580" t="s">
        <v>1436</v>
      </c>
      <c r="J127" s="1584"/>
    </row>
    <row r="128" spans="2:10" ht="15" customHeight="1" x14ac:dyDescent="0.2">
      <c r="B128" s="1350" t="s">
        <v>1000</v>
      </c>
      <c r="C128" s="1052"/>
      <c r="D128" s="1053"/>
      <c r="E128" s="1135" t="s">
        <v>201</v>
      </c>
      <c r="F128" s="1050"/>
      <c r="G128" s="80">
        <f>G130*G129</f>
        <v>10</v>
      </c>
      <c r="H128" s="1583"/>
      <c r="I128" s="1052"/>
      <c r="J128" s="1332"/>
    </row>
    <row r="129" spans="2:10" ht="15" customHeight="1" x14ac:dyDescent="0.2">
      <c r="B129" s="1351"/>
      <c r="C129" s="939"/>
      <c r="D129" s="1054"/>
      <c r="E129" s="1135" t="s">
        <v>132</v>
      </c>
      <c r="F129" s="1050"/>
      <c r="G129" s="47">
        <v>1</v>
      </c>
      <c r="H129" s="1029"/>
      <c r="I129" s="939"/>
      <c r="J129" s="1030"/>
    </row>
    <row r="130" spans="2:10" ht="15" customHeight="1" x14ac:dyDescent="0.2">
      <c r="B130" s="1351"/>
      <c r="C130" s="939"/>
      <c r="D130" s="1054"/>
      <c r="E130" s="1135" t="s">
        <v>674</v>
      </c>
      <c r="F130" s="1050"/>
      <c r="G130" s="47">
        <v>10</v>
      </c>
      <c r="H130" s="1029"/>
      <c r="I130" s="939"/>
      <c r="J130" s="1030"/>
    </row>
    <row r="131" spans="2:10" ht="15" customHeight="1" x14ac:dyDescent="0.2">
      <c r="B131" s="1351"/>
      <c r="C131" s="939"/>
      <c r="D131" s="1054"/>
      <c r="E131" s="1135" t="s">
        <v>675</v>
      </c>
      <c r="F131" s="1050"/>
      <c r="G131" s="47"/>
      <c r="H131" s="1029"/>
      <c r="I131" s="939"/>
      <c r="J131" s="1030"/>
    </row>
    <row r="132" spans="2:10" ht="12.75" customHeight="1" x14ac:dyDescent="0.2">
      <c r="B132" s="1351"/>
      <c r="C132" s="939"/>
      <c r="D132" s="1054"/>
      <c r="E132" s="1135" t="s">
        <v>676</v>
      </c>
      <c r="F132" s="1050"/>
      <c r="G132" s="47"/>
      <c r="H132" s="1029"/>
      <c r="I132" s="939"/>
      <c r="J132" s="1030"/>
    </row>
    <row r="133" spans="2:10" ht="12.75" customHeight="1" x14ac:dyDescent="0.2">
      <c r="B133" s="1351"/>
      <c r="C133" s="939"/>
      <c r="D133" s="1054"/>
      <c r="E133" s="1135" t="s">
        <v>677</v>
      </c>
      <c r="F133" s="1050"/>
      <c r="G133" s="47"/>
      <c r="H133" s="1029"/>
      <c r="I133" s="939"/>
      <c r="J133" s="1030"/>
    </row>
    <row r="134" spans="2:10" ht="12.75" customHeight="1" x14ac:dyDescent="0.2">
      <c r="B134" s="1351"/>
      <c r="C134" s="939"/>
      <c r="D134" s="1054"/>
      <c r="E134" s="1135" t="s">
        <v>678</v>
      </c>
      <c r="F134" s="1050"/>
      <c r="G134" s="47"/>
      <c r="H134" s="1029"/>
      <c r="I134" s="939"/>
      <c r="J134" s="1030"/>
    </row>
    <row r="135" spans="2:10" ht="12.75" customHeight="1" x14ac:dyDescent="0.2">
      <c r="B135" s="1351"/>
      <c r="C135" s="939"/>
      <c r="D135" s="1054"/>
      <c r="E135" s="1135" t="s">
        <v>679</v>
      </c>
      <c r="F135" s="1050"/>
      <c r="G135" s="47"/>
      <c r="H135" s="1029"/>
      <c r="I135" s="939"/>
      <c r="J135" s="1030"/>
    </row>
    <row r="136" spans="2:10" ht="12.75" customHeight="1" x14ac:dyDescent="0.2">
      <c r="B136" s="1352"/>
      <c r="C136" s="1032"/>
      <c r="D136" s="1055"/>
      <c r="E136" s="1135" t="s">
        <v>680</v>
      </c>
      <c r="F136" s="1050"/>
      <c r="G136" s="47"/>
      <c r="H136" s="1031"/>
      <c r="I136" s="1032"/>
      <c r="J136" s="1033"/>
    </row>
    <row r="137" spans="2:10" x14ac:dyDescent="0.2">
      <c r="B137" s="337"/>
      <c r="C137" s="76"/>
      <c r="D137" s="76"/>
      <c r="E137" s="76"/>
      <c r="F137" s="76"/>
      <c r="G137" s="76"/>
      <c r="H137" s="76"/>
      <c r="I137" s="76"/>
      <c r="J137" s="338"/>
    </row>
    <row r="138" spans="2:10" ht="15" customHeight="1" x14ac:dyDescent="0.2">
      <c r="B138" s="1593" t="s">
        <v>38</v>
      </c>
      <c r="C138" s="1594"/>
      <c r="D138" s="325" t="s">
        <v>424</v>
      </c>
      <c r="E138" s="1592" t="s">
        <v>673</v>
      </c>
      <c r="F138" s="1055"/>
      <c r="G138" s="1048"/>
      <c r="H138" s="1336"/>
      <c r="I138" s="1580" t="s">
        <v>1437</v>
      </c>
      <c r="J138" s="1584"/>
    </row>
    <row r="139" spans="2:10" ht="15" customHeight="1" x14ac:dyDescent="0.2">
      <c r="B139" s="1350" t="s">
        <v>999</v>
      </c>
      <c r="C139" s="1052"/>
      <c r="D139" s="1053"/>
      <c r="E139" s="1135" t="s">
        <v>201</v>
      </c>
      <c r="F139" s="1050"/>
      <c r="G139" s="80">
        <f>G140</f>
        <v>1</v>
      </c>
      <c r="H139" s="1583"/>
      <c r="I139" s="1052"/>
      <c r="J139" s="1332"/>
    </row>
    <row r="140" spans="2:10" ht="15" customHeight="1" x14ac:dyDescent="0.2">
      <c r="B140" s="1351"/>
      <c r="C140" s="939"/>
      <c r="D140" s="1054"/>
      <c r="E140" s="1135" t="s">
        <v>132</v>
      </c>
      <c r="F140" s="1050"/>
      <c r="G140" s="47">
        <v>1</v>
      </c>
      <c r="H140" s="1029"/>
      <c r="I140" s="939"/>
      <c r="J140" s="1030"/>
    </row>
    <row r="141" spans="2:10" ht="15" customHeight="1" x14ac:dyDescent="0.2">
      <c r="B141" s="1351"/>
      <c r="C141" s="939"/>
      <c r="D141" s="1054"/>
      <c r="E141" s="1135" t="s">
        <v>674</v>
      </c>
      <c r="F141" s="1050"/>
      <c r="G141" s="47"/>
      <c r="H141" s="1029"/>
      <c r="I141" s="939"/>
      <c r="J141" s="1030"/>
    </row>
    <row r="142" spans="2:10" ht="15" customHeight="1" x14ac:dyDescent="0.2">
      <c r="B142" s="1351"/>
      <c r="C142" s="939"/>
      <c r="D142" s="1054"/>
      <c r="E142" s="1135" t="s">
        <v>675</v>
      </c>
      <c r="F142" s="1050"/>
      <c r="G142" s="47"/>
      <c r="H142" s="1029"/>
      <c r="I142" s="939"/>
      <c r="J142" s="1030"/>
    </row>
    <row r="143" spans="2:10" ht="12.75" customHeight="1" x14ac:dyDescent="0.2">
      <c r="B143" s="1351"/>
      <c r="C143" s="939"/>
      <c r="D143" s="1054"/>
      <c r="E143" s="1135" t="s">
        <v>676</v>
      </c>
      <c r="F143" s="1050"/>
      <c r="G143" s="47"/>
      <c r="H143" s="1029"/>
      <c r="I143" s="939"/>
      <c r="J143" s="1030"/>
    </row>
    <row r="144" spans="2:10" ht="12.75" customHeight="1" x14ac:dyDescent="0.2">
      <c r="B144" s="1351"/>
      <c r="C144" s="939"/>
      <c r="D144" s="1054"/>
      <c r="E144" s="1135" t="s">
        <v>677</v>
      </c>
      <c r="F144" s="1050"/>
      <c r="G144" s="47"/>
      <c r="H144" s="1029"/>
      <c r="I144" s="939"/>
      <c r="J144" s="1030"/>
    </row>
    <row r="145" spans="2:10" ht="12.75" customHeight="1" x14ac:dyDescent="0.2">
      <c r="B145" s="1351"/>
      <c r="C145" s="939"/>
      <c r="D145" s="1054"/>
      <c r="E145" s="1135" t="s">
        <v>678</v>
      </c>
      <c r="F145" s="1050"/>
      <c r="G145" s="47"/>
      <c r="H145" s="1029"/>
      <c r="I145" s="939"/>
      <c r="J145" s="1030"/>
    </row>
    <row r="146" spans="2:10" ht="12.75" customHeight="1" x14ac:dyDescent="0.2">
      <c r="B146" s="1351"/>
      <c r="C146" s="939"/>
      <c r="D146" s="1054"/>
      <c r="E146" s="1135" t="s">
        <v>679</v>
      </c>
      <c r="F146" s="1050"/>
      <c r="G146" s="47"/>
      <c r="H146" s="1029"/>
      <c r="I146" s="939"/>
      <c r="J146" s="1030"/>
    </row>
    <row r="147" spans="2:10" ht="12.75" customHeight="1" x14ac:dyDescent="0.2">
      <c r="B147" s="1352"/>
      <c r="C147" s="1032"/>
      <c r="D147" s="1055"/>
      <c r="E147" s="1135" t="s">
        <v>680</v>
      </c>
      <c r="F147" s="1050"/>
      <c r="G147" s="47"/>
      <c r="H147" s="1031"/>
      <c r="I147" s="1032"/>
      <c r="J147" s="1033"/>
    </row>
    <row r="148" spans="2:10" x14ac:dyDescent="0.2">
      <c r="B148" s="337"/>
      <c r="C148" s="76"/>
      <c r="D148" s="76"/>
      <c r="E148" s="76"/>
      <c r="F148" s="76"/>
      <c r="G148" s="76"/>
      <c r="H148" s="76"/>
      <c r="I148" s="76"/>
      <c r="J148" s="338"/>
    </row>
    <row r="149" spans="2:10" ht="15" customHeight="1" x14ac:dyDescent="0.2">
      <c r="B149" s="1593" t="s">
        <v>38</v>
      </c>
      <c r="C149" s="1594"/>
      <c r="D149" s="325" t="s">
        <v>424</v>
      </c>
      <c r="E149" s="1592" t="s">
        <v>673</v>
      </c>
      <c r="F149" s="1055"/>
      <c r="G149" s="1048"/>
      <c r="H149" s="1336"/>
      <c r="I149" s="1580" t="s">
        <v>1438</v>
      </c>
      <c r="J149" s="1584"/>
    </row>
    <row r="150" spans="2:10" ht="18.600000000000001" customHeight="1" x14ac:dyDescent="0.2">
      <c r="B150" s="1350" t="s">
        <v>998</v>
      </c>
      <c r="C150" s="1052"/>
      <c r="D150" s="1053"/>
      <c r="E150" s="1135" t="s">
        <v>201</v>
      </c>
      <c r="F150" s="1050"/>
      <c r="G150" s="80">
        <f>G151</f>
        <v>1</v>
      </c>
      <c r="H150" s="1583"/>
      <c r="I150" s="1052"/>
      <c r="J150" s="1332"/>
    </row>
    <row r="151" spans="2:10" ht="18.600000000000001" customHeight="1" x14ac:dyDescent="0.2">
      <c r="B151" s="1351"/>
      <c r="C151" s="939"/>
      <c r="D151" s="1054"/>
      <c r="E151" s="1135" t="s">
        <v>132</v>
      </c>
      <c r="F151" s="1050"/>
      <c r="G151" s="47">
        <v>1</v>
      </c>
      <c r="H151" s="1029"/>
      <c r="I151" s="939"/>
      <c r="J151" s="1030"/>
    </row>
    <row r="152" spans="2:10" ht="18.600000000000001" customHeight="1" x14ac:dyDescent="0.2">
      <c r="B152" s="1351"/>
      <c r="C152" s="939"/>
      <c r="D152" s="1054"/>
      <c r="E152" s="1135" t="s">
        <v>674</v>
      </c>
      <c r="F152" s="1050"/>
      <c r="G152" s="47"/>
      <c r="H152" s="1029"/>
      <c r="I152" s="939"/>
      <c r="J152" s="1030"/>
    </row>
    <row r="153" spans="2:10" ht="18.600000000000001" customHeight="1" x14ac:dyDescent="0.2">
      <c r="B153" s="1351"/>
      <c r="C153" s="939"/>
      <c r="D153" s="1054"/>
      <c r="E153" s="1135" t="s">
        <v>675</v>
      </c>
      <c r="F153" s="1050"/>
      <c r="G153" s="47"/>
      <c r="H153" s="1029"/>
      <c r="I153" s="939"/>
      <c r="J153" s="1030"/>
    </row>
    <row r="154" spans="2:10" ht="18.600000000000001" customHeight="1" x14ac:dyDescent="0.2">
      <c r="B154" s="1351"/>
      <c r="C154" s="939"/>
      <c r="D154" s="1054"/>
      <c r="E154" s="1135" t="s">
        <v>676</v>
      </c>
      <c r="F154" s="1050"/>
      <c r="G154" s="47"/>
      <c r="H154" s="1029"/>
      <c r="I154" s="939"/>
      <c r="J154" s="1030"/>
    </row>
    <row r="155" spans="2:10" ht="18.600000000000001" customHeight="1" x14ac:dyDescent="0.2">
      <c r="B155" s="1351"/>
      <c r="C155" s="939"/>
      <c r="D155" s="1054"/>
      <c r="E155" s="1135" t="s">
        <v>677</v>
      </c>
      <c r="F155" s="1050"/>
      <c r="G155" s="47"/>
      <c r="H155" s="1029"/>
      <c r="I155" s="939"/>
      <c r="J155" s="1030"/>
    </row>
    <row r="156" spans="2:10" ht="18.600000000000001" customHeight="1" x14ac:dyDescent="0.2">
      <c r="B156" s="1351"/>
      <c r="C156" s="939"/>
      <c r="D156" s="1054"/>
      <c r="E156" s="1135" t="s">
        <v>678</v>
      </c>
      <c r="F156" s="1050"/>
      <c r="G156" s="47"/>
      <c r="H156" s="1029"/>
      <c r="I156" s="939"/>
      <c r="J156" s="1030"/>
    </row>
    <row r="157" spans="2:10" ht="18.600000000000001" customHeight="1" x14ac:dyDescent="0.2">
      <c r="B157" s="1351"/>
      <c r="C157" s="939"/>
      <c r="D157" s="1054"/>
      <c r="E157" s="1135" t="s">
        <v>679</v>
      </c>
      <c r="F157" s="1050"/>
      <c r="G157" s="47"/>
      <c r="H157" s="1029"/>
      <c r="I157" s="939"/>
      <c r="J157" s="1030"/>
    </row>
    <row r="158" spans="2:10" ht="18.600000000000001" customHeight="1" x14ac:dyDescent="0.2">
      <c r="B158" s="1352"/>
      <c r="C158" s="1032"/>
      <c r="D158" s="1055"/>
      <c r="E158" s="1135" t="s">
        <v>680</v>
      </c>
      <c r="F158" s="1050"/>
      <c r="G158" s="47"/>
      <c r="H158" s="1031"/>
      <c r="I158" s="1032"/>
      <c r="J158" s="1033"/>
    </row>
    <row r="159" spans="2:10" x14ac:dyDescent="0.2">
      <c r="B159" s="337"/>
      <c r="C159" s="76"/>
      <c r="D159" s="76"/>
      <c r="E159" s="76"/>
      <c r="F159" s="76"/>
      <c r="G159" s="76"/>
      <c r="H159" s="76"/>
      <c r="I159" s="76"/>
      <c r="J159" s="338"/>
    </row>
    <row r="160" spans="2:10" ht="15" customHeight="1" x14ac:dyDescent="0.2">
      <c r="B160" s="1593" t="s">
        <v>38</v>
      </c>
      <c r="C160" s="1594"/>
      <c r="D160" s="325" t="s">
        <v>424</v>
      </c>
      <c r="E160" s="1592" t="s">
        <v>673</v>
      </c>
      <c r="F160" s="1055"/>
      <c r="G160" s="1048"/>
      <c r="H160" s="1336"/>
      <c r="I160" s="1580" t="s">
        <v>1439</v>
      </c>
      <c r="J160" s="1584"/>
    </row>
    <row r="161" spans="2:10" ht="15" customHeight="1" x14ac:dyDescent="0.2">
      <c r="B161" s="1350" t="s">
        <v>997</v>
      </c>
      <c r="C161" s="1052"/>
      <c r="D161" s="1053"/>
      <c r="E161" s="1135" t="s">
        <v>201</v>
      </c>
      <c r="F161" s="1050"/>
      <c r="G161" s="80">
        <f>G162</f>
        <v>1</v>
      </c>
      <c r="H161" s="1583"/>
      <c r="I161" s="1052"/>
      <c r="J161" s="1332"/>
    </row>
    <row r="162" spans="2:10" ht="15" customHeight="1" x14ac:dyDescent="0.2">
      <c r="B162" s="1351"/>
      <c r="C162" s="939"/>
      <c r="D162" s="1054"/>
      <c r="E162" s="1135" t="s">
        <v>132</v>
      </c>
      <c r="F162" s="1050"/>
      <c r="G162" s="47">
        <v>1</v>
      </c>
      <c r="H162" s="1029"/>
      <c r="I162" s="939"/>
      <c r="J162" s="1030"/>
    </row>
    <row r="163" spans="2:10" ht="15" customHeight="1" x14ac:dyDescent="0.2">
      <c r="B163" s="1351"/>
      <c r="C163" s="939"/>
      <c r="D163" s="1054"/>
      <c r="E163" s="1135" t="s">
        <v>674</v>
      </c>
      <c r="F163" s="1050"/>
      <c r="G163" s="47"/>
      <c r="H163" s="1029"/>
      <c r="I163" s="939"/>
      <c r="J163" s="1030"/>
    </row>
    <row r="164" spans="2:10" ht="15" customHeight="1" x14ac:dyDescent="0.2">
      <c r="B164" s="1351"/>
      <c r="C164" s="939"/>
      <c r="D164" s="1054"/>
      <c r="E164" s="1135" t="s">
        <v>675</v>
      </c>
      <c r="F164" s="1050"/>
      <c r="G164" s="47"/>
      <c r="H164" s="1029"/>
      <c r="I164" s="939"/>
      <c r="J164" s="1030"/>
    </row>
    <row r="165" spans="2:10" ht="15" customHeight="1" x14ac:dyDescent="0.2">
      <c r="B165" s="1351"/>
      <c r="C165" s="939"/>
      <c r="D165" s="1054"/>
      <c r="E165" s="1135" t="s">
        <v>676</v>
      </c>
      <c r="F165" s="1050"/>
      <c r="G165" s="47"/>
      <c r="H165" s="1029"/>
      <c r="I165" s="939"/>
      <c r="J165" s="1030"/>
    </row>
    <row r="166" spans="2:10" ht="15" customHeight="1" x14ac:dyDescent="0.2">
      <c r="B166" s="1351"/>
      <c r="C166" s="939"/>
      <c r="D166" s="1054"/>
      <c r="E166" s="1135" t="s">
        <v>677</v>
      </c>
      <c r="F166" s="1050"/>
      <c r="G166" s="47"/>
      <c r="H166" s="1029"/>
      <c r="I166" s="939"/>
      <c r="J166" s="1030"/>
    </row>
    <row r="167" spans="2:10" ht="15" customHeight="1" x14ac:dyDescent="0.2">
      <c r="B167" s="1351"/>
      <c r="C167" s="939"/>
      <c r="D167" s="1054"/>
      <c r="E167" s="1135" t="s">
        <v>678</v>
      </c>
      <c r="F167" s="1050"/>
      <c r="G167" s="47"/>
      <c r="H167" s="1029"/>
      <c r="I167" s="939"/>
      <c r="J167" s="1030"/>
    </row>
    <row r="168" spans="2:10" ht="15" customHeight="1" x14ac:dyDescent="0.2">
      <c r="B168" s="1351"/>
      <c r="C168" s="939"/>
      <c r="D168" s="1054"/>
      <c r="E168" s="1135" t="s">
        <v>679</v>
      </c>
      <c r="F168" s="1050"/>
      <c r="G168" s="47"/>
      <c r="H168" s="1029"/>
      <c r="I168" s="939"/>
      <c r="J168" s="1030"/>
    </row>
    <row r="169" spans="2:10" ht="15" customHeight="1" x14ac:dyDescent="0.2">
      <c r="B169" s="1352"/>
      <c r="C169" s="1032"/>
      <c r="D169" s="1055"/>
      <c r="E169" s="1135" t="s">
        <v>680</v>
      </c>
      <c r="F169" s="1050"/>
      <c r="G169" s="47"/>
      <c r="H169" s="1031"/>
      <c r="I169" s="1032"/>
      <c r="J169" s="1033"/>
    </row>
    <row r="170" spans="2:10" x14ac:dyDescent="0.2">
      <c r="B170" s="337"/>
      <c r="C170" s="76"/>
      <c r="D170" s="76"/>
      <c r="E170" s="76"/>
      <c r="F170" s="76"/>
      <c r="G170" s="76"/>
      <c r="H170" s="76"/>
      <c r="I170" s="76"/>
      <c r="J170" s="338"/>
    </row>
    <row r="171" spans="2:10" ht="15" customHeight="1" x14ac:dyDescent="0.2">
      <c r="B171" s="1593" t="s">
        <v>38</v>
      </c>
      <c r="C171" s="1594"/>
      <c r="D171" s="325" t="s">
        <v>830</v>
      </c>
      <c r="E171" s="1592" t="s">
        <v>673</v>
      </c>
      <c r="F171" s="1055"/>
      <c r="G171" s="1048"/>
      <c r="H171" s="1336"/>
      <c r="I171" s="1580" t="s">
        <v>1440</v>
      </c>
      <c r="J171" s="1584"/>
    </row>
    <row r="172" spans="2:10" ht="13.5" x14ac:dyDescent="0.2">
      <c r="B172" s="1350" t="s">
        <v>996</v>
      </c>
      <c r="C172" s="1052"/>
      <c r="D172" s="1053"/>
      <c r="E172" s="1135" t="s">
        <v>201</v>
      </c>
      <c r="F172" s="1050"/>
      <c r="G172" s="80">
        <f>G174*G173</f>
        <v>4</v>
      </c>
      <c r="H172" s="1583"/>
      <c r="I172" s="1052"/>
      <c r="J172" s="1332"/>
    </row>
    <row r="173" spans="2:10" ht="13.5" x14ac:dyDescent="0.2">
      <c r="B173" s="1351"/>
      <c r="C173" s="939"/>
      <c r="D173" s="1054"/>
      <c r="E173" s="1135" t="s">
        <v>132</v>
      </c>
      <c r="F173" s="1050"/>
      <c r="G173" s="47">
        <v>1</v>
      </c>
      <c r="H173" s="1029"/>
      <c r="I173" s="939"/>
      <c r="J173" s="1030"/>
    </row>
    <row r="174" spans="2:10" ht="13.5" x14ac:dyDescent="0.2">
      <c r="B174" s="1351"/>
      <c r="C174" s="939"/>
      <c r="D174" s="1054"/>
      <c r="E174" s="1135" t="s">
        <v>674</v>
      </c>
      <c r="F174" s="1050"/>
      <c r="G174" s="47">
        <v>4</v>
      </c>
      <c r="H174" s="1029"/>
      <c r="I174" s="939"/>
      <c r="J174" s="1030"/>
    </row>
    <row r="175" spans="2:10" ht="13.5" x14ac:dyDescent="0.2">
      <c r="B175" s="1351"/>
      <c r="C175" s="939"/>
      <c r="D175" s="1054"/>
      <c r="E175" s="1135" t="s">
        <v>675</v>
      </c>
      <c r="F175" s="1050"/>
      <c r="G175" s="47"/>
      <c r="H175" s="1029"/>
      <c r="I175" s="939"/>
      <c r="J175" s="1030"/>
    </row>
    <row r="176" spans="2:10" ht="13.5" x14ac:dyDescent="0.2">
      <c r="B176" s="1351"/>
      <c r="C176" s="939"/>
      <c r="D176" s="1054"/>
      <c r="E176" s="1135" t="s">
        <v>676</v>
      </c>
      <c r="F176" s="1050"/>
      <c r="G176" s="47"/>
      <c r="H176" s="1029"/>
      <c r="I176" s="939"/>
      <c r="J176" s="1030"/>
    </row>
    <row r="177" spans="2:10" ht="13.5" x14ac:dyDescent="0.2">
      <c r="B177" s="1351"/>
      <c r="C177" s="939"/>
      <c r="D177" s="1054"/>
      <c r="E177" s="1135" t="s">
        <v>677</v>
      </c>
      <c r="F177" s="1050"/>
      <c r="G177" s="47"/>
      <c r="H177" s="1029"/>
      <c r="I177" s="939"/>
      <c r="J177" s="1030"/>
    </row>
    <row r="178" spans="2:10" ht="13.5" x14ac:dyDescent="0.2">
      <c r="B178" s="1351"/>
      <c r="C178" s="939"/>
      <c r="D178" s="1054"/>
      <c r="E178" s="1135" t="s">
        <v>678</v>
      </c>
      <c r="F178" s="1050"/>
      <c r="G178" s="47"/>
      <c r="H178" s="1029"/>
      <c r="I178" s="939"/>
      <c r="J178" s="1030"/>
    </row>
    <row r="179" spans="2:10" ht="13.5" x14ac:dyDescent="0.2">
      <c r="B179" s="1351"/>
      <c r="C179" s="939"/>
      <c r="D179" s="1054"/>
      <c r="E179" s="1135" t="s">
        <v>679</v>
      </c>
      <c r="F179" s="1050"/>
      <c r="G179" s="47"/>
      <c r="H179" s="1029"/>
      <c r="I179" s="939"/>
      <c r="J179" s="1030"/>
    </row>
    <row r="180" spans="2:10" ht="13.5" x14ac:dyDescent="0.2">
      <c r="B180" s="1352"/>
      <c r="C180" s="1032"/>
      <c r="D180" s="1055"/>
      <c r="E180" s="1135" t="s">
        <v>680</v>
      </c>
      <c r="F180" s="1050"/>
      <c r="G180" s="47"/>
      <c r="H180" s="1031"/>
      <c r="I180" s="1032"/>
      <c r="J180" s="1033"/>
    </row>
    <row r="181" spans="2:10" x14ac:dyDescent="0.2">
      <c r="B181" s="337"/>
      <c r="C181" s="76"/>
      <c r="D181" s="76"/>
      <c r="E181" s="76"/>
      <c r="F181" s="76"/>
      <c r="G181" s="76"/>
      <c r="H181" s="76"/>
      <c r="I181" s="76"/>
      <c r="J181" s="338"/>
    </row>
    <row r="182" spans="2:10" x14ac:dyDescent="0.2">
      <c r="B182" s="1593" t="s">
        <v>38</v>
      </c>
      <c r="C182" s="1594"/>
      <c r="D182" s="325" t="s">
        <v>825</v>
      </c>
      <c r="E182" s="1592" t="s">
        <v>673</v>
      </c>
      <c r="F182" s="1055"/>
      <c r="G182" s="1048"/>
      <c r="H182" s="1336"/>
      <c r="I182" s="1580" t="s">
        <v>1441</v>
      </c>
      <c r="J182" s="1584"/>
    </row>
    <row r="183" spans="2:10" ht="13.5" x14ac:dyDescent="0.2">
      <c r="B183" s="1350" t="s">
        <v>995</v>
      </c>
      <c r="C183" s="1052"/>
      <c r="D183" s="1053"/>
      <c r="E183" s="1135" t="s">
        <v>201</v>
      </c>
      <c r="F183" s="1050"/>
      <c r="G183" s="80">
        <f>G184</f>
        <v>1</v>
      </c>
      <c r="H183" s="1583"/>
      <c r="I183" s="1052"/>
      <c r="J183" s="1332"/>
    </row>
    <row r="184" spans="2:10" ht="13.5" x14ac:dyDescent="0.2">
      <c r="B184" s="1351"/>
      <c r="C184" s="939"/>
      <c r="D184" s="1054"/>
      <c r="E184" s="1135" t="s">
        <v>132</v>
      </c>
      <c r="F184" s="1050"/>
      <c r="G184" s="47">
        <v>1</v>
      </c>
      <c r="H184" s="1029"/>
      <c r="I184" s="939"/>
      <c r="J184" s="1030"/>
    </row>
    <row r="185" spans="2:10" ht="13.5" x14ac:dyDescent="0.2">
      <c r="B185" s="1351"/>
      <c r="C185" s="939"/>
      <c r="D185" s="1054"/>
      <c r="E185" s="1135" t="s">
        <v>674</v>
      </c>
      <c r="F185" s="1050"/>
      <c r="G185" s="47"/>
      <c r="H185" s="1029"/>
      <c r="I185" s="939"/>
      <c r="J185" s="1030"/>
    </row>
    <row r="186" spans="2:10" ht="13.5" x14ac:dyDescent="0.2">
      <c r="B186" s="1351"/>
      <c r="C186" s="939"/>
      <c r="D186" s="1054"/>
      <c r="E186" s="1135" t="s">
        <v>675</v>
      </c>
      <c r="F186" s="1050"/>
      <c r="G186" s="47"/>
      <c r="H186" s="1029"/>
      <c r="I186" s="939"/>
      <c r="J186" s="1030"/>
    </row>
    <row r="187" spans="2:10" ht="13.5" x14ac:dyDescent="0.2">
      <c r="B187" s="1351"/>
      <c r="C187" s="939"/>
      <c r="D187" s="1054"/>
      <c r="E187" s="1135" t="s">
        <v>676</v>
      </c>
      <c r="F187" s="1050"/>
      <c r="G187" s="47"/>
      <c r="H187" s="1029"/>
      <c r="I187" s="939"/>
      <c r="J187" s="1030"/>
    </row>
    <row r="188" spans="2:10" ht="13.5" x14ac:dyDescent="0.2">
      <c r="B188" s="1351"/>
      <c r="C188" s="939"/>
      <c r="D188" s="1054"/>
      <c r="E188" s="1135" t="s">
        <v>677</v>
      </c>
      <c r="F188" s="1050"/>
      <c r="G188" s="47"/>
      <c r="H188" s="1029"/>
      <c r="I188" s="939"/>
      <c r="J188" s="1030"/>
    </row>
    <row r="189" spans="2:10" ht="13.5" x14ac:dyDescent="0.2">
      <c r="B189" s="1351"/>
      <c r="C189" s="939"/>
      <c r="D189" s="1054"/>
      <c r="E189" s="1135" t="s">
        <v>678</v>
      </c>
      <c r="F189" s="1050"/>
      <c r="G189" s="47"/>
      <c r="H189" s="1029"/>
      <c r="I189" s="939"/>
      <c r="J189" s="1030"/>
    </row>
    <row r="190" spans="2:10" ht="13.5" x14ac:dyDescent="0.2">
      <c r="B190" s="1351"/>
      <c r="C190" s="939"/>
      <c r="D190" s="1054"/>
      <c r="E190" s="1135" t="s">
        <v>679</v>
      </c>
      <c r="F190" s="1050"/>
      <c r="G190" s="47"/>
      <c r="H190" s="1029"/>
      <c r="I190" s="939"/>
      <c r="J190" s="1030"/>
    </row>
    <row r="191" spans="2:10" ht="13.5" x14ac:dyDescent="0.2">
      <c r="B191" s="1352"/>
      <c r="C191" s="1032"/>
      <c r="D191" s="1055"/>
      <c r="E191" s="1135" t="s">
        <v>680</v>
      </c>
      <c r="F191" s="1050"/>
      <c r="G191" s="47"/>
      <c r="H191" s="1031"/>
      <c r="I191" s="1032"/>
      <c r="J191" s="1033"/>
    </row>
    <row r="192" spans="2:10" x14ac:dyDescent="0.2">
      <c r="B192" s="337"/>
      <c r="C192" s="76"/>
      <c r="D192" s="76"/>
      <c r="E192" s="76"/>
      <c r="F192" s="76"/>
      <c r="G192" s="76"/>
      <c r="H192" s="76"/>
      <c r="I192" s="76"/>
      <c r="J192" s="338"/>
    </row>
    <row r="193" spans="2:10" x14ac:dyDescent="0.2">
      <c r="B193" s="1593" t="s">
        <v>38</v>
      </c>
      <c r="C193" s="1594"/>
      <c r="D193" s="325" t="s">
        <v>424</v>
      </c>
      <c r="E193" s="1592" t="s">
        <v>673</v>
      </c>
      <c r="F193" s="1055"/>
      <c r="G193" s="1048"/>
      <c r="H193" s="1336"/>
      <c r="I193" s="1580" t="s">
        <v>1442</v>
      </c>
      <c r="J193" s="1584"/>
    </row>
    <row r="194" spans="2:10" ht="13.5" x14ac:dyDescent="0.2">
      <c r="B194" s="1350" t="s">
        <v>994</v>
      </c>
      <c r="C194" s="1052"/>
      <c r="D194" s="1053"/>
      <c r="E194" s="1135" t="s">
        <v>201</v>
      </c>
      <c r="F194" s="1050"/>
      <c r="G194" s="80">
        <f>G195</f>
        <v>4</v>
      </c>
      <c r="H194" s="1583"/>
      <c r="I194" s="1052"/>
      <c r="J194" s="1332"/>
    </row>
    <row r="195" spans="2:10" ht="13.5" x14ac:dyDescent="0.2">
      <c r="B195" s="1351"/>
      <c r="C195" s="939"/>
      <c r="D195" s="1054"/>
      <c r="E195" s="1135" t="s">
        <v>132</v>
      </c>
      <c r="F195" s="1050"/>
      <c r="G195" s="47">
        <v>4</v>
      </c>
      <c r="H195" s="1029"/>
      <c r="I195" s="939"/>
      <c r="J195" s="1030"/>
    </row>
    <row r="196" spans="2:10" ht="13.5" x14ac:dyDescent="0.2">
      <c r="B196" s="1351"/>
      <c r="C196" s="939"/>
      <c r="D196" s="1054"/>
      <c r="E196" s="1135" t="s">
        <v>674</v>
      </c>
      <c r="F196" s="1050"/>
      <c r="G196" s="47"/>
      <c r="H196" s="1029"/>
      <c r="I196" s="939"/>
      <c r="J196" s="1030"/>
    </row>
    <row r="197" spans="2:10" ht="13.5" x14ac:dyDescent="0.2">
      <c r="B197" s="1351"/>
      <c r="C197" s="939"/>
      <c r="D197" s="1054"/>
      <c r="E197" s="1135" t="s">
        <v>675</v>
      </c>
      <c r="F197" s="1050"/>
      <c r="G197" s="47"/>
      <c r="H197" s="1029"/>
      <c r="I197" s="939"/>
      <c r="J197" s="1030"/>
    </row>
    <row r="198" spans="2:10" ht="13.5" x14ac:dyDescent="0.2">
      <c r="B198" s="1351"/>
      <c r="C198" s="939"/>
      <c r="D198" s="1054"/>
      <c r="E198" s="1135" t="s">
        <v>676</v>
      </c>
      <c r="F198" s="1050"/>
      <c r="G198" s="47"/>
      <c r="H198" s="1029"/>
      <c r="I198" s="939"/>
      <c r="J198" s="1030"/>
    </row>
    <row r="199" spans="2:10" ht="13.5" x14ac:dyDescent="0.2">
      <c r="B199" s="1351"/>
      <c r="C199" s="939"/>
      <c r="D199" s="1054"/>
      <c r="E199" s="1135" t="s">
        <v>677</v>
      </c>
      <c r="F199" s="1050"/>
      <c r="G199" s="47"/>
      <c r="H199" s="1029"/>
      <c r="I199" s="939"/>
      <c r="J199" s="1030"/>
    </row>
    <row r="200" spans="2:10" ht="13.5" x14ac:dyDescent="0.2">
      <c r="B200" s="1351"/>
      <c r="C200" s="939"/>
      <c r="D200" s="1054"/>
      <c r="E200" s="1135" t="s">
        <v>678</v>
      </c>
      <c r="F200" s="1050"/>
      <c r="G200" s="47"/>
      <c r="H200" s="1029"/>
      <c r="I200" s="939"/>
      <c r="J200" s="1030"/>
    </row>
    <row r="201" spans="2:10" ht="13.5" x14ac:dyDescent="0.2">
      <c r="B201" s="1351"/>
      <c r="C201" s="939"/>
      <c r="D201" s="1054"/>
      <c r="E201" s="1135" t="s">
        <v>679</v>
      </c>
      <c r="F201" s="1050"/>
      <c r="G201" s="47"/>
      <c r="H201" s="1029"/>
      <c r="I201" s="939"/>
      <c r="J201" s="1030"/>
    </row>
    <row r="202" spans="2:10" ht="13.5" x14ac:dyDescent="0.2">
      <c r="B202" s="1352"/>
      <c r="C202" s="1032"/>
      <c r="D202" s="1055"/>
      <c r="E202" s="1135" t="s">
        <v>680</v>
      </c>
      <c r="F202" s="1050"/>
      <c r="G202" s="47"/>
      <c r="H202" s="1031"/>
      <c r="I202" s="1032"/>
      <c r="J202" s="1033"/>
    </row>
    <row r="203" spans="2:10" x14ac:dyDescent="0.2">
      <c r="B203" s="337"/>
      <c r="C203" s="76"/>
      <c r="D203" s="76"/>
      <c r="E203" s="76"/>
      <c r="F203" s="76"/>
      <c r="G203" s="76"/>
      <c r="H203" s="76"/>
      <c r="I203" s="76"/>
      <c r="J203" s="338"/>
    </row>
    <row r="204" spans="2:10" x14ac:dyDescent="0.2">
      <c r="B204" s="1593" t="s">
        <v>38</v>
      </c>
      <c r="C204" s="1594"/>
      <c r="D204" s="325" t="s">
        <v>424</v>
      </c>
      <c r="E204" s="1592" t="s">
        <v>673</v>
      </c>
      <c r="F204" s="1055"/>
      <c r="G204" s="1048"/>
      <c r="H204" s="1336"/>
      <c r="I204" s="1580" t="s">
        <v>1443</v>
      </c>
      <c r="J204" s="1584"/>
    </row>
    <row r="205" spans="2:10" ht="13.5" x14ac:dyDescent="0.2">
      <c r="B205" s="1350" t="s">
        <v>993</v>
      </c>
      <c r="C205" s="1052"/>
      <c r="D205" s="1053"/>
      <c r="E205" s="1135" t="s">
        <v>201</v>
      </c>
      <c r="F205" s="1050"/>
      <c r="G205" s="80">
        <f>G206</f>
        <v>8</v>
      </c>
      <c r="H205" s="1583"/>
      <c r="I205" s="1052"/>
      <c r="J205" s="1332"/>
    </row>
    <row r="206" spans="2:10" ht="13.5" x14ac:dyDescent="0.2">
      <c r="B206" s="1351"/>
      <c r="C206" s="939"/>
      <c r="D206" s="1054"/>
      <c r="E206" s="1135" t="s">
        <v>132</v>
      </c>
      <c r="F206" s="1050"/>
      <c r="G206" s="47">
        <v>8</v>
      </c>
      <c r="H206" s="1029"/>
      <c r="I206" s="939"/>
      <c r="J206" s="1030"/>
    </row>
    <row r="207" spans="2:10" ht="13.5" x14ac:dyDescent="0.2">
      <c r="B207" s="1351"/>
      <c r="C207" s="939"/>
      <c r="D207" s="1054"/>
      <c r="E207" s="1135" t="s">
        <v>674</v>
      </c>
      <c r="F207" s="1050"/>
      <c r="G207" s="47"/>
      <c r="H207" s="1029"/>
      <c r="I207" s="939"/>
      <c r="J207" s="1030"/>
    </row>
    <row r="208" spans="2:10" ht="13.5" x14ac:dyDescent="0.2">
      <c r="B208" s="1351"/>
      <c r="C208" s="939"/>
      <c r="D208" s="1054"/>
      <c r="E208" s="1135" t="s">
        <v>675</v>
      </c>
      <c r="F208" s="1050"/>
      <c r="G208" s="47"/>
      <c r="H208" s="1029"/>
      <c r="I208" s="939"/>
      <c r="J208" s="1030"/>
    </row>
    <row r="209" spans="2:10" ht="13.5" x14ac:dyDescent="0.2">
      <c r="B209" s="1351"/>
      <c r="C209" s="939"/>
      <c r="D209" s="1054"/>
      <c r="E209" s="1135" t="s">
        <v>676</v>
      </c>
      <c r="F209" s="1050"/>
      <c r="G209" s="47"/>
      <c r="H209" s="1029"/>
      <c r="I209" s="939"/>
      <c r="J209" s="1030"/>
    </row>
    <row r="210" spans="2:10" ht="13.5" x14ac:dyDescent="0.2">
      <c r="B210" s="1351"/>
      <c r="C210" s="939"/>
      <c r="D210" s="1054"/>
      <c r="E210" s="1135" t="s">
        <v>677</v>
      </c>
      <c r="F210" s="1050"/>
      <c r="G210" s="47"/>
      <c r="H210" s="1029"/>
      <c r="I210" s="939"/>
      <c r="J210" s="1030"/>
    </row>
    <row r="211" spans="2:10" ht="13.5" x14ac:dyDescent="0.2">
      <c r="B211" s="1351"/>
      <c r="C211" s="939"/>
      <c r="D211" s="1054"/>
      <c r="E211" s="1135" t="s">
        <v>678</v>
      </c>
      <c r="F211" s="1050"/>
      <c r="G211" s="47"/>
      <c r="H211" s="1029"/>
      <c r="I211" s="939"/>
      <c r="J211" s="1030"/>
    </row>
    <row r="212" spans="2:10" ht="13.5" x14ac:dyDescent="0.2">
      <c r="B212" s="1351"/>
      <c r="C212" s="939"/>
      <c r="D212" s="1054"/>
      <c r="E212" s="1135" t="s">
        <v>679</v>
      </c>
      <c r="F212" s="1050"/>
      <c r="G212" s="47"/>
      <c r="H212" s="1029"/>
      <c r="I212" s="939"/>
      <c r="J212" s="1030"/>
    </row>
    <row r="213" spans="2:10" ht="13.5" x14ac:dyDescent="0.2">
      <c r="B213" s="1352"/>
      <c r="C213" s="1032"/>
      <c r="D213" s="1055"/>
      <c r="E213" s="1135" t="s">
        <v>680</v>
      </c>
      <c r="F213" s="1050"/>
      <c r="G213" s="47"/>
      <c r="H213" s="1031"/>
      <c r="I213" s="1032"/>
      <c r="J213" s="1033"/>
    </row>
    <row r="214" spans="2:10" x14ac:dyDescent="0.2">
      <c r="B214" s="337"/>
      <c r="C214" s="76"/>
      <c r="D214" s="76"/>
      <c r="E214" s="76"/>
      <c r="F214" s="76"/>
      <c r="G214" s="76"/>
      <c r="H214" s="76"/>
      <c r="I214" s="76"/>
      <c r="J214" s="338"/>
    </row>
    <row r="215" spans="2:10" x14ac:dyDescent="0.2">
      <c r="B215" s="1593" t="s">
        <v>38</v>
      </c>
      <c r="C215" s="1594"/>
      <c r="D215" s="325" t="s">
        <v>424</v>
      </c>
      <c r="E215" s="1592" t="s">
        <v>673</v>
      </c>
      <c r="F215" s="1055"/>
      <c r="G215" s="1048"/>
      <c r="H215" s="1336"/>
      <c r="I215" s="1580" t="s">
        <v>1444</v>
      </c>
      <c r="J215" s="1584"/>
    </row>
    <row r="216" spans="2:10" ht="13.5" x14ac:dyDescent="0.2">
      <c r="B216" s="1350" t="s">
        <v>992</v>
      </c>
      <c r="C216" s="1052"/>
      <c r="D216" s="1053"/>
      <c r="E216" s="1135" t="s">
        <v>201</v>
      </c>
      <c r="F216" s="1050"/>
      <c r="G216" s="80">
        <f>G217</f>
        <v>4</v>
      </c>
      <c r="H216" s="1583"/>
      <c r="I216" s="1052"/>
      <c r="J216" s="1332"/>
    </row>
    <row r="217" spans="2:10" ht="13.5" x14ac:dyDescent="0.2">
      <c r="B217" s="1351"/>
      <c r="C217" s="939"/>
      <c r="D217" s="1054"/>
      <c r="E217" s="1135" t="s">
        <v>132</v>
      </c>
      <c r="F217" s="1050"/>
      <c r="G217" s="47">
        <v>4</v>
      </c>
      <c r="H217" s="1029"/>
      <c r="I217" s="939"/>
      <c r="J217" s="1030"/>
    </row>
    <row r="218" spans="2:10" ht="13.5" x14ac:dyDescent="0.2">
      <c r="B218" s="1351"/>
      <c r="C218" s="939"/>
      <c r="D218" s="1054"/>
      <c r="E218" s="1135" t="s">
        <v>674</v>
      </c>
      <c r="F218" s="1050"/>
      <c r="G218" s="47"/>
      <c r="H218" s="1029"/>
      <c r="I218" s="939"/>
      <c r="J218" s="1030"/>
    </row>
    <row r="219" spans="2:10" ht="13.5" x14ac:dyDescent="0.2">
      <c r="B219" s="1351"/>
      <c r="C219" s="939"/>
      <c r="D219" s="1054"/>
      <c r="E219" s="1135" t="s">
        <v>675</v>
      </c>
      <c r="F219" s="1050"/>
      <c r="G219" s="47"/>
      <c r="H219" s="1029"/>
      <c r="I219" s="939"/>
      <c r="J219" s="1030"/>
    </row>
    <row r="220" spans="2:10" ht="13.5" x14ac:dyDescent="0.2">
      <c r="B220" s="1351"/>
      <c r="C220" s="939"/>
      <c r="D220" s="1054"/>
      <c r="E220" s="1135" t="s">
        <v>676</v>
      </c>
      <c r="F220" s="1050"/>
      <c r="G220" s="47"/>
      <c r="H220" s="1029"/>
      <c r="I220" s="939"/>
      <c r="J220" s="1030"/>
    </row>
    <row r="221" spans="2:10" ht="13.5" x14ac:dyDescent="0.2">
      <c r="B221" s="1351"/>
      <c r="C221" s="939"/>
      <c r="D221" s="1054"/>
      <c r="E221" s="1135" t="s">
        <v>677</v>
      </c>
      <c r="F221" s="1050"/>
      <c r="G221" s="47"/>
      <c r="H221" s="1029"/>
      <c r="I221" s="939"/>
      <c r="J221" s="1030"/>
    </row>
    <row r="222" spans="2:10" ht="13.5" x14ac:dyDescent="0.2">
      <c r="B222" s="1351"/>
      <c r="C222" s="939"/>
      <c r="D222" s="1054"/>
      <c r="E222" s="1135" t="s">
        <v>678</v>
      </c>
      <c r="F222" s="1050"/>
      <c r="G222" s="47"/>
      <c r="H222" s="1029"/>
      <c r="I222" s="939"/>
      <c r="J222" s="1030"/>
    </row>
    <row r="223" spans="2:10" ht="13.5" x14ac:dyDescent="0.2">
      <c r="B223" s="1351"/>
      <c r="C223" s="939"/>
      <c r="D223" s="1054"/>
      <c r="E223" s="1135" t="s">
        <v>679</v>
      </c>
      <c r="F223" s="1050"/>
      <c r="G223" s="47"/>
      <c r="H223" s="1029"/>
      <c r="I223" s="939"/>
      <c r="J223" s="1030"/>
    </row>
    <row r="224" spans="2:10" ht="13.5" x14ac:dyDescent="0.2">
      <c r="B224" s="1352"/>
      <c r="C224" s="1032"/>
      <c r="D224" s="1055"/>
      <c r="E224" s="1135" t="s">
        <v>680</v>
      </c>
      <c r="F224" s="1050"/>
      <c r="G224" s="47"/>
      <c r="H224" s="1031"/>
      <c r="I224" s="1032"/>
      <c r="J224" s="1033"/>
    </row>
    <row r="225" spans="2:10" x14ac:dyDescent="0.2">
      <c r="B225" s="337"/>
      <c r="C225" s="76"/>
      <c r="D225" s="76"/>
      <c r="E225" s="76"/>
      <c r="F225" s="76"/>
      <c r="G225" s="76"/>
      <c r="H225" s="76"/>
      <c r="I225" s="76"/>
      <c r="J225" s="338"/>
    </row>
    <row r="226" spans="2:10" x14ac:dyDescent="0.2">
      <c r="B226" s="1593" t="s">
        <v>38</v>
      </c>
      <c r="C226" s="1594"/>
      <c r="D226" s="325" t="s">
        <v>399</v>
      </c>
      <c r="E226" s="1592" t="s">
        <v>673</v>
      </c>
      <c r="F226" s="1055"/>
      <c r="G226" s="1048"/>
      <c r="H226" s="1336"/>
      <c r="I226" s="1580" t="s">
        <v>1445</v>
      </c>
      <c r="J226" s="1584"/>
    </row>
    <row r="227" spans="2:10" ht="13.5" x14ac:dyDescent="0.2">
      <c r="B227" s="1350" t="s">
        <v>101</v>
      </c>
      <c r="C227" s="1052"/>
      <c r="D227" s="1053"/>
      <c r="E227" s="1135" t="s">
        <v>201</v>
      </c>
      <c r="F227" s="1050"/>
      <c r="G227" s="80">
        <f>G228</f>
        <v>9</v>
      </c>
      <c r="H227" s="1583"/>
      <c r="I227" s="1052"/>
      <c r="J227" s="1332"/>
    </row>
    <row r="228" spans="2:10" ht="13.5" x14ac:dyDescent="0.2">
      <c r="B228" s="1351"/>
      <c r="C228" s="939"/>
      <c r="D228" s="1054"/>
      <c r="E228" s="1135" t="s">
        <v>132</v>
      </c>
      <c r="F228" s="1050"/>
      <c r="G228" s="47">
        <v>9</v>
      </c>
      <c r="H228" s="1029"/>
      <c r="I228" s="939"/>
      <c r="J228" s="1030"/>
    </row>
    <row r="229" spans="2:10" ht="13.5" x14ac:dyDescent="0.2">
      <c r="B229" s="1351"/>
      <c r="C229" s="939"/>
      <c r="D229" s="1054"/>
      <c r="E229" s="1135" t="s">
        <v>674</v>
      </c>
      <c r="F229" s="1050"/>
      <c r="G229" s="47"/>
      <c r="H229" s="1029"/>
      <c r="I229" s="939"/>
      <c r="J229" s="1030"/>
    </row>
    <row r="230" spans="2:10" ht="13.5" x14ac:dyDescent="0.2">
      <c r="B230" s="1351"/>
      <c r="C230" s="939"/>
      <c r="D230" s="1054"/>
      <c r="E230" s="1135" t="s">
        <v>675</v>
      </c>
      <c r="F230" s="1050"/>
      <c r="G230" s="47"/>
      <c r="H230" s="1029"/>
      <c r="I230" s="939"/>
      <c r="J230" s="1030"/>
    </row>
    <row r="231" spans="2:10" ht="13.5" x14ac:dyDescent="0.2">
      <c r="B231" s="1351"/>
      <c r="C231" s="939"/>
      <c r="D231" s="1054"/>
      <c r="E231" s="1135" t="s">
        <v>676</v>
      </c>
      <c r="F231" s="1050"/>
      <c r="G231" s="47"/>
      <c r="H231" s="1029"/>
      <c r="I231" s="939"/>
      <c r="J231" s="1030"/>
    </row>
    <row r="232" spans="2:10" ht="13.5" x14ac:dyDescent="0.2">
      <c r="B232" s="1351"/>
      <c r="C232" s="939"/>
      <c r="D232" s="1054"/>
      <c r="E232" s="1135" t="s">
        <v>677</v>
      </c>
      <c r="F232" s="1050"/>
      <c r="G232" s="47"/>
      <c r="H232" s="1029"/>
      <c r="I232" s="939"/>
      <c r="J232" s="1030"/>
    </row>
    <row r="233" spans="2:10" ht="13.5" x14ac:dyDescent="0.2">
      <c r="B233" s="1351"/>
      <c r="C233" s="939"/>
      <c r="D233" s="1054"/>
      <c r="E233" s="1135" t="s">
        <v>678</v>
      </c>
      <c r="F233" s="1050"/>
      <c r="G233" s="47"/>
      <c r="H233" s="1029"/>
      <c r="I233" s="939"/>
      <c r="J233" s="1030"/>
    </row>
    <row r="234" spans="2:10" ht="13.5" x14ac:dyDescent="0.2">
      <c r="B234" s="1351"/>
      <c r="C234" s="939"/>
      <c r="D234" s="1054"/>
      <c r="E234" s="1135" t="s">
        <v>679</v>
      </c>
      <c r="F234" s="1050"/>
      <c r="G234" s="47"/>
      <c r="H234" s="1029"/>
      <c r="I234" s="939"/>
      <c r="J234" s="1030"/>
    </row>
    <row r="235" spans="2:10" ht="13.5" x14ac:dyDescent="0.2">
      <c r="B235" s="1352"/>
      <c r="C235" s="1032"/>
      <c r="D235" s="1055"/>
      <c r="E235" s="1135" t="s">
        <v>680</v>
      </c>
      <c r="F235" s="1050"/>
      <c r="G235" s="47"/>
      <c r="H235" s="1031"/>
      <c r="I235" s="1032"/>
      <c r="J235" s="1033"/>
    </row>
    <row r="236" spans="2:10" x14ac:dyDescent="0.2">
      <c r="B236" s="337"/>
      <c r="C236" s="76"/>
      <c r="D236" s="76"/>
      <c r="E236" s="76"/>
      <c r="F236" s="76"/>
      <c r="G236" s="76"/>
      <c r="H236" s="76"/>
      <c r="I236" s="76"/>
      <c r="J236" s="338"/>
    </row>
    <row r="237" spans="2:10" x14ac:dyDescent="0.2">
      <c r="B237" s="337"/>
      <c r="C237" s="76"/>
      <c r="D237" s="76"/>
      <c r="E237" s="76"/>
      <c r="F237" s="76"/>
      <c r="G237" s="76"/>
      <c r="H237" s="76"/>
      <c r="I237" s="76"/>
      <c r="J237" s="338"/>
    </row>
    <row r="238" spans="2:10" x14ac:dyDescent="0.2">
      <c r="B238" s="337"/>
      <c r="C238" s="76"/>
      <c r="D238" s="76"/>
      <c r="E238" s="76"/>
      <c r="F238" s="76"/>
      <c r="G238" s="76"/>
      <c r="H238" s="76"/>
      <c r="I238" s="76"/>
      <c r="J238" s="338"/>
    </row>
    <row r="239" spans="2:10" x14ac:dyDescent="0.2">
      <c r="B239" s="337"/>
      <c r="C239" s="76"/>
      <c r="D239" s="76"/>
      <c r="E239" s="76"/>
      <c r="F239" s="76"/>
      <c r="G239" s="76"/>
      <c r="H239" s="76"/>
      <c r="I239" s="76"/>
      <c r="J239" s="338"/>
    </row>
    <row r="240" spans="2:10" x14ac:dyDescent="0.2">
      <c r="B240" s="337"/>
      <c r="C240" s="76"/>
      <c r="D240" s="76"/>
      <c r="E240" s="76"/>
      <c r="I240" s="76"/>
      <c r="J240" s="338"/>
    </row>
    <row r="241" spans="2:10" x14ac:dyDescent="0.2">
      <c r="B241" s="337"/>
      <c r="C241" s="76"/>
      <c r="D241" s="76"/>
      <c r="E241" s="76"/>
      <c r="I241" s="76"/>
      <c r="J241" s="338"/>
    </row>
    <row r="242" spans="2:10" x14ac:dyDescent="0.2">
      <c r="B242" s="337"/>
      <c r="C242" s="76"/>
      <c r="D242" s="76"/>
      <c r="E242" s="76"/>
      <c r="I242" s="76"/>
      <c r="J242" s="338"/>
    </row>
    <row r="243" spans="2:10" x14ac:dyDescent="0.2">
      <c r="B243" s="337"/>
      <c r="C243" s="76"/>
      <c r="D243" s="76"/>
      <c r="E243" s="76"/>
      <c r="F243" s="76"/>
      <c r="G243" s="76"/>
      <c r="H243" s="76"/>
      <c r="I243" s="76"/>
      <c r="J243" s="338"/>
    </row>
    <row r="244" spans="2:10" x14ac:dyDescent="0.2">
      <c r="B244" s="337"/>
      <c r="C244" s="76"/>
      <c r="D244" s="76"/>
      <c r="E244" s="76"/>
      <c r="F244" s="76"/>
      <c r="G244" s="76"/>
      <c r="H244" s="76"/>
      <c r="I244" s="76"/>
      <c r="J244" s="338"/>
    </row>
    <row r="245" spans="2:10" ht="13.5" thickBot="1" x14ac:dyDescent="0.25">
      <c r="B245" s="337"/>
      <c r="C245" s="76"/>
      <c r="D245" s="76"/>
      <c r="E245" s="76"/>
      <c r="F245" s="76"/>
      <c r="G245" s="76"/>
      <c r="H245" s="76"/>
      <c r="I245" s="76"/>
      <c r="J245" s="338"/>
    </row>
    <row r="246" spans="2:10" x14ac:dyDescent="0.2">
      <c r="B246" s="337"/>
      <c r="C246" s="1757" t="s">
        <v>1449</v>
      </c>
      <c r="D246" s="1757"/>
      <c r="E246" s="1757"/>
      <c r="G246" s="1757" t="s">
        <v>865</v>
      </c>
      <c r="H246" s="1757"/>
      <c r="I246" s="1757"/>
      <c r="J246" s="1758"/>
    </row>
    <row r="247" spans="2:10" x14ac:dyDescent="0.2">
      <c r="B247" s="337"/>
      <c r="C247" s="1755" t="s">
        <v>1450</v>
      </c>
      <c r="D247" s="1755"/>
      <c r="E247" s="1755"/>
      <c r="G247" s="1755" t="s">
        <v>866</v>
      </c>
      <c r="H247" s="1755"/>
      <c r="I247" s="1755"/>
      <c r="J247" s="1756"/>
    </row>
    <row r="248" spans="2:10" x14ac:dyDescent="0.2">
      <c r="B248" s="337"/>
      <c r="C248" s="744"/>
      <c r="D248" s="744"/>
      <c r="G248" s="1755" t="s">
        <v>867</v>
      </c>
      <c r="H248" s="1755"/>
      <c r="I248" s="1755"/>
      <c r="J248" s="1756"/>
    </row>
    <row r="249" spans="2:10" x14ac:dyDescent="0.2">
      <c r="B249" s="337"/>
      <c r="C249" s="76"/>
      <c r="D249" s="76"/>
      <c r="E249" s="76"/>
      <c r="F249" s="76"/>
      <c r="G249" s="76"/>
      <c r="H249" s="76"/>
      <c r="I249" s="76"/>
      <c r="J249" s="338"/>
    </row>
    <row r="250" spans="2:10" x14ac:dyDescent="0.2">
      <c r="B250" s="337"/>
      <c r="C250" s="76"/>
      <c r="D250" s="76"/>
      <c r="E250" s="76"/>
      <c r="F250" s="76"/>
      <c r="G250" s="76"/>
      <c r="H250" s="76"/>
      <c r="I250" s="76"/>
      <c r="J250" s="338"/>
    </row>
    <row r="251" spans="2:10" x14ac:dyDescent="0.2">
      <c r="B251" s="337"/>
      <c r="C251" s="76"/>
      <c r="D251" s="76"/>
      <c r="E251" s="76"/>
      <c r="F251" s="76"/>
      <c r="G251" s="76"/>
      <c r="H251" s="76"/>
      <c r="I251" s="76"/>
      <c r="J251" s="338"/>
    </row>
    <row r="252" spans="2:10" x14ac:dyDescent="0.2">
      <c r="B252" s="337"/>
      <c r="C252" s="76"/>
      <c r="D252" s="76"/>
      <c r="E252" s="76"/>
      <c r="F252" s="76"/>
      <c r="G252" s="76"/>
      <c r="H252" s="76"/>
      <c r="I252" s="76"/>
      <c r="J252" s="338"/>
    </row>
    <row r="253" spans="2:10" ht="13.5" thickBot="1" x14ac:dyDescent="0.25">
      <c r="B253" s="341"/>
      <c r="C253" s="342"/>
      <c r="D253" s="342"/>
      <c r="E253" s="342"/>
      <c r="F253" s="342"/>
      <c r="G253" s="342"/>
      <c r="H253" s="342"/>
      <c r="I253" s="342"/>
      <c r="J253" s="343"/>
    </row>
  </sheetData>
  <mergeCells count="321">
    <mergeCell ref="G246:J246"/>
    <mergeCell ref="G247:J247"/>
    <mergeCell ref="G248:J248"/>
    <mergeCell ref="C246:E246"/>
    <mergeCell ref="C247:E247"/>
    <mergeCell ref="G149:H149"/>
    <mergeCell ref="I149:J149"/>
    <mergeCell ref="B150:D158"/>
    <mergeCell ref="E150:F150"/>
    <mergeCell ref="H150:J158"/>
    <mergeCell ref="E151:F151"/>
    <mergeCell ref="E152:F152"/>
    <mergeCell ref="E167:F167"/>
    <mergeCell ref="E168:F168"/>
    <mergeCell ref="E169:F169"/>
    <mergeCell ref="G160:H160"/>
    <mergeCell ref="I160:J160"/>
    <mergeCell ref="B161:D169"/>
    <mergeCell ref="E161:F161"/>
    <mergeCell ref="H161:J169"/>
    <mergeCell ref="E162:F162"/>
    <mergeCell ref="E163:F163"/>
    <mergeCell ref="E164:F164"/>
    <mergeCell ref="E165:F165"/>
    <mergeCell ref="E166:F166"/>
    <mergeCell ref="E146:F146"/>
    <mergeCell ref="E147:F147"/>
    <mergeCell ref="E154:F154"/>
    <mergeCell ref="E155:F155"/>
    <mergeCell ref="B160:C160"/>
    <mergeCell ref="E160:F160"/>
    <mergeCell ref="B149:C149"/>
    <mergeCell ref="E149:F149"/>
    <mergeCell ref="E156:F156"/>
    <mergeCell ref="E157:F157"/>
    <mergeCell ref="E158:F158"/>
    <mergeCell ref="E153:F153"/>
    <mergeCell ref="E136:F136"/>
    <mergeCell ref="B138:C138"/>
    <mergeCell ref="E138:F138"/>
    <mergeCell ref="G138:H138"/>
    <mergeCell ref="I138:J138"/>
    <mergeCell ref="B139:D147"/>
    <mergeCell ref="E139:F139"/>
    <mergeCell ref="H139:J147"/>
    <mergeCell ref="E140:F140"/>
    <mergeCell ref="E141:F141"/>
    <mergeCell ref="B128:D136"/>
    <mergeCell ref="E128:F128"/>
    <mergeCell ref="H128:J136"/>
    <mergeCell ref="E129:F129"/>
    <mergeCell ref="E130:F130"/>
    <mergeCell ref="E131:F131"/>
    <mergeCell ref="E132:F132"/>
    <mergeCell ref="E133:F133"/>
    <mergeCell ref="E134:F134"/>
    <mergeCell ref="E135:F135"/>
    <mergeCell ref="E142:F142"/>
    <mergeCell ref="E143:F143"/>
    <mergeCell ref="E144:F144"/>
    <mergeCell ref="E145:F145"/>
    <mergeCell ref="E124:F124"/>
    <mergeCell ref="E125:F125"/>
    <mergeCell ref="B127:C127"/>
    <mergeCell ref="E127:F127"/>
    <mergeCell ref="G127:H127"/>
    <mergeCell ref="I127:J127"/>
    <mergeCell ref="I116:J116"/>
    <mergeCell ref="B117:D125"/>
    <mergeCell ref="E117:F117"/>
    <mergeCell ref="H117:J125"/>
    <mergeCell ref="E118:F118"/>
    <mergeCell ref="E119:F119"/>
    <mergeCell ref="E120:F120"/>
    <mergeCell ref="E121:F121"/>
    <mergeCell ref="E122:F122"/>
    <mergeCell ref="E123:F123"/>
    <mergeCell ref="G116:H116"/>
    <mergeCell ref="E114:F114"/>
    <mergeCell ref="B116:C116"/>
    <mergeCell ref="E116:F116"/>
    <mergeCell ref="G94:H94"/>
    <mergeCell ref="I94:J94"/>
    <mergeCell ref="B95:D103"/>
    <mergeCell ref="E95:F95"/>
    <mergeCell ref="H95:J103"/>
    <mergeCell ref="E96:F96"/>
    <mergeCell ref="E97:F97"/>
    <mergeCell ref="E98:F98"/>
    <mergeCell ref="E102:F102"/>
    <mergeCell ref="E103:F103"/>
    <mergeCell ref="G105:H105"/>
    <mergeCell ref="I105:J105"/>
    <mergeCell ref="B106:D114"/>
    <mergeCell ref="E106:F106"/>
    <mergeCell ref="H106:J114"/>
    <mergeCell ref="E107:F107"/>
    <mergeCell ref="E108:F108"/>
    <mergeCell ref="E109:F109"/>
    <mergeCell ref="E110:F110"/>
    <mergeCell ref="E111:F111"/>
    <mergeCell ref="B105:C105"/>
    <mergeCell ref="E91:F91"/>
    <mergeCell ref="E92:F92"/>
    <mergeCell ref="E99:F99"/>
    <mergeCell ref="E100:F100"/>
    <mergeCell ref="E101:F101"/>
    <mergeCell ref="B94:C94"/>
    <mergeCell ref="E94:F94"/>
    <mergeCell ref="E112:F112"/>
    <mergeCell ref="E113:F113"/>
    <mergeCell ref="E105:F105"/>
    <mergeCell ref="E81:F81"/>
    <mergeCell ref="B83:C83"/>
    <mergeCell ref="E83:F83"/>
    <mergeCell ref="G83:H83"/>
    <mergeCell ref="I83:J83"/>
    <mergeCell ref="B84:D92"/>
    <mergeCell ref="E84:F84"/>
    <mergeCell ref="H84:J92"/>
    <mergeCell ref="E85:F85"/>
    <mergeCell ref="E86:F86"/>
    <mergeCell ref="B73:D81"/>
    <mergeCell ref="E73:F73"/>
    <mergeCell ref="H73:J81"/>
    <mergeCell ref="E74:F74"/>
    <mergeCell ref="E75:F75"/>
    <mergeCell ref="E76:F76"/>
    <mergeCell ref="E77:F77"/>
    <mergeCell ref="E78:F78"/>
    <mergeCell ref="E79:F79"/>
    <mergeCell ref="E80:F80"/>
    <mergeCell ref="E87:F87"/>
    <mergeCell ref="E88:F88"/>
    <mergeCell ref="E89:F89"/>
    <mergeCell ref="E90:F90"/>
    <mergeCell ref="E50:F50"/>
    <mergeCell ref="E69:F69"/>
    <mergeCell ref="E70:F70"/>
    <mergeCell ref="B72:C72"/>
    <mergeCell ref="E72:F72"/>
    <mergeCell ref="G72:H72"/>
    <mergeCell ref="I72:J72"/>
    <mergeCell ref="I61:J61"/>
    <mergeCell ref="B62:D70"/>
    <mergeCell ref="E62:F62"/>
    <mergeCell ref="H62:J70"/>
    <mergeCell ref="E63:F63"/>
    <mergeCell ref="E64:F64"/>
    <mergeCell ref="E65:F65"/>
    <mergeCell ref="E66:F66"/>
    <mergeCell ref="E67:F67"/>
    <mergeCell ref="E68:F68"/>
    <mergeCell ref="G61:H61"/>
    <mergeCell ref="B39:C39"/>
    <mergeCell ref="E39:F39"/>
    <mergeCell ref="E57:F57"/>
    <mergeCell ref="E58:F58"/>
    <mergeCell ref="E59:F59"/>
    <mergeCell ref="B61:C61"/>
    <mergeCell ref="E61:F61"/>
    <mergeCell ref="H40:J48"/>
    <mergeCell ref="E41:F41"/>
    <mergeCell ref="E42:F42"/>
    <mergeCell ref="E43:F43"/>
    <mergeCell ref="E47:F47"/>
    <mergeCell ref="E48:F48"/>
    <mergeCell ref="G50:H50"/>
    <mergeCell ref="I50:J50"/>
    <mergeCell ref="B51:D59"/>
    <mergeCell ref="E51:F51"/>
    <mergeCell ref="H51:J59"/>
    <mergeCell ref="E52:F52"/>
    <mergeCell ref="E53:F53"/>
    <mergeCell ref="E54:F54"/>
    <mergeCell ref="E55:F55"/>
    <mergeCell ref="E56:F56"/>
    <mergeCell ref="B50:C50"/>
    <mergeCell ref="E32:F32"/>
    <mergeCell ref="E33:F33"/>
    <mergeCell ref="E34:F34"/>
    <mergeCell ref="E35:F35"/>
    <mergeCell ref="E36:F36"/>
    <mergeCell ref="E37:F37"/>
    <mergeCell ref="E44:F44"/>
    <mergeCell ref="E45:F45"/>
    <mergeCell ref="E46:F46"/>
    <mergeCell ref="B2:J4"/>
    <mergeCell ref="B28:C28"/>
    <mergeCell ref="E28:F28"/>
    <mergeCell ref="G28:H28"/>
    <mergeCell ref="I28:J28"/>
    <mergeCell ref="B29:D37"/>
    <mergeCell ref="E29:F29"/>
    <mergeCell ref="H29:J37"/>
    <mergeCell ref="E30:F30"/>
    <mergeCell ref="E31:F31"/>
    <mergeCell ref="E19:F19"/>
    <mergeCell ref="E20:F20"/>
    <mergeCell ref="E21:F21"/>
    <mergeCell ref="E22:F22"/>
    <mergeCell ref="E23:F23"/>
    <mergeCell ref="E24:F24"/>
    <mergeCell ref="E25:F25"/>
    <mergeCell ref="E26:F26"/>
    <mergeCell ref="B18:D26"/>
    <mergeCell ref="E18:F18"/>
    <mergeCell ref="H18:J26"/>
    <mergeCell ref="E15:F15"/>
    <mergeCell ref="B17:C17"/>
    <mergeCell ref="E17:F17"/>
    <mergeCell ref="B7:D15"/>
    <mergeCell ref="E7:F7"/>
    <mergeCell ref="H7:J15"/>
    <mergeCell ref="B6:C6"/>
    <mergeCell ref="E6:F6"/>
    <mergeCell ref="G6:H6"/>
    <mergeCell ref="I6:J6"/>
    <mergeCell ref="B171:C171"/>
    <mergeCell ref="E171:F171"/>
    <mergeCell ref="G171:H171"/>
    <mergeCell ref="I171:J171"/>
    <mergeCell ref="G17:H17"/>
    <mergeCell ref="I17:J17"/>
    <mergeCell ref="E8:F8"/>
    <mergeCell ref="E9:F9"/>
    <mergeCell ref="E10:F10"/>
    <mergeCell ref="E11:F11"/>
    <mergeCell ref="E12:F12"/>
    <mergeCell ref="E13:F13"/>
    <mergeCell ref="E14:F14"/>
    <mergeCell ref="G39:H39"/>
    <mergeCell ref="I39:J39"/>
    <mergeCell ref="B40:D48"/>
    <mergeCell ref="E40:F40"/>
    <mergeCell ref="B172:D180"/>
    <mergeCell ref="E172:F172"/>
    <mergeCell ref="H172:J180"/>
    <mergeCell ref="E173:F173"/>
    <mergeCell ref="E174:F174"/>
    <mergeCell ref="E175:F175"/>
    <mergeCell ref="E176:F176"/>
    <mergeCell ref="E177:F177"/>
    <mergeCell ref="E178:F178"/>
    <mergeCell ref="E179:F179"/>
    <mergeCell ref="E180:F180"/>
    <mergeCell ref="B182:C182"/>
    <mergeCell ref="E182:F182"/>
    <mergeCell ref="G182:H182"/>
    <mergeCell ref="I182:J182"/>
    <mergeCell ref="B183:D191"/>
    <mergeCell ref="E183:F183"/>
    <mergeCell ref="H183:J191"/>
    <mergeCell ref="E184:F184"/>
    <mergeCell ref="E185:F185"/>
    <mergeCell ref="E186:F186"/>
    <mergeCell ref="E187:F187"/>
    <mergeCell ref="E188:F188"/>
    <mergeCell ref="E189:F189"/>
    <mergeCell ref="E190:F190"/>
    <mergeCell ref="E191:F191"/>
    <mergeCell ref="B193:C193"/>
    <mergeCell ref="E193:F193"/>
    <mergeCell ref="G193:H193"/>
    <mergeCell ref="I193:J193"/>
    <mergeCell ref="B194:D202"/>
    <mergeCell ref="E194:F194"/>
    <mergeCell ref="H194:J202"/>
    <mergeCell ref="E195:F195"/>
    <mergeCell ref="E196:F196"/>
    <mergeCell ref="E197:F197"/>
    <mergeCell ref="E198:F198"/>
    <mergeCell ref="E199:F199"/>
    <mergeCell ref="E200:F200"/>
    <mergeCell ref="E201:F201"/>
    <mergeCell ref="E202:F202"/>
    <mergeCell ref="B204:C204"/>
    <mergeCell ref="E204:F204"/>
    <mergeCell ref="G204:H204"/>
    <mergeCell ref="I204:J204"/>
    <mergeCell ref="B205:D213"/>
    <mergeCell ref="E205:F205"/>
    <mergeCell ref="H205:J213"/>
    <mergeCell ref="E206:F206"/>
    <mergeCell ref="E207:F207"/>
    <mergeCell ref="E208:F208"/>
    <mergeCell ref="E209:F209"/>
    <mergeCell ref="E210:F210"/>
    <mergeCell ref="E211:F211"/>
    <mergeCell ref="E212:F212"/>
    <mergeCell ref="E213:F213"/>
    <mergeCell ref="B215:C215"/>
    <mergeCell ref="E215:F215"/>
    <mergeCell ref="G215:H215"/>
    <mergeCell ref="I215:J215"/>
    <mergeCell ref="B216:D224"/>
    <mergeCell ref="E216:F216"/>
    <mergeCell ref="H216:J224"/>
    <mergeCell ref="E217:F217"/>
    <mergeCell ref="E218:F218"/>
    <mergeCell ref="E219:F219"/>
    <mergeCell ref="E220:F220"/>
    <mergeCell ref="E221:F221"/>
    <mergeCell ref="E222:F222"/>
    <mergeCell ref="E223:F223"/>
    <mergeCell ref="E224:F224"/>
    <mergeCell ref="B226:C226"/>
    <mergeCell ref="E226:F226"/>
    <mergeCell ref="G226:H226"/>
    <mergeCell ref="I226:J226"/>
    <mergeCell ref="B227:D235"/>
    <mergeCell ref="E227:F227"/>
    <mergeCell ref="H227:J235"/>
    <mergeCell ref="E228:F228"/>
    <mergeCell ref="E229:F229"/>
    <mergeCell ref="E230:F230"/>
    <mergeCell ref="E231:F231"/>
    <mergeCell ref="E232:F232"/>
    <mergeCell ref="E233:F233"/>
    <mergeCell ref="E234:F234"/>
    <mergeCell ref="E235:F235"/>
  </mergeCells>
  <conditionalFormatting sqref="G19:G22">
    <cfRule type="cellIs" dxfId="62" priority="77" operator="lessThan">
      <formula>0.1</formula>
    </cfRule>
  </conditionalFormatting>
  <conditionalFormatting sqref="G8:G10">
    <cfRule type="cellIs" dxfId="61" priority="78" operator="lessThan">
      <formula>0.1</formula>
    </cfRule>
  </conditionalFormatting>
  <conditionalFormatting sqref="F22:F26">
    <cfRule type="cellIs" dxfId="60" priority="79" operator="lessThan">
      <formula>0.1</formula>
    </cfRule>
  </conditionalFormatting>
  <conditionalFormatting sqref="G23:G26">
    <cfRule type="cellIs" dxfId="59" priority="80" operator="lessThan">
      <formula>0.1</formula>
    </cfRule>
  </conditionalFormatting>
  <conditionalFormatting sqref="F11:F15">
    <cfRule type="cellIs" dxfId="58" priority="81" operator="lessThan">
      <formula>0.1</formula>
    </cfRule>
  </conditionalFormatting>
  <conditionalFormatting sqref="G11:G15">
    <cfRule type="cellIs" dxfId="57" priority="82" operator="lessThan">
      <formula>0.1</formula>
    </cfRule>
  </conditionalFormatting>
  <conditionalFormatting sqref="G30:G33">
    <cfRule type="cellIs" dxfId="56" priority="64" operator="lessThan">
      <formula>0.1</formula>
    </cfRule>
  </conditionalFormatting>
  <conditionalFormatting sqref="F33:F37">
    <cfRule type="cellIs" dxfId="55" priority="65" operator="lessThan">
      <formula>0.1</formula>
    </cfRule>
  </conditionalFormatting>
  <conditionalFormatting sqref="G34:G37">
    <cfRule type="cellIs" dxfId="54" priority="66" operator="lessThan">
      <formula>0.1</formula>
    </cfRule>
  </conditionalFormatting>
  <conditionalFormatting sqref="G41:G44">
    <cfRule type="cellIs" dxfId="53" priority="61" operator="lessThan">
      <formula>0.1</formula>
    </cfRule>
  </conditionalFormatting>
  <conditionalFormatting sqref="F44:F48">
    <cfRule type="cellIs" dxfId="52" priority="62" operator="lessThan">
      <formula>0.1</formula>
    </cfRule>
  </conditionalFormatting>
  <conditionalFormatting sqref="G45:G48">
    <cfRule type="cellIs" dxfId="51" priority="63" operator="lessThan">
      <formula>0.1</formula>
    </cfRule>
  </conditionalFormatting>
  <conditionalFormatting sqref="G52:G55">
    <cfRule type="cellIs" dxfId="50" priority="58" operator="lessThan">
      <formula>0.1</formula>
    </cfRule>
  </conditionalFormatting>
  <conditionalFormatting sqref="F55:F59">
    <cfRule type="cellIs" dxfId="49" priority="59" operator="lessThan">
      <formula>0.1</formula>
    </cfRule>
  </conditionalFormatting>
  <conditionalFormatting sqref="G56:G59">
    <cfRule type="cellIs" dxfId="48" priority="60" operator="lessThan">
      <formula>0.1</formula>
    </cfRule>
  </conditionalFormatting>
  <conditionalFormatting sqref="G63:G66">
    <cfRule type="cellIs" dxfId="47" priority="55" operator="lessThan">
      <formula>0.1</formula>
    </cfRule>
  </conditionalFormatting>
  <conditionalFormatting sqref="F66:F70">
    <cfRule type="cellIs" dxfId="46" priority="56" operator="lessThan">
      <formula>0.1</formula>
    </cfRule>
  </conditionalFormatting>
  <conditionalFormatting sqref="G67:G70">
    <cfRule type="cellIs" dxfId="45" priority="57" operator="lessThan">
      <formula>0.1</formula>
    </cfRule>
  </conditionalFormatting>
  <conditionalFormatting sqref="G74:G77">
    <cfRule type="cellIs" dxfId="44" priority="52" operator="lessThan">
      <formula>0.1</formula>
    </cfRule>
  </conditionalFormatting>
  <conditionalFormatting sqref="F77:F81">
    <cfRule type="cellIs" dxfId="43" priority="53" operator="lessThan">
      <formula>0.1</formula>
    </cfRule>
  </conditionalFormatting>
  <conditionalFormatting sqref="G78:G81">
    <cfRule type="cellIs" dxfId="42" priority="54" operator="lessThan">
      <formula>0.1</formula>
    </cfRule>
  </conditionalFormatting>
  <conditionalFormatting sqref="G85:G88">
    <cfRule type="cellIs" dxfId="41" priority="49" operator="lessThan">
      <formula>0.1</formula>
    </cfRule>
  </conditionalFormatting>
  <conditionalFormatting sqref="F88:F92">
    <cfRule type="cellIs" dxfId="40" priority="50" operator="lessThan">
      <formula>0.1</formula>
    </cfRule>
  </conditionalFormatting>
  <conditionalFormatting sqref="G89:G92">
    <cfRule type="cellIs" dxfId="39" priority="51" operator="lessThan">
      <formula>0.1</formula>
    </cfRule>
  </conditionalFormatting>
  <conditionalFormatting sqref="G96:G99">
    <cfRule type="cellIs" dxfId="38" priority="46" operator="lessThan">
      <formula>0.1</formula>
    </cfRule>
  </conditionalFormatting>
  <conditionalFormatting sqref="F99:F103">
    <cfRule type="cellIs" dxfId="37" priority="47" operator="lessThan">
      <formula>0.1</formula>
    </cfRule>
  </conditionalFormatting>
  <conditionalFormatting sqref="G100:G103">
    <cfRule type="cellIs" dxfId="36" priority="48" operator="lessThan">
      <formula>0.1</formula>
    </cfRule>
  </conditionalFormatting>
  <conditionalFormatting sqref="G107:G110">
    <cfRule type="cellIs" dxfId="35" priority="43" operator="lessThan">
      <formula>0.1</formula>
    </cfRule>
  </conditionalFormatting>
  <conditionalFormatting sqref="F110:F114">
    <cfRule type="cellIs" dxfId="34" priority="44" operator="lessThan">
      <formula>0.1</formula>
    </cfRule>
  </conditionalFormatting>
  <conditionalFormatting sqref="G111:G114">
    <cfRule type="cellIs" dxfId="33" priority="45" operator="lessThan">
      <formula>0.1</formula>
    </cfRule>
  </conditionalFormatting>
  <conditionalFormatting sqref="G118:G121">
    <cfRule type="cellIs" dxfId="32" priority="37" operator="lessThan">
      <formula>0.1</formula>
    </cfRule>
  </conditionalFormatting>
  <conditionalFormatting sqref="F121:F125">
    <cfRule type="cellIs" dxfId="31" priority="38" operator="lessThan">
      <formula>0.1</formula>
    </cfRule>
  </conditionalFormatting>
  <conditionalFormatting sqref="G122:G125">
    <cfRule type="cellIs" dxfId="30" priority="39" operator="lessThan">
      <formula>0.1</formula>
    </cfRule>
  </conditionalFormatting>
  <conditionalFormatting sqref="G129:G132">
    <cfRule type="cellIs" dxfId="29" priority="34" operator="lessThan">
      <formula>0.1</formula>
    </cfRule>
  </conditionalFormatting>
  <conditionalFormatting sqref="F132:F136">
    <cfRule type="cellIs" dxfId="28" priority="35" operator="lessThan">
      <formula>0.1</formula>
    </cfRule>
  </conditionalFormatting>
  <conditionalFormatting sqref="G133:G136">
    <cfRule type="cellIs" dxfId="27" priority="36" operator="lessThan">
      <formula>0.1</formula>
    </cfRule>
  </conditionalFormatting>
  <conditionalFormatting sqref="G140:G143">
    <cfRule type="cellIs" dxfId="26" priority="31" operator="lessThan">
      <formula>0.1</formula>
    </cfRule>
  </conditionalFormatting>
  <conditionalFormatting sqref="F143:F147">
    <cfRule type="cellIs" dxfId="25" priority="32" operator="lessThan">
      <formula>0.1</formula>
    </cfRule>
  </conditionalFormatting>
  <conditionalFormatting sqref="G144:G147">
    <cfRule type="cellIs" dxfId="24" priority="33" operator="lessThan">
      <formula>0.1</formula>
    </cfRule>
  </conditionalFormatting>
  <conditionalFormatting sqref="G151:G154">
    <cfRule type="cellIs" dxfId="23" priority="28" operator="lessThan">
      <formula>0.1</formula>
    </cfRule>
  </conditionalFormatting>
  <conditionalFormatting sqref="F154:F158">
    <cfRule type="cellIs" dxfId="22" priority="29" operator="lessThan">
      <formula>0.1</formula>
    </cfRule>
  </conditionalFormatting>
  <conditionalFormatting sqref="G155:G158">
    <cfRule type="cellIs" dxfId="21" priority="30" operator="lessThan">
      <formula>0.1</formula>
    </cfRule>
  </conditionalFormatting>
  <conditionalFormatting sqref="G162:G165">
    <cfRule type="cellIs" dxfId="20" priority="25" operator="lessThan">
      <formula>0.1</formula>
    </cfRule>
  </conditionalFormatting>
  <conditionalFormatting sqref="F165:F169">
    <cfRule type="cellIs" dxfId="19" priority="26" operator="lessThan">
      <formula>0.1</formula>
    </cfRule>
  </conditionalFormatting>
  <conditionalFormatting sqref="G166:G169">
    <cfRule type="cellIs" dxfId="18" priority="27" operator="lessThan">
      <formula>0.1</formula>
    </cfRule>
  </conditionalFormatting>
  <conditionalFormatting sqref="G173:G176">
    <cfRule type="cellIs" dxfId="17" priority="22" operator="lessThan">
      <formula>0.1</formula>
    </cfRule>
  </conditionalFormatting>
  <conditionalFormatting sqref="F176:F180">
    <cfRule type="cellIs" dxfId="16" priority="23" operator="lessThan">
      <formula>0.1</formula>
    </cfRule>
  </conditionalFormatting>
  <conditionalFormatting sqref="G177:G180">
    <cfRule type="cellIs" dxfId="15" priority="24" operator="lessThan">
      <formula>0.1</formula>
    </cfRule>
  </conditionalFormatting>
  <conditionalFormatting sqref="G184:G187">
    <cfRule type="cellIs" dxfId="14" priority="19" operator="lessThan">
      <formula>0.1</formula>
    </cfRule>
  </conditionalFormatting>
  <conditionalFormatting sqref="F187:F191">
    <cfRule type="cellIs" dxfId="13" priority="20" operator="lessThan">
      <formula>0.1</formula>
    </cfRule>
  </conditionalFormatting>
  <conditionalFormatting sqref="G188:G191">
    <cfRule type="cellIs" dxfId="12" priority="21" operator="lessThan">
      <formula>0.1</formula>
    </cfRule>
  </conditionalFormatting>
  <conditionalFormatting sqref="G195:G198">
    <cfRule type="cellIs" dxfId="11" priority="16" operator="lessThan">
      <formula>0.1</formula>
    </cfRule>
  </conditionalFormatting>
  <conditionalFormatting sqref="F198:F202">
    <cfRule type="cellIs" dxfId="10" priority="17" operator="lessThan">
      <formula>0.1</formula>
    </cfRule>
  </conditionalFormatting>
  <conditionalFormatting sqref="G199:G202">
    <cfRule type="cellIs" dxfId="9" priority="18" operator="lessThan">
      <formula>0.1</formula>
    </cfRule>
  </conditionalFormatting>
  <conditionalFormatting sqref="G206:G209">
    <cfRule type="cellIs" dxfId="8" priority="13" operator="lessThan">
      <formula>0.1</formula>
    </cfRule>
  </conditionalFormatting>
  <conditionalFormatting sqref="F209:F213">
    <cfRule type="cellIs" dxfId="7" priority="14" operator="lessThan">
      <formula>0.1</formula>
    </cfRule>
  </conditionalFormatting>
  <conditionalFormatting sqref="G210:G213">
    <cfRule type="cellIs" dxfId="6" priority="15" operator="lessThan">
      <formula>0.1</formula>
    </cfRule>
  </conditionalFormatting>
  <conditionalFormatting sqref="G217:G220">
    <cfRule type="cellIs" dxfId="5" priority="10" operator="lessThan">
      <formula>0.1</formula>
    </cfRule>
  </conditionalFormatting>
  <conditionalFormatting sqref="F220:F224">
    <cfRule type="cellIs" dxfId="4" priority="11" operator="lessThan">
      <formula>0.1</formula>
    </cfRule>
  </conditionalFormatting>
  <conditionalFormatting sqref="G221:G224">
    <cfRule type="cellIs" dxfId="3" priority="12" operator="lessThan">
      <formula>0.1</formula>
    </cfRule>
  </conditionalFormatting>
  <conditionalFormatting sqref="G228:G231">
    <cfRule type="cellIs" dxfId="2" priority="7" operator="lessThan">
      <formula>0.1</formula>
    </cfRule>
  </conditionalFormatting>
  <conditionalFormatting sqref="F231:F235">
    <cfRule type="cellIs" dxfId="1" priority="8" operator="lessThan">
      <formula>0.1</formula>
    </cfRule>
  </conditionalFormatting>
  <conditionalFormatting sqref="G232:G235">
    <cfRule type="cellIs" dxfId="0" priority="9" operator="lessThan">
      <formula>0.1</formula>
    </cfRule>
  </conditionalFormatting>
  <printOptions horizontalCentered="1" verticalCentered="1"/>
  <pageMargins left="0.7" right="0.7" top="0.75" bottom="0.75" header="0.3" footer="0.3"/>
  <pageSetup scale="56" orientation="portrait" r:id="rId1"/>
  <rowBreaks count="2" manualBreakCount="2">
    <brk id="81" max="10" man="1"/>
    <brk id="158" max="10" man="1"/>
  </rowBreaks>
  <colBreaks count="1" manualBreakCount="1">
    <brk id="11" max="1048575" man="1"/>
  </col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566CF-F2FF-4BD7-9EB0-463820E9974E}">
  <dimension ref="A2:G30"/>
  <sheetViews>
    <sheetView workbookViewId="0">
      <selection activeCell="C3" sqref="C3:C30"/>
    </sheetView>
  </sheetViews>
  <sheetFormatPr baseColWidth="10" defaultRowHeight="12.75" x14ac:dyDescent="0.2"/>
  <cols>
    <col min="1" max="1" width="14.140625" bestFit="1" customWidth="1"/>
  </cols>
  <sheetData>
    <row r="2" spans="1:7" x14ac:dyDescent="0.2">
      <c r="A2" t="s">
        <v>812</v>
      </c>
      <c r="B2">
        <v>1</v>
      </c>
      <c r="C2">
        <v>2</v>
      </c>
      <c r="D2">
        <v>3</v>
      </c>
      <c r="E2">
        <v>4</v>
      </c>
      <c r="F2">
        <v>5</v>
      </c>
      <c r="G2" s="765" t="s">
        <v>852</v>
      </c>
    </row>
    <row r="3" spans="1:7" x14ac:dyDescent="0.2">
      <c r="A3" s="766" t="s">
        <v>1476</v>
      </c>
      <c r="B3">
        <v>1441.3980000000001</v>
      </c>
      <c r="C3">
        <v>673.61599999999999</v>
      </c>
      <c r="D3">
        <v>610.10699999999986</v>
      </c>
      <c r="E3">
        <v>576.12</v>
      </c>
      <c r="F3">
        <v>1288.1090000000002</v>
      </c>
      <c r="G3" s="765">
        <f>SUM(B3:F3)</f>
        <v>4589.3500000000004</v>
      </c>
    </row>
    <row r="4" spans="1:7" x14ac:dyDescent="0.2">
      <c r="A4" s="766" t="s">
        <v>1477</v>
      </c>
      <c r="B4">
        <v>2118.3620000000001</v>
      </c>
      <c r="C4">
        <v>2148.9849999999997</v>
      </c>
      <c r="D4">
        <v>162.42500000000004</v>
      </c>
      <c r="E4">
        <v>1675.5139999999988</v>
      </c>
      <c r="F4">
        <v>1251.5720000000003</v>
      </c>
      <c r="G4" s="765">
        <f>SUM(B4:F4)</f>
        <v>7356.8579999999984</v>
      </c>
    </row>
    <row r="5" spans="1:7" x14ac:dyDescent="0.2">
      <c r="A5" s="766" t="s">
        <v>1478</v>
      </c>
      <c r="B5">
        <v>1473.3170000000014</v>
      </c>
      <c r="C5">
        <v>1387.6970000000001</v>
      </c>
      <c r="D5">
        <v>465.32199999999995</v>
      </c>
      <c r="E5">
        <v>71.61699999999999</v>
      </c>
      <c r="F5">
        <v>0</v>
      </c>
      <c r="G5" s="765">
        <f>SUM(B5:F5)</f>
        <v>3397.9530000000018</v>
      </c>
    </row>
    <row r="6" spans="1:7" x14ac:dyDescent="0.2">
      <c r="G6" s="765"/>
    </row>
    <row r="7" spans="1:7" x14ac:dyDescent="0.2">
      <c r="A7" t="s">
        <v>1455</v>
      </c>
      <c r="B7" s="767">
        <v>5033.0770000000011</v>
      </c>
      <c r="C7" s="767">
        <v>4210.2980000000007</v>
      </c>
      <c r="D7" s="767">
        <v>1237.854</v>
      </c>
      <c r="E7" s="767">
        <v>2323.2509999999993</v>
      </c>
      <c r="F7" s="767">
        <v>2539.6810000000009</v>
      </c>
      <c r="G7" s="767">
        <v>15344.161</v>
      </c>
    </row>
    <row r="8" spans="1:7" x14ac:dyDescent="0.2">
      <c r="A8" t="s">
        <v>1456</v>
      </c>
      <c r="B8" s="767">
        <v>2694.204999999999</v>
      </c>
      <c r="C8" s="767">
        <v>1759.5909999999997</v>
      </c>
      <c r="D8" s="767">
        <v>275.72999999999996</v>
      </c>
      <c r="E8" s="767">
        <v>1285.4600000000003</v>
      </c>
      <c r="F8" s="767">
        <v>1626.1369999999999</v>
      </c>
      <c r="G8" s="767">
        <v>7641.1229999999978</v>
      </c>
    </row>
    <row r="9" spans="1:7" x14ac:dyDescent="0.2">
      <c r="A9" t="s">
        <v>852</v>
      </c>
      <c r="B9" s="767">
        <v>7727.2820000000002</v>
      </c>
      <c r="C9" s="767">
        <v>5969.8890000000001</v>
      </c>
      <c r="D9" s="767">
        <v>1513.5840000000001</v>
      </c>
      <c r="E9" s="767">
        <v>3608.7109999999993</v>
      </c>
      <c r="F9" s="767">
        <v>4165.8180000000011</v>
      </c>
      <c r="G9" s="767">
        <v>22985.284</v>
      </c>
    </row>
    <row r="10" spans="1:7" x14ac:dyDescent="0.2">
      <c r="A10" s="766" t="s">
        <v>1457</v>
      </c>
      <c r="B10" s="767">
        <v>0.45</v>
      </c>
      <c r="C10" s="767">
        <v>0.45</v>
      </c>
      <c r="D10" s="767">
        <v>0.45</v>
      </c>
      <c r="E10" s="767">
        <v>0.45</v>
      </c>
      <c r="F10" s="767">
        <v>0.45</v>
      </c>
      <c r="G10" s="767">
        <v>0.45</v>
      </c>
    </row>
    <row r="11" spans="1:7" x14ac:dyDescent="0.2">
      <c r="A11" s="766" t="s">
        <v>1458</v>
      </c>
      <c r="B11" s="767">
        <v>1.1499999999999999</v>
      </c>
      <c r="C11" s="767">
        <v>1.1499999999999999</v>
      </c>
      <c r="D11" s="767">
        <v>1.1499999999999999</v>
      </c>
      <c r="E11" s="767">
        <v>1.1499999999999999</v>
      </c>
      <c r="F11" s="767">
        <v>1.1499999999999999</v>
      </c>
      <c r="G11" s="767">
        <v>1.1499999999999999</v>
      </c>
    </row>
    <row r="12" spans="1:7" x14ac:dyDescent="0.2">
      <c r="A12" s="765" t="s">
        <v>1459</v>
      </c>
      <c r="B12" s="768">
        <f t="shared" ref="B12:G12" si="0">B11*B10*B7</f>
        <v>2604.6173475000005</v>
      </c>
      <c r="C12" s="768">
        <f t="shared" si="0"/>
        <v>2178.8292150000002</v>
      </c>
      <c r="D12" s="768">
        <f t="shared" si="0"/>
        <v>640.58944499999996</v>
      </c>
      <c r="E12" s="768">
        <f t="shared" si="0"/>
        <v>1202.2823924999996</v>
      </c>
      <c r="F12" s="768">
        <f t="shared" si="0"/>
        <v>1314.2849175000003</v>
      </c>
      <c r="G12" s="768">
        <f t="shared" si="0"/>
        <v>7940.6033174999993</v>
      </c>
    </row>
    <row r="13" spans="1:7" x14ac:dyDescent="0.2">
      <c r="A13" s="765" t="s">
        <v>1461</v>
      </c>
      <c r="B13" s="767">
        <f t="shared" ref="B13:G13" si="1">B12*0.9</f>
        <v>2344.1556127500007</v>
      </c>
      <c r="C13" s="767">
        <f t="shared" si="1"/>
        <v>1960.9462935000001</v>
      </c>
      <c r="D13" s="767">
        <f t="shared" si="1"/>
        <v>576.53050050000002</v>
      </c>
      <c r="E13" s="767">
        <f t="shared" si="1"/>
        <v>1082.0541532499997</v>
      </c>
      <c r="F13" s="767">
        <f t="shared" si="1"/>
        <v>1182.8564257500004</v>
      </c>
      <c r="G13" s="767">
        <f t="shared" si="1"/>
        <v>7146.5429857499994</v>
      </c>
    </row>
    <row r="14" spans="1:7" x14ac:dyDescent="0.2">
      <c r="A14" s="765" t="s">
        <v>1462</v>
      </c>
      <c r="B14" s="767">
        <f t="shared" ref="B14:G14" si="2">B12-B13</f>
        <v>260.46173474999978</v>
      </c>
      <c r="C14" s="767">
        <f t="shared" si="2"/>
        <v>217.88292150000007</v>
      </c>
      <c r="D14" s="767">
        <f t="shared" si="2"/>
        <v>64.058944499999939</v>
      </c>
      <c r="E14" s="767">
        <f t="shared" si="2"/>
        <v>120.22823924999989</v>
      </c>
      <c r="F14" s="767">
        <f t="shared" si="2"/>
        <v>131.42849174999992</v>
      </c>
      <c r="G14" s="767">
        <f t="shared" si="2"/>
        <v>794.06033174999993</v>
      </c>
    </row>
    <row r="15" spans="1:7" x14ac:dyDescent="0.2">
      <c r="A15" s="765" t="s">
        <v>1460</v>
      </c>
      <c r="B15" s="767">
        <f t="shared" ref="B15:G15" si="3">B10*0.1*B7</f>
        <v>226.48846500000008</v>
      </c>
      <c r="C15" s="767">
        <f t="shared" si="3"/>
        <v>189.46341000000007</v>
      </c>
      <c r="D15" s="767">
        <f t="shared" si="3"/>
        <v>55.703430000000012</v>
      </c>
      <c r="E15" s="767">
        <f t="shared" si="3"/>
        <v>104.54629499999999</v>
      </c>
      <c r="F15" s="767">
        <f t="shared" si="3"/>
        <v>114.28564500000006</v>
      </c>
      <c r="G15" s="767">
        <f t="shared" si="3"/>
        <v>690.48724500000003</v>
      </c>
    </row>
    <row r="16" spans="1:7" x14ac:dyDescent="0.2">
      <c r="A16" s="765" t="s">
        <v>1463</v>
      </c>
      <c r="B16" s="767">
        <f t="shared" ref="B16:G16" si="4">B10*B7*0.35</f>
        <v>792.70962750000012</v>
      </c>
      <c r="C16" s="767">
        <f t="shared" si="4"/>
        <v>663.12193500000012</v>
      </c>
      <c r="D16" s="767">
        <f t="shared" si="4"/>
        <v>194.962005</v>
      </c>
      <c r="E16" s="767">
        <f t="shared" si="4"/>
        <v>365.91203249999984</v>
      </c>
      <c r="F16" s="767">
        <f t="shared" si="4"/>
        <v>399.99975750000016</v>
      </c>
      <c r="G16" s="767">
        <f t="shared" si="4"/>
        <v>2416.7053575</v>
      </c>
    </row>
    <row r="17" spans="1:7" x14ac:dyDescent="0.2">
      <c r="A17" s="765" t="s">
        <v>1464</v>
      </c>
      <c r="B17" s="767">
        <f t="shared" ref="B17:G17" si="5">B12-B15-B16</f>
        <v>1585.4192550000005</v>
      </c>
      <c r="C17" s="767">
        <f t="shared" si="5"/>
        <v>1326.24387</v>
      </c>
      <c r="D17" s="767">
        <f t="shared" si="5"/>
        <v>389.92400999999995</v>
      </c>
      <c r="E17" s="767">
        <f t="shared" si="5"/>
        <v>731.82406499999979</v>
      </c>
      <c r="F17" s="767">
        <f t="shared" si="5"/>
        <v>799.99951499999997</v>
      </c>
      <c r="G17" s="767">
        <f t="shared" si="5"/>
        <v>4833.4107149999991</v>
      </c>
    </row>
    <row r="18" spans="1:7" x14ac:dyDescent="0.2">
      <c r="A18" s="765" t="s">
        <v>1465</v>
      </c>
      <c r="B18">
        <v>68</v>
      </c>
      <c r="C18">
        <v>42</v>
      </c>
      <c r="D18">
        <v>12</v>
      </c>
      <c r="E18">
        <v>32</v>
      </c>
      <c r="F18">
        <v>28</v>
      </c>
      <c r="G18">
        <f>SUM(B18:F18)</f>
        <v>182</v>
      </c>
    </row>
    <row r="19" spans="1:7" x14ac:dyDescent="0.2">
      <c r="A19" t="s">
        <v>1466</v>
      </c>
      <c r="B19">
        <v>11</v>
      </c>
      <c r="C19">
        <v>11</v>
      </c>
      <c r="D19">
        <v>4</v>
      </c>
      <c r="E19">
        <v>20</v>
      </c>
      <c r="F19">
        <v>24</v>
      </c>
      <c r="G19">
        <f t="shared" ref="G19:G29" si="6">SUM(B19:F19)</f>
        <v>70</v>
      </c>
    </row>
    <row r="20" spans="1:7" x14ac:dyDescent="0.2">
      <c r="A20" t="s">
        <v>1467</v>
      </c>
      <c r="B20">
        <v>26</v>
      </c>
      <c r="C20">
        <v>46</v>
      </c>
      <c r="D20">
        <v>8</v>
      </c>
      <c r="E20">
        <v>16</v>
      </c>
      <c r="F20">
        <v>13</v>
      </c>
      <c r="G20">
        <f t="shared" si="6"/>
        <v>109</v>
      </c>
    </row>
    <row r="21" spans="1:7" x14ac:dyDescent="0.2">
      <c r="A21" t="s">
        <v>1468</v>
      </c>
      <c r="B21">
        <v>20</v>
      </c>
      <c r="C21">
        <v>9</v>
      </c>
      <c r="D21">
        <v>3</v>
      </c>
      <c r="E21">
        <v>5</v>
      </c>
      <c r="F21">
        <v>17</v>
      </c>
      <c r="G21">
        <f t="shared" si="6"/>
        <v>54</v>
      </c>
    </row>
    <row r="22" spans="1:7" x14ac:dyDescent="0.2">
      <c r="A22" t="s">
        <v>1469</v>
      </c>
      <c r="B22">
        <v>18</v>
      </c>
      <c r="C22">
        <v>14</v>
      </c>
      <c r="D22">
        <v>1</v>
      </c>
      <c r="E22">
        <v>13</v>
      </c>
      <c r="F22">
        <v>9</v>
      </c>
      <c r="G22">
        <f t="shared" si="6"/>
        <v>55</v>
      </c>
    </row>
    <row r="23" spans="1:7" x14ac:dyDescent="0.2">
      <c r="A23" t="s">
        <v>1470</v>
      </c>
      <c r="B23">
        <v>2</v>
      </c>
      <c r="C23">
        <v>1</v>
      </c>
      <c r="D23">
        <v>0</v>
      </c>
      <c r="E23">
        <v>1</v>
      </c>
      <c r="F23">
        <v>7</v>
      </c>
      <c r="G23">
        <f t="shared" si="6"/>
        <v>11</v>
      </c>
    </row>
    <row r="24" spans="1:7" x14ac:dyDescent="0.2">
      <c r="A24" t="s">
        <v>1471</v>
      </c>
      <c r="B24">
        <v>10</v>
      </c>
      <c r="C24">
        <v>4</v>
      </c>
      <c r="D24">
        <v>5</v>
      </c>
      <c r="E24">
        <v>20</v>
      </c>
      <c r="F24">
        <v>11</v>
      </c>
      <c r="G24" s="769">
        <f t="shared" si="6"/>
        <v>50</v>
      </c>
    </row>
    <row r="25" spans="1:7" x14ac:dyDescent="0.2">
      <c r="A25" t="s">
        <v>1472</v>
      </c>
      <c r="B25">
        <v>47</v>
      </c>
      <c r="C25">
        <v>28</v>
      </c>
      <c r="D25">
        <v>5</v>
      </c>
      <c r="E25">
        <v>8</v>
      </c>
      <c r="F25">
        <v>14</v>
      </c>
      <c r="G25">
        <f t="shared" si="6"/>
        <v>102</v>
      </c>
    </row>
    <row r="26" spans="1:7" x14ac:dyDescent="0.2">
      <c r="A26" s="764" t="s">
        <v>1473</v>
      </c>
      <c r="B26">
        <v>2</v>
      </c>
      <c r="C26">
        <v>1</v>
      </c>
      <c r="D26">
        <v>2</v>
      </c>
      <c r="E26">
        <v>2</v>
      </c>
      <c r="F26">
        <v>1</v>
      </c>
      <c r="G26">
        <f t="shared" si="6"/>
        <v>8</v>
      </c>
    </row>
    <row r="27" spans="1:7" x14ac:dyDescent="0.2">
      <c r="A27" s="764" t="s">
        <v>1474</v>
      </c>
      <c r="B27">
        <v>5</v>
      </c>
      <c r="C27">
        <v>5</v>
      </c>
      <c r="D27">
        <v>0</v>
      </c>
      <c r="E27">
        <v>1</v>
      </c>
      <c r="F27">
        <v>0</v>
      </c>
      <c r="G27">
        <f t="shared" si="6"/>
        <v>11</v>
      </c>
    </row>
    <row r="29" spans="1:7" x14ac:dyDescent="0.2">
      <c r="A29" s="765" t="s">
        <v>1475</v>
      </c>
      <c r="B29">
        <v>9</v>
      </c>
      <c r="C29">
        <v>4</v>
      </c>
      <c r="D29">
        <v>0</v>
      </c>
      <c r="E29">
        <v>3</v>
      </c>
      <c r="F29">
        <v>5</v>
      </c>
      <c r="G29">
        <f t="shared" si="6"/>
        <v>21</v>
      </c>
    </row>
    <row r="30" spans="1:7" x14ac:dyDescent="0.2">
      <c r="A30" s="766" t="s">
        <v>1479</v>
      </c>
      <c r="B30">
        <f>(B27+B26+B22+B21+B20+B19)*0.2*0.2*0.2</f>
        <v>0.65600000000000014</v>
      </c>
      <c r="C30">
        <f>(C27+C26+C22+C21+C20+C19)*0.2*0.2*0.2</f>
        <v>0.68800000000000006</v>
      </c>
      <c r="D30">
        <f>(D27+D26+D22+D21+D20+D19)*0.2*0.2*0.2</f>
        <v>0.14400000000000002</v>
      </c>
      <c r="E30">
        <f>(E27+E26+E22+E21+E20+E19)*0.2*0.2*0.2</f>
        <v>0.45600000000000007</v>
      </c>
      <c r="F30">
        <f>(F27+F26+F22+F21+F20+F19)*0.2*0.2*0.2</f>
        <v>0.51200000000000012</v>
      </c>
      <c r="G30">
        <f>SUM(B30:F30)</f>
        <v>2.4560000000000004</v>
      </c>
    </row>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B1622-73B3-4617-8D97-93849D4247D4}">
  <dimension ref="A1:P93"/>
  <sheetViews>
    <sheetView topLeftCell="A76" workbookViewId="0">
      <selection activeCell="F46" sqref="F46"/>
    </sheetView>
  </sheetViews>
  <sheetFormatPr baseColWidth="10" defaultRowHeight="12.75" x14ac:dyDescent="0.2"/>
  <cols>
    <col min="6" max="6" width="12.5703125" customWidth="1"/>
    <col min="12" max="12" width="13.140625" customWidth="1"/>
    <col min="14" max="14" width="13.28515625" customWidth="1"/>
  </cols>
  <sheetData>
    <row r="1" spans="1:15" ht="12.75" customHeight="1" x14ac:dyDescent="0.2">
      <c r="A1" s="1072" t="s">
        <v>1701</v>
      </c>
      <c r="B1" s="1052"/>
      <c r="C1" s="1052"/>
      <c r="D1" s="1052"/>
      <c r="E1" s="1052"/>
      <c r="F1" s="1052"/>
      <c r="G1" s="1052"/>
      <c r="H1" s="1052"/>
      <c r="I1" s="1052"/>
      <c r="J1" s="1052"/>
      <c r="K1" s="1052"/>
      <c r="L1" s="1052"/>
      <c r="M1" s="1052"/>
      <c r="N1" s="1053"/>
      <c r="O1" s="7"/>
    </row>
    <row r="2" spans="1:15" ht="12.75" customHeight="1" x14ac:dyDescent="0.2">
      <c r="A2" s="1031"/>
      <c r="B2" s="1032"/>
      <c r="C2" s="1032"/>
      <c r="D2" s="1032"/>
      <c r="E2" s="1032"/>
      <c r="F2" s="1032"/>
      <c r="G2" s="1032"/>
      <c r="H2" s="1032"/>
      <c r="I2" s="1032"/>
      <c r="J2" s="1032"/>
      <c r="K2" s="1032"/>
      <c r="L2" s="1032"/>
      <c r="M2" s="1032"/>
      <c r="N2" s="1055"/>
      <c r="O2" s="7"/>
    </row>
    <row r="3" spans="1:15" ht="12.75" customHeight="1" x14ac:dyDescent="0.2">
      <c r="A3" s="16"/>
      <c r="B3" s="16"/>
      <c r="C3" s="16"/>
      <c r="D3" s="16"/>
      <c r="E3" s="16"/>
      <c r="F3" s="16"/>
      <c r="G3" s="16"/>
      <c r="H3" s="16"/>
      <c r="I3" s="16"/>
      <c r="J3" s="16"/>
      <c r="K3" s="16"/>
      <c r="L3" s="16"/>
      <c r="M3" s="16"/>
      <c r="N3" s="16"/>
    </row>
    <row r="4" spans="1:15" ht="12.75" customHeight="1" x14ac:dyDescent="0.3">
      <c r="A4" s="18" t="s">
        <v>326</v>
      </c>
      <c r="B4" s="19" t="str">
        <f>A1</f>
        <v>CONCRETO PARA PAVIMENTO RÍGIDO MR-38 HECHO EN OBRA, INCLUYE SELLADO DE JUNTAS Y ACERO DE TRANSFERENCIA Y UNIÓN</v>
      </c>
      <c r="C4" s="20" t="s">
        <v>382</v>
      </c>
      <c r="D4" s="127" t="s">
        <v>399</v>
      </c>
      <c r="E4" s="22" t="s">
        <v>125</v>
      </c>
      <c r="F4" s="26">
        <f>H4+J4+L4+N4</f>
        <v>760862.06829960004</v>
      </c>
      <c r="G4" s="22" t="s">
        <v>285</v>
      </c>
      <c r="H4" s="26">
        <f>M23</f>
        <v>12632.941347600003</v>
      </c>
      <c r="I4" s="22" t="s">
        <v>383</v>
      </c>
      <c r="J4" s="38">
        <f>M14</f>
        <v>355704</v>
      </c>
      <c r="K4" s="22" t="s">
        <v>287</v>
      </c>
      <c r="L4" s="26">
        <f>M32</f>
        <v>139866.30000000002</v>
      </c>
      <c r="M4" s="22" t="s">
        <v>288</v>
      </c>
      <c r="N4" s="26">
        <f>M41</f>
        <v>252658.82695200003</v>
      </c>
    </row>
    <row r="5" spans="1:15" ht="12.75" customHeight="1" x14ac:dyDescent="0.25">
      <c r="A5" s="27"/>
      <c r="B5" s="27"/>
      <c r="C5" s="27"/>
      <c r="D5" s="27"/>
      <c r="E5" s="27"/>
      <c r="F5" s="27"/>
      <c r="G5" s="27"/>
      <c r="J5" s="27"/>
      <c r="K5" s="27"/>
      <c r="L5" s="27"/>
      <c r="M5" s="27"/>
      <c r="N5" s="27"/>
    </row>
    <row r="6" spans="1:15" ht="12.75" customHeight="1" x14ac:dyDescent="0.2">
      <c r="A6" s="1065" t="s">
        <v>384</v>
      </c>
      <c r="B6" s="1057"/>
      <c r="C6" s="1057"/>
      <c r="D6" s="1057"/>
      <c r="E6" s="1057"/>
      <c r="F6" s="1057"/>
      <c r="G6" s="1057"/>
      <c r="H6" s="1057"/>
      <c r="I6" s="1057"/>
      <c r="J6" s="1057"/>
      <c r="K6" s="1057"/>
      <c r="L6" s="1057"/>
      <c r="M6" s="1057"/>
      <c r="N6" s="1058"/>
    </row>
    <row r="7" spans="1:15" ht="12.75" customHeight="1" x14ac:dyDescent="0.2">
      <c r="A7" s="1066" t="s">
        <v>38</v>
      </c>
      <c r="B7" s="1057"/>
      <c r="C7" s="1057"/>
      <c r="D7" s="1057"/>
      <c r="E7" s="1057"/>
      <c r="F7" s="1057"/>
      <c r="G7" s="1058"/>
      <c r="H7" s="28" t="s">
        <v>39</v>
      </c>
      <c r="I7" s="1062" t="s">
        <v>385</v>
      </c>
      <c r="J7" s="1058"/>
      <c r="K7" s="1062" t="s">
        <v>132</v>
      </c>
      <c r="L7" s="1058"/>
      <c r="M7" s="1062" t="s">
        <v>386</v>
      </c>
      <c r="N7" s="1058"/>
    </row>
    <row r="8" spans="1:15" ht="12.75" customHeight="1" x14ac:dyDescent="0.2">
      <c r="A8" s="1061" t="s">
        <v>408</v>
      </c>
      <c r="B8" s="1057"/>
      <c r="C8" s="1057"/>
      <c r="D8" s="1057"/>
      <c r="E8" s="1057"/>
      <c r="F8" s="1057"/>
      <c r="G8" s="1058"/>
      <c r="H8" s="9" t="str">
        <f t="shared" ref="H8:H13" si="0">IF(A8="","",VLOOKUP(A8,AA_Materiales,7,FALSE))</f>
        <v>L</v>
      </c>
      <c r="I8" s="1059">
        <f t="shared" ref="I8:I13" si="1">IF(A8="","",VLOOKUP(A8,AA_Materiales,8,FALSE))</f>
        <v>20</v>
      </c>
      <c r="J8" s="1058"/>
      <c r="K8" s="1060">
        <v>180</v>
      </c>
      <c r="L8" s="1058"/>
      <c r="M8" s="1059">
        <f t="shared" ref="M8:M13" si="2">IF(A8="","",I8*K8)</f>
        <v>3600</v>
      </c>
      <c r="N8" s="1058"/>
    </row>
    <row r="9" spans="1:15" ht="12.75" customHeight="1" x14ac:dyDescent="0.2">
      <c r="A9" s="1061" t="s">
        <v>405</v>
      </c>
      <c r="B9" s="1057"/>
      <c r="C9" s="1057"/>
      <c r="D9" s="1057"/>
      <c r="E9" s="1057"/>
      <c r="F9" s="1057"/>
      <c r="G9" s="1058"/>
      <c r="H9" s="9" t="str">
        <f t="shared" si="0"/>
        <v>Kg</v>
      </c>
      <c r="I9" s="1059">
        <f t="shared" si="1"/>
        <v>646</v>
      </c>
      <c r="J9" s="1058"/>
      <c r="K9" s="1060">
        <v>380</v>
      </c>
      <c r="L9" s="1058"/>
      <c r="M9" s="1059">
        <f t="shared" si="2"/>
        <v>245480</v>
      </c>
      <c r="N9" s="1058"/>
    </row>
    <row r="10" spans="1:15" ht="12.75" customHeight="1" x14ac:dyDescent="0.2">
      <c r="A10" s="1061" t="s">
        <v>1506</v>
      </c>
      <c r="B10" s="1057"/>
      <c r="C10" s="1057"/>
      <c r="D10" s="1057"/>
      <c r="E10" s="1057"/>
      <c r="F10" s="1057"/>
      <c r="G10" s="1058"/>
      <c r="H10" s="9" t="str">
        <f t="shared" si="0"/>
        <v>m3</v>
      </c>
      <c r="I10" s="1059">
        <f t="shared" si="1"/>
        <v>83300</v>
      </c>
      <c r="J10" s="1058"/>
      <c r="K10" s="1060">
        <v>0.8</v>
      </c>
      <c r="L10" s="1058"/>
      <c r="M10" s="1059">
        <f t="shared" si="2"/>
        <v>66640</v>
      </c>
      <c r="N10" s="1058"/>
    </row>
    <row r="11" spans="1:15" ht="12.75" customHeight="1" x14ac:dyDescent="0.2">
      <c r="A11" s="1061" t="s">
        <v>1524</v>
      </c>
      <c r="B11" s="1057"/>
      <c r="C11" s="1057"/>
      <c r="D11" s="1057"/>
      <c r="E11" s="1057"/>
      <c r="F11" s="1057"/>
      <c r="G11" s="1058"/>
      <c r="H11" s="9" t="str">
        <f t="shared" si="0"/>
        <v>m3</v>
      </c>
      <c r="I11" s="1059">
        <f t="shared" si="1"/>
        <v>71400</v>
      </c>
      <c r="J11" s="1058"/>
      <c r="K11" s="1060">
        <v>0.56000000000000005</v>
      </c>
      <c r="L11" s="1058"/>
      <c r="M11" s="1059">
        <f t="shared" si="2"/>
        <v>39984.000000000007</v>
      </c>
      <c r="N11" s="1058"/>
    </row>
    <row r="12" spans="1:15" ht="12.75" customHeight="1" x14ac:dyDescent="0.2">
      <c r="A12" s="1061"/>
      <c r="B12" s="1057"/>
      <c r="C12" s="1057"/>
      <c r="D12" s="1057"/>
      <c r="E12" s="1057"/>
      <c r="F12" s="1057"/>
      <c r="G12" s="1058"/>
      <c r="H12" s="9" t="str">
        <f t="shared" si="0"/>
        <v/>
      </c>
      <c r="I12" s="1059" t="str">
        <f t="shared" si="1"/>
        <v/>
      </c>
      <c r="J12" s="1058"/>
      <c r="K12" s="1060"/>
      <c r="L12" s="1058"/>
      <c r="M12" s="1059" t="str">
        <f t="shared" si="2"/>
        <v/>
      </c>
      <c r="N12" s="1058"/>
    </row>
    <row r="13" spans="1:15" ht="12.75" customHeight="1" x14ac:dyDescent="0.2">
      <c r="A13" s="1061"/>
      <c r="B13" s="1057"/>
      <c r="C13" s="1057"/>
      <c r="D13" s="1057"/>
      <c r="E13" s="1057"/>
      <c r="F13" s="1057"/>
      <c r="G13" s="1058"/>
      <c r="H13" s="9" t="str">
        <f t="shared" si="0"/>
        <v/>
      </c>
      <c r="I13" s="1059" t="str">
        <f t="shared" si="1"/>
        <v/>
      </c>
      <c r="J13" s="1058"/>
      <c r="K13" s="1060"/>
      <c r="L13" s="1058"/>
      <c r="M13" s="1059" t="str">
        <f t="shared" si="2"/>
        <v/>
      </c>
      <c r="N13" s="1058"/>
    </row>
    <row r="14" spans="1:15" ht="12.75" customHeight="1" x14ac:dyDescent="0.25">
      <c r="A14" s="3"/>
      <c r="B14" s="3"/>
      <c r="C14" s="3"/>
      <c r="D14" s="3"/>
      <c r="E14" s="3"/>
      <c r="F14" s="3"/>
      <c r="G14" s="3"/>
      <c r="H14" s="3"/>
      <c r="I14" s="3"/>
      <c r="J14" s="3"/>
      <c r="K14" s="1066" t="s">
        <v>201</v>
      </c>
      <c r="L14" s="1058"/>
      <c r="M14" s="1059">
        <f>SUM(M8:N13)</f>
        <v>355704</v>
      </c>
      <c r="N14" s="1058"/>
    </row>
    <row r="15" spans="1:15" ht="12.75" customHeight="1" x14ac:dyDescent="0.25">
      <c r="A15" s="3"/>
      <c r="B15" s="3"/>
      <c r="C15" s="3"/>
      <c r="D15" s="3"/>
      <c r="E15" s="3"/>
      <c r="F15" s="3"/>
      <c r="G15" s="3"/>
      <c r="H15" s="3"/>
      <c r="I15" s="3"/>
      <c r="J15" s="3"/>
      <c r="K15" s="3"/>
      <c r="L15" s="3"/>
      <c r="M15" s="3"/>
      <c r="N15" s="3"/>
    </row>
    <row r="16" spans="1:15" ht="12.75" customHeight="1" x14ac:dyDescent="0.2">
      <c r="A16" s="1065" t="s">
        <v>390</v>
      </c>
      <c r="B16" s="1057"/>
      <c r="C16" s="1057"/>
      <c r="D16" s="1057"/>
      <c r="E16" s="1057"/>
      <c r="F16" s="1057"/>
      <c r="G16" s="1057"/>
      <c r="H16" s="1057"/>
      <c r="I16" s="1057"/>
      <c r="J16" s="1057"/>
      <c r="K16" s="1057"/>
      <c r="L16" s="1057"/>
      <c r="M16" s="1057"/>
      <c r="N16" s="1058"/>
    </row>
    <row r="17" spans="1:14" ht="12.75" customHeight="1" x14ac:dyDescent="0.2">
      <c r="A17" s="1066" t="s">
        <v>38</v>
      </c>
      <c r="B17" s="1057"/>
      <c r="C17" s="1057"/>
      <c r="D17" s="1057"/>
      <c r="E17" s="1057"/>
      <c r="F17" s="1057"/>
      <c r="G17" s="1058"/>
      <c r="H17" s="28" t="s">
        <v>39</v>
      </c>
      <c r="I17" s="1062" t="s">
        <v>385</v>
      </c>
      <c r="J17" s="1058"/>
      <c r="K17" s="1062" t="s">
        <v>132</v>
      </c>
      <c r="L17" s="1058"/>
      <c r="M17" s="1062" t="s">
        <v>386</v>
      </c>
      <c r="N17" s="1058"/>
    </row>
    <row r="18" spans="1:14" ht="12.75" customHeight="1" x14ac:dyDescent="0.2">
      <c r="A18" s="1061" t="s">
        <v>391</v>
      </c>
      <c r="B18" s="1057"/>
      <c r="C18" s="1057"/>
      <c r="D18" s="1057"/>
      <c r="E18" s="1057"/>
      <c r="F18" s="1057"/>
      <c r="G18" s="1058"/>
      <c r="H18" s="9" t="str">
        <f>IF(A18="","",VLOOKUP(A18,AA_Equipos,7,FALSE))</f>
        <v>% M.O.</v>
      </c>
      <c r="I18" s="1059">
        <f>+M41</f>
        <v>252658.82695200003</v>
      </c>
      <c r="J18" s="1058"/>
      <c r="K18" s="1064">
        <v>0.05</v>
      </c>
      <c r="L18" s="1058"/>
      <c r="M18" s="1059">
        <f>IF(A18="","",I18*K18)</f>
        <v>12632.941347600003</v>
      </c>
      <c r="N18" s="1058"/>
    </row>
    <row r="19" spans="1:14" ht="12.75" customHeight="1" x14ac:dyDescent="0.2">
      <c r="A19" s="1056"/>
      <c r="B19" s="1057"/>
      <c r="C19" s="1057"/>
      <c r="D19" s="1057"/>
      <c r="E19" s="1057"/>
      <c r="F19" s="1057"/>
      <c r="G19" s="1058"/>
      <c r="H19" s="9" t="str">
        <f>IF(A19="","",VLOOKUP(A19,AA_Equipos,7,FALSE))</f>
        <v/>
      </c>
      <c r="I19" s="1059" t="str">
        <f>IF(A19="","",VLOOKUP(A19,AA_Equipos,8,FALSE))</f>
        <v/>
      </c>
      <c r="J19" s="1058"/>
      <c r="K19" s="1067"/>
      <c r="L19" s="1058"/>
      <c r="M19" s="1059" t="str">
        <f>IF(A19="","",I19*K19)</f>
        <v/>
      </c>
      <c r="N19" s="1058"/>
    </row>
    <row r="20" spans="1:14" ht="12.75" customHeight="1" x14ac:dyDescent="0.2">
      <c r="A20" s="1061"/>
      <c r="B20" s="1057"/>
      <c r="C20" s="1057"/>
      <c r="D20" s="1057"/>
      <c r="E20" s="1057"/>
      <c r="F20" s="1057"/>
      <c r="G20" s="1058"/>
      <c r="H20" s="9" t="str">
        <f>IF(A20="","",VLOOKUP(A20,AA_Equipos,7,FALSE))</f>
        <v/>
      </c>
      <c r="I20" s="1059" t="str">
        <f>IF(A20="","",VLOOKUP(A20,AA_Equipos,8,FALSE))</f>
        <v/>
      </c>
      <c r="J20" s="1058"/>
      <c r="K20" s="1070"/>
      <c r="L20" s="1058"/>
      <c r="M20" s="1059" t="str">
        <f>IF(A20="","",I20*K20)</f>
        <v/>
      </c>
      <c r="N20" s="1058"/>
    </row>
    <row r="21" spans="1:14" ht="12.75" customHeight="1" x14ac:dyDescent="0.2">
      <c r="A21" s="1061"/>
      <c r="B21" s="1057"/>
      <c r="C21" s="1057"/>
      <c r="D21" s="1057"/>
      <c r="E21" s="1057"/>
      <c r="F21" s="1057"/>
      <c r="G21" s="1058"/>
      <c r="H21" s="9" t="str">
        <f>IF(A21="","",VLOOKUP(A21,AA_Equipos,7,FALSE))</f>
        <v/>
      </c>
      <c r="I21" s="1059" t="str">
        <f>IF(A21="","",VLOOKUP(A21,AA_Equipos,8,FALSE))</f>
        <v/>
      </c>
      <c r="J21" s="1058"/>
      <c r="K21" s="1060"/>
      <c r="L21" s="1058"/>
      <c r="M21" s="1059" t="str">
        <f>IF(A21="","",I21*K21)</f>
        <v/>
      </c>
      <c r="N21" s="1058"/>
    </row>
    <row r="22" spans="1:14" ht="12.75" customHeight="1" x14ac:dyDescent="0.2">
      <c r="A22" s="1061"/>
      <c r="B22" s="1057"/>
      <c r="C22" s="1057"/>
      <c r="D22" s="1057"/>
      <c r="E22" s="1057"/>
      <c r="F22" s="1057"/>
      <c r="G22" s="1058"/>
      <c r="H22" s="9" t="str">
        <f>IF(A22="","",VLOOKUP(A22,AA_Equipos,7,FALSE))</f>
        <v/>
      </c>
      <c r="I22" s="1059" t="str">
        <f>IF(A22="","",VLOOKUP(A22,AA_Equipos,8,FALSE))</f>
        <v/>
      </c>
      <c r="J22" s="1058"/>
      <c r="K22" s="1060"/>
      <c r="L22" s="1058"/>
      <c r="M22" s="1059" t="str">
        <f>IF(A22="","",I22*K22)</f>
        <v/>
      </c>
      <c r="N22" s="1058"/>
    </row>
    <row r="23" spans="1:14" ht="12.75" customHeight="1" x14ac:dyDescent="0.25">
      <c r="A23" s="3"/>
      <c r="B23" s="3"/>
      <c r="C23" s="3"/>
      <c r="D23" s="3"/>
      <c r="E23" s="3"/>
      <c r="F23" s="3"/>
      <c r="G23" s="3"/>
      <c r="H23" s="3"/>
      <c r="I23" s="3"/>
      <c r="J23" s="3"/>
      <c r="K23" s="1066" t="s">
        <v>201</v>
      </c>
      <c r="L23" s="1058"/>
      <c r="M23" s="1059">
        <f>SUM(M18:N22)</f>
        <v>12632.941347600003</v>
      </c>
      <c r="N23" s="1058"/>
    </row>
    <row r="24" spans="1:14" ht="12.75" customHeight="1" x14ac:dyDescent="0.25">
      <c r="A24" s="3"/>
      <c r="B24" s="3"/>
      <c r="C24" s="3"/>
      <c r="D24" s="3"/>
      <c r="E24" s="3"/>
      <c r="F24" s="3"/>
      <c r="G24" s="3"/>
      <c r="H24" s="3"/>
      <c r="I24" s="3"/>
      <c r="J24" s="3"/>
      <c r="K24" s="3"/>
      <c r="L24" s="3"/>
      <c r="M24" s="3"/>
      <c r="N24" s="3"/>
    </row>
    <row r="25" spans="1:14" ht="12.75" customHeight="1" x14ac:dyDescent="0.2">
      <c r="A25" s="1065" t="s">
        <v>392</v>
      </c>
      <c r="B25" s="1057"/>
      <c r="C25" s="1057"/>
      <c r="D25" s="1057"/>
      <c r="E25" s="1057"/>
      <c r="F25" s="1057"/>
      <c r="G25" s="1057"/>
      <c r="H25" s="1057"/>
      <c r="I25" s="1057"/>
      <c r="J25" s="1057"/>
      <c r="K25" s="1057"/>
      <c r="L25" s="1057"/>
      <c r="M25" s="1057"/>
      <c r="N25" s="1058"/>
    </row>
    <row r="26" spans="1:14" ht="12.75" customHeight="1" x14ac:dyDescent="0.2">
      <c r="A26" s="1066" t="s">
        <v>38</v>
      </c>
      <c r="B26" s="1057"/>
      <c r="C26" s="1057"/>
      <c r="D26" s="1057"/>
      <c r="E26" s="1057"/>
      <c r="F26" s="1057"/>
      <c r="G26" s="1058"/>
      <c r="H26" s="28" t="s">
        <v>132</v>
      </c>
      <c r="I26" s="1062" t="s">
        <v>385</v>
      </c>
      <c r="J26" s="1058"/>
      <c r="K26" s="1062" t="s">
        <v>1917</v>
      </c>
      <c r="L26" s="1058"/>
      <c r="M26" s="1062" t="s">
        <v>386</v>
      </c>
      <c r="N26" s="1058"/>
    </row>
    <row r="27" spans="1:14" ht="12.75" customHeight="1" x14ac:dyDescent="0.2">
      <c r="A27" s="1061" t="s">
        <v>1929</v>
      </c>
      <c r="B27" s="1057"/>
      <c r="C27" s="1057"/>
      <c r="D27" s="1057"/>
      <c r="E27" s="1057"/>
      <c r="F27" s="1057"/>
      <c r="G27" s="1058"/>
      <c r="H27" s="9">
        <v>1.49</v>
      </c>
      <c r="I27" s="1059">
        <v>2100</v>
      </c>
      <c r="J27" s="1058"/>
      <c r="K27" s="1082">
        <v>44.7</v>
      </c>
      <c r="L27" s="1058"/>
      <c r="M27" s="1059">
        <f>IF(A27="","",H27*I27*K27)</f>
        <v>139866.30000000002</v>
      </c>
      <c r="N27" s="1058"/>
    </row>
    <row r="28" spans="1:14" ht="12.75" customHeight="1" x14ac:dyDescent="0.2">
      <c r="A28" s="1056"/>
      <c r="B28" s="1057"/>
      <c r="C28" s="1057"/>
      <c r="D28" s="1057"/>
      <c r="E28" s="1057"/>
      <c r="F28" s="1057"/>
      <c r="G28" s="1058"/>
      <c r="H28" s="9"/>
      <c r="I28" s="1059"/>
      <c r="J28" s="1058"/>
      <c r="K28" s="1064"/>
      <c r="L28" s="1058"/>
      <c r="M28" s="1059" t="str">
        <f>IF(A28="","",I28*K28)</f>
        <v/>
      </c>
      <c r="N28" s="1058"/>
    </row>
    <row r="29" spans="1:14" ht="12.75" customHeight="1" x14ac:dyDescent="0.2">
      <c r="A29" s="1061"/>
      <c r="B29" s="1057"/>
      <c r="C29" s="1057"/>
      <c r="D29" s="1057"/>
      <c r="E29" s="1057"/>
      <c r="F29" s="1057"/>
      <c r="G29" s="1058"/>
      <c r="H29" s="9"/>
      <c r="I29" s="1059"/>
      <c r="J29" s="1058"/>
      <c r="K29" s="1060"/>
      <c r="L29" s="1058"/>
      <c r="M29" s="1059" t="str">
        <f>IF(A29="","",I29*K29)</f>
        <v/>
      </c>
      <c r="N29" s="1058"/>
    </row>
    <row r="30" spans="1:14" ht="12.75" customHeight="1" x14ac:dyDescent="0.2">
      <c r="A30" s="1061"/>
      <c r="B30" s="1057"/>
      <c r="C30" s="1057"/>
      <c r="D30" s="1057"/>
      <c r="E30" s="1057"/>
      <c r="F30" s="1057"/>
      <c r="G30" s="1058"/>
      <c r="H30" s="9"/>
      <c r="I30" s="1059"/>
      <c r="J30" s="1058"/>
      <c r="K30" s="1060"/>
      <c r="L30" s="1058"/>
      <c r="M30" s="1059" t="str">
        <f>IF(A30="","",I30*K30)</f>
        <v/>
      </c>
      <c r="N30" s="1058"/>
    </row>
    <row r="31" spans="1:14" ht="12.75" customHeight="1" x14ac:dyDescent="0.2">
      <c r="A31" s="1061"/>
      <c r="B31" s="1057"/>
      <c r="C31" s="1057"/>
      <c r="D31" s="1057"/>
      <c r="E31" s="1057"/>
      <c r="F31" s="1057"/>
      <c r="G31" s="1058"/>
      <c r="H31" s="9"/>
      <c r="I31" s="1059"/>
      <c r="J31" s="1058"/>
      <c r="K31" s="1060"/>
      <c r="L31" s="1058"/>
      <c r="M31" s="1059" t="str">
        <f>IF(A31="","",I31*K31)</f>
        <v/>
      </c>
      <c r="N31" s="1058"/>
    </row>
    <row r="32" spans="1:14" ht="12.75" customHeight="1" x14ac:dyDescent="0.25">
      <c r="A32" s="3"/>
      <c r="B32" s="3"/>
      <c r="C32" s="3"/>
      <c r="D32" s="3"/>
      <c r="E32" s="3"/>
      <c r="F32" s="3"/>
      <c r="G32" s="3"/>
      <c r="H32" s="3"/>
      <c r="I32" s="3"/>
      <c r="J32" s="3"/>
      <c r="K32" s="1066" t="s">
        <v>201</v>
      </c>
      <c r="L32" s="1058"/>
      <c r="M32" s="1059">
        <f>SUM(M27:N31)</f>
        <v>139866.30000000002</v>
      </c>
      <c r="N32" s="1058"/>
    </row>
    <row r="33" spans="1:15" ht="12.75" customHeight="1" x14ac:dyDescent="0.25">
      <c r="A33" s="3"/>
      <c r="B33" s="3"/>
      <c r="C33" s="3"/>
      <c r="D33" s="3"/>
      <c r="E33" s="3"/>
      <c r="F33" s="3"/>
      <c r="G33" s="3"/>
      <c r="H33" s="3"/>
      <c r="I33" s="3"/>
      <c r="J33" s="3"/>
      <c r="K33" s="3"/>
      <c r="L33" s="3"/>
      <c r="M33" s="3"/>
      <c r="N33" s="3"/>
    </row>
    <row r="34" spans="1:15" ht="12.75" customHeight="1" x14ac:dyDescent="0.2">
      <c r="A34" s="1065" t="s">
        <v>394</v>
      </c>
      <c r="B34" s="1057"/>
      <c r="C34" s="1057"/>
      <c r="D34" s="1057"/>
      <c r="E34" s="1057"/>
      <c r="F34" s="1057"/>
      <c r="G34" s="1057"/>
      <c r="H34" s="1057"/>
      <c r="I34" s="1057"/>
      <c r="J34" s="1057"/>
      <c r="K34" s="1057"/>
      <c r="L34" s="1057"/>
      <c r="M34" s="1057"/>
      <c r="N34" s="1058"/>
    </row>
    <row r="35" spans="1:15" ht="12.75" customHeight="1" x14ac:dyDescent="0.2">
      <c r="A35" s="1066" t="s">
        <v>38</v>
      </c>
      <c r="B35" s="1057"/>
      <c r="C35" s="1057"/>
      <c r="D35" s="1057"/>
      <c r="E35" s="1057"/>
      <c r="F35" s="1057"/>
      <c r="G35" s="1058"/>
      <c r="H35" s="28" t="s">
        <v>39</v>
      </c>
      <c r="I35" s="1062" t="s">
        <v>385</v>
      </c>
      <c r="J35" s="1058"/>
      <c r="K35" s="30" t="s">
        <v>193</v>
      </c>
      <c r="L35" s="31" t="s">
        <v>395</v>
      </c>
      <c r="M35" s="1062" t="s">
        <v>386</v>
      </c>
      <c r="N35" s="1058"/>
    </row>
    <row r="36" spans="1:15" ht="12.75" customHeight="1" x14ac:dyDescent="0.25">
      <c r="A36" s="1063" t="s">
        <v>1909</v>
      </c>
      <c r="B36" s="1057"/>
      <c r="C36" s="1057"/>
      <c r="D36" s="1057"/>
      <c r="E36" s="1057"/>
      <c r="F36" s="1057"/>
      <c r="G36" s="1058"/>
      <c r="H36" s="9" t="str">
        <f>IF(A36="","",VLOOKUP(A36,AA_Cuadrillas,4,FALSE))</f>
        <v>Cuadrilla</v>
      </c>
      <c r="I36" s="1059">
        <f>IF(A36="","",VLOOKUP(A36,AA_Cuadrillas,5,FALSE))</f>
        <v>916307</v>
      </c>
      <c r="J36" s="1058"/>
      <c r="K36" s="1">
        <f>IF(A36="","",'06'!$J$3)</f>
        <v>1.7233500000000002</v>
      </c>
      <c r="L36" s="37">
        <v>0.16</v>
      </c>
      <c r="M36" s="1059">
        <f>IF(A36="","",I36*K36*L36)</f>
        <v>252658.82695200003</v>
      </c>
      <c r="N36" s="1058"/>
    </row>
    <row r="37" spans="1:15" ht="12.75" customHeight="1" x14ac:dyDescent="0.25">
      <c r="A37" s="1063"/>
      <c r="B37" s="1057"/>
      <c r="C37" s="1057"/>
      <c r="D37" s="1057"/>
      <c r="E37" s="1057"/>
      <c r="F37" s="1057"/>
      <c r="G37" s="1058"/>
      <c r="H37" s="9" t="str">
        <f>IF(A37="","",VLOOKUP(A37,AA_Cuadrillas,4,FALSE))</f>
        <v/>
      </c>
      <c r="I37" s="1059" t="str">
        <f>IF(A37="","",VLOOKUP(A37,AA_Cuadrillas,5,FALSE))</f>
        <v/>
      </c>
      <c r="J37" s="1058"/>
      <c r="K37" s="1" t="str">
        <f>IF(A37="","",'06'!$J$3)</f>
        <v/>
      </c>
      <c r="L37" s="1"/>
      <c r="M37" s="1059" t="str">
        <f>IF(A37="","",I37*K37*L37)</f>
        <v/>
      </c>
      <c r="N37" s="1058"/>
    </row>
    <row r="38" spans="1:15" ht="12.75" customHeight="1" x14ac:dyDescent="0.25">
      <c r="A38" s="1063"/>
      <c r="B38" s="1057"/>
      <c r="C38" s="1057"/>
      <c r="D38" s="1057"/>
      <c r="E38" s="1057"/>
      <c r="F38" s="1057"/>
      <c r="G38" s="1058"/>
      <c r="H38" s="9" t="str">
        <f>IF(A38="","",VLOOKUP(A38,AA_Cuadrillas,4,FALSE))</f>
        <v/>
      </c>
      <c r="I38" s="1059" t="str">
        <f>IF(A38="","",VLOOKUP(A38,AA_Cuadrillas,5,FALSE))</f>
        <v/>
      </c>
      <c r="J38" s="1058"/>
      <c r="K38" s="1" t="str">
        <f>IF(A38="","",'06'!$J$3)</f>
        <v/>
      </c>
      <c r="L38" s="10"/>
      <c r="M38" s="1059" t="str">
        <f>IF(A38="","",I38*K38*L38)</f>
        <v/>
      </c>
      <c r="N38" s="1058"/>
    </row>
    <row r="39" spans="1:15" ht="12.75" customHeight="1" x14ac:dyDescent="0.25">
      <c r="A39" s="1063"/>
      <c r="B39" s="1057"/>
      <c r="C39" s="1057"/>
      <c r="D39" s="1057"/>
      <c r="E39" s="1057"/>
      <c r="F39" s="1057"/>
      <c r="G39" s="1058"/>
      <c r="H39" s="9" t="str">
        <f>IF(A39="","",VLOOKUP(A39,AA_Cuadrillas,4,FALSE))</f>
        <v/>
      </c>
      <c r="I39" s="1059" t="str">
        <f>IF(A39="","",VLOOKUP(A39,AA_Cuadrillas,5,FALSE))</f>
        <v/>
      </c>
      <c r="J39" s="1058"/>
      <c r="K39" s="1" t="str">
        <f>IF(A39="","",'06'!$J$3)</f>
        <v/>
      </c>
      <c r="L39" s="10"/>
      <c r="M39" s="1059" t="str">
        <f>IF(A39="","",I39*K39*L39)</f>
        <v/>
      </c>
      <c r="N39" s="1058"/>
    </row>
    <row r="40" spans="1:15" ht="12.75" customHeight="1" x14ac:dyDescent="0.25">
      <c r="A40" s="1063"/>
      <c r="B40" s="1057"/>
      <c r="C40" s="1057"/>
      <c r="D40" s="1057"/>
      <c r="E40" s="1057"/>
      <c r="F40" s="1057"/>
      <c r="G40" s="1058"/>
      <c r="H40" s="9" t="str">
        <f>IF(A40="","",VLOOKUP(A40,AA_Cuadrillas,4,FALSE))</f>
        <v/>
      </c>
      <c r="I40" s="1059" t="str">
        <f>IF(A40="","",VLOOKUP(A40,AA_Cuadrillas,5,FALSE))</f>
        <v/>
      </c>
      <c r="J40" s="1058"/>
      <c r="K40" s="1" t="str">
        <f>IF(A40="","",'06'!$J$3)</f>
        <v/>
      </c>
      <c r="L40" s="10"/>
      <c r="M40" s="1059" t="str">
        <f>IF(A40="","",I40*K40*L40)</f>
        <v/>
      </c>
      <c r="N40" s="1058"/>
    </row>
    <row r="41" spans="1:15" ht="12.75" customHeight="1" x14ac:dyDescent="0.25">
      <c r="A41" s="3"/>
      <c r="B41" s="3"/>
      <c r="C41" s="3"/>
      <c r="D41" s="3"/>
      <c r="E41" s="3"/>
      <c r="F41" s="3"/>
      <c r="G41" s="3"/>
      <c r="H41" s="3"/>
      <c r="I41" s="3"/>
      <c r="J41" s="3"/>
      <c r="K41" s="1066" t="s">
        <v>201</v>
      </c>
      <c r="L41" s="1058"/>
      <c r="M41" s="1059">
        <f>SUM(M36:N40)</f>
        <v>252658.82695200003</v>
      </c>
      <c r="N41" s="1058"/>
    </row>
    <row r="43" spans="1:15" ht="12.75" customHeight="1" x14ac:dyDescent="0.2">
      <c r="A43" s="1072" t="s">
        <v>1706</v>
      </c>
      <c r="B43" s="1052"/>
      <c r="C43" s="1052"/>
      <c r="D43" s="1052"/>
      <c r="E43" s="1052"/>
      <c r="F43" s="1052"/>
      <c r="G43" s="1052"/>
      <c r="H43" s="1052"/>
      <c r="I43" s="1052"/>
      <c r="J43" s="1052"/>
      <c r="K43" s="1052"/>
      <c r="L43" s="1052"/>
      <c r="M43" s="1052"/>
      <c r="N43" s="1053"/>
      <c r="O43" s="7"/>
    </row>
    <row r="44" spans="1:15" ht="12.75" customHeight="1" x14ac:dyDescent="0.2">
      <c r="A44" s="1031"/>
      <c r="B44" s="1032"/>
      <c r="C44" s="1032"/>
      <c r="D44" s="1032"/>
      <c r="E44" s="1032"/>
      <c r="F44" s="1032"/>
      <c r="G44" s="1032"/>
      <c r="H44" s="1032"/>
      <c r="I44" s="1032"/>
      <c r="J44" s="1032"/>
      <c r="K44" s="1032"/>
      <c r="L44" s="1032"/>
      <c r="M44" s="1032"/>
      <c r="N44" s="1055"/>
      <c r="O44" s="7"/>
    </row>
    <row r="45" spans="1:15" ht="12.75" customHeight="1" x14ac:dyDescent="0.2">
      <c r="A45" s="16"/>
      <c r="B45" s="16"/>
      <c r="C45" s="16"/>
      <c r="D45" s="16"/>
      <c r="E45" s="16"/>
      <c r="F45" s="16"/>
      <c r="G45" s="16"/>
      <c r="H45" s="16"/>
      <c r="I45" s="16"/>
      <c r="J45" s="16"/>
      <c r="K45" s="16"/>
      <c r="L45" s="16"/>
      <c r="M45" s="16"/>
      <c r="N45" s="16"/>
    </row>
    <row r="46" spans="1:15" ht="12.75" customHeight="1" x14ac:dyDescent="0.3">
      <c r="A46" s="18" t="s">
        <v>326</v>
      </c>
      <c r="B46" s="19" t="str">
        <f>A43</f>
        <v>CONCRETO PREPARADO EN OBRA, IMPERMEABILIZADO DE 31 MPA (4500 PSI)</v>
      </c>
      <c r="C46" s="20" t="s">
        <v>382</v>
      </c>
      <c r="D46" s="127" t="s">
        <v>399</v>
      </c>
      <c r="E46" s="22" t="s">
        <v>125</v>
      </c>
      <c r="F46" s="26">
        <f>H46+J46+L46+N46</f>
        <v>816464.22535045003</v>
      </c>
      <c r="G46" s="22" t="s">
        <v>285</v>
      </c>
      <c r="H46" s="26">
        <f>M65</f>
        <v>10787.286921450002</v>
      </c>
      <c r="I46" s="22" t="s">
        <v>383</v>
      </c>
      <c r="J46" s="38">
        <f>M56</f>
        <v>424720</v>
      </c>
      <c r="K46" s="22" t="s">
        <v>287</v>
      </c>
      <c r="L46" s="26">
        <f>M74</f>
        <v>165211.20000000001</v>
      </c>
      <c r="M46" s="22" t="s">
        <v>288</v>
      </c>
      <c r="N46" s="26">
        <f>M83</f>
        <v>215745.73842900002</v>
      </c>
    </row>
    <row r="47" spans="1:15" ht="12.75" customHeight="1" x14ac:dyDescent="0.25">
      <c r="A47" s="27"/>
      <c r="B47" s="27"/>
      <c r="C47" s="27"/>
      <c r="D47" s="27"/>
      <c r="E47" s="27"/>
      <c r="F47" s="27"/>
      <c r="G47" s="27"/>
      <c r="J47" s="27"/>
      <c r="K47" s="27"/>
      <c r="L47" s="27"/>
      <c r="M47" s="27"/>
      <c r="N47" s="27"/>
    </row>
    <row r="48" spans="1:15" ht="12.75" customHeight="1" x14ac:dyDescent="0.2">
      <c r="A48" s="1065" t="s">
        <v>384</v>
      </c>
      <c r="B48" s="1057"/>
      <c r="C48" s="1057"/>
      <c r="D48" s="1057"/>
      <c r="E48" s="1057"/>
      <c r="F48" s="1057"/>
      <c r="G48" s="1057"/>
      <c r="H48" s="1057"/>
      <c r="I48" s="1057"/>
      <c r="J48" s="1057"/>
      <c r="K48" s="1057"/>
      <c r="L48" s="1057"/>
      <c r="M48" s="1057"/>
      <c r="N48" s="1058"/>
    </row>
    <row r="49" spans="1:14" ht="12.75" customHeight="1" x14ac:dyDescent="0.2">
      <c r="A49" s="1066" t="s">
        <v>38</v>
      </c>
      <c r="B49" s="1057"/>
      <c r="C49" s="1057"/>
      <c r="D49" s="1057"/>
      <c r="E49" s="1057"/>
      <c r="F49" s="1057"/>
      <c r="G49" s="1058"/>
      <c r="H49" s="28" t="s">
        <v>39</v>
      </c>
      <c r="I49" s="1062" t="s">
        <v>385</v>
      </c>
      <c r="J49" s="1058"/>
      <c r="K49" s="1062" t="s">
        <v>132</v>
      </c>
      <c r="L49" s="1058"/>
      <c r="M49" s="1062" t="s">
        <v>386</v>
      </c>
      <c r="N49" s="1058"/>
    </row>
    <row r="50" spans="1:14" ht="12.75" customHeight="1" x14ac:dyDescent="0.2">
      <c r="A50" s="1061" t="s">
        <v>408</v>
      </c>
      <c r="B50" s="1057"/>
      <c r="C50" s="1057"/>
      <c r="D50" s="1057"/>
      <c r="E50" s="1057"/>
      <c r="F50" s="1057"/>
      <c r="G50" s="1058"/>
      <c r="H50" s="9" t="str">
        <f t="shared" ref="H50:H55" si="3">IF(A50="","",VLOOKUP(A50,AA_Materiales,7,FALSE))</f>
        <v>L</v>
      </c>
      <c r="I50" s="1059">
        <f t="shared" ref="I50:I55" si="4">IF(A50="","",VLOOKUP(A50,AA_Materiales,8,FALSE))</f>
        <v>20</v>
      </c>
      <c r="J50" s="1058"/>
      <c r="K50" s="1060">
        <v>190</v>
      </c>
      <c r="L50" s="1058"/>
      <c r="M50" s="1059">
        <f t="shared" ref="M50:M55" si="5">IF(A50="","",I50*K50)</f>
        <v>3800</v>
      </c>
      <c r="N50" s="1058"/>
    </row>
    <row r="51" spans="1:14" ht="12.75" customHeight="1" x14ac:dyDescent="0.2">
      <c r="A51" s="1061" t="s">
        <v>405</v>
      </c>
      <c r="B51" s="1057"/>
      <c r="C51" s="1057"/>
      <c r="D51" s="1057"/>
      <c r="E51" s="1057"/>
      <c r="F51" s="1057"/>
      <c r="G51" s="1058"/>
      <c r="H51" s="9" t="str">
        <f t="shared" si="3"/>
        <v>Kg</v>
      </c>
      <c r="I51" s="1059">
        <f t="shared" si="4"/>
        <v>646</v>
      </c>
      <c r="J51" s="1058"/>
      <c r="K51" s="1060">
        <v>460</v>
      </c>
      <c r="L51" s="1058"/>
      <c r="M51" s="1059">
        <f t="shared" si="5"/>
        <v>297160</v>
      </c>
      <c r="N51" s="1058"/>
    </row>
    <row r="52" spans="1:14" ht="12.75" customHeight="1" x14ac:dyDescent="0.2">
      <c r="A52" s="1061" t="s">
        <v>1506</v>
      </c>
      <c r="B52" s="1057"/>
      <c r="C52" s="1057"/>
      <c r="D52" s="1057"/>
      <c r="E52" s="1057"/>
      <c r="F52" s="1057"/>
      <c r="G52" s="1058"/>
      <c r="H52" s="9" t="str">
        <f t="shared" si="3"/>
        <v>m3</v>
      </c>
      <c r="I52" s="1059">
        <f t="shared" si="4"/>
        <v>83300</v>
      </c>
      <c r="J52" s="1058"/>
      <c r="K52" s="1060">
        <v>0.8</v>
      </c>
      <c r="L52" s="1058"/>
      <c r="M52" s="1059">
        <f t="shared" si="5"/>
        <v>66640</v>
      </c>
      <c r="N52" s="1058"/>
    </row>
    <row r="53" spans="1:14" ht="12.75" customHeight="1" x14ac:dyDescent="0.2">
      <c r="A53" s="1061" t="s">
        <v>1524</v>
      </c>
      <c r="B53" s="1057"/>
      <c r="C53" s="1057"/>
      <c r="D53" s="1057"/>
      <c r="E53" s="1057"/>
      <c r="F53" s="1057"/>
      <c r="G53" s="1058"/>
      <c r="H53" s="9" t="str">
        <f t="shared" si="3"/>
        <v>m3</v>
      </c>
      <c r="I53" s="1059">
        <f t="shared" si="4"/>
        <v>71400</v>
      </c>
      <c r="J53" s="1058"/>
      <c r="K53" s="1060">
        <v>0.8</v>
      </c>
      <c r="L53" s="1058"/>
      <c r="M53" s="1059">
        <f t="shared" si="5"/>
        <v>57120</v>
      </c>
      <c r="N53" s="1058"/>
    </row>
    <row r="54" spans="1:14" ht="12.75" customHeight="1" x14ac:dyDescent="0.2">
      <c r="A54" s="1061"/>
      <c r="B54" s="1057"/>
      <c r="C54" s="1057"/>
      <c r="D54" s="1057"/>
      <c r="E54" s="1057"/>
      <c r="F54" s="1057"/>
      <c r="G54" s="1058"/>
      <c r="H54" s="9" t="str">
        <f t="shared" si="3"/>
        <v/>
      </c>
      <c r="I54" s="1059" t="str">
        <f t="shared" si="4"/>
        <v/>
      </c>
      <c r="J54" s="1058"/>
      <c r="K54" s="1060"/>
      <c r="L54" s="1058"/>
      <c r="M54" s="1059" t="str">
        <f t="shared" si="5"/>
        <v/>
      </c>
      <c r="N54" s="1058"/>
    </row>
    <row r="55" spans="1:14" ht="12.75" customHeight="1" x14ac:dyDescent="0.2">
      <c r="A55" s="1061"/>
      <c r="B55" s="1057"/>
      <c r="C55" s="1057"/>
      <c r="D55" s="1057"/>
      <c r="E55" s="1057"/>
      <c r="F55" s="1057"/>
      <c r="G55" s="1058"/>
      <c r="H55" s="9" t="str">
        <f t="shared" si="3"/>
        <v/>
      </c>
      <c r="I55" s="1059" t="str">
        <f t="shared" si="4"/>
        <v/>
      </c>
      <c r="J55" s="1058"/>
      <c r="K55" s="1060"/>
      <c r="L55" s="1058"/>
      <c r="M55" s="1059" t="str">
        <f t="shared" si="5"/>
        <v/>
      </c>
      <c r="N55" s="1058"/>
    </row>
    <row r="56" spans="1:14" ht="12.75" customHeight="1" x14ac:dyDescent="0.25">
      <c r="A56" s="3"/>
      <c r="B56" s="3"/>
      <c r="C56" s="3"/>
      <c r="D56" s="3"/>
      <c r="E56" s="3"/>
      <c r="F56" s="3"/>
      <c r="G56" s="3"/>
      <c r="H56" s="3"/>
      <c r="I56" s="3"/>
      <c r="J56" s="3"/>
      <c r="K56" s="1066" t="s">
        <v>201</v>
      </c>
      <c r="L56" s="1058"/>
      <c r="M56" s="1059">
        <f>SUM(M50:N55)</f>
        <v>424720</v>
      </c>
      <c r="N56" s="1058"/>
    </row>
    <row r="57" spans="1:14" ht="12.75" customHeight="1" x14ac:dyDescent="0.25">
      <c r="A57" s="3"/>
      <c r="B57" s="3"/>
      <c r="C57" s="3"/>
      <c r="D57" s="3"/>
      <c r="E57" s="3"/>
      <c r="F57" s="3"/>
      <c r="G57" s="3"/>
      <c r="H57" s="3"/>
      <c r="I57" s="3"/>
      <c r="J57" s="3"/>
      <c r="K57" s="3"/>
      <c r="L57" s="3"/>
      <c r="M57" s="3"/>
      <c r="N57" s="3"/>
    </row>
    <row r="58" spans="1:14" ht="12.75" customHeight="1" x14ac:dyDescent="0.2">
      <c r="A58" s="1065" t="s">
        <v>390</v>
      </c>
      <c r="B58" s="1057"/>
      <c r="C58" s="1057"/>
      <c r="D58" s="1057"/>
      <c r="E58" s="1057"/>
      <c r="F58" s="1057"/>
      <c r="G58" s="1057"/>
      <c r="H58" s="1057"/>
      <c r="I58" s="1057"/>
      <c r="J58" s="1057"/>
      <c r="K58" s="1057"/>
      <c r="L58" s="1057"/>
      <c r="M58" s="1057"/>
      <c r="N58" s="1058"/>
    </row>
    <row r="59" spans="1:14" ht="12.75" customHeight="1" x14ac:dyDescent="0.2">
      <c r="A59" s="1066" t="s">
        <v>38</v>
      </c>
      <c r="B59" s="1057"/>
      <c r="C59" s="1057"/>
      <c r="D59" s="1057"/>
      <c r="E59" s="1057"/>
      <c r="F59" s="1057"/>
      <c r="G59" s="1058"/>
      <c r="H59" s="28" t="s">
        <v>39</v>
      </c>
      <c r="I59" s="1062" t="s">
        <v>385</v>
      </c>
      <c r="J59" s="1058"/>
      <c r="K59" s="1062" t="s">
        <v>132</v>
      </c>
      <c r="L59" s="1058"/>
      <c r="M59" s="1062" t="s">
        <v>386</v>
      </c>
      <c r="N59" s="1058"/>
    </row>
    <row r="60" spans="1:14" ht="12.75" customHeight="1" x14ac:dyDescent="0.2">
      <c r="A60" s="1061" t="s">
        <v>391</v>
      </c>
      <c r="B60" s="1057"/>
      <c r="C60" s="1057"/>
      <c r="D60" s="1057"/>
      <c r="E60" s="1057"/>
      <c r="F60" s="1057"/>
      <c r="G60" s="1058"/>
      <c r="H60" s="9" t="str">
        <f>IF(A60="","",VLOOKUP(A60,AA_Equipos,7,FALSE))</f>
        <v>% M.O.</v>
      </c>
      <c r="I60" s="1059">
        <f>+M83</f>
        <v>215745.73842900002</v>
      </c>
      <c r="J60" s="1058"/>
      <c r="K60" s="1064">
        <v>0.05</v>
      </c>
      <c r="L60" s="1058"/>
      <c r="M60" s="1059">
        <f>IF(A60="","",I60*K60)</f>
        <v>10787.286921450002</v>
      </c>
      <c r="N60" s="1058"/>
    </row>
    <row r="61" spans="1:14" ht="12.75" customHeight="1" x14ac:dyDescent="0.2">
      <c r="A61" s="1056"/>
      <c r="B61" s="1057"/>
      <c r="C61" s="1057"/>
      <c r="D61" s="1057"/>
      <c r="E61" s="1057"/>
      <c r="F61" s="1057"/>
      <c r="G61" s="1058"/>
      <c r="H61" s="9" t="str">
        <f>IF(A61="","",VLOOKUP(A61,AA_Equipos,7,FALSE))</f>
        <v/>
      </c>
      <c r="I61" s="1059" t="str">
        <f>IF(A61="","",VLOOKUP(A61,AA_Equipos,8,FALSE))</f>
        <v/>
      </c>
      <c r="J61" s="1058"/>
      <c r="K61" s="1067"/>
      <c r="L61" s="1058"/>
      <c r="M61" s="1059" t="str">
        <f>IF(A61="","",I61*K61)</f>
        <v/>
      </c>
      <c r="N61" s="1058"/>
    </row>
    <row r="62" spans="1:14" ht="12.75" customHeight="1" x14ac:dyDescent="0.2">
      <c r="A62" s="1061"/>
      <c r="B62" s="1057"/>
      <c r="C62" s="1057"/>
      <c r="D62" s="1057"/>
      <c r="E62" s="1057"/>
      <c r="F62" s="1057"/>
      <c r="G62" s="1058"/>
      <c r="H62" s="9" t="str">
        <f>IF(A62="","",VLOOKUP(A62,AA_Equipos,7,FALSE))</f>
        <v/>
      </c>
      <c r="I62" s="1059" t="str">
        <f>IF(A62="","",VLOOKUP(A62,AA_Equipos,8,FALSE))</f>
        <v/>
      </c>
      <c r="J62" s="1058"/>
      <c r="K62" s="1070"/>
      <c r="L62" s="1058"/>
      <c r="M62" s="1059" t="str">
        <f>IF(A62="","",I62*K62)</f>
        <v/>
      </c>
      <c r="N62" s="1058"/>
    </row>
    <row r="63" spans="1:14" ht="12.75" customHeight="1" x14ac:dyDescent="0.2">
      <c r="A63" s="1061"/>
      <c r="B63" s="1057"/>
      <c r="C63" s="1057"/>
      <c r="D63" s="1057"/>
      <c r="E63" s="1057"/>
      <c r="F63" s="1057"/>
      <c r="G63" s="1058"/>
      <c r="H63" s="9" t="str">
        <f>IF(A63="","",VLOOKUP(A63,AA_Equipos,7,FALSE))</f>
        <v/>
      </c>
      <c r="I63" s="1059" t="str">
        <f>IF(A63="","",VLOOKUP(A63,AA_Equipos,8,FALSE))</f>
        <v/>
      </c>
      <c r="J63" s="1058"/>
      <c r="K63" s="1060"/>
      <c r="L63" s="1058"/>
      <c r="M63" s="1059" t="str">
        <f>IF(A63="","",I63*K63)</f>
        <v/>
      </c>
      <c r="N63" s="1058"/>
    </row>
    <row r="64" spans="1:14" ht="12.75" customHeight="1" x14ac:dyDescent="0.2">
      <c r="A64" s="1061"/>
      <c r="B64" s="1057"/>
      <c r="C64" s="1057"/>
      <c r="D64" s="1057"/>
      <c r="E64" s="1057"/>
      <c r="F64" s="1057"/>
      <c r="G64" s="1058"/>
      <c r="H64" s="9" t="str">
        <f>IF(A64="","",VLOOKUP(A64,AA_Equipos,7,FALSE))</f>
        <v/>
      </c>
      <c r="I64" s="1059" t="str">
        <f>IF(A64="","",VLOOKUP(A64,AA_Equipos,8,FALSE))</f>
        <v/>
      </c>
      <c r="J64" s="1058"/>
      <c r="K64" s="1060"/>
      <c r="L64" s="1058"/>
      <c r="M64" s="1059" t="str">
        <f>IF(A64="","",I64*K64)</f>
        <v/>
      </c>
      <c r="N64" s="1058"/>
    </row>
    <row r="65" spans="1:14" ht="12.75" customHeight="1" x14ac:dyDescent="0.25">
      <c r="A65" s="3"/>
      <c r="B65" s="3"/>
      <c r="C65" s="3"/>
      <c r="D65" s="3"/>
      <c r="E65" s="3"/>
      <c r="F65" s="3"/>
      <c r="G65" s="3"/>
      <c r="H65" s="3"/>
      <c r="I65" s="3"/>
      <c r="J65" s="3"/>
      <c r="K65" s="1066" t="s">
        <v>201</v>
      </c>
      <c r="L65" s="1058"/>
      <c r="M65" s="1059">
        <f>SUM(M60:N64)</f>
        <v>10787.286921450002</v>
      </c>
      <c r="N65" s="1058"/>
    </row>
    <row r="66" spans="1:14" ht="12.75" customHeight="1" x14ac:dyDescent="0.25">
      <c r="A66" s="3"/>
      <c r="B66" s="3"/>
      <c r="C66" s="3"/>
      <c r="D66" s="3"/>
      <c r="E66" s="3"/>
      <c r="F66" s="3"/>
      <c r="G66" s="3"/>
      <c r="H66" s="3"/>
      <c r="I66" s="3"/>
      <c r="J66" s="3"/>
      <c r="K66" s="3"/>
      <c r="L66" s="3"/>
      <c r="M66" s="3"/>
      <c r="N66" s="3"/>
    </row>
    <row r="67" spans="1:14" ht="12.75" customHeight="1" x14ac:dyDescent="0.2">
      <c r="A67" s="1065" t="s">
        <v>392</v>
      </c>
      <c r="B67" s="1057"/>
      <c r="C67" s="1057"/>
      <c r="D67" s="1057"/>
      <c r="E67" s="1057"/>
      <c r="F67" s="1057"/>
      <c r="G67" s="1057"/>
      <c r="H67" s="1057"/>
      <c r="I67" s="1057"/>
      <c r="J67" s="1057"/>
      <c r="K67" s="1057"/>
      <c r="L67" s="1057"/>
      <c r="M67" s="1057"/>
      <c r="N67" s="1058"/>
    </row>
    <row r="68" spans="1:14" ht="12.75" customHeight="1" x14ac:dyDescent="0.2">
      <c r="A68" s="1066" t="s">
        <v>38</v>
      </c>
      <c r="B68" s="1057"/>
      <c r="C68" s="1057"/>
      <c r="D68" s="1057"/>
      <c r="E68" s="1057"/>
      <c r="F68" s="1057"/>
      <c r="G68" s="1058"/>
      <c r="H68" s="28" t="s">
        <v>132</v>
      </c>
      <c r="I68" s="1062" t="s">
        <v>385</v>
      </c>
      <c r="J68" s="1058"/>
      <c r="K68" s="1062" t="s">
        <v>1917</v>
      </c>
      <c r="L68" s="1058"/>
      <c r="M68" s="1062" t="s">
        <v>386</v>
      </c>
      <c r="N68" s="1058"/>
    </row>
    <row r="69" spans="1:14" ht="12.75" customHeight="1" x14ac:dyDescent="0.2">
      <c r="A69" s="1061" t="s">
        <v>1929</v>
      </c>
      <c r="B69" s="1057"/>
      <c r="C69" s="1057"/>
      <c r="D69" s="1057"/>
      <c r="E69" s="1057"/>
      <c r="F69" s="1057"/>
      <c r="G69" s="1058"/>
      <c r="H69" s="9">
        <v>1.76</v>
      </c>
      <c r="I69" s="1059">
        <v>2100</v>
      </c>
      <c r="J69" s="1058"/>
      <c r="K69" s="1082">
        <v>44.7</v>
      </c>
      <c r="L69" s="1058"/>
      <c r="M69" s="1059">
        <f>IF(A69="","",H69*I69*K69)</f>
        <v>165211.20000000001</v>
      </c>
      <c r="N69" s="1058"/>
    </row>
    <row r="70" spans="1:14" ht="12.75" customHeight="1" x14ac:dyDescent="0.2">
      <c r="A70" s="1056"/>
      <c r="B70" s="1057"/>
      <c r="C70" s="1057"/>
      <c r="D70" s="1057"/>
      <c r="E70" s="1057"/>
      <c r="F70" s="1057"/>
      <c r="G70" s="1058"/>
      <c r="H70" s="9"/>
      <c r="I70" s="1059"/>
      <c r="J70" s="1058"/>
      <c r="K70" s="1064"/>
      <c r="L70" s="1058"/>
      <c r="M70" s="1059" t="str">
        <f>IF(A70="","",I70*K70)</f>
        <v/>
      </c>
      <c r="N70" s="1058"/>
    </row>
    <row r="71" spans="1:14" ht="12.75" customHeight="1" x14ac:dyDescent="0.2">
      <c r="A71" s="1061"/>
      <c r="B71" s="1057"/>
      <c r="C71" s="1057"/>
      <c r="D71" s="1057"/>
      <c r="E71" s="1057"/>
      <c r="F71" s="1057"/>
      <c r="G71" s="1058"/>
      <c r="H71" s="9"/>
      <c r="I71" s="1059"/>
      <c r="J71" s="1058"/>
      <c r="K71" s="1060"/>
      <c r="L71" s="1058"/>
      <c r="M71" s="1059" t="str">
        <f>IF(A71="","",I71*K71)</f>
        <v/>
      </c>
      <c r="N71" s="1058"/>
    </row>
    <row r="72" spans="1:14" ht="12.75" customHeight="1" x14ac:dyDescent="0.2">
      <c r="A72" s="1061"/>
      <c r="B72" s="1057"/>
      <c r="C72" s="1057"/>
      <c r="D72" s="1057"/>
      <c r="E72" s="1057"/>
      <c r="F72" s="1057"/>
      <c r="G72" s="1058"/>
      <c r="H72" s="9"/>
      <c r="I72" s="1059"/>
      <c r="J72" s="1058"/>
      <c r="K72" s="1060"/>
      <c r="L72" s="1058"/>
      <c r="M72" s="1059" t="str">
        <f>IF(A72="","",I72*K72)</f>
        <v/>
      </c>
      <c r="N72" s="1058"/>
    </row>
    <row r="73" spans="1:14" ht="12.75" customHeight="1" x14ac:dyDescent="0.2">
      <c r="A73" s="1061"/>
      <c r="B73" s="1057"/>
      <c r="C73" s="1057"/>
      <c r="D73" s="1057"/>
      <c r="E73" s="1057"/>
      <c r="F73" s="1057"/>
      <c r="G73" s="1058"/>
      <c r="H73" s="9"/>
      <c r="I73" s="1059"/>
      <c r="J73" s="1058"/>
      <c r="K73" s="1060"/>
      <c r="L73" s="1058"/>
      <c r="M73" s="1059" t="str">
        <f>IF(A73="","",I73*K73)</f>
        <v/>
      </c>
      <c r="N73" s="1058"/>
    </row>
    <row r="74" spans="1:14" ht="12.75" customHeight="1" x14ac:dyDescent="0.25">
      <c r="A74" s="3"/>
      <c r="B74" s="3"/>
      <c r="C74" s="3"/>
      <c r="D74" s="3"/>
      <c r="E74" s="3"/>
      <c r="F74" s="3"/>
      <c r="G74" s="3"/>
      <c r="H74" s="3"/>
      <c r="I74" s="3"/>
      <c r="J74" s="3"/>
      <c r="K74" s="1066" t="s">
        <v>201</v>
      </c>
      <c r="L74" s="1058"/>
      <c r="M74" s="1059">
        <f>SUM(M69:N73)</f>
        <v>165211.20000000001</v>
      </c>
      <c r="N74" s="1058"/>
    </row>
    <row r="75" spans="1:14" ht="12.75" customHeight="1" x14ac:dyDescent="0.25">
      <c r="A75" s="3"/>
      <c r="B75" s="3"/>
      <c r="C75" s="3"/>
      <c r="D75" s="3"/>
      <c r="E75" s="3"/>
      <c r="F75" s="3"/>
      <c r="G75" s="3"/>
      <c r="H75" s="3"/>
      <c r="I75" s="3"/>
      <c r="J75" s="3"/>
      <c r="K75" s="3"/>
      <c r="L75" s="3"/>
      <c r="M75" s="3"/>
      <c r="N75" s="3"/>
    </row>
    <row r="76" spans="1:14" ht="12.75" customHeight="1" x14ac:dyDescent="0.2">
      <c r="A76" s="1065" t="s">
        <v>394</v>
      </c>
      <c r="B76" s="1057"/>
      <c r="C76" s="1057"/>
      <c r="D76" s="1057"/>
      <c r="E76" s="1057"/>
      <c r="F76" s="1057"/>
      <c r="G76" s="1057"/>
      <c r="H76" s="1057"/>
      <c r="I76" s="1057"/>
      <c r="J76" s="1057"/>
      <c r="K76" s="1057"/>
      <c r="L76" s="1057"/>
      <c r="M76" s="1057"/>
      <c r="N76" s="1058"/>
    </row>
    <row r="77" spans="1:14" ht="12.75" customHeight="1" x14ac:dyDescent="0.2">
      <c r="A77" s="1066" t="s">
        <v>38</v>
      </c>
      <c r="B77" s="1057"/>
      <c r="C77" s="1057"/>
      <c r="D77" s="1057"/>
      <c r="E77" s="1057"/>
      <c r="F77" s="1057"/>
      <c r="G77" s="1058"/>
      <c r="H77" s="28" t="s">
        <v>39</v>
      </c>
      <c r="I77" s="1062" t="s">
        <v>385</v>
      </c>
      <c r="J77" s="1058"/>
      <c r="K77" s="30" t="s">
        <v>193</v>
      </c>
      <c r="L77" s="31" t="s">
        <v>395</v>
      </c>
      <c r="M77" s="1062" t="s">
        <v>386</v>
      </c>
      <c r="N77" s="1058"/>
    </row>
    <row r="78" spans="1:14" ht="12.75" customHeight="1" x14ac:dyDescent="0.25">
      <c r="A78" s="1063" t="s">
        <v>432</v>
      </c>
      <c r="B78" s="1057"/>
      <c r="C78" s="1057"/>
      <c r="D78" s="1057"/>
      <c r="E78" s="1057"/>
      <c r="F78" s="1057"/>
      <c r="G78" s="1058"/>
      <c r="H78" s="9" t="str">
        <f>IF(A78="","",VLOOKUP(A78,AA_Cuadrillas,4,FALSE))</f>
        <v>Cuadrilla</v>
      </c>
      <c r="I78" s="1059">
        <f>IF(A78="","",VLOOKUP(A78,AA_Cuadrillas,5,FALSE))</f>
        <v>481499</v>
      </c>
      <c r="J78" s="1058"/>
      <c r="K78" s="1">
        <f>IF(A78="","",'06'!$J$3)</f>
        <v>1.7233500000000002</v>
      </c>
      <c r="L78" s="37">
        <v>0.26</v>
      </c>
      <c r="M78" s="1059">
        <f>IF(A78="","",I78*K78*L78)</f>
        <v>215745.73842900002</v>
      </c>
      <c r="N78" s="1058"/>
    </row>
    <row r="79" spans="1:14" ht="12.75" customHeight="1" x14ac:dyDescent="0.25">
      <c r="A79" s="1063"/>
      <c r="B79" s="1057"/>
      <c r="C79" s="1057"/>
      <c r="D79" s="1057"/>
      <c r="E79" s="1057"/>
      <c r="F79" s="1057"/>
      <c r="G79" s="1058"/>
      <c r="H79" s="9" t="str">
        <f>IF(A79="","",VLOOKUP(A79,AA_Cuadrillas,4,FALSE))</f>
        <v/>
      </c>
      <c r="I79" s="1059" t="str">
        <f>IF(A79="","",VLOOKUP(A79,AA_Cuadrillas,5,FALSE))</f>
        <v/>
      </c>
      <c r="J79" s="1058"/>
      <c r="K79" s="1" t="str">
        <f>IF(A79="","",'06'!$J$3)</f>
        <v/>
      </c>
      <c r="L79" s="1"/>
      <c r="M79" s="1059" t="str">
        <f>IF(A79="","",I79*K79*L79)</f>
        <v/>
      </c>
      <c r="N79" s="1058"/>
    </row>
    <row r="80" spans="1:14" ht="12.75" customHeight="1" x14ac:dyDescent="0.25">
      <c r="A80" s="1063"/>
      <c r="B80" s="1057"/>
      <c r="C80" s="1057"/>
      <c r="D80" s="1057"/>
      <c r="E80" s="1057"/>
      <c r="F80" s="1057"/>
      <c r="G80" s="1058"/>
      <c r="H80" s="9" t="str">
        <f>IF(A80="","",VLOOKUP(A80,AA_Cuadrillas,4,FALSE))</f>
        <v/>
      </c>
      <c r="I80" s="1059" t="str">
        <f>IF(A80="","",VLOOKUP(A80,AA_Cuadrillas,5,FALSE))</f>
        <v/>
      </c>
      <c r="J80" s="1058"/>
      <c r="K80" s="1" t="str">
        <f>IF(A80="","",'06'!$J$3)</f>
        <v/>
      </c>
      <c r="L80" s="10"/>
      <c r="M80" s="1059" t="str">
        <f>IF(A80="","",I80*K80*L80)</f>
        <v/>
      </c>
      <c r="N80" s="1058"/>
    </row>
    <row r="81" spans="1:16" ht="12.75" customHeight="1" x14ac:dyDescent="0.25">
      <c r="A81" s="1063"/>
      <c r="B81" s="1057"/>
      <c r="C81" s="1057"/>
      <c r="D81" s="1057"/>
      <c r="E81" s="1057"/>
      <c r="F81" s="1057"/>
      <c r="G81" s="1058"/>
      <c r="H81" s="9" t="str">
        <f>IF(A81="","",VLOOKUP(A81,AA_Cuadrillas,4,FALSE))</f>
        <v/>
      </c>
      <c r="I81" s="1059" t="str">
        <f>IF(A81="","",VLOOKUP(A81,AA_Cuadrillas,5,FALSE))</f>
        <v/>
      </c>
      <c r="J81" s="1058"/>
      <c r="K81" s="1" t="str">
        <f>IF(A81="","",'06'!$J$3)</f>
        <v/>
      </c>
      <c r="L81" s="10"/>
      <c r="M81" s="1059" t="str">
        <f>IF(A81="","",I81*K81*L81)</f>
        <v/>
      </c>
      <c r="N81" s="1058"/>
    </row>
    <row r="82" spans="1:16" ht="12.75" customHeight="1" x14ac:dyDescent="0.25">
      <c r="A82" s="1063"/>
      <c r="B82" s="1057"/>
      <c r="C82" s="1057"/>
      <c r="D82" s="1057"/>
      <c r="E82" s="1057"/>
      <c r="F82" s="1057"/>
      <c r="G82" s="1058"/>
      <c r="H82" s="9" t="str">
        <f>IF(A82="","",VLOOKUP(A82,AA_Cuadrillas,4,FALSE))</f>
        <v/>
      </c>
      <c r="I82" s="1059" t="str">
        <f>IF(A82="","",VLOOKUP(A82,AA_Cuadrillas,5,FALSE))</f>
        <v/>
      </c>
      <c r="J82" s="1058"/>
      <c r="K82" s="1" t="str">
        <f>IF(A82="","",'06'!$J$3)</f>
        <v/>
      </c>
      <c r="L82" s="10"/>
      <c r="M82" s="1059" t="str">
        <f>IF(A82="","",I82*K82*L82)</f>
        <v/>
      </c>
      <c r="N82" s="1058"/>
    </row>
    <row r="83" spans="1:16" ht="12.75" customHeight="1" x14ac:dyDescent="0.25">
      <c r="A83" s="3"/>
      <c r="B83" s="3"/>
      <c r="C83" s="3"/>
      <c r="D83" s="3"/>
      <c r="E83" s="3"/>
      <c r="F83" s="3"/>
      <c r="G83" s="3"/>
      <c r="H83" s="3"/>
      <c r="I83" s="3"/>
      <c r="J83" s="3"/>
      <c r="K83" s="1066" t="s">
        <v>201</v>
      </c>
      <c r="L83" s="1058"/>
      <c r="M83" s="1059">
        <f>SUM(M78:N82)</f>
        <v>215745.73842900002</v>
      </c>
      <c r="N83" s="1058"/>
    </row>
    <row r="90" spans="1:16" ht="13.5" thickBot="1" x14ac:dyDescent="0.25">
      <c r="N90" s="76"/>
    </row>
    <row r="91" spans="1:16" ht="20.25" x14ac:dyDescent="0.2">
      <c r="E91" s="1760" t="s">
        <v>1961</v>
      </c>
      <c r="F91" s="1760"/>
      <c r="G91" s="1760"/>
      <c r="H91" s="1760"/>
      <c r="I91" s="864"/>
      <c r="J91" s="1760" t="s">
        <v>1964</v>
      </c>
      <c r="K91" s="1760"/>
      <c r="L91" s="1760"/>
      <c r="M91" s="1760"/>
      <c r="N91" s="865"/>
    </row>
    <row r="92" spans="1:16" ht="20.25" x14ac:dyDescent="0.2">
      <c r="E92" s="1761" t="s">
        <v>1962</v>
      </c>
      <c r="F92" s="1761"/>
      <c r="G92" s="1761"/>
      <c r="H92" s="1761"/>
      <c r="I92" s="864"/>
      <c r="J92" s="1761" t="s">
        <v>1965</v>
      </c>
      <c r="K92" s="1761"/>
      <c r="L92" s="1761"/>
      <c r="M92" s="1761"/>
      <c r="N92" s="865"/>
      <c r="O92" s="865"/>
      <c r="P92" s="865"/>
    </row>
    <row r="93" spans="1:16" ht="20.25" x14ac:dyDescent="0.2">
      <c r="E93" s="1761" t="s">
        <v>1963</v>
      </c>
      <c r="F93" s="1761"/>
      <c r="G93" s="1761"/>
      <c r="H93" s="1761"/>
      <c r="I93" s="864"/>
      <c r="J93" s="1761" t="s">
        <v>1966</v>
      </c>
      <c r="K93" s="1761"/>
      <c r="L93" s="1761"/>
      <c r="M93" s="1761"/>
      <c r="N93" s="865"/>
      <c r="O93" s="865"/>
      <c r="P93" s="865"/>
    </row>
  </sheetData>
  <mergeCells count="220">
    <mergeCell ref="E91:H91"/>
    <mergeCell ref="E92:H92"/>
    <mergeCell ref="E93:H93"/>
    <mergeCell ref="J91:M91"/>
    <mergeCell ref="J92:M92"/>
    <mergeCell ref="J93:M93"/>
    <mergeCell ref="A8:G8"/>
    <mergeCell ref="I8:J8"/>
    <mergeCell ref="K8:L8"/>
    <mergeCell ref="M8:N8"/>
    <mergeCell ref="A9:G9"/>
    <mergeCell ref="I9:J9"/>
    <mergeCell ref="K9:L9"/>
    <mergeCell ref="M9:N9"/>
    <mergeCell ref="A13:G13"/>
    <mergeCell ref="I13:J13"/>
    <mergeCell ref="K13:L13"/>
    <mergeCell ref="M13:N13"/>
    <mergeCell ref="A18:G18"/>
    <mergeCell ref="I18:J18"/>
    <mergeCell ref="K18:L18"/>
    <mergeCell ref="M18:N18"/>
    <mergeCell ref="A19:G19"/>
    <mergeCell ref="I19:J19"/>
    <mergeCell ref="A1:N2"/>
    <mergeCell ref="A6:N6"/>
    <mergeCell ref="A7:G7"/>
    <mergeCell ref="I7:J7"/>
    <mergeCell ref="K7:L7"/>
    <mergeCell ref="M7:N7"/>
    <mergeCell ref="A12:G12"/>
    <mergeCell ref="I12:J12"/>
    <mergeCell ref="K12:L12"/>
    <mergeCell ref="M12:N12"/>
    <mergeCell ref="A10:G10"/>
    <mergeCell ref="I10:J10"/>
    <mergeCell ref="K10:L10"/>
    <mergeCell ref="M10:N10"/>
    <mergeCell ref="A11:G11"/>
    <mergeCell ref="I11:J11"/>
    <mergeCell ref="K11:L11"/>
    <mergeCell ref="M11:N11"/>
    <mergeCell ref="K19:L19"/>
    <mergeCell ref="M19:N19"/>
    <mergeCell ref="K14:L14"/>
    <mergeCell ref="M14:N14"/>
    <mergeCell ref="A16:N16"/>
    <mergeCell ref="A17:G17"/>
    <mergeCell ref="I17:J17"/>
    <mergeCell ref="K17:L17"/>
    <mergeCell ref="M17:N17"/>
    <mergeCell ref="A22:G22"/>
    <mergeCell ref="I22:J22"/>
    <mergeCell ref="K22:L22"/>
    <mergeCell ref="M22:N22"/>
    <mergeCell ref="K23:L23"/>
    <mergeCell ref="M23:N23"/>
    <mergeCell ref="A20:G20"/>
    <mergeCell ref="I20:J20"/>
    <mergeCell ref="K20:L20"/>
    <mergeCell ref="M20:N20"/>
    <mergeCell ref="A21:G21"/>
    <mergeCell ref="I21:J21"/>
    <mergeCell ref="K21:L21"/>
    <mergeCell ref="M21:N21"/>
    <mergeCell ref="A25:N25"/>
    <mergeCell ref="A26:G26"/>
    <mergeCell ref="I26:J26"/>
    <mergeCell ref="K26:L26"/>
    <mergeCell ref="M26:N26"/>
    <mergeCell ref="A27:G27"/>
    <mergeCell ref="I27:J27"/>
    <mergeCell ref="K27:L27"/>
    <mergeCell ref="M27:N27"/>
    <mergeCell ref="A30:G30"/>
    <mergeCell ref="I30:J30"/>
    <mergeCell ref="K30:L30"/>
    <mergeCell ref="M30:N30"/>
    <mergeCell ref="A31:G31"/>
    <mergeCell ref="I31:J31"/>
    <mergeCell ref="K31:L31"/>
    <mergeCell ref="M31:N31"/>
    <mergeCell ref="A28:G28"/>
    <mergeCell ref="I28:J28"/>
    <mergeCell ref="K28:L28"/>
    <mergeCell ref="M28:N28"/>
    <mergeCell ref="A29:G29"/>
    <mergeCell ref="I29:J29"/>
    <mergeCell ref="K29:L29"/>
    <mergeCell ref="M29:N29"/>
    <mergeCell ref="A36:G36"/>
    <mergeCell ref="I36:J36"/>
    <mergeCell ref="M36:N36"/>
    <mergeCell ref="A37:G37"/>
    <mergeCell ref="I37:J37"/>
    <mergeCell ref="M37:N37"/>
    <mergeCell ref="K32:L32"/>
    <mergeCell ref="M32:N32"/>
    <mergeCell ref="A34:N34"/>
    <mergeCell ref="A35:G35"/>
    <mergeCell ref="I35:J35"/>
    <mergeCell ref="M35:N35"/>
    <mergeCell ref="A40:G40"/>
    <mergeCell ref="I40:J40"/>
    <mergeCell ref="M40:N40"/>
    <mergeCell ref="K41:L41"/>
    <mergeCell ref="M41:N41"/>
    <mergeCell ref="A43:N44"/>
    <mergeCell ref="A38:G38"/>
    <mergeCell ref="I38:J38"/>
    <mergeCell ref="M38:N38"/>
    <mergeCell ref="A39:G39"/>
    <mergeCell ref="I39:J39"/>
    <mergeCell ref="M39:N39"/>
    <mergeCell ref="A51:G51"/>
    <mergeCell ref="I51:J51"/>
    <mergeCell ref="K51:L51"/>
    <mergeCell ref="M51:N51"/>
    <mergeCell ref="A52:G52"/>
    <mergeCell ref="I52:J52"/>
    <mergeCell ref="K52:L52"/>
    <mergeCell ref="M52:N52"/>
    <mergeCell ref="A48:N48"/>
    <mergeCell ref="A49:G49"/>
    <mergeCell ref="I49:J49"/>
    <mergeCell ref="K49:L49"/>
    <mergeCell ref="M49:N49"/>
    <mergeCell ref="A50:G50"/>
    <mergeCell ref="I50:J50"/>
    <mergeCell ref="K50:L50"/>
    <mergeCell ref="M50:N50"/>
    <mergeCell ref="A55:G55"/>
    <mergeCell ref="I55:J55"/>
    <mergeCell ref="K55:L55"/>
    <mergeCell ref="M55:N55"/>
    <mergeCell ref="K56:L56"/>
    <mergeCell ref="M56:N56"/>
    <mergeCell ref="A53:G53"/>
    <mergeCell ref="I53:J53"/>
    <mergeCell ref="K53:L53"/>
    <mergeCell ref="M53:N53"/>
    <mergeCell ref="A54:G54"/>
    <mergeCell ref="I54:J54"/>
    <mergeCell ref="K54:L54"/>
    <mergeCell ref="M54:N54"/>
    <mergeCell ref="A61:G61"/>
    <mergeCell ref="I61:J61"/>
    <mergeCell ref="K61:L61"/>
    <mergeCell ref="M61:N61"/>
    <mergeCell ref="A62:G62"/>
    <mergeCell ref="I62:J62"/>
    <mergeCell ref="K62:L62"/>
    <mergeCell ref="M62:N62"/>
    <mergeCell ref="A58:N58"/>
    <mergeCell ref="A59:G59"/>
    <mergeCell ref="I59:J59"/>
    <mergeCell ref="K59:L59"/>
    <mergeCell ref="M59:N59"/>
    <mergeCell ref="A60:G60"/>
    <mergeCell ref="I60:J60"/>
    <mergeCell ref="K60:L60"/>
    <mergeCell ref="M60:N60"/>
    <mergeCell ref="K65:L65"/>
    <mergeCell ref="M65:N65"/>
    <mergeCell ref="A67:N67"/>
    <mergeCell ref="A68:G68"/>
    <mergeCell ref="I68:J68"/>
    <mergeCell ref="K68:L68"/>
    <mergeCell ref="M68:N68"/>
    <mergeCell ref="A63:G63"/>
    <mergeCell ref="I63:J63"/>
    <mergeCell ref="K63:L63"/>
    <mergeCell ref="M63:N63"/>
    <mergeCell ref="A64:G64"/>
    <mergeCell ref="I64:J64"/>
    <mergeCell ref="K64:L64"/>
    <mergeCell ref="M64:N64"/>
    <mergeCell ref="A71:G71"/>
    <mergeCell ref="I71:J71"/>
    <mergeCell ref="K71:L71"/>
    <mergeCell ref="M71:N71"/>
    <mergeCell ref="A72:G72"/>
    <mergeCell ref="I72:J72"/>
    <mergeCell ref="K72:L72"/>
    <mergeCell ref="M72:N72"/>
    <mergeCell ref="A69:G69"/>
    <mergeCell ref="I69:J69"/>
    <mergeCell ref="K69:L69"/>
    <mergeCell ref="M69:N69"/>
    <mergeCell ref="A70:G70"/>
    <mergeCell ref="I70:J70"/>
    <mergeCell ref="K70:L70"/>
    <mergeCell ref="M70:N70"/>
    <mergeCell ref="A76:N76"/>
    <mergeCell ref="A77:G77"/>
    <mergeCell ref="I77:J77"/>
    <mergeCell ref="M77:N77"/>
    <mergeCell ref="A78:G78"/>
    <mergeCell ref="I78:J78"/>
    <mergeCell ref="M78:N78"/>
    <mergeCell ref="A73:G73"/>
    <mergeCell ref="I73:J73"/>
    <mergeCell ref="K73:L73"/>
    <mergeCell ref="M73:N73"/>
    <mergeCell ref="K74:L74"/>
    <mergeCell ref="M74:N74"/>
    <mergeCell ref="K83:L83"/>
    <mergeCell ref="M83:N83"/>
    <mergeCell ref="A81:G81"/>
    <mergeCell ref="I81:J81"/>
    <mergeCell ref="M81:N81"/>
    <mergeCell ref="A82:G82"/>
    <mergeCell ref="I82:J82"/>
    <mergeCell ref="M82:N82"/>
    <mergeCell ref="A79:G79"/>
    <mergeCell ref="I79:J79"/>
    <mergeCell ref="M79:N79"/>
    <mergeCell ref="A80:G80"/>
    <mergeCell ref="I80:J80"/>
    <mergeCell ref="M80:N80"/>
  </mergeCells>
  <dataValidations disablePrompts="1" count="1">
    <dataValidation type="list" allowBlank="1" showErrorMessage="1" sqref="A18:A22 A60:A64" xr:uid="{DE70D50D-E375-40A6-A6A2-27484718BF06}">
      <formula1>$C$6:$C$110</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disablePrompts="1" count="2">
        <x14:dataValidation type="list" allowBlank="1" showErrorMessage="1" xr:uid="{51C89080-E62B-4C6F-A0EB-3E15B052D7F5}">
          <x14:formula1>
            <xm:f>'08'!$C$6:$C$116</xm:f>
          </x14:formula1>
          <xm:sqref>A8:G13 A50:G55</xm:sqref>
        </x14:dataValidation>
        <x14:dataValidation type="list" allowBlank="1" showErrorMessage="1" xr:uid="{2EC42465-7272-470B-ACB8-83D04605F7FD}">
          <x14:formula1>
            <xm:f>'07'!$A$24:$A$52</xm:f>
          </x14:formula1>
          <xm:sqref>A36:A40 A78:A82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25</vt:i4>
      </vt:variant>
      <vt:variant>
        <vt:lpstr>Rangos con nombre</vt:lpstr>
      </vt:variant>
      <vt:variant>
        <vt:i4>35</vt:i4>
      </vt:variant>
    </vt:vector>
  </HeadingPairs>
  <TitlesOfParts>
    <vt:vector size="60" baseType="lpstr">
      <vt:lpstr>Indice</vt:lpstr>
      <vt:lpstr>PTO OC PLIEGO</vt:lpstr>
      <vt:lpstr>PTO OFICIAL</vt:lpstr>
      <vt:lpstr>UNITARIOS</vt:lpstr>
      <vt:lpstr>AIU</vt:lpstr>
      <vt:lpstr>03</vt:lpstr>
      <vt:lpstr>04</vt:lpstr>
      <vt:lpstr>05</vt:lpstr>
      <vt:lpstr>06</vt:lpstr>
      <vt:lpstr>07</vt:lpstr>
      <vt:lpstr>08</vt:lpstr>
      <vt:lpstr>09</vt:lpstr>
      <vt:lpstr>10</vt:lpstr>
      <vt:lpstr>11</vt:lpstr>
      <vt:lpstr>13</vt:lpstr>
      <vt:lpstr>14</vt:lpstr>
      <vt:lpstr>15</vt:lpstr>
      <vt:lpstr>16</vt:lpstr>
      <vt:lpstr>17</vt:lpstr>
      <vt:lpstr>18</vt:lpstr>
      <vt:lpstr>19</vt:lpstr>
      <vt:lpstr>20</vt:lpstr>
      <vt:lpstr>21</vt:lpstr>
      <vt:lpstr>Hoja1</vt:lpstr>
      <vt:lpstr>CONRETOS</vt:lpstr>
      <vt:lpstr>AA_APUS</vt:lpstr>
      <vt:lpstr>AA_Cantidadesredes</vt:lpstr>
      <vt:lpstr>AA_Cimentacion</vt:lpstr>
      <vt:lpstr>AA_Cuadrillas</vt:lpstr>
      <vt:lpstr>AA_Equipos</vt:lpstr>
      <vt:lpstr>AA_Materiales</vt:lpstr>
      <vt:lpstr>AA_Presupuesto</vt:lpstr>
      <vt:lpstr>AA_Unitarios</vt:lpstr>
      <vt:lpstr>'03'!Área_de_impresión</vt:lpstr>
      <vt:lpstr>'04'!Área_de_impresión</vt:lpstr>
      <vt:lpstr>'05'!Área_de_impresión</vt:lpstr>
      <vt:lpstr>'06'!Área_de_impresión</vt:lpstr>
      <vt:lpstr>'07'!Área_de_impresión</vt:lpstr>
      <vt:lpstr>'08'!Área_de_impresión</vt:lpstr>
      <vt:lpstr>'09'!Área_de_impresión</vt:lpstr>
      <vt:lpstr>'10'!Área_de_impresión</vt:lpstr>
      <vt:lpstr>'11'!Área_de_impresión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'20'!Área_de_impresión</vt:lpstr>
      <vt:lpstr>'21'!Área_de_impresión</vt:lpstr>
      <vt:lpstr>AIU!Área_de_impresión</vt:lpstr>
      <vt:lpstr>Indice!Área_de_impresión</vt:lpstr>
      <vt:lpstr>'PTO OC PLIEGO'!Área_de_impresión</vt:lpstr>
      <vt:lpstr>UNITARIOS!Área_de_impresión</vt:lpstr>
      <vt:lpstr>'07'!Títulos_a_imprimir</vt:lpstr>
      <vt:lpstr>'08'!Títulos_a_imprimir</vt:lpstr>
      <vt:lpstr>'11'!Títulos_a_imprimir</vt:lpstr>
      <vt:lpstr>'17'!Títulos_a_imprimir</vt:lpstr>
      <vt:lpstr>'PTO OC PLIEGO'!Títulos_a_imprimir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Incolsam_01</dc:creator>
  <cp:lastModifiedBy>Yesid  Rojas Peña</cp:lastModifiedBy>
  <cp:lastPrinted>2026-06-22T21:29:43Z</cp:lastPrinted>
  <dcterms:created xsi:type="dcterms:W3CDTF">2004-03-25T14:44:42Z</dcterms:created>
  <dcterms:modified xsi:type="dcterms:W3CDTF">2026-07-10T20:44:10Z</dcterms:modified>
</cp:coreProperties>
</file>