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planeacionnacional-my.sharepoint.com/personal/omabril_dnp_gov_co/Documents/OTRAS AL/HOSMIL/ETAPA DE ESTRUCTURACIÓN/MINIMA CUANTÍA/2. ECOCARDIÓGRAFOS/DEFINITIVOS/"/>
    </mc:Choice>
  </mc:AlternateContent>
  <xr:revisionPtr revIDLastSave="977" documentId="13_ncr:1_{1A398C6D-5B47-DC45-ABB9-C6D4699FE017}" xr6:coauthVersionLast="47" xr6:coauthVersionMax="47" xr10:uidLastSave="{374A4ABD-13FB-469D-AE92-09C4DB62B9A4}"/>
  <bookViews>
    <workbookView xWindow="-120" yWindow="-120" windowWidth="29040" windowHeight="15720" activeTab="3" xr2:uid="{00000000-000D-0000-FFFF-FFFF00000000}"/>
  </bookViews>
  <sheets>
    <sheet name="PRECIOS TECHO" sheetId="6" r:id="rId1"/>
    <sheet name="CONSOLIDADO" sheetId="5" r:id="rId2"/>
    <sheet name="COTIZACION COT-176-2026-HOMIL" sheetId="3" r:id="rId3"/>
    <sheet name="HISTORICO" sheetId="4" r:id="rId4"/>
  </sheets>
  <definedNames>
    <definedName name="_xlnm._FilterDatabase" localSheetId="1" hidden="1">CONSOLIDADO!$A$2:$V$16</definedName>
    <definedName name="_xlnm._FilterDatabase" localSheetId="0" hidden="1">'PRECIOS TECHO'!$A$2:$F$17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3wDA+C+47dj7+Z7GBxoW7YSM1bKoIH8n0uGva5QA1A="/>
    </ext>
  </extLst>
</workbook>
</file>

<file path=xl/calcChain.xml><?xml version="1.0" encoding="utf-8"?>
<calcChain xmlns="http://schemas.openxmlformats.org/spreadsheetml/2006/main">
  <c r="F9" i="4" l="1"/>
  <c r="F10" i="4"/>
  <c r="F11" i="4"/>
  <c r="F12" i="4"/>
  <c r="F13" i="4"/>
  <c r="F14" i="4"/>
  <c r="F15" i="4"/>
  <c r="F16" i="4"/>
  <c r="F17" i="4"/>
  <c r="F5" i="4"/>
  <c r="F6" i="4"/>
  <c r="F4" i="4"/>
  <c r="H10" i="4"/>
  <c r="H11" i="4"/>
  <c r="H12" i="4"/>
  <c r="H13" i="4"/>
  <c r="H14" i="4"/>
  <c r="H15" i="4"/>
  <c r="H16" i="4"/>
  <c r="H17" i="4"/>
  <c r="H9" i="4"/>
  <c r="H5" i="4"/>
  <c r="H6" i="4"/>
  <c r="H4" i="4"/>
  <c r="F8" i="4"/>
  <c r="P9" i="5" l="1"/>
  <c r="P10" i="5"/>
  <c r="P11" i="5"/>
  <c r="P12" i="5"/>
  <c r="P13" i="5"/>
  <c r="P14" i="5"/>
  <c r="P15" i="5"/>
  <c r="P16" i="5"/>
  <c r="P8" i="5"/>
  <c r="P7" i="5"/>
  <c r="P4" i="5"/>
  <c r="P5" i="5"/>
  <c r="P3" i="5"/>
  <c r="G7" i="6" l="1"/>
  <c r="G8" i="6"/>
  <c r="G9" i="6"/>
  <c r="G10" i="6"/>
  <c r="G11" i="6"/>
  <c r="G12" i="6"/>
  <c r="G13" i="6"/>
  <c r="G14" i="6"/>
  <c r="G15" i="6"/>
  <c r="G16" i="6"/>
  <c r="G4" i="6"/>
  <c r="G5" i="6"/>
  <c r="G3" i="6"/>
  <c r="G6" i="6" l="1"/>
  <c r="G17" i="6"/>
  <c r="Q3" i="5"/>
  <c r="Q4" i="5"/>
  <c r="O3" i="5"/>
  <c r="O4" i="5"/>
  <c r="N3" i="5"/>
  <c r="N4" i="5"/>
  <c r="I4" i="5"/>
  <c r="J4" i="5" s="1"/>
  <c r="I3" i="5"/>
  <c r="J3" i="5" s="1"/>
  <c r="S5" i="5"/>
  <c r="S9" i="5"/>
  <c r="S10" i="5"/>
  <c r="S11" i="5"/>
  <c r="S12" i="5"/>
  <c r="S13" i="5"/>
  <c r="S14" i="5"/>
  <c r="S15" i="5"/>
  <c r="S16" i="5"/>
  <c r="S8" i="5"/>
  <c r="S7" i="5"/>
  <c r="S4" i="5"/>
  <c r="S3" i="5"/>
  <c r="R5" i="5"/>
  <c r="R9" i="5"/>
  <c r="R10" i="5"/>
  <c r="R11" i="5"/>
  <c r="R12" i="5"/>
  <c r="R13" i="5"/>
  <c r="R14" i="5"/>
  <c r="R15" i="5"/>
  <c r="R16" i="5"/>
  <c r="R8" i="5"/>
  <c r="R7" i="5"/>
  <c r="Q9" i="5"/>
  <c r="Q10" i="5"/>
  <c r="Q11" i="5"/>
  <c r="Q12" i="5"/>
  <c r="Q13" i="5"/>
  <c r="Q14" i="5"/>
  <c r="Q15" i="5"/>
  <c r="Q16" i="5"/>
  <c r="Q8" i="5"/>
  <c r="Q7" i="5"/>
  <c r="R4" i="5"/>
  <c r="R3" i="5"/>
  <c r="Q5" i="5"/>
  <c r="O9" i="5"/>
  <c r="O10" i="5"/>
  <c r="O11" i="5"/>
  <c r="O12" i="5"/>
  <c r="O13" i="5"/>
  <c r="O14" i="5"/>
  <c r="O15" i="5"/>
  <c r="O16" i="5"/>
  <c r="O8" i="5"/>
  <c r="O7" i="5"/>
  <c r="V7" i="5" s="1"/>
  <c r="O5" i="5"/>
  <c r="N9" i="5"/>
  <c r="N10" i="5"/>
  <c r="N11" i="5"/>
  <c r="N12" i="5"/>
  <c r="N13" i="5"/>
  <c r="N14" i="5"/>
  <c r="N15" i="5"/>
  <c r="N16" i="5"/>
  <c r="N8" i="5"/>
  <c r="N7" i="5"/>
  <c r="N5" i="5"/>
  <c r="L4" i="5"/>
  <c r="M4" i="5" s="1"/>
  <c r="L5" i="5"/>
  <c r="M5" i="5" s="1"/>
  <c r="L3" i="5"/>
  <c r="M3" i="5" s="1"/>
  <c r="L16" i="5"/>
  <c r="M16" i="5" s="1"/>
  <c r="L8" i="5"/>
  <c r="M8" i="5" s="1"/>
  <c r="L9" i="5"/>
  <c r="M9" i="5" s="1"/>
  <c r="L10" i="5"/>
  <c r="M10" i="5" s="1"/>
  <c r="L11" i="5"/>
  <c r="M11" i="5"/>
  <c r="L12" i="5"/>
  <c r="M12" i="5" s="1"/>
  <c r="L13" i="5"/>
  <c r="M13" i="5" s="1"/>
  <c r="L14" i="5"/>
  <c r="M14" i="5" s="1"/>
  <c r="L15" i="5"/>
  <c r="M15" i="5" s="1"/>
  <c r="L7" i="5"/>
  <c r="M7" i="5" s="1"/>
  <c r="I8" i="5"/>
  <c r="J8" i="5" s="1"/>
  <c r="I9" i="5"/>
  <c r="J9" i="5" s="1"/>
  <c r="I10" i="5"/>
  <c r="J10" i="5" s="1"/>
  <c r="I11" i="5"/>
  <c r="J11" i="5" s="1"/>
  <c r="I12" i="5"/>
  <c r="J12" i="5" s="1"/>
  <c r="I13" i="5"/>
  <c r="J13" i="5" s="1"/>
  <c r="I14" i="5"/>
  <c r="J14" i="5" s="1"/>
  <c r="I15" i="5"/>
  <c r="J15" i="5"/>
  <c r="I16" i="5"/>
  <c r="J16" i="5" s="1"/>
  <c r="I7" i="5"/>
  <c r="J7" i="5" s="1"/>
  <c r="I5" i="5"/>
  <c r="J5" i="5" s="1"/>
  <c r="F8" i="5"/>
  <c r="G8" i="5" s="1"/>
  <c r="F9" i="5"/>
  <c r="G9" i="5"/>
  <c r="F10" i="5"/>
  <c r="G10" i="5" s="1"/>
  <c r="F11" i="5"/>
  <c r="G11" i="5"/>
  <c r="F12" i="5"/>
  <c r="G12" i="5"/>
  <c r="F13" i="5"/>
  <c r="G13" i="5" s="1"/>
  <c r="F14" i="5"/>
  <c r="G14" i="5" s="1"/>
  <c r="F15" i="5"/>
  <c r="G15" i="5" s="1"/>
  <c r="F16" i="5"/>
  <c r="G16" i="5"/>
  <c r="F7" i="5"/>
  <c r="G7" i="5" s="1"/>
  <c r="F4" i="5"/>
  <c r="G4" i="5"/>
  <c r="F5" i="5"/>
  <c r="G5" i="5"/>
  <c r="F3" i="5"/>
  <c r="G3" i="5" s="1"/>
  <c r="G17" i="3"/>
  <c r="G8" i="3"/>
  <c r="G9" i="3"/>
  <c r="G10" i="3"/>
  <c r="G11" i="3"/>
  <c r="G12" i="3"/>
  <c r="G13" i="3"/>
  <c r="G14" i="3"/>
  <c r="G15" i="3"/>
  <c r="G16" i="3"/>
  <c r="G7" i="3"/>
  <c r="F8" i="3"/>
  <c r="F9" i="3"/>
  <c r="F10" i="3"/>
  <c r="F11" i="3"/>
  <c r="F12" i="3"/>
  <c r="F13" i="3"/>
  <c r="F14" i="3"/>
  <c r="F15" i="3"/>
  <c r="F16" i="3"/>
  <c r="F7" i="3"/>
  <c r="G6" i="3"/>
  <c r="G4" i="3"/>
  <c r="G5" i="3"/>
  <c r="F4" i="3"/>
  <c r="F5" i="3"/>
  <c r="F3" i="3"/>
  <c r="G3" i="3" s="1"/>
  <c r="G18" i="6" l="1"/>
  <c r="N5" i="4"/>
  <c r="T15" i="5" l="1"/>
  <c r="T11" i="5"/>
  <c r="T12" i="5"/>
  <c r="T16" i="5"/>
  <c r="T13" i="5"/>
  <c r="T9" i="5"/>
  <c r="T8" i="5"/>
  <c r="T7" i="5"/>
  <c r="T14" i="5"/>
  <c r="T4" i="5"/>
  <c r="T3" i="5" l="1"/>
  <c r="T10" i="5"/>
  <c r="T5" i="5"/>
</calcChain>
</file>

<file path=xl/sharedStrings.xml><?xml version="1.0" encoding="utf-8"?>
<sst xmlns="http://schemas.openxmlformats.org/spreadsheetml/2006/main" count="177" uniqueCount="44">
  <si>
    <t>MINIMO</t>
  </si>
  <si>
    <t>MAXIMO</t>
  </si>
  <si>
    <t>MEDIA ARMONICA</t>
  </si>
  <si>
    <t>MEDIANA</t>
  </si>
  <si>
    <t>DESVIACION</t>
  </si>
  <si>
    <t>DISPERSION</t>
  </si>
  <si>
    <t>METRICA</t>
  </si>
  <si>
    <t>ITEM</t>
  </si>
  <si>
    <t>DESCRIPCION</t>
  </si>
  <si>
    <t>UNIDAD DE MEDIDA</t>
  </si>
  <si>
    <t>Menor Valor</t>
  </si>
  <si>
    <t>VALOR UNITARIO ANTES DE IVA</t>
  </si>
  <si>
    <t>CANTIDAD</t>
  </si>
  <si>
    <t>VALOR TOTAL UNITARIO</t>
  </si>
  <si>
    <t>IVA
(Si Aplica)</t>
  </si>
  <si>
    <t>PRECIO TECHO ANTES DE IVA</t>
  </si>
  <si>
    <t>SUMATORIA DE VALORES UNITARIOS</t>
  </si>
  <si>
    <t>PRECIOS TECHO</t>
  </si>
  <si>
    <t>UNIDAD</t>
  </si>
  <si>
    <t>ECOCARDIOGRAFO PHILIPS EPIQ CVX US622B0421 V189857</t>
  </si>
  <si>
    <t>ECOCARDIOGRAFO PHILIPS EPIQ CVX US622B0422 V189856</t>
  </si>
  <si>
    <t>ECOGRAFO PORTATIL PHILIPS CX 50 SGD1203925 V171267</t>
  </si>
  <si>
    <t>CONTRATO NO. 260 DE 2025 GENERAL MÉDICA DE COLOMBIA S.A.S</t>
  </si>
  <si>
    <t>ECOGRAFO PORTATIL PHILIPS CX 50 453561769352 EBOX ASSY HW PWD CX50</t>
  </si>
  <si>
    <t>ECOGRAFO PORTATIL PHILIPS CX 50 453562146591 MORPHEUS POWER BOARD</t>
  </si>
  <si>
    <t>ECOGRAFO PORTATIL PHILIPS CX 50 453561673944 ASSEMBLY USER INTERFACE MI3</t>
  </si>
  <si>
    <t>ECOGRAFO PORTATIL PHILIPS CX 50 453561367414/ 453561367412 AC ADAPTER MEDICAL POWER SUPPLY WHIT LI</t>
  </si>
  <si>
    <t>ECOGRAFO PORTATIL PHILIPS CX 50 453561681364 CX50 4X NLT DISPLAY ASSEMBLY</t>
  </si>
  <si>
    <t>ECOGRAFO PORTATIL PHILIPS CX 50 453561446196/ 453561446194 CX5O BATTERY 14.4V</t>
  </si>
  <si>
    <t>ECOGRAFO PORTATIL PHILIPS CX 50 453561662584 MI3 PHYSIO MODULE ASSEMBLY ROHS</t>
  </si>
  <si>
    <t>ECOGRAFO PORTATIL PHILIPS CX 50 453561662945 DISK DRIVE 500GB</t>
  </si>
  <si>
    <t>ECOGRAFO PORTATIL PHILIPS CX 50 453561699211 TEAC DVD KIT CX50</t>
  </si>
  <si>
    <t>ECOGRAFO PORTATIL PHILIPS CX 50 453561654891 TRACKBALL KIT CX50 CURSOR CONTROL X38</t>
  </si>
  <si>
    <t>TOTAL MANTENIMIENTOS</t>
  </si>
  <si>
    <t>TOTAL REPUESTOS</t>
  </si>
  <si>
    <t>NO CONTRATADO</t>
  </si>
  <si>
    <t>GENERAL MÉDICA DE COLOMBIA S.A.S</t>
  </si>
  <si>
    <t>CONTRATO NO. 066 DE 2024 INTELNET MEDICA SAS</t>
  </si>
  <si>
    <t>VALOR UNITARIO ANTES DE IVA INDEXADO 2024 -2025</t>
  </si>
  <si>
    <t>VALOR UNITARIO ANTES DE IVA INDEXADO 2025</t>
  </si>
  <si>
    <t>RESPUESTOS SUCEPTIBLES A CAMBIO</t>
  </si>
  <si>
    <t>RESPUESTOS SUCEPTIBLES DE CAMBIO</t>
  </si>
  <si>
    <t>DESCRIPCION EQUIPOS MANTENIMIENTO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</si>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</sst>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"/>
    <numFmt numFmtId="165" formatCode="&quot;$&quot;\ #,##0.00"/>
    <numFmt numFmtId="166" formatCode="&quot;$&quot;\ #,##0"/>
    <numFmt numFmtId="167" formatCode="_-&quot;$&quot;\ * #,##0_-;\-&quot;$&quot;\ * #,##0_-;_-&quot;$&quot;\ * &quot;-&quot;??_-;_-@_-"/>
  </numFmts>
  <fonts count="13" x14ac:knownFonts="1">
    <font>
      <sz val="11"/>
      <color theme="1"/>
      <name val="Calibri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Alignment="1">
      <alignment horizontal="center"/>
    </xf>
    <xf numFmtId="164" fontId="3" fillId="0" borderId="0" xfId="0" applyNumberFormat="1" applyFont="1"/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6" fillId="0" borderId="1" xfId="2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1" xfId="2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5" fontId="6" fillId="0" borderId="1" xfId="2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1" fillId="0" borderId="1" xfId="2" applyNumberFormat="1" applyFont="1" applyFill="1" applyBorder="1" applyAlignment="1">
      <alignment horizontal="center" vertical="center"/>
    </xf>
    <xf numFmtId="167" fontId="1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10" fontId="9" fillId="0" borderId="0" xfId="2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" xfId="3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1" fontId="6" fillId="0" borderId="1" xfId="0" applyNumberFormat="1" applyFont="1" applyBorder="1" applyAlignment="1">
      <alignment horizontal="left" vertical="center" wrapText="1"/>
    </xf>
    <xf numFmtId="41" fontId="8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vertical="center" wrapText="1"/>
    </xf>
    <xf numFmtId="41" fontId="1" fillId="0" borderId="1" xfId="0" applyNumberFormat="1" applyFont="1" applyBorder="1" applyAlignment="1">
      <alignment vertical="center"/>
    </xf>
    <xf numFmtId="41" fontId="2" fillId="0" borderId="1" xfId="0" applyNumberFormat="1" applyFont="1" applyBorder="1" applyAlignment="1">
      <alignment vertical="center"/>
    </xf>
    <xf numFmtId="41" fontId="2" fillId="0" borderId="1" xfId="0" applyNumberFormat="1" applyFont="1" applyBorder="1" applyAlignment="1">
      <alignment horizontal="left" vertical="center" wrapText="1"/>
    </xf>
    <xf numFmtId="44" fontId="1" fillId="0" borderId="0" xfId="0" applyNumberFormat="1" applyFont="1" applyAlignment="1">
      <alignment vertical="center"/>
    </xf>
    <xf numFmtId="1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43" fontId="1" fillId="0" borderId="0" xfId="0" applyNumberFormat="1" applyFont="1" applyAlignment="1">
      <alignment vertical="center"/>
    </xf>
    <xf numFmtId="44" fontId="1" fillId="0" borderId="0" xfId="0" applyNumberFormat="1" applyFont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1" fillId="0" borderId="1" xfId="3" applyNumberFormat="1" applyFont="1" applyBorder="1" applyAlignment="1">
      <alignment horizontal="center" vertical="center"/>
    </xf>
    <xf numFmtId="166" fontId="0" fillId="0" borderId="0" xfId="0" applyNumberFormat="1"/>
    <xf numFmtId="167" fontId="9" fillId="0" borderId="1" xfId="0" applyNumberFormat="1" applyFont="1" applyBorder="1" applyAlignment="1">
      <alignment horizontal="center" vertical="center"/>
    </xf>
    <xf numFmtId="167" fontId="9" fillId="0" borderId="1" xfId="3" applyNumberFormat="1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1" fontId="2" fillId="0" borderId="3" xfId="0" applyNumberFormat="1" applyFont="1" applyBorder="1" applyAlignment="1">
      <alignment horizontal="left" vertical="center" wrapText="1"/>
    </xf>
    <xf numFmtId="41" fontId="2" fillId="0" borderId="4" xfId="0" applyNumberFormat="1" applyFont="1" applyBorder="1" applyAlignment="1">
      <alignment horizontal="left" vertical="center" wrapText="1"/>
    </xf>
    <xf numFmtId="41" fontId="2" fillId="0" borderId="2" xfId="0" applyNumberFormat="1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</cellXfs>
  <cellStyles count="4">
    <cellStyle name="Millares" xfId="1" builtinId="3"/>
    <cellStyle name="Millares [0]" xfId="3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1067258</xdr:colOff>
      <xdr:row>16</xdr:row>
      <xdr:rowOff>45903</xdr:rowOff>
    </xdr:from>
    <xdr:to>
      <xdr:col>21</xdr:col>
      <xdr:colOff>1123192</xdr:colOff>
      <xdr:row>23</xdr:row>
      <xdr:rowOff>174090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70BE4C-7E47-8EAB-BAF8-F8824A234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33644" y="7333102"/>
          <a:ext cx="5612130" cy="150334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81330-358B-C44C-A956-263A5CF64A12}">
  <sheetPr>
    <pageSetUpPr fitToPage="1"/>
  </sheetPr>
  <dimension ref="A1:J997"/>
  <sheetViews>
    <sheetView zoomScale="121" workbookViewId="0">
      <selection activeCell="I6" sqref="I6"/>
    </sheetView>
  </sheetViews>
  <sheetFormatPr baseColWidth="10" defaultColWidth="14.42578125" defaultRowHeight="15" customHeight="1" x14ac:dyDescent="0.25"/>
  <cols>
    <col min="1" max="1" width="9.85546875" style="38" customWidth="1"/>
    <col min="2" max="2" width="59.5703125" style="54" customWidth="1"/>
    <col min="3" max="3" width="12.42578125" style="38" bestFit="1" customWidth="1"/>
    <col min="4" max="4" width="11.85546875" style="15" bestFit="1" customWidth="1"/>
    <col min="5" max="5" width="18.85546875" style="15" bestFit="1" customWidth="1"/>
    <col min="6" max="6" width="17.28515625" style="38" bestFit="1" customWidth="1"/>
    <col min="7" max="7" width="20" style="38" bestFit="1" customWidth="1"/>
    <col min="8" max="9" width="18.7109375" style="38" bestFit="1" customWidth="1"/>
    <col min="10" max="10" width="14.5703125" style="38" bestFit="1" customWidth="1"/>
    <col min="11" max="16384" width="14.42578125" style="38"/>
  </cols>
  <sheetData>
    <row r="1" spans="1:10" ht="15" customHeight="1" x14ac:dyDescent="0.25">
      <c r="A1" s="65" t="s">
        <v>7</v>
      </c>
      <c r="B1" s="65" t="s">
        <v>8</v>
      </c>
      <c r="C1" s="65" t="s">
        <v>9</v>
      </c>
      <c r="D1" s="63" t="s">
        <v>12</v>
      </c>
      <c r="E1" s="63" t="s">
        <v>17</v>
      </c>
      <c r="F1" s="63"/>
      <c r="G1" s="63"/>
    </row>
    <row r="2" spans="1:10" ht="51.95" customHeight="1" x14ac:dyDescent="0.25">
      <c r="A2" s="65"/>
      <c r="B2" s="65"/>
      <c r="C2" s="65"/>
      <c r="D2" s="63"/>
      <c r="E2" s="11" t="s">
        <v>13</v>
      </c>
      <c r="F2" s="11" t="s">
        <v>14</v>
      </c>
      <c r="G2" s="11" t="s">
        <v>13</v>
      </c>
    </row>
    <row r="3" spans="1:10" ht="15.75" x14ac:dyDescent="0.25">
      <c r="A3" s="25">
        <v>1</v>
      </c>
      <c r="B3" s="44" t="s">
        <v>19</v>
      </c>
      <c r="C3" s="45" t="s">
        <v>18</v>
      </c>
      <c r="D3" s="25">
        <v>1</v>
      </c>
      <c r="E3" s="46">
        <v>5421245</v>
      </c>
      <c r="F3" s="47">
        <v>1030037</v>
      </c>
      <c r="G3" s="48">
        <f>+F3+E3</f>
        <v>6451282</v>
      </c>
      <c r="H3" s="51"/>
      <c r="I3" s="56"/>
      <c r="J3" s="52"/>
    </row>
    <row r="4" spans="1:10" ht="16.5" customHeight="1" x14ac:dyDescent="0.25">
      <c r="A4" s="25">
        <v>2</v>
      </c>
      <c r="B4" s="44" t="s">
        <v>20</v>
      </c>
      <c r="C4" s="45" t="s">
        <v>18</v>
      </c>
      <c r="D4" s="25">
        <v>1</v>
      </c>
      <c r="E4" s="46">
        <v>5421245</v>
      </c>
      <c r="F4" s="47">
        <v>1030037</v>
      </c>
      <c r="G4" s="48">
        <f t="shared" ref="G4:G5" si="0">+F4+E4</f>
        <v>6451282</v>
      </c>
      <c r="H4" s="51"/>
      <c r="I4" s="52"/>
      <c r="J4" s="52"/>
    </row>
    <row r="5" spans="1:10" ht="15.75" x14ac:dyDescent="0.25">
      <c r="A5" s="25">
        <v>3</v>
      </c>
      <c r="B5" s="44" t="s">
        <v>21</v>
      </c>
      <c r="C5" s="45" t="s">
        <v>18</v>
      </c>
      <c r="D5" s="25">
        <v>1</v>
      </c>
      <c r="E5" s="46">
        <v>5421245</v>
      </c>
      <c r="F5" s="47">
        <v>1030037</v>
      </c>
      <c r="G5" s="48">
        <f t="shared" si="0"/>
        <v>6451282</v>
      </c>
      <c r="H5" s="51"/>
      <c r="I5" s="52"/>
      <c r="J5" s="52"/>
    </row>
    <row r="6" spans="1:10" ht="15.75" customHeight="1" x14ac:dyDescent="0.25">
      <c r="A6" s="25">
        <v>4</v>
      </c>
      <c r="B6" s="66" t="s">
        <v>33</v>
      </c>
      <c r="C6" s="67"/>
      <c r="D6" s="67"/>
      <c r="E6" s="67"/>
      <c r="F6" s="68"/>
      <c r="G6" s="49">
        <f>SUM(G3:G5)</f>
        <v>19353846</v>
      </c>
      <c r="H6" s="51"/>
      <c r="I6" s="52"/>
      <c r="J6" s="52"/>
    </row>
    <row r="7" spans="1:10" ht="15.75" x14ac:dyDescent="0.25">
      <c r="A7" s="25">
        <v>5</v>
      </c>
      <c r="B7" s="44" t="s">
        <v>23</v>
      </c>
      <c r="C7" s="45" t="s">
        <v>18</v>
      </c>
      <c r="D7" s="25">
        <v>1</v>
      </c>
      <c r="E7" s="46">
        <v>59030760.279999994</v>
      </c>
      <c r="F7" s="47">
        <v>11251805</v>
      </c>
      <c r="G7" s="48">
        <f t="shared" ref="G7:G16" si="1">+F7+E7</f>
        <v>70282565.280000001</v>
      </c>
      <c r="H7" s="51"/>
      <c r="I7" s="56"/>
      <c r="J7" s="53"/>
    </row>
    <row r="8" spans="1:10" ht="15.75" x14ac:dyDescent="0.25">
      <c r="A8" s="25">
        <v>6</v>
      </c>
      <c r="B8" s="44" t="s">
        <v>24</v>
      </c>
      <c r="C8" s="45" t="s">
        <v>18</v>
      </c>
      <c r="D8" s="25">
        <v>1</v>
      </c>
      <c r="E8" s="46">
        <v>33232620</v>
      </c>
      <c r="F8" s="47">
        <v>6314198</v>
      </c>
      <c r="G8" s="48">
        <f t="shared" si="1"/>
        <v>39546818</v>
      </c>
      <c r="H8" s="51"/>
      <c r="I8" s="56"/>
      <c r="J8" s="53"/>
    </row>
    <row r="9" spans="1:10" ht="21" x14ac:dyDescent="0.25">
      <c r="A9" s="25">
        <v>7</v>
      </c>
      <c r="B9" s="44" t="s">
        <v>25</v>
      </c>
      <c r="C9" s="45" t="s">
        <v>18</v>
      </c>
      <c r="D9" s="25">
        <v>1</v>
      </c>
      <c r="E9" s="46">
        <v>36049300</v>
      </c>
      <c r="F9" s="47">
        <v>6849367</v>
      </c>
      <c r="G9" s="48">
        <f t="shared" si="1"/>
        <v>42898667</v>
      </c>
      <c r="H9" s="51"/>
      <c r="I9" s="52"/>
      <c r="J9" s="53"/>
    </row>
    <row r="10" spans="1:10" ht="21" x14ac:dyDescent="0.25">
      <c r="A10" s="25">
        <v>8</v>
      </c>
      <c r="B10" s="44" t="s">
        <v>26</v>
      </c>
      <c r="C10" s="45" t="s">
        <v>18</v>
      </c>
      <c r="D10" s="25">
        <v>1</v>
      </c>
      <c r="E10" s="46">
        <v>15975200</v>
      </c>
      <c r="F10" s="47">
        <v>3035288</v>
      </c>
      <c r="G10" s="48">
        <f t="shared" si="1"/>
        <v>19010488</v>
      </c>
      <c r="H10" s="51"/>
      <c r="I10" s="52"/>
      <c r="J10" s="53"/>
    </row>
    <row r="11" spans="1:10" ht="21" x14ac:dyDescent="0.25">
      <c r="A11" s="25">
        <v>9</v>
      </c>
      <c r="B11" s="44" t="s">
        <v>27</v>
      </c>
      <c r="C11" s="45" t="s">
        <v>18</v>
      </c>
      <c r="D11" s="25">
        <v>1</v>
      </c>
      <c r="E11" s="46">
        <v>18918000</v>
      </c>
      <c r="F11" s="47">
        <v>3594420</v>
      </c>
      <c r="G11" s="48">
        <f t="shared" si="1"/>
        <v>22512420</v>
      </c>
      <c r="H11" s="51"/>
      <c r="I11" s="52"/>
      <c r="J11" s="53"/>
    </row>
    <row r="12" spans="1:10" ht="21" x14ac:dyDescent="0.25">
      <c r="A12" s="25">
        <v>10</v>
      </c>
      <c r="B12" s="44" t="s">
        <v>28</v>
      </c>
      <c r="C12" s="45" t="s">
        <v>18</v>
      </c>
      <c r="D12" s="25">
        <v>1</v>
      </c>
      <c r="E12" s="46">
        <v>3948740</v>
      </c>
      <c r="F12" s="47">
        <v>750261</v>
      </c>
      <c r="G12" s="48">
        <f t="shared" si="1"/>
        <v>4699001</v>
      </c>
      <c r="H12" s="51"/>
      <c r="I12" s="52"/>
      <c r="J12" s="53"/>
    </row>
    <row r="13" spans="1:10" ht="21" x14ac:dyDescent="0.25">
      <c r="A13" s="25">
        <v>11</v>
      </c>
      <c r="B13" s="44" t="s">
        <v>29</v>
      </c>
      <c r="C13" s="45" t="s">
        <v>18</v>
      </c>
      <c r="D13" s="25">
        <v>1</v>
      </c>
      <c r="E13" s="46">
        <v>20447106.206</v>
      </c>
      <c r="F13" s="47">
        <v>3884950</v>
      </c>
      <c r="G13" s="48">
        <f t="shared" si="1"/>
        <v>24332056.206</v>
      </c>
      <c r="H13" s="51"/>
      <c r="I13" s="52"/>
      <c r="J13" s="53"/>
    </row>
    <row r="14" spans="1:10" ht="15.75" x14ac:dyDescent="0.25">
      <c r="A14" s="25">
        <v>12</v>
      </c>
      <c r="B14" s="44" t="s">
        <v>30</v>
      </c>
      <c r="C14" s="45" t="s">
        <v>18</v>
      </c>
      <c r="D14" s="25">
        <v>1</v>
      </c>
      <c r="E14" s="46">
        <v>2757500</v>
      </c>
      <c r="F14" s="47">
        <v>523925</v>
      </c>
      <c r="G14" s="48">
        <f t="shared" si="1"/>
        <v>3281425</v>
      </c>
      <c r="H14" s="51"/>
      <c r="I14" s="52"/>
      <c r="J14" s="53"/>
    </row>
    <row r="15" spans="1:10" ht="15.75" x14ac:dyDescent="0.25">
      <c r="A15" s="25">
        <v>13</v>
      </c>
      <c r="B15" s="44" t="s">
        <v>31</v>
      </c>
      <c r="C15" s="45" t="s">
        <v>18</v>
      </c>
      <c r="D15" s="25">
        <v>1</v>
      </c>
      <c r="E15" s="46">
        <v>3022220</v>
      </c>
      <c r="F15" s="47">
        <v>574222</v>
      </c>
      <c r="G15" s="48">
        <f t="shared" si="1"/>
        <v>3596442</v>
      </c>
      <c r="H15" s="51"/>
      <c r="I15" s="52"/>
      <c r="J15" s="53"/>
    </row>
    <row r="16" spans="1:10" ht="21" x14ac:dyDescent="0.25">
      <c r="A16" s="25">
        <v>14</v>
      </c>
      <c r="B16" s="44" t="s">
        <v>32</v>
      </c>
      <c r="C16" s="45" t="s">
        <v>18</v>
      </c>
      <c r="D16" s="25">
        <v>1</v>
      </c>
      <c r="E16" s="46">
        <v>7224650</v>
      </c>
      <c r="F16" s="47">
        <v>1372684</v>
      </c>
      <c r="G16" s="48">
        <f t="shared" si="1"/>
        <v>8597334</v>
      </c>
      <c r="H16" s="51"/>
      <c r="I16" s="52"/>
      <c r="J16" s="53"/>
    </row>
    <row r="17" spans="1:10" ht="12.75" x14ac:dyDescent="0.25">
      <c r="A17" s="25">
        <v>15</v>
      </c>
      <c r="B17" s="50" t="s">
        <v>34</v>
      </c>
      <c r="C17" s="45"/>
      <c r="D17" s="52"/>
      <c r="E17" s="46"/>
      <c r="F17" s="48"/>
      <c r="G17" s="49">
        <f>SUM(G7:G16)</f>
        <v>238757216.486</v>
      </c>
      <c r="I17" s="52"/>
      <c r="J17" s="53"/>
    </row>
    <row r="18" spans="1:10" ht="15.75" customHeight="1" x14ac:dyDescent="0.25">
      <c r="A18" s="64" t="s">
        <v>16</v>
      </c>
      <c r="B18" s="64"/>
      <c r="C18" s="64"/>
      <c r="D18" s="64"/>
      <c r="E18" s="64"/>
      <c r="F18" s="64"/>
      <c r="G18" s="49">
        <f>+G17+G6</f>
        <v>258111062.486</v>
      </c>
    </row>
    <row r="19" spans="1:10" ht="15.75" customHeight="1" x14ac:dyDescent="0.25">
      <c r="G19" s="55"/>
    </row>
    <row r="20" spans="1:10" ht="15.75" customHeight="1" x14ac:dyDescent="0.25"/>
    <row r="21" spans="1:10" ht="15.75" customHeight="1" x14ac:dyDescent="0.25"/>
    <row r="22" spans="1:10" ht="15.75" customHeight="1" x14ac:dyDescent="0.25"/>
    <row r="23" spans="1:10" ht="15.75" customHeight="1" x14ac:dyDescent="0.25"/>
    <row r="24" spans="1:10" ht="15.75" customHeight="1" x14ac:dyDescent="0.25"/>
    <row r="25" spans="1:10" ht="15.75" customHeight="1" x14ac:dyDescent="0.25"/>
    <row r="26" spans="1:10" ht="15.75" customHeight="1" x14ac:dyDescent="0.25"/>
    <row r="27" spans="1:10" ht="15.75" customHeight="1" x14ac:dyDescent="0.25"/>
    <row r="28" spans="1:10" ht="15.75" customHeight="1" x14ac:dyDescent="0.25"/>
    <row r="29" spans="1:10" ht="47.25" customHeight="1" x14ac:dyDescent="0.25"/>
    <row r="30" spans="1:10" ht="15.75" customHeight="1" x14ac:dyDescent="0.25"/>
    <row r="31" spans="1:10" ht="15.75" customHeight="1" x14ac:dyDescent="0.25"/>
    <row r="32" spans="1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47.2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spans="1:1" ht="15.75" customHeight="1" x14ac:dyDescent="0.25"/>
    <row r="162" spans="1:1" ht="15.75" customHeight="1" x14ac:dyDescent="0.25"/>
    <row r="163" spans="1:1" ht="15.75" customHeight="1" x14ac:dyDescent="0.25"/>
    <row r="164" spans="1:1" ht="15.75" customHeight="1" x14ac:dyDescent="0.25"/>
    <row r="165" spans="1:1" ht="15.75" customHeight="1" x14ac:dyDescent="0.25"/>
    <row r="166" spans="1:1" ht="15.75" customHeight="1" x14ac:dyDescent="0.25"/>
    <row r="167" spans="1:1" ht="15.75" customHeight="1" x14ac:dyDescent="0.25"/>
    <row r="168" spans="1:1" ht="15.75" customHeight="1" x14ac:dyDescent="0.25">
      <c r="A168" s="39"/>
    </row>
    <row r="169" spans="1:1" ht="15.75" customHeight="1" x14ac:dyDescent="0.25"/>
    <row r="170" spans="1:1" ht="16.5" customHeight="1" x14ac:dyDescent="0.25"/>
    <row r="172" spans="1:1" ht="15.75" customHeight="1" x14ac:dyDescent="0.25"/>
    <row r="173" spans="1:1" ht="15.75" customHeight="1" x14ac:dyDescent="0.25"/>
    <row r="174" spans="1:1" ht="15.75" customHeight="1" x14ac:dyDescent="0.25"/>
    <row r="175" spans="1:1" ht="15.75" customHeight="1" x14ac:dyDescent="0.25"/>
    <row r="176" spans="1:1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74.2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7">
    <mergeCell ref="E1:G1"/>
    <mergeCell ref="A18:F18"/>
    <mergeCell ref="A1:A2"/>
    <mergeCell ref="B1:B2"/>
    <mergeCell ref="C1:C2"/>
    <mergeCell ref="D1:D2"/>
    <mergeCell ref="B6:F6"/>
  </mergeCells>
  <pageMargins left="0.25" right="0.25" top="0.75" bottom="0.75" header="0" footer="0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4720-75EF-E444-A0C6-C77E9F1BDA39}">
  <sheetPr>
    <pageSetUpPr fitToPage="1"/>
  </sheetPr>
  <dimension ref="A1:V996"/>
  <sheetViews>
    <sheetView showGridLines="0" topLeftCell="D1" zoomScale="83" workbookViewId="0">
      <selection sqref="A1:U16"/>
    </sheetView>
  </sheetViews>
  <sheetFormatPr baseColWidth="10" defaultColWidth="14.42578125" defaultRowHeight="15" customHeight="1" x14ac:dyDescent="0.25"/>
  <cols>
    <col min="1" max="1" width="6.85546875" style="15" customWidth="1"/>
    <col min="2" max="2" width="45.140625" style="15" customWidth="1"/>
    <col min="3" max="3" width="12.42578125" style="15" bestFit="1" customWidth="1"/>
    <col min="4" max="4" width="11.7109375" style="15" bestFit="1" customWidth="1"/>
    <col min="5" max="10" width="19.140625" style="15" bestFit="1" customWidth="1"/>
    <col min="11" max="11" width="21.5703125" style="15" bestFit="1" customWidth="1"/>
    <col min="12" max="12" width="18.5703125" style="15" bestFit="1" customWidth="1"/>
    <col min="13" max="13" width="19.85546875" style="15" bestFit="1" customWidth="1"/>
    <col min="14" max="15" width="17.28515625" style="15" bestFit="1" customWidth="1"/>
    <col min="16" max="16" width="17.28515625" style="15" customWidth="1"/>
    <col min="17" max="17" width="16.85546875" style="15" bestFit="1" customWidth="1"/>
    <col min="18" max="18" width="17.140625" style="15" bestFit="1" customWidth="1"/>
    <col min="19" max="19" width="20.42578125" style="15" bestFit="1" customWidth="1"/>
    <col min="20" max="20" width="13.85546875" style="15" bestFit="1" customWidth="1"/>
    <col min="21" max="21" width="14.7109375" style="15" customWidth="1"/>
    <col min="22" max="22" width="19.7109375" style="15" bestFit="1" customWidth="1"/>
    <col min="23" max="16384" width="14.42578125" style="15"/>
  </cols>
  <sheetData>
    <row r="1" spans="1:22" ht="42" customHeight="1" x14ac:dyDescent="0.25">
      <c r="E1" s="72" t="s">
        <v>36</v>
      </c>
      <c r="F1" s="73"/>
      <c r="G1" s="74"/>
      <c r="H1" s="69" t="s">
        <v>37</v>
      </c>
      <c r="I1" s="70"/>
      <c r="J1" s="71"/>
      <c r="K1" s="69" t="s">
        <v>22</v>
      </c>
      <c r="L1" s="70"/>
      <c r="M1" s="71"/>
    </row>
    <row r="2" spans="1:22" ht="51.95" customHeight="1" x14ac:dyDescent="0.25">
      <c r="A2" s="11" t="s">
        <v>7</v>
      </c>
      <c r="B2" s="11" t="s">
        <v>42</v>
      </c>
      <c r="C2" s="11" t="s">
        <v>9</v>
      </c>
      <c r="D2" s="16" t="s">
        <v>12</v>
      </c>
      <c r="E2" s="11" t="s">
        <v>13</v>
      </c>
      <c r="F2" s="11" t="s">
        <v>14</v>
      </c>
      <c r="G2" s="11" t="s">
        <v>13</v>
      </c>
      <c r="H2" s="11" t="s">
        <v>13</v>
      </c>
      <c r="I2" s="11" t="s">
        <v>14</v>
      </c>
      <c r="J2" s="11" t="s">
        <v>13</v>
      </c>
      <c r="K2" s="11" t="s">
        <v>13</v>
      </c>
      <c r="L2" s="11" t="s">
        <v>14</v>
      </c>
      <c r="M2" s="11" t="s">
        <v>13</v>
      </c>
      <c r="N2" s="11" t="s">
        <v>1</v>
      </c>
      <c r="O2" s="11" t="s">
        <v>0</v>
      </c>
      <c r="P2" s="11" t="s">
        <v>43</v>
      </c>
      <c r="Q2" s="11" t="s">
        <v>2</v>
      </c>
      <c r="R2" s="11" t="s">
        <v>3</v>
      </c>
      <c r="S2" s="17" t="s">
        <v>4</v>
      </c>
      <c r="T2" s="17" t="s">
        <v>5</v>
      </c>
      <c r="U2" s="11" t="s">
        <v>6</v>
      </c>
      <c r="V2" s="11" t="s">
        <v>15</v>
      </c>
    </row>
    <row r="3" spans="1:22" ht="35.1" customHeight="1" x14ac:dyDescent="0.25">
      <c r="A3" s="12">
        <v>1</v>
      </c>
      <c r="B3" s="12" t="s">
        <v>19</v>
      </c>
      <c r="C3" s="22" t="s">
        <v>18</v>
      </c>
      <c r="D3" s="6">
        <v>1</v>
      </c>
      <c r="E3" s="26">
        <v>5434279.5800000001</v>
      </c>
      <c r="F3" s="27">
        <f>+E3*0.19</f>
        <v>1032513.1202</v>
      </c>
      <c r="G3" s="26">
        <f>+F3+E3</f>
        <v>6466792.7001999998</v>
      </c>
      <c r="H3" s="26">
        <v>5434279.5800000001</v>
      </c>
      <c r="I3" s="26">
        <f>+H3*0.19</f>
        <v>1032513.1202</v>
      </c>
      <c r="J3" s="26">
        <f t="shared" ref="J3:J4" si="0">+I3+H3</f>
        <v>6466792.7001999998</v>
      </c>
      <c r="K3" s="26">
        <v>5434279.5800000001</v>
      </c>
      <c r="L3" s="26">
        <f>+K3*0.19</f>
        <v>1032513.1202</v>
      </c>
      <c r="M3" s="26">
        <f>+L3+K3</f>
        <v>6466792.7001999998</v>
      </c>
      <c r="N3" s="41">
        <f t="shared" ref="N3:N4" si="1">MAX(E3,H3,K3)</f>
        <v>5434279.5800000001</v>
      </c>
      <c r="O3" s="41">
        <f t="shared" ref="O3:O4" si="2">MIN(E3,H3,K3)</f>
        <v>5434279.5800000001</v>
      </c>
      <c r="P3" s="41">
        <f>AVERAGE(E3,H3,K3)</f>
        <v>5434279.5800000001</v>
      </c>
      <c r="Q3" s="42">
        <f t="shared" ref="Q3:Q4" si="3">HARMEAN(E3,H3,K3)</f>
        <v>5434279.5800000001</v>
      </c>
      <c r="R3" s="42">
        <f>MEDIAN(E3,K3)</f>
        <v>5434279.5800000001</v>
      </c>
      <c r="S3" s="13">
        <f>_xlfn.STDEV.P(E3,K3)</f>
        <v>0</v>
      </c>
      <c r="T3" s="14">
        <f>S3/R3</f>
        <v>0</v>
      </c>
      <c r="U3" s="12" t="s">
        <v>10</v>
      </c>
      <c r="V3" s="41">
        <v>5421245</v>
      </c>
    </row>
    <row r="4" spans="1:22" ht="35.1" customHeight="1" x14ac:dyDescent="0.25">
      <c r="A4" s="12">
        <v>2</v>
      </c>
      <c r="B4" s="12" t="s">
        <v>20</v>
      </c>
      <c r="C4" s="22" t="s">
        <v>18</v>
      </c>
      <c r="D4" s="6">
        <v>1</v>
      </c>
      <c r="E4" s="28">
        <v>5434279.5800000001</v>
      </c>
      <c r="F4" s="27">
        <f t="shared" ref="F4:F5" si="4">+E4*0.19</f>
        <v>1032513.1202</v>
      </c>
      <c r="G4" s="26">
        <f t="shared" ref="G4:G5" si="5">+F4+E4</f>
        <v>6466792.7001999998</v>
      </c>
      <c r="H4" s="26">
        <v>5434279.5800000001</v>
      </c>
      <c r="I4" s="26">
        <f>+H4*0.19</f>
        <v>1032513.1202</v>
      </c>
      <c r="J4" s="26">
        <f t="shared" si="0"/>
        <v>6466792.7001999998</v>
      </c>
      <c r="K4" s="26">
        <v>5434279.5800000001</v>
      </c>
      <c r="L4" s="26">
        <f t="shared" ref="L4:L5" si="6">+K4*0.19</f>
        <v>1032513.1202</v>
      </c>
      <c r="M4" s="26">
        <f t="shared" ref="M4:M5" si="7">+L4+K4</f>
        <v>6466792.7001999998</v>
      </c>
      <c r="N4" s="41">
        <f t="shared" si="1"/>
        <v>5434279.5800000001</v>
      </c>
      <c r="O4" s="41">
        <f t="shared" si="2"/>
        <v>5434279.5800000001</v>
      </c>
      <c r="P4" s="41">
        <f t="shared" ref="P4:P5" si="8">AVERAGE(E4,H4,K4)</f>
        <v>5434279.5800000001</v>
      </c>
      <c r="Q4" s="42">
        <f t="shared" si="3"/>
        <v>5434279.5800000001</v>
      </c>
      <c r="R4" s="42">
        <f>MEDIAN(E4,K4)</f>
        <v>5434279.5800000001</v>
      </c>
      <c r="S4" s="13">
        <f>_xlfn.STDEV.P(E4,K4)</f>
        <v>0</v>
      </c>
      <c r="T4" s="14">
        <f t="shared" ref="T4:T16" si="9">S4/R4</f>
        <v>0</v>
      </c>
      <c r="U4" s="12" t="s">
        <v>10</v>
      </c>
      <c r="V4" s="41">
        <v>5421245</v>
      </c>
    </row>
    <row r="5" spans="1:22" ht="35.1" customHeight="1" x14ac:dyDescent="0.25">
      <c r="A5" s="12">
        <v>3</v>
      </c>
      <c r="B5" s="12" t="s">
        <v>21</v>
      </c>
      <c r="C5" s="22" t="s">
        <v>18</v>
      </c>
      <c r="D5" s="6">
        <v>1</v>
      </c>
      <c r="E5" s="26">
        <v>5434279.5800000001</v>
      </c>
      <c r="F5" s="27">
        <f t="shared" si="4"/>
        <v>1032513.1202</v>
      </c>
      <c r="G5" s="26">
        <f t="shared" si="5"/>
        <v>6466792.7001999998</v>
      </c>
      <c r="H5" s="26">
        <v>5434279.5800000001</v>
      </c>
      <c r="I5" s="27">
        <f>+H5*0.19</f>
        <v>1032513.1202</v>
      </c>
      <c r="J5" s="26">
        <f>+I5+H5</f>
        <v>6466792.7001999998</v>
      </c>
      <c r="K5" s="26">
        <v>5434279.5800000001</v>
      </c>
      <c r="L5" s="26">
        <f t="shared" si="6"/>
        <v>1032513.1202</v>
      </c>
      <c r="M5" s="26">
        <f t="shared" si="7"/>
        <v>6466792.7001999998</v>
      </c>
      <c r="N5" s="41">
        <f>MAX(E5,H5,K5)</f>
        <v>5434279.5800000001</v>
      </c>
      <c r="O5" s="41">
        <f>MIN(E5,H5,K5)</f>
        <v>5434279.5800000001</v>
      </c>
      <c r="P5" s="41">
        <f t="shared" si="8"/>
        <v>5434279.5800000001</v>
      </c>
      <c r="Q5" s="42">
        <f>HARMEAN(E5,H5,K5)</f>
        <v>5434279.5800000001</v>
      </c>
      <c r="R5" s="42">
        <f>MEDIAN(E5,H5,K5)</f>
        <v>5434279.5800000001</v>
      </c>
      <c r="S5" s="58">
        <f>_xlfn.STDEV.P(E5,H5,K5)</f>
        <v>0</v>
      </c>
      <c r="T5" s="14">
        <f t="shared" si="9"/>
        <v>0</v>
      </c>
      <c r="U5" s="12" t="s">
        <v>10</v>
      </c>
      <c r="V5" s="41">
        <v>5421245</v>
      </c>
    </row>
    <row r="6" spans="1:22" ht="35.1" customHeight="1" x14ac:dyDescent="0.25">
      <c r="A6" s="12"/>
      <c r="B6" s="37" t="s">
        <v>41</v>
      </c>
      <c r="C6" s="22"/>
      <c r="D6" s="6"/>
      <c r="E6" s="26"/>
      <c r="F6" s="27"/>
      <c r="G6" s="26"/>
      <c r="H6" s="26"/>
      <c r="I6" s="27"/>
      <c r="J6" s="26"/>
      <c r="K6" s="26"/>
      <c r="L6" s="26"/>
      <c r="M6" s="26"/>
      <c r="N6" s="41"/>
      <c r="O6" s="41"/>
      <c r="P6" s="41"/>
      <c r="Q6" s="42"/>
      <c r="R6" s="42"/>
      <c r="S6" s="58"/>
      <c r="T6" s="14"/>
      <c r="U6" s="13"/>
      <c r="V6" s="41"/>
    </row>
    <row r="7" spans="1:22" ht="35.1" customHeight="1" x14ac:dyDescent="0.25">
      <c r="A7" s="12">
        <v>1</v>
      </c>
      <c r="B7" s="12" t="s">
        <v>23</v>
      </c>
      <c r="C7" s="22" t="s">
        <v>18</v>
      </c>
      <c r="D7" s="6">
        <v>1</v>
      </c>
      <c r="E7" s="28">
        <v>59550878.571428567</v>
      </c>
      <c r="F7" s="27">
        <f>+E7*0.19</f>
        <v>11314666.928571427</v>
      </c>
      <c r="G7" s="28">
        <f>+F7+E7</f>
        <v>70865545.5</v>
      </c>
      <c r="H7" s="28">
        <v>59030760.279999994</v>
      </c>
      <c r="I7" s="27">
        <f>+H7*0.19</f>
        <v>11215844.453199999</v>
      </c>
      <c r="J7" s="28">
        <f>+I7+H7</f>
        <v>70246604.733199999</v>
      </c>
      <c r="K7" s="28">
        <v>0</v>
      </c>
      <c r="L7" s="28">
        <f>+K7*0.19</f>
        <v>0</v>
      </c>
      <c r="M7" s="26">
        <f>+L7+K7</f>
        <v>0</v>
      </c>
      <c r="N7" s="41">
        <f>MAX(E7,H7)</f>
        <v>59550878.571428567</v>
      </c>
      <c r="O7" s="41">
        <f>MIN(E7,H7)</f>
        <v>59030760.279999994</v>
      </c>
      <c r="P7" s="41">
        <f>AVERAGE(E7,H7)</f>
        <v>59290819.425714284</v>
      </c>
      <c r="Q7" s="42">
        <f>HARMEAN(E7,H7)</f>
        <v>59289678.764142655</v>
      </c>
      <c r="R7" s="42">
        <f>MEDIAN(E7,H7)</f>
        <v>59290819.425714284</v>
      </c>
      <c r="S7" s="58">
        <f>_xlfn.STDEV.P(E7,H7)</f>
        <v>260059.14571428671</v>
      </c>
      <c r="T7" s="14">
        <f t="shared" si="9"/>
        <v>4.3861621113217356E-3</v>
      </c>
      <c r="U7" s="12" t="s">
        <v>10</v>
      </c>
      <c r="V7" s="41">
        <f>+O7</f>
        <v>59030760.279999994</v>
      </c>
    </row>
    <row r="8" spans="1:22" ht="35.1" customHeight="1" x14ac:dyDescent="0.25">
      <c r="A8" s="12">
        <v>2</v>
      </c>
      <c r="B8" s="12" t="s">
        <v>24</v>
      </c>
      <c r="C8" s="22" t="s">
        <v>18</v>
      </c>
      <c r="D8" s="6">
        <v>1</v>
      </c>
      <c r="E8" s="26">
        <v>33232620</v>
      </c>
      <c r="F8" s="27">
        <f t="shared" ref="F8:F16" si="10">+E8*0.19</f>
        <v>6314197.7999999998</v>
      </c>
      <c r="G8" s="28">
        <f t="shared" ref="G8:G16" si="11">+F8+E8</f>
        <v>39546817.799999997</v>
      </c>
      <c r="H8" s="26">
        <v>34264155.479999997</v>
      </c>
      <c r="I8" s="27">
        <f t="shared" ref="I8:I16" si="12">+H8*0.19</f>
        <v>6510189.5411999999</v>
      </c>
      <c r="J8" s="28">
        <f t="shared" ref="J8:J16" si="13">+I8+H8</f>
        <v>40774345.021199994</v>
      </c>
      <c r="K8" s="26">
        <v>33232619.999999996</v>
      </c>
      <c r="L8" s="28">
        <f t="shared" ref="L8:L15" si="14">+K8*0.19</f>
        <v>6314197.7999999998</v>
      </c>
      <c r="M8" s="26">
        <f t="shared" ref="M8:M15" si="15">+L8+K8</f>
        <v>39546817.799999997</v>
      </c>
      <c r="N8" s="41">
        <f>MAX(E8,H8,K8)</f>
        <v>34264155.479999997</v>
      </c>
      <c r="O8" s="41">
        <f>MIN(E8,H8,K8)</f>
        <v>33232619.999999996</v>
      </c>
      <c r="P8" s="41">
        <f>AVERAGE(E8,H8,K8)</f>
        <v>33576465.159999996</v>
      </c>
      <c r="Q8" s="42">
        <f>HARMEAN(E8,H8,K8)</f>
        <v>33569494.145115994</v>
      </c>
      <c r="R8" s="42">
        <f>MEDIAN(E8,H8,K8)</f>
        <v>33232620</v>
      </c>
      <c r="S8" s="13">
        <f>_xlfn.STDEV.P(E8,H8,K8)</f>
        <v>486270.48862834618</v>
      </c>
      <c r="T8" s="14">
        <f t="shared" si="9"/>
        <v>1.463232476489504E-2</v>
      </c>
      <c r="U8" s="12" t="s">
        <v>10</v>
      </c>
      <c r="V8" s="41">
        <v>33232620</v>
      </c>
    </row>
    <row r="9" spans="1:22" ht="35.1" customHeight="1" x14ac:dyDescent="0.25">
      <c r="A9" s="12">
        <v>3</v>
      </c>
      <c r="B9" s="12" t="s">
        <v>25</v>
      </c>
      <c r="C9" s="22" t="s">
        <v>18</v>
      </c>
      <c r="D9" s="6">
        <v>1</v>
      </c>
      <c r="E9" s="28">
        <v>36049300</v>
      </c>
      <c r="F9" s="27">
        <f t="shared" si="10"/>
        <v>6849367</v>
      </c>
      <c r="G9" s="28">
        <f t="shared" si="11"/>
        <v>42898667</v>
      </c>
      <c r="H9" s="28">
        <v>37581111.479999997</v>
      </c>
      <c r="I9" s="27">
        <f t="shared" si="12"/>
        <v>7140411.1811999995</v>
      </c>
      <c r="J9" s="28">
        <f t="shared" si="13"/>
        <v>44721522.661199994</v>
      </c>
      <c r="K9" s="28">
        <v>36049300</v>
      </c>
      <c r="L9" s="28">
        <f t="shared" si="14"/>
        <v>6849367</v>
      </c>
      <c r="M9" s="26">
        <f t="shared" si="15"/>
        <v>42898667</v>
      </c>
      <c r="N9" s="41">
        <f t="shared" ref="N9:N16" si="16">MAX(E9,H9,K9)</f>
        <v>37581111.479999997</v>
      </c>
      <c r="O9" s="41">
        <f t="shared" ref="O9:O16" si="17">MIN(E9,H9,K9)</f>
        <v>36049300</v>
      </c>
      <c r="P9" s="41">
        <f t="shared" ref="P9:P16" si="18">AVERAGE(E9,H9,K9)</f>
        <v>36559903.826666661</v>
      </c>
      <c r="Q9" s="42">
        <f t="shared" ref="Q9:Q16" si="19">HARMEAN(E9,H9,K9)</f>
        <v>36545837.859712839</v>
      </c>
      <c r="R9" s="42">
        <f t="shared" ref="R9:R16" si="20">MEDIAN(E9,H9,K9)</f>
        <v>36049300</v>
      </c>
      <c r="S9" s="13">
        <f t="shared" ref="S9:S16" si="21">_xlfn.STDEV.P(E9,H9,K9)</f>
        <v>722102.85667159944</v>
      </c>
      <c r="T9" s="14">
        <f t="shared" si="9"/>
        <v>2.0030981369169427E-2</v>
      </c>
      <c r="U9" s="12" t="s">
        <v>10</v>
      </c>
      <c r="V9" s="41">
        <v>36049300</v>
      </c>
    </row>
    <row r="10" spans="1:22" ht="35.1" customHeight="1" x14ac:dyDescent="0.25">
      <c r="A10" s="12">
        <v>8</v>
      </c>
      <c r="B10" s="12" t="s">
        <v>26</v>
      </c>
      <c r="C10" s="22" t="s">
        <v>18</v>
      </c>
      <c r="D10" s="6">
        <v>1</v>
      </c>
      <c r="E10" s="28">
        <v>15975200</v>
      </c>
      <c r="F10" s="27">
        <f t="shared" si="10"/>
        <v>3035288</v>
      </c>
      <c r="G10" s="28">
        <f t="shared" si="11"/>
        <v>19010488</v>
      </c>
      <c r="H10" s="28">
        <v>16418932.199999999</v>
      </c>
      <c r="I10" s="27">
        <f t="shared" si="12"/>
        <v>3119597.1179999998</v>
      </c>
      <c r="J10" s="28">
        <f t="shared" si="13"/>
        <v>19538529.318</v>
      </c>
      <c r="K10" s="26">
        <v>15975199.999999998</v>
      </c>
      <c r="L10" s="28">
        <f t="shared" si="14"/>
        <v>3035287.9999999995</v>
      </c>
      <c r="M10" s="26">
        <f t="shared" si="15"/>
        <v>19010487.999999996</v>
      </c>
      <c r="N10" s="41">
        <f t="shared" si="16"/>
        <v>16418932.199999999</v>
      </c>
      <c r="O10" s="41">
        <f t="shared" si="17"/>
        <v>15975199.999999998</v>
      </c>
      <c r="P10" s="41">
        <f t="shared" si="18"/>
        <v>16123110.733333332</v>
      </c>
      <c r="Q10" s="42">
        <f t="shared" si="19"/>
        <v>16120421.586240752</v>
      </c>
      <c r="R10" s="42">
        <f t="shared" si="20"/>
        <v>15975200</v>
      </c>
      <c r="S10" s="13">
        <f t="shared" si="21"/>
        <v>209177.36510055032</v>
      </c>
      <c r="T10" s="14">
        <f t="shared" si="9"/>
        <v>1.3093880834077214E-2</v>
      </c>
      <c r="U10" s="12" t="s">
        <v>10</v>
      </c>
      <c r="V10" s="41">
        <v>15975200</v>
      </c>
    </row>
    <row r="11" spans="1:22" ht="35.1" customHeight="1" x14ac:dyDescent="0.25">
      <c r="A11" s="12">
        <v>9</v>
      </c>
      <c r="B11" s="12" t="s">
        <v>27</v>
      </c>
      <c r="C11" s="22" t="s">
        <v>18</v>
      </c>
      <c r="D11" s="6">
        <v>1</v>
      </c>
      <c r="E11" s="28">
        <v>18918000</v>
      </c>
      <c r="F11" s="27">
        <f t="shared" si="10"/>
        <v>3594420</v>
      </c>
      <c r="G11" s="28">
        <f t="shared" si="11"/>
        <v>22512420</v>
      </c>
      <c r="H11" s="28">
        <v>20454562</v>
      </c>
      <c r="I11" s="27">
        <f t="shared" si="12"/>
        <v>3886366.7800000003</v>
      </c>
      <c r="J11" s="28">
        <f t="shared" si="13"/>
        <v>24340928.780000001</v>
      </c>
      <c r="K11" s="26">
        <v>18918000</v>
      </c>
      <c r="L11" s="28">
        <f t="shared" si="14"/>
        <v>3594420</v>
      </c>
      <c r="M11" s="26">
        <f t="shared" si="15"/>
        <v>22512420</v>
      </c>
      <c r="N11" s="41">
        <f t="shared" si="16"/>
        <v>20454562</v>
      </c>
      <c r="O11" s="41">
        <f t="shared" si="17"/>
        <v>18918000</v>
      </c>
      <c r="P11" s="41">
        <f t="shared" si="18"/>
        <v>19430187.333333332</v>
      </c>
      <c r="Q11" s="42">
        <f t="shared" si="19"/>
        <v>19403877.942519851</v>
      </c>
      <c r="R11" s="42">
        <f t="shared" si="20"/>
        <v>18918000</v>
      </c>
      <c r="S11" s="13">
        <f t="shared" si="21"/>
        <v>724342.27327570925</v>
      </c>
      <c r="T11" s="14">
        <f t="shared" si="9"/>
        <v>3.8288522744249355E-2</v>
      </c>
      <c r="U11" s="12" t="s">
        <v>10</v>
      </c>
      <c r="V11" s="41">
        <v>18918000</v>
      </c>
    </row>
    <row r="12" spans="1:22" ht="35.1" customHeight="1" x14ac:dyDescent="0.25">
      <c r="A12" s="12">
        <v>10</v>
      </c>
      <c r="B12" s="12" t="s">
        <v>28</v>
      </c>
      <c r="C12" s="22" t="s">
        <v>18</v>
      </c>
      <c r="D12" s="6">
        <v>1</v>
      </c>
      <c r="E12" s="28">
        <v>3958234.16</v>
      </c>
      <c r="F12" s="27">
        <f t="shared" si="10"/>
        <v>752064.49040000001</v>
      </c>
      <c r="G12" s="28">
        <f t="shared" si="11"/>
        <v>4710298.6503999997</v>
      </c>
      <c r="H12" s="28">
        <v>3958234.1599999997</v>
      </c>
      <c r="I12" s="27">
        <f t="shared" si="12"/>
        <v>752064.49039999989</v>
      </c>
      <c r="J12" s="28">
        <f t="shared" si="13"/>
        <v>4710298.6503999997</v>
      </c>
      <c r="K12" s="26">
        <v>3958234.1599999997</v>
      </c>
      <c r="L12" s="28">
        <f t="shared" si="14"/>
        <v>752064.49039999989</v>
      </c>
      <c r="M12" s="26">
        <f t="shared" si="15"/>
        <v>4710298.6503999997</v>
      </c>
      <c r="N12" s="41">
        <f t="shared" si="16"/>
        <v>3958234.16</v>
      </c>
      <c r="O12" s="41">
        <f t="shared" si="17"/>
        <v>3958234.1599999997</v>
      </c>
      <c r="P12" s="41">
        <f t="shared" si="18"/>
        <v>3958234.16</v>
      </c>
      <c r="Q12" s="42">
        <f t="shared" si="19"/>
        <v>3958234.16</v>
      </c>
      <c r="R12" s="42">
        <f t="shared" si="20"/>
        <v>3958234.1599999997</v>
      </c>
      <c r="S12" s="13">
        <f t="shared" si="21"/>
        <v>3.8021084895717261E-10</v>
      </c>
      <c r="T12" s="14">
        <f t="shared" si="9"/>
        <v>9.6055673714152538E-17</v>
      </c>
      <c r="U12" s="12" t="s">
        <v>10</v>
      </c>
      <c r="V12" s="41">
        <v>3948740</v>
      </c>
    </row>
    <row r="13" spans="1:22" ht="35.1" customHeight="1" x14ac:dyDescent="0.25">
      <c r="A13" s="12">
        <v>11</v>
      </c>
      <c r="B13" s="12" t="s">
        <v>29</v>
      </c>
      <c r="C13" s="22" t="s">
        <v>18</v>
      </c>
      <c r="D13" s="6">
        <v>1</v>
      </c>
      <c r="E13" s="26">
        <v>20447106.206</v>
      </c>
      <c r="F13" s="27">
        <f t="shared" si="10"/>
        <v>3884950.1791400001</v>
      </c>
      <c r="G13" s="28">
        <f t="shared" si="11"/>
        <v>24332056.385140002</v>
      </c>
      <c r="H13" s="26">
        <v>21460705.32</v>
      </c>
      <c r="I13" s="27">
        <f t="shared" si="12"/>
        <v>4077534.0108000003</v>
      </c>
      <c r="J13" s="28">
        <f t="shared" si="13"/>
        <v>25538239.330800001</v>
      </c>
      <c r="K13" s="26">
        <v>20447106.46875</v>
      </c>
      <c r="L13" s="28">
        <f t="shared" si="14"/>
        <v>3884950.2290624999</v>
      </c>
      <c r="M13" s="26">
        <f t="shared" si="15"/>
        <v>24332056.697812501</v>
      </c>
      <c r="N13" s="41">
        <f t="shared" si="16"/>
        <v>21460705.32</v>
      </c>
      <c r="O13" s="41">
        <f t="shared" si="17"/>
        <v>20447106.206</v>
      </c>
      <c r="P13" s="41">
        <f t="shared" si="18"/>
        <v>20784972.664916668</v>
      </c>
      <c r="Q13" s="42">
        <f t="shared" si="19"/>
        <v>20774164.112588331</v>
      </c>
      <c r="R13" s="42">
        <f t="shared" si="20"/>
        <v>20447106.46875</v>
      </c>
      <c r="S13" s="13">
        <f t="shared" si="21"/>
        <v>477815.14267862751</v>
      </c>
      <c r="T13" s="14">
        <f t="shared" si="9"/>
        <v>2.3368350109042983E-2</v>
      </c>
      <c r="U13" s="12" t="s">
        <v>10</v>
      </c>
      <c r="V13" s="41">
        <v>20447106.206</v>
      </c>
    </row>
    <row r="14" spans="1:22" ht="35.1" customHeight="1" x14ac:dyDescent="0.25">
      <c r="A14" s="12">
        <v>12</v>
      </c>
      <c r="B14" s="12" t="s">
        <v>30</v>
      </c>
      <c r="C14" s="22" t="s">
        <v>18</v>
      </c>
      <c r="D14" s="6">
        <v>1</v>
      </c>
      <c r="E14" s="28">
        <v>2764130</v>
      </c>
      <c r="F14" s="27">
        <f t="shared" si="10"/>
        <v>525184.69999999995</v>
      </c>
      <c r="G14" s="28">
        <f t="shared" si="11"/>
        <v>3289314.7</v>
      </c>
      <c r="H14" s="28">
        <v>2764130</v>
      </c>
      <c r="I14" s="27">
        <f t="shared" si="12"/>
        <v>525184.69999999995</v>
      </c>
      <c r="J14" s="28">
        <f t="shared" si="13"/>
        <v>3289314.7</v>
      </c>
      <c r="K14" s="26">
        <v>2764130</v>
      </c>
      <c r="L14" s="28">
        <f t="shared" si="14"/>
        <v>525184.69999999995</v>
      </c>
      <c r="M14" s="26">
        <f t="shared" si="15"/>
        <v>3289314.7</v>
      </c>
      <c r="N14" s="41">
        <f t="shared" si="16"/>
        <v>2764130</v>
      </c>
      <c r="O14" s="41">
        <f t="shared" si="17"/>
        <v>2764130</v>
      </c>
      <c r="P14" s="41">
        <f t="shared" si="18"/>
        <v>2764130</v>
      </c>
      <c r="Q14" s="42">
        <f t="shared" si="19"/>
        <v>2764130</v>
      </c>
      <c r="R14" s="42">
        <f t="shared" si="20"/>
        <v>2764130</v>
      </c>
      <c r="S14" s="13">
        <f t="shared" si="21"/>
        <v>0</v>
      </c>
      <c r="T14" s="14">
        <f t="shared" si="9"/>
        <v>0</v>
      </c>
      <c r="U14" s="12" t="s">
        <v>10</v>
      </c>
      <c r="V14" s="41">
        <v>2757500</v>
      </c>
    </row>
    <row r="15" spans="1:22" ht="35.1" customHeight="1" x14ac:dyDescent="0.25">
      <c r="A15" s="12">
        <v>13</v>
      </c>
      <c r="B15" s="12" t="s">
        <v>31</v>
      </c>
      <c r="C15" s="22" t="s">
        <v>18</v>
      </c>
      <c r="D15" s="6">
        <v>1</v>
      </c>
      <c r="E15" s="28">
        <v>3029486.48</v>
      </c>
      <c r="F15" s="27">
        <f t="shared" si="10"/>
        <v>575602.43119999999</v>
      </c>
      <c r="G15" s="28">
        <f t="shared" si="11"/>
        <v>3605088.9112</v>
      </c>
      <c r="H15" s="28">
        <v>3029486.48</v>
      </c>
      <c r="I15" s="27">
        <f t="shared" si="12"/>
        <v>575602.43119999999</v>
      </c>
      <c r="J15" s="28">
        <f t="shared" si="13"/>
        <v>3605088.9112</v>
      </c>
      <c r="K15" s="28">
        <v>3029486.48</v>
      </c>
      <c r="L15" s="28">
        <f t="shared" si="14"/>
        <v>575602.43119999999</v>
      </c>
      <c r="M15" s="26">
        <f t="shared" si="15"/>
        <v>3605088.9112</v>
      </c>
      <c r="N15" s="41">
        <f t="shared" si="16"/>
        <v>3029486.48</v>
      </c>
      <c r="O15" s="41">
        <f t="shared" si="17"/>
        <v>3029486.48</v>
      </c>
      <c r="P15" s="41">
        <f t="shared" si="18"/>
        <v>3029486.48</v>
      </c>
      <c r="Q15" s="42">
        <f t="shared" si="19"/>
        <v>3029486.48</v>
      </c>
      <c r="R15" s="42">
        <f t="shared" si="20"/>
        <v>3029486.48</v>
      </c>
      <c r="S15" s="13">
        <f t="shared" si="21"/>
        <v>0</v>
      </c>
      <c r="T15" s="14">
        <f t="shared" si="9"/>
        <v>0</v>
      </c>
      <c r="U15" s="12" t="s">
        <v>10</v>
      </c>
      <c r="V15" s="41">
        <v>3022220</v>
      </c>
    </row>
    <row r="16" spans="1:22" ht="35.1" customHeight="1" x14ac:dyDescent="0.25">
      <c r="A16" s="12">
        <v>14</v>
      </c>
      <c r="B16" s="12" t="s">
        <v>32</v>
      </c>
      <c r="C16" s="22" t="s">
        <v>18</v>
      </c>
      <c r="D16" s="6">
        <v>1</v>
      </c>
      <c r="E16" s="28">
        <v>7242020.5999999996</v>
      </c>
      <c r="F16" s="27">
        <f t="shared" si="10"/>
        <v>1375983.9139999999</v>
      </c>
      <c r="G16" s="28">
        <f t="shared" si="11"/>
        <v>8618004.5139999986</v>
      </c>
      <c r="H16" s="28">
        <v>7242020.5999999996</v>
      </c>
      <c r="I16" s="27">
        <f t="shared" si="12"/>
        <v>1375983.9139999999</v>
      </c>
      <c r="J16" s="28">
        <f t="shared" si="13"/>
        <v>8618004.5139999986</v>
      </c>
      <c r="K16" s="26">
        <v>7242020.5999999996</v>
      </c>
      <c r="L16" s="28">
        <f>+K16*0.19</f>
        <v>1375983.9139999999</v>
      </c>
      <c r="M16" s="26">
        <f>+L16+K16</f>
        <v>8618004.5139999986</v>
      </c>
      <c r="N16" s="41">
        <f t="shared" si="16"/>
        <v>7242020.5999999996</v>
      </c>
      <c r="O16" s="41">
        <f t="shared" si="17"/>
        <v>7242020.5999999996</v>
      </c>
      <c r="P16" s="41">
        <f t="shared" si="18"/>
        <v>7242020.5999999987</v>
      </c>
      <c r="Q16" s="42">
        <f t="shared" si="19"/>
        <v>7242020.5999999987</v>
      </c>
      <c r="R16" s="42">
        <f t="shared" si="20"/>
        <v>7242020.5999999996</v>
      </c>
      <c r="S16" s="13">
        <f t="shared" si="21"/>
        <v>9.3132257461547852E-10</v>
      </c>
      <c r="T16" s="14">
        <f t="shared" si="9"/>
        <v>1.2859982400705663E-16</v>
      </c>
      <c r="U16" s="12" t="s">
        <v>10</v>
      </c>
      <c r="V16" s="41">
        <v>7224650</v>
      </c>
    </row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47.2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47.2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spans="1:1" ht="15.75" customHeight="1" x14ac:dyDescent="0.25"/>
    <row r="162" spans="1:1" ht="15.75" customHeight="1" x14ac:dyDescent="0.25"/>
    <row r="163" spans="1:1" ht="15.75" customHeight="1" x14ac:dyDescent="0.25"/>
    <row r="164" spans="1:1" ht="15.75" customHeight="1" x14ac:dyDescent="0.25"/>
    <row r="165" spans="1:1" ht="15.75" customHeight="1" x14ac:dyDescent="0.25"/>
    <row r="166" spans="1:1" ht="15.75" customHeight="1" x14ac:dyDescent="0.25"/>
    <row r="167" spans="1:1" ht="15.75" customHeight="1" x14ac:dyDescent="0.25">
      <c r="A167" s="40"/>
    </row>
    <row r="168" spans="1:1" ht="15.75" customHeight="1" x14ac:dyDescent="0.25"/>
    <row r="169" spans="1:1" ht="16.5" customHeight="1" x14ac:dyDescent="0.25"/>
    <row r="171" spans="1:1" ht="15.75" customHeight="1" x14ac:dyDescent="0.25"/>
    <row r="172" spans="1:1" ht="15.75" customHeight="1" x14ac:dyDescent="0.25"/>
    <row r="173" spans="1:1" ht="15.75" customHeight="1" x14ac:dyDescent="0.25"/>
    <row r="174" spans="1:1" ht="15.75" customHeight="1" x14ac:dyDescent="0.25"/>
    <row r="175" spans="1:1" ht="15.75" customHeight="1" x14ac:dyDescent="0.25"/>
    <row r="176" spans="1:1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74.2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</sheetData>
  <autoFilter ref="A2:V16" xr:uid="{12655253-7439-E145-A050-3062AA808B21}"/>
  <mergeCells count="3">
    <mergeCell ref="K1:M1"/>
    <mergeCell ref="H1:J1"/>
    <mergeCell ref="E1:G1"/>
  </mergeCells>
  <pageMargins left="0.25" right="0.25" top="0.75" bottom="0.75" header="0" footer="0"/>
  <pageSetup paperSize="9" scale="2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995"/>
  <sheetViews>
    <sheetView zoomScale="125" workbookViewId="0">
      <selection activeCell="G18" sqref="G18"/>
    </sheetView>
  </sheetViews>
  <sheetFormatPr baseColWidth="10" defaultColWidth="14.42578125" defaultRowHeight="15" customHeight="1" x14ac:dyDescent="0.25"/>
  <cols>
    <col min="1" max="1" width="4.7109375" bestFit="1" customWidth="1"/>
    <col min="2" max="2" width="94.42578125" bestFit="1" customWidth="1"/>
    <col min="3" max="4" width="10.7109375" customWidth="1"/>
    <col min="5" max="5" width="10.7109375" style="7" customWidth="1"/>
    <col min="6" max="6" width="12.5703125" style="7" bestFit="1" customWidth="1"/>
    <col min="7" max="7" width="18.42578125" style="7" bestFit="1" customWidth="1"/>
    <col min="8" max="15" width="10.7109375" customWidth="1"/>
  </cols>
  <sheetData>
    <row r="1" spans="1:15" ht="15" customHeight="1" x14ac:dyDescent="0.25">
      <c r="E1" s="75" t="s">
        <v>36</v>
      </c>
      <c r="F1" s="76"/>
      <c r="G1" s="77"/>
    </row>
    <row r="2" spans="1:15" ht="33.75" customHeight="1" x14ac:dyDescent="0.25">
      <c r="A2" s="3" t="s">
        <v>7</v>
      </c>
      <c r="B2" s="10" t="s">
        <v>8</v>
      </c>
      <c r="C2" s="3" t="s">
        <v>9</v>
      </c>
      <c r="D2" s="4" t="s">
        <v>12</v>
      </c>
      <c r="E2" s="3" t="s">
        <v>13</v>
      </c>
      <c r="F2" s="3" t="s">
        <v>14</v>
      </c>
      <c r="G2" s="3" t="s">
        <v>13</v>
      </c>
    </row>
    <row r="3" spans="1:15" x14ac:dyDescent="0.25">
      <c r="A3" s="5">
        <v>1</v>
      </c>
      <c r="B3" s="18" t="s">
        <v>19</v>
      </c>
      <c r="C3" s="22" t="s">
        <v>18</v>
      </c>
      <c r="D3" s="6">
        <v>1</v>
      </c>
      <c r="E3" s="20">
        <v>5434279.5800000001</v>
      </c>
      <c r="F3" s="24">
        <f>+E3*0.19</f>
        <v>1032513.1202</v>
      </c>
      <c r="G3" s="21">
        <f>+F3+E3</f>
        <v>6466792.7001999998</v>
      </c>
      <c r="J3" s="59"/>
    </row>
    <row r="4" spans="1:15" ht="16.5" customHeight="1" x14ac:dyDescent="0.25">
      <c r="A4" s="5">
        <v>2</v>
      </c>
      <c r="B4" s="18" t="s">
        <v>20</v>
      </c>
      <c r="C4" s="22" t="s">
        <v>18</v>
      </c>
      <c r="D4" s="6">
        <v>1</v>
      </c>
      <c r="E4" s="20">
        <v>5434279.5800000001</v>
      </c>
      <c r="F4" s="24">
        <f t="shared" ref="F4:F5" si="0">+E4*0.19</f>
        <v>1032513.1202</v>
      </c>
      <c r="G4" s="21">
        <f t="shared" ref="G4:G5" si="1">+F4+E4</f>
        <v>6466792.7001999998</v>
      </c>
    </row>
    <row r="5" spans="1:15" x14ac:dyDescent="0.25">
      <c r="A5" s="5">
        <v>3</v>
      </c>
      <c r="B5" s="18" t="s">
        <v>21</v>
      </c>
      <c r="C5" s="22" t="s">
        <v>18</v>
      </c>
      <c r="D5" s="6">
        <v>1</v>
      </c>
      <c r="E5" s="20">
        <v>5434279.5800000001</v>
      </c>
      <c r="F5" s="24">
        <f t="shared" si="0"/>
        <v>1032513.1202</v>
      </c>
      <c r="G5" s="21">
        <f t="shared" si="1"/>
        <v>6466792.7001999998</v>
      </c>
      <c r="H5" s="1"/>
      <c r="I5" s="1"/>
      <c r="J5" s="1"/>
      <c r="K5" s="1"/>
      <c r="L5" s="1"/>
      <c r="M5" s="1"/>
      <c r="N5" s="1"/>
      <c r="O5" s="1"/>
    </row>
    <row r="6" spans="1:15" x14ac:dyDescent="0.25">
      <c r="A6" s="5">
        <v>4</v>
      </c>
      <c r="B6" s="23" t="s">
        <v>33</v>
      </c>
      <c r="C6" s="22"/>
      <c r="D6" s="6"/>
      <c r="E6" s="21"/>
      <c r="F6" s="8"/>
      <c r="G6" s="57">
        <f>SUM(G3:G5)</f>
        <v>19400378.1006</v>
      </c>
      <c r="H6" s="1"/>
      <c r="I6" s="1"/>
      <c r="J6" s="1"/>
      <c r="K6" s="1"/>
      <c r="L6" s="1"/>
      <c r="M6" s="1"/>
      <c r="N6" s="1"/>
      <c r="O6" s="1"/>
    </row>
    <row r="7" spans="1:15" x14ac:dyDescent="0.25">
      <c r="A7" s="5">
        <v>5</v>
      </c>
      <c r="B7" s="19" t="s">
        <v>23</v>
      </c>
      <c r="C7" s="22" t="s">
        <v>18</v>
      </c>
      <c r="D7" s="6">
        <v>1</v>
      </c>
      <c r="E7" s="21">
        <v>59550878.571428567</v>
      </c>
      <c r="F7" s="24">
        <f>+E7*0.19</f>
        <v>11314666.928571427</v>
      </c>
      <c r="G7" s="21">
        <f>+F7+E7</f>
        <v>70865545.5</v>
      </c>
    </row>
    <row r="8" spans="1:15" x14ac:dyDescent="0.25">
      <c r="A8" s="5">
        <v>6</v>
      </c>
      <c r="B8" s="19" t="s">
        <v>24</v>
      </c>
      <c r="C8" s="22" t="s">
        <v>18</v>
      </c>
      <c r="D8" s="6">
        <v>1</v>
      </c>
      <c r="E8" s="21">
        <v>33232620</v>
      </c>
      <c r="F8" s="24">
        <f t="shared" ref="F8:F16" si="2">+E8*0.19</f>
        <v>6314197.7999999998</v>
      </c>
      <c r="G8" s="21">
        <f t="shared" ref="G8:G16" si="3">+F8+E8</f>
        <v>39546817.799999997</v>
      </c>
    </row>
    <row r="9" spans="1:15" x14ac:dyDescent="0.25">
      <c r="A9" s="5">
        <v>7</v>
      </c>
      <c r="B9" s="19" t="s">
        <v>25</v>
      </c>
      <c r="C9" s="22" t="s">
        <v>18</v>
      </c>
      <c r="D9" s="6">
        <v>1</v>
      </c>
      <c r="E9" s="21">
        <v>36049300</v>
      </c>
      <c r="F9" s="24">
        <f t="shared" si="2"/>
        <v>6849367</v>
      </c>
      <c r="G9" s="21">
        <f t="shared" si="3"/>
        <v>42898667</v>
      </c>
    </row>
    <row r="10" spans="1:15" x14ac:dyDescent="0.25">
      <c r="A10" s="5">
        <v>8</v>
      </c>
      <c r="B10" s="19" t="s">
        <v>26</v>
      </c>
      <c r="C10" s="22" t="s">
        <v>18</v>
      </c>
      <c r="D10" s="6">
        <v>1</v>
      </c>
      <c r="E10" s="21">
        <v>15975200</v>
      </c>
      <c r="F10" s="24">
        <f t="shared" si="2"/>
        <v>3035288</v>
      </c>
      <c r="G10" s="21">
        <f t="shared" si="3"/>
        <v>19010488</v>
      </c>
    </row>
    <row r="11" spans="1:15" x14ac:dyDescent="0.25">
      <c r="A11" s="5">
        <v>9</v>
      </c>
      <c r="B11" s="19" t="s">
        <v>27</v>
      </c>
      <c r="C11" s="22" t="s">
        <v>18</v>
      </c>
      <c r="D11" s="6">
        <v>1</v>
      </c>
      <c r="E11" s="21">
        <v>18918000</v>
      </c>
      <c r="F11" s="24">
        <f t="shared" si="2"/>
        <v>3594420</v>
      </c>
      <c r="G11" s="21">
        <f t="shared" si="3"/>
        <v>22512420</v>
      </c>
    </row>
    <row r="12" spans="1:15" x14ac:dyDescent="0.25">
      <c r="A12" s="5">
        <v>10</v>
      </c>
      <c r="B12" s="19" t="s">
        <v>28</v>
      </c>
      <c r="C12" s="22" t="s">
        <v>18</v>
      </c>
      <c r="D12" s="6">
        <v>1</v>
      </c>
      <c r="E12" s="21">
        <v>3958234.16</v>
      </c>
      <c r="F12" s="24">
        <f t="shared" si="2"/>
        <v>752064.49040000001</v>
      </c>
      <c r="G12" s="21">
        <f t="shared" si="3"/>
        <v>4710298.6503999997</v>
      </c>
    </row>
    <row r="13" spans="1:15" x14ac:dyDescent="0.25">
      <c r="A13" s="5">
        <v>11</v>
      </c>
      <c r="B13" s="19" t="s">
        <v>29</v>
      </c>
      <c r="C13" s="22" t="s">
        <v>18</v>
      </c>
      <c r="D13" s="6">
        <v>1</v>
      </c>
      <c r="E13" s="21">
        <v>20447106.206</v>
      </c>
      <c r="F13" s="24">
        <f t="shared" si="2"/>
        <v>3884950.1791400001</v>
      </c>
      <c r="G13" s="21">
        <f t="shared" si="3"/>
        <v>24332056.385140002</v>
      </c>
    </row>
    <row r="14" spans="1:15" x14ac:dyDescent="0.25">
      <c r="A14" s="5">
        <v>12</v>
      </c>
      <c r="B14" s="19" t="s">
        <v>30</v>
      </c>
      <c r="C14" s="22" t="s">
        <v>18</v>
      </c>
      <c r="D14" s="6">
        <v>1</v>
      </c>
      <c r="E14" s="21">
        <v>2764130</v>
      </c>
      <c r="F14" s="24">
        <f t="shared" si="2"/>
        <v>525184.69999999995</v>
      </c>
      <c r="G14" s="21">
        <f t="shared" si="3"/>
        <v>3289314.7</v>
      </c>
    </row>
    <row r="15" spans="1:15" x14ac:dyDescent="0.25">
      <c r="A15" s="5">
        <v>13</v>
      </c>
      <c r="B15" s="19" t="s">
        <v>31</v>
      </c>
      <c r="C15" s="22" t="s">
        <v>18</v>
      </c>
      <c r="D15" s="6">
        <v>1</v>
      </c>
      <c r="E15" s="21">
        <v>3029486.48</v>
      </c>
      <c r="F15" s="24">
        <f t="shared" si="2"/>
        <v>575602.43119999999</v>
      </c>
      <c r="G15" s="21">
        <f t="shared" si="3"/>
        <v>3605088.9112</v>
      </c>
    </row>
    <row r="16" spans="1:15" x14ac:dyDescent="0.25">
      <c r="A16" s="5">
        <v>14</v>
      </c>
      <c r="B16" s="19" t="s">
        <v>32</v>
      </c>
      <c r="C16" s="22" t="s">
        <v>18</v>
      </c>
      <c r="D16" s="6">
        <v>1</v>
      </c>
      <c r="E16" s="21">
        <v>7242020.5999999996</v>
      </c>
      <c r="F16" s="24">
        <f t="shared" si="2"/>
        <v>1375983.9139999999</v>
      </c>
      <c r="G16" s="21">
        <f t="shared" si="3"/>
        <v>8618004.5139999986</v>
      </c>
    </row>
    <row r="17" spans="1:7" x14ac:dyDescent="0.25">
      <c r="A17" s="5">
        <v>15</v>
      </c>
      <c r="B17" s="23" t="s">
        <v>34</v>
      </c>
      <c r="C17" s="22"/>
      <c r="D17" s="6"/>
      <c r="E17" s="21"/>
      <c r="F17" s="9"/>
      <c r="G17" s="57">
        <f>SUM(G7:G16)</f>
        <v>239388701.46074</v>
      </c>
    </row>
    <row r="18" spans="1:7" ht="15.75" customHeight="1" x14ac:dyDescent="0.25">
      <c r="G18" s="43"/>
    </row>
    <row r="19" spans="1:7" ht="15.75" customHeight="1" x14ac:dyDescent="0.25"/>
    <row r="20" spans="1:7" ht="15.75" customHeight="1" x14ac:dyDescent="0.25"/>
    <row r="21" spans="1:7" ht="15.75" customHeight="1" x14ac:dyDescent="0.25"/>
    <row r="22" spans="1:7" ht="15.75" customHeight="1" x14ac:dyDescent="0.25"/>
    <row r="23" spans="1:7" ht="15.75" customHeight="1" x14ac:dyDescent="0.25"/>
    <row r="24" spans="1:7" ht="15.75" customHeight="1" x14ac:dyDescent="0.25"/>
    <row r="25" spans="1:7" ht="15.75" customHeight="1" x14ac:dyDescent="0.25"/>
    <row r="26" spans="1:7" ht="15.75" customHeight="1" x14ac:dyDescent="0.25"/>
    <row r="27" spans="1:7" ht="47.2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47.2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spans="1:1" ht="15.75" customHeight="1" x14ac:dyDescent="0.25"/>
    <row r="162" spans="1:1" ht="15.75" customHeight="1" x14ac:dyDescent="0.25"/>
    <row r="163" spans="1:1" ht="15.75" customHeight="1" x14ac:dyDescent="0.25"/>
    <row r="164" spans="1:1" ht="15.75" customHeight="1" x14ac:dyDescent="0.25"/>
    <row r="165" spans="1:1" ht="15.75" customHeight="1" x14ac:dyDescent="0.25"/>
    <row r="166" spans="1:1" ht="15.75" customHeight="1" x14ac:dyDescent="0.25">
      <c r="A166" s="2"/>
    </row>
    <row r="167" spans="1:1" ht="15.75" customHeight="1" x14ac:dyDescent="0.25"/>
    <row r="168" spans="1:1" ht="16.5" customHeight="1" x14ac:dyDescent="0.25"/>
    <row r="170" spans="1:1" ht="15.75" customHeight="1" x14ac:dyDescent="0.25"/>
    <row r="171" spans="1:1" ht="15.75" customHeight="1" x14ac:dyDescent="0.25"/>
    <row r="172" spans="1:1" ht="15.75" customHeight="1" x14ac:dyDescent="0.25"/>
    <row r="173" spans="1:1" ht="15.75" customHeight="1" x14ac:dyDescent="0.25"/>
    <row r="174" spans="1:1" ht="15.75" customHeight="1" x14ac:dyDescent="0.25"/>
    <row r="175" spans="1:1" ht="15.75" customHeight="1" x14ac:dyDescent="0.25"/>
    <row r="176" spans="1:1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74.2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</sheetData>
  <mergeCells count="1">
    <mergeCell ref="E1:G1"/>
  </mergeCells>
  <pageMargins left="0.25" right="0.25" top="0.75" bottom="0.75" header="0" footer="0"/>
  <pageSetup paperSize="9" scale="6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56"/>
  <sheetViews>
    <sheetView tabSelected="1" zoomScale="130" zoomScaleNormal="130" workbookViewId="0">
      <selection activeCell="F10" sqref="F10"/>
    </sheetView>
  </sheetViews>
  <sheetFormatPr baseColWidth="10" defaultColWidth="14.42578125" defaultRowHeight="15" customHeight="1" x14ac:dyDescent="0.25"/>
  <cols>
    <col min="1" max="1" width="5.42578125" style="32" customWidth="1"/>
    <col min="2" max="2" width="65.7109375" style="36" customWidth="1"/>
    <col min="3" max="3" width="12" style="32" customWidth="1"/>
    <col min="4" max="4" width="10.85546875" style="32" customWidth="1"/>
    <col min="5" max="5" width="18.28515625" style="32" bestFit="1" customWidth="1"/>
    <col min="6" max="6" width="23.28515625" style="32" customWidth="1"/>
    <col min="7" max="7" width="20.140625" style="32" bestFit="1" customWidth="1"/>
    <col min="8" max="8" width="23.140625" style="32" customWidth="1"/>
    <col min="9" max="9" width="27.7109375" style="32" bestFit="1" customWidth="1"/>
    <col min="10" max="10" width="42" style="32" bestFit="1" customWidth="1"/>
    <col min="11" max="11" width="13" style="32" bestFit="1" customWidth="1"/>
    <col min="12" max="12" width="13.42578125" style="32" bestFit="1" customWidth="1"/>
    <col min="13" max="13" width="10.7109375" style="32" customWidth="1"/>
    <col min="14" max="14" width="13.42578125" style="32" bestFit="1" customWidth="1"/>
    <col min="15" max="17" width="10.7109375" style="32" customWidth="1"/>
    <col min="18" max="16384" width="14.42578125" style="32"/>
  </cols>
  <sheetData>
    <row r="1" spans="1:14" ht="31.5" customHeight="1" x14ac:dyDescent="0.25">
      <c r="A1" s="80" t="s">
        <v>7</v>
      </c>
      <c r="B1" s="79" t="s">
        <v>8</v>
      </c>
      <c r="C1" s="79" t="s">
        <v>9</v>
      </c>
      <c r="D1" s="78" t="s">
        <v>12</v>
      </c>
      <c r="E1" s="81" t="s">
        <v>37</v>
      </c>
      <c r="F1" s="81"/>
      <c r="G1" s="81" t="s">
        <v>22</v>
      </c>
      <c r="H1" s="81"/>
    </row>
    <row r="2" spans="1:14" ht="15" customHeight="1" x14ac:dyDescent="0.25">
      <c r="A2" s="80"/>
      <c r="B2" s="79"/>
      <c r="C2" s="79"/>
      <c r="D2" s="78"/>
      <c r="E2" s="78" t="s">
        <v>11</v>
      </c>
      <c r="F2" s="78" t="s">
        <v>38</v>
      </c>
      <c r="G2" s="78" t="s">
        <v>11</v>
      </c>
      <c r="H2" s="78" t="s">
        <v>39</v>
      </c>
    </row>
    <row r="3" spans="1:14" ht="23.25" customHeight="1" x14ac:dyDescent="0.25">
      <c r="A3" s="80"/>
      <c r="B3" s="79"/>
      <c r="C3" s="79"/>
      <c r="D3" s="78"/>
      <c r="E3" s="82"/>
      <c r="F3" s="82"/>
      <c r="G3" s="82"/>
      <c r="H3" s="82"/>
      <c r="I3" s="33"/>
    </row>
    <row r="4" spans="1:14" ht="24.95" customHeight="1" x14ac:dyDescent="0.25">
      <c r="A4" s="29">
        <v>1</v>
      </c>
      <c r="B4" s="29" t="s">
        <v>19</v>
      </c>
      <c r="C4" s="30" t="s">
        <v>18</v>
      </c>
      <c r="D4" s="30">
        <v>1</v>
      </c>
      <c r="E4" s="60">
        <v>4915000</v>
      </c>
      <c r="F4" s="60">
        <f>E4* (1+5.2%) * (1+5.1%)</f>
        <v>5434279.5800000001</v>
      </c>
      <c r="G4" s="60">
        <v>5170580</v>
      </c>
      <c r="H4" s="60">
        <f>G4* (1+5.1%)</f>
        <v>5434279.5800000001</v>
      </c>
      <c r="I4" s="33"/>
    </row>
    <row r="5" spans="1:14" ht="24.95" customHeight="1" x14ac:dyDescent="0.25">
      <c r="A5" s="29">
        <v>2</v>
      </c>
      <c r="B5" s="29" t="s">
        <v>20</v>
      </c>
      <c r="C5" s="30" t="s">
        <v>18</v>
      </c>
      <c r="D5" s="30">
        <v>1</v>
      </c>
      <c r="E5" s="60">
        <v>4915000</v>
      </c>
      <c r="F5" s="60">
        <f t="shared" ref="F5:F6" si="0">E5* (1+5.2%) * (1+5.1%)</f>
        <v>5434279.5800000001</v>
      </c>
      <c r="G5" s="60">
        <v>5170580</v>
      </c>
      <c r="H5" s="60">
        <f t="shared" ref="H5:H6" si="1">G5* (1+5.1%)</f>
        <v>5434279.5800000001</v>
      </c>
      <c r="I5" s="33"/>
      <c r="J5" s="33"/>
      <c r="L5" s="33"/>
      <c r="N5" s="33">
        <f>+L5-M5</f>
        <v>0</v>
      </c>
    </row>
    <row r="6" spans="1:14" ht="24.95" customHeight="1" x14ac:dyDescent="0.25">
      <c r="A6" s="29">
        <v>3</v>
      </c>
      <c r="B6" s="29" t="s">
        <v>21</v>
      </c>
      <c r="C6" s="30" t="s">
        <v>18</v>
      </c>
      <c r="D6" s="30">
        <v>1</v>
      </c>
      <c r="E6" s="60">
        <v>4915000</v>
      </c>
      <c r="F6" s="60">
        <f t="shared" si="0"/>
        <v>5434279.5800000001</v>
      </c>
      <c r="G6" s="60">
        <v>5170580</v>
      </c>
      <c r="H6" s="60">
        <f t="shared" si="1"/>
        <v>5434279.5800000001</v>
      </c>
      <c r="I6" s="33"/>
      <c r="J6" s="33"/>
    </row>
    <row r="7" spans="1:14" ht="24.95" customHeight="1" x14ac:dyDescent="0.25">
      <c r="A7" s="29"/>
      <c r="B7" s="31" t="s">
        <v>40</v>
      </c>
      <c r="C7" s="30"/>
      <c r="D7" s="30"/>
      <c r="E7" s="60"/>
      <c r="F7" s="60"/>
      <c r="G7" s="60"/>
      <c r="H7" s="61"/>
      <c r="I7" s="33"/>
    </row>
    <row r="8" spans="1:14" ht="24.95" customHeight="1" x14ac:dyDescent="0.25">
      <c r="A8" s="29">
        <v>1</v>
      </c>
      <c r="B8" s="29" t="s">
        <v>23</v>
      </c>
      <c r="C8" s="30" t="s">
        <v>18</v>
      </c>
      <c r="D8" s="30">
        <v>1</v>
      </c>
      <c r="E8" s="60">
        <v>53390000</v>
      </c>
      <c r="F8" s="60">
        <f>E8* (1+5.2%) * (1+5.1%)</f>
        <v>59030760.279999994</v>
      </c>
      <c r="G8" s="62" t="s">
        <v>35</v>
      </c>
      <c r="H8" s="62" t="s">
        <v>35</v>
      </c>
      <c r="I8" s="33"/>
      <c r="J8" s="33"/>
    </row>
    <row r="9" spans="1:14" ht="24.95" customHeight="1" x14ac:dyDescent="0.25">
      <c r="A9" s="29">
        <v>2</v>
      </c>
      <c r="B9" s="29" t="s">
        <v>24</v>
      </c>
      <c r="C9" s="30" t="s">
        <v>18</v>
      </c>
      <c r="D9" s="30">
        <v>1</v>
      </c>
      <c r="E9" s="60">
        <v>30990000</v>
      </c>
      <c r="F9" s="60">
        <f t="shared" ref="F9:F17" si="2">E9* (1+5.2%) * (1+5.1%)</f>
        <v>34264155.479999997</v>
      </c>
      <c r="G9" s="60">
        <v>31620000</v>
      </c>
      <c r="H9" s="60">
        <f t="shared" ref="H9:H17" si="3">G9* (1+5.1%)</f>
        <v>33232619.999999996</v>
      </c>
      <c r="I9" s="33"/>
    </row>
    <row r="10" spans="1:14" ht="24.95" customHeight="1" x14ac:dyDescent="0.25">
      <c r="A10" s="29">
        <v>3</v>
      </c>
      <c r="B10" s="29" t="s">
        <v>25</v>
      </c>
      <c r="C10" s="30" t="s">
        <v>18</v>
      </c>
      <c r="D10" s="30">
        <v>1</v>
      </c>
      <c r="E10" s="60">
        <v>33990000</v>
      </c>
      <c r="F10" s="60">
        <f t="shared" si="2"/>
        <v>37581111.479999997</v>
      </c>
      <c r="G10" s="60">
        <v>34300000</v>
      </c>
      <c r="H10" s="60">
        <f t="shared" si="3"/>
        <v>36049300</v>
      </c>
      <c r="I10" s="33"/>
      <c r="K10" s="34"/>
    </row>
    <row r="11" spans="1:14" ht="24.95" customHeight="1" x14ac:dyDescent="0.25">
      <c r="A11" s="29">
        <v>4</v>
      </c>
      <c r="B11" s="29" t="s">
        <v>26</v>
      </c>
      <c r="C11" s="30" t="s">
        <v>18</v>
      </c>
      <c r="D11" s="30">
        <v>1</v>
      </c>
      <c r="E11" s="60">
        <v>14850000</v>
      </c>
      <c r="F11" s="60">
        <f t="shared" si="2"/>
        <v>16418932.199999999</v>
      </c>
      <c r="G11" s="60">
        <v>15200000</v>
      </c>
      <c r="H11" s="60">
        <f t="shared" si="3"/>
        <v>15975199.999999998</v>
      </c>
      <c r="I11" s="33"/>
      <c r="J11" s="35"/>
    </row>
    <row r="12" spans="1:14" ht="24.95" customHeight="1" x14ac:dyDescent="0.25">
      <c r="A12" s="29">
        <v>5</v>
      </c>
      <c r="B12" s="29" t="s">
        <v>27</v>
      </c>
      <c r="C12" s="30" t="s">
        <v>18</v>
      </c>
      <c r="D12" s="30">
        <v>1</v>
      </c>
      <c r="E12" s="60">
        <v>18500000</v>
      </c>
      <c r="F12" s="60">
        <f t="shared" si="2"/>
        <v>20454562</v>
      </c>
      <c r="G12" s="60">
        <v>18000000</v>
      </c>
      <c r="H12" s="60">
        <f t="shared" si="3"/>
        <v>18918000</v>
      </c>
      <c r="I12" s="33"/>
    </row>
    <row r="13" spans="1:14" ht="24.95" customHeight="1" x14ac:dyDescent="0.25">
      <c r="A13" s="29">
        <v>6</v>
      </c>
      <c r="B13" s="29" t="s">
        <v>28</v>
      </c>
      <c r="C13" s="30" t="s">
        <v>18</v>
      </c>
      <c r="D13" s="30">
        <v>1</v>
      </c>
      <c r="E13" s="60">
        <v>3580000</v>
      </c>
      <c r="F13" s="60">
        <f t="shared" si="2"/>
        <v>3958234.1599999997</v>
      </c>
      <c r="G13" s="60">
        <v>3766160</v>
      </c>
      <c r="H13" s="60">
        <f t="shared" si="3"/>
        <v>3958234.1599999997</v>
      </c>
      <c r="I13" s="33"/>
    </row>
    <row r="14" spans="1:14" ht="24.95" customHeight="1" x14ac:dyDescent="0.25">
      <c r="A14" s="29">
        <v>7</v>
      </c>
      <c r="B14" s="29" t="s">
        <v>29</v>
      </c>
      <c r="C14" s="30" t="s">
        <v>18</v>
      </c>
      <c r="D14" s="30">
        <v>1</v>
      </c>
      <c r="E14" s="60">
        <v>19410000</v>
      </c>
      <c r="F14" s="60">
        <f t="shared" si="2"/>
        <v>21460705.32</v>
      </c>
      <c r="G14" s="60">
        <v>19454906.25</v>
      </c>
      <c r="H14" s="60">
        <f t="shared" si="3"/>
        <v>20447106.46875</v>
      </c>
      <c r="I14" s="33"/>
    </row>
    <row r="15" spans="1:14" ht="24.95" customHeight="1" x14ac:dyDescent="0.25">
      <c r="A15" s="29">
        <v>8</v>
      </c>
      <c r="B15" s="29" t="s">
        <v>30</v>
      </c>
      <c r="C15" s="30" t="s">
        <v>18</v>
      </c>
      <c r="D15" s="30">
        <v>1</v>
      </c>
      <c r="E15" s="60">
        <v>2500000</v>
      </c>
      <c r="F15" s="60">
        <f t="shared" si="2"/>
        <v>2764130</v>
      </c>
      <c r="G15" s="60">
        <v>2630000</v>
      </c>
      <c r="H15" s="60">
        <f t="shared" si="3"/>
        <v>2764130</v>
      </c>
      <c r="I15" s="33"/>
    </row>
    <row r="16" spans="1:14" ht="24.95" customHeight="1" x14ac:dyDescent="0.25">
      <c r="A16" s="29">
        <v>9</v>
      </c>
      <c r="B16" s="29" t="s">
        <v>31</v>
      </c>
      <c r="C16" s="30" t="s">
        <v>18</v>
      </c>
      <c r="D16" s="30">
        <v>1</v>
      </c>
      <c r="E16" s="60">
        <v>2740000</v>
      </c>
      <c r="F16" s="60">
        <f t="shared" si="2"/>
        <v>3029486.48</v>
      </c>
      <c r="G16" s="60">
        <v>2882480</v>
      </c>
      <c r="H16" s="60">
        <f t="shared" si="3"/>
        <v>3029486.48</v>
      </c>
      <c r="I16" s="33"/>
    </row>
    <row r="17" spans="1:9" ht="24.95" customHeight="1" x14ac:dyDescent="0.25">
      <c r="A17" s="29">
        <v>10</v>
      </c>
      <c r="B17" s="29" t="s">
        <v>32</v>
      </c>
      <c r="C17" s="30" t="s">
        <v>18</v>
      </c>
      <c r="D17" s="30">
        <v>1</v>
      </c>
      <c r="E17" s="60">
        <v>6550000</v>
      </c>
      <c r="F17" s="60">
        <f t="shared" si="2"/>
        <v>7242020.5999999996</v>
      </c>
      <c r="G17" s="60">
        <v>6890600</v>
      </c>
      <c r="H17" s="60">
        <f t="shared" si="3"/>
        <v>7242020.5999999996</v>
      </c>
      <c r="I17" s="33"/>
    </row>
    <row r="18" spans="1:9" ht="15.75" customHeight="1" x14ac:dyDescent="0.25"/>
    <row r="19" spans="1:9" ht="15.75" customHeight="1" x14ac:dyDescent="0.25"/>
    <row r="20" spans="1:9" ht="15.75" customHeight="1" x14ac:dyDescent="0.25"/>
    <row r="21" spans="1:9" ht="15.75" customHeight="1" x14ac:dyDescent="0.25"/>
    <row r="22" spans="1:9" ht="15.75" customHeight="1" x14ac:dyDescent="0.25"/>
    <row r="23" spans="1:9" ht="15.75" customHeight="1" x14ac:dyDescent="0.25"/>
    <row r="24" spans="1:9" ht="15.75" customHeight="1" x14ac:dyDescent="0.25"/>
    <row r="25" spans="1:9" ht="15.75" customHeight="1" x14ac:dyDescent="0.25"/>
    <row r="26" spans="1:9" ht="15.75" customHeight="1" x14ac:dyDescent="0.25"/>
    <row r="27" spans="1:9" ht="15.75" customHeight="1" x14ac:dyDescent="0.25"/>
    <row r="28" spans="1:9" ht="15.75" customHeight="1" x14ac:dyDescent="0.25"/>
    <row r="29" spans="1:9" ht="15.75" customHeight="1" x14ac:dyDescent="0.25"/>
    <row r="30" spans="1:9" ht="15.75" customHeight="1" x14ac:dyDescent="0.25"/>
    <row r="31" spans="1:9" ht="15.75" customHeight="1" x14ac:dyDescent="0.25"/>
    <row r="32" spans="1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</sheetData>
  <mergeCells count="10">
    <mergeCell ref="D1:D3"/>
    <mergeCell ref="C1:C3"/>
    <mergeCell ref="B1:B3"/>
    <mergeCell ref="A1:A3"/>
    <mergeCell ref="G1:H1"/>
    <mergeCell ref="E1:F1"/>
    <mergeCell ref="E2:E3"/>
    <mergeCell ref="F2:F3"/>
    <mergeCell ref="H2:H3"/>
    <mergeCell ref="G2:G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PRECIOS TECHO</vt:lpstr>
      <vt:lpstr>CONSOLIDADO</vt:lpstr>
      <vt:lpstr>COTIZACION COT-176-2026-HOMIL</vt:lpstr>
      <vt:lpstr>HISTORICO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Leonardo Abril Rincon</cp:lastModifiedBy>
  <dcterms:created xsi:type="dcterms:W3CDTF">2023-07-26T14:39:30Z</dcterms:created>
  <dcterms:modified xsi:type="dcterms:W3CDTF">2026-05-25T03:49:37Z</dcterms:modified>
</cp:coreProperties>
</file>